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capgroup-my.sharepoint.com/personal/bqxc_capgroup_com/Documents/CSR-DACM Rotation/"/>
    </mc:Choice>
  </mc:AlternateContent>
  <xr:revisionPtr revIDLastSave="4304" documentId="8_{473975C2-A780-459B-85F1-8794221CC7B8}" xr6:coauthVersionLast="47" xr6:coauthVersionMax="47" xr10:uidLastSave="{0FEAF39D-BF22-48D6-977F-0CCC42A9C6CF}"/>
  <bookViews>
    <workbookView xWindow="38292" yWindow="-108" windowWidth="38616" windowHeight="21216" xr2:uid="{54CF738A-1272-4D5F-8DDE-FEC409C4BD6B}"/>
  </bookViews>
  <sheets>
    <sheet name="Main Data Sheet" sheetId="1" r:id="rId1"/>
    <sheet name="Pivot Table (Plan Averages)" sheetId="7" r:id="rId2"/>
    <sheet name="Industries" sheetId="5" r:id="rId3"/>
    <sheet name="Pivot Table (Metrics)" sheetId="8" r:id="rId4"/>
  </sheets>
  <definedNames>
    <definedName name="CIQWBGuid" hidden="1">"07aaa533-9dc1-4d5b-9570-50f431fb05eb"</definedName>
    <definedName name="CIQWBInfo" hidden="1">"{ ""CIQVersion"":""9.48.1616.5174"" }"</definedName>
  </definedNames>
  <calcPr calcId="191029" iterate="1"/>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16" i="1" l="1"/>
  <c r="C2616" i="1"/>
  <c r="D2616" i="1"/>
  <c r="F2616" i="1"/>
  <c r="G2616" i="1"/>
  <c r="B2617" i="1"/>
  <c r="C2617" i="1"/>
  <c r="D2617" i="1"/>
  <c r="F2617" i="1"/>
  <c r="G2617" i="1"/>
  <c r="B2614" i="1"/>
  <c r="C2614" i="1"/>
  <c r="D2614" i="1"/>
  <c r="F2614" i="1"/>
  <c r="G2614" i="1"/>
  <c r="B2615" i="1"/>
  <c r="C2615" i="1"/>
  <c r="D2615" i="1"/>
  <c r="F2615" i="1"/>
  <c r="G2615" i="1"/>
  <c r="N2612" i="1"/>
  <c r="B2612" i="1"/>
  <c r="C2612" i="1"/>
  <c r="D2612" i="1"/>
  <c r="F2612" i="1"/>
  <c r="G2612" i="1"/>
  <c r="B2613" i="1"/>
  <c r="C2613" i="1"/>
  <c r="D2613" i="1"/>
  <c r="F2613" i="1"/>
  <c r="G2613" i="1"/>
  <c r="P2611" i="1"/>
  <c r="N2611" i="1" s="1"/>
  <c r="B2611" i="1"/>
  <c r="C2611" i="1"/>
  <c r="D2611" i="1"/>
  <c r="F2611" i="1"/>
  <c r="G2611" i="1"/>
  <c r="B2609" i="1"/>
  <c r="C2609" i="1"/>
  <c r="D2609" i="1"/>
  <c r="F2609" i="1"/>
  <c r="G2609" i="1"/>
  <c r="P2609" i="1"/>
  <c r="B2610" i="1"/>
  <c r="C2610" i="1"/>
  <c r="D2610" i="1"/>
  <c r="F2610" i="1"/>
  <c r="G2610" i="1"/>
  <c r="P2610" i="1"/>
  <c r="B2608" i="1"/>
  <c r="C2608" i="1"/>
  <c r="D2608" i="1"/>
  <c r="F2608" i="1"/>
  <c r="G2608" i="1"/>
  <c r="P2608" i="1"/>
  <c r="B2607" i="1"/>
  <c r="C2607" i="1"/>
  <c r="D2607" i="1"/>
  <c r="F2607" i="1"/>
  <c r="G2607" i="1"/>
  <c r="P2607" i="1"/>
  <c r="B2606" i="1"/>
  <c r="C2606" i="1"/>
  <c r="D2606" i="1"/>
  <c r="F2606" i="1"/>
  <c r="G2606" i="1"/>
  <c r="P2606" i="1"/>
  <c r="P2602" i="1"/>
  <c r="P2603" i="1"/>
  <c r="P2604" i="1"/>
  <c r="P2605" i="1"/>
  <c r="P2601" i="1"/>
  <c r="N2601" i="1" s="1"/>
  <c r="B2601" i="1"/>
  <c r="C2601" i="1"/>
  <c r="D2601" i="1"/>
  <c r="F2601" i="1"/>
  <c r="G2601" i="1"/>
  <c r="B2602" i="1"/>
  <c r="C2602" i="1"/>
  <c r="D2602" i="1"/>
  <c r="F2602" i="1"/>
  <c r="G2602" i="1"/>
  <c r="B2603" i="1"/>
  <c r="C2603" i="1"/>
  <c r="D2603" i="1"/>
  <c r="F2603" i="1"/>
  <c r="G2603" i="1"/>
  <c r="B2604" i="1"/>
  <c r="C2604" i="1"/>
  <c r="D2604" i="1"/>
  <c r="F2604" i="1"/>
  <c r="G2604" i="1"/>
  <c r="B2605" i="1"/>
  <c r="C2605" i="1"/>
  <c r="D2605" i="1"/>
  <c r="F2605" i="1"/>
  <c r="G2605" i="1"/>
  <c r="N2600" i="1"/>
  <c r="G2600" i="1"/>
  <c r="G2599" i="1"/>
  <c r="F2600" i="1"/>
  <c r="F259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F2587" i="1"/>
  <c r="G2587" i="1"/>
  <c r="N2599" i="1"/>
  <c r="N2598" i="1"/>
  <c r="F2598" i="1"/>
  <c r="G2598" i="1"/>
  <c r="N2594" i="1"/>
  <c r="F2595" i="1"/>
  <c r="G2595" i="1"/>
  <c r="F2596" i="1"/>
  <c r="G2596" i="1"/>
  <c r="F2597" i="1"/>
  <c r="G2597" i="1"/>
  <c r="N2589" i="1" l="1"/>
  <c r="N2588" i="1"/>
  <c r="F2588" i="1"/>
  <c r="G2588" i="1"/>
  <c r="F2589" i="1"/>
  <c r="G2589" i="1"/>
  <c r="F2590" i="1"/>
  <c r="G2590" i="1"/>
  <c r="F2591" i="1"/>
  <c r="G2591" i="1"/>
  <c r="F2592" i="1"/>
  <c r="G2592" i="1"/>
  <c r="F2593" i="1"/>
  <c r="G2593" i="1"/>
  <c r="F2594" i="1"/>
  <c r="G2594" i="1"/>
  <c r="N2587" i="1"/>
  <c r="N2586" i="1"/>
  <c r="F2586" i="1"/>
  <c r="G2586" i="1"/>
  <c r="N2582" i="1"/>
  <c r="F2583" i="1"/>
  <c r="G2583" i="1"/>
  <c r="F2584" i="1"/>
  <c r="G2584" i="1"/>
  <c r="F2585" i="1"/>
  <c r="G2585" i="1"/>
  <c r="F2579" i="1"/>
  <c r="G2579" i="1"/>
  <c r="F2580" i="1"/>
  <c r="G2580" i="1"/>
  <c r="F2581" i="1"/>
  <c r="G2581" i="1"/>
  <c r="F2582" i="1"/>
  <c r="G2582" i="1"/>
  <c r="N2578" i="1"/>
  <c r="F2578" i="1"/>
  <c r="G2578" i="1"/>
  <c r="N2577" i="1"/>
  <c r="G2577" i="1"/>
  <c r="F2577" i="1"/>
  <c r="P1185" i="1"/>
  <c r="P1180" i="1"/>
  <c r="P1181" i="1"/>
  <c r="P1182" i="1"/>
  <c r="P1183" i="1"/>
  <c r="P1184" i="1"/>
  <c r="P1179" i="1"/>
  <c r="F1069" i="1"/>
  <c r="G1069" i="1"/>
  <c r="F1078" i="1"/>
  <c r="G1078" i="1"/>
  <c r="F889" i="1"/>
  <c r="F901" i="1"/>
  <c r="F958" i="1"/>
  <c r="G958" i="1"/>
  <c r="F1177" i="1"/>
  <c r="G1177" i="1"/>
  <c r="F1162" i="1"/>
  <c r="G1162" i="1"/>
  <c r="F972" i="1"/>
  <c r="G972" i="1"/>
  <c r="F1974" i="1" l="1"/>
  <c r="G1974" i="1"/>
  <c r="F1965" i="1"/>
  <c r="G1965" i="1"/>
  <c r="F1620" i="1" l="1"/>
  <c r="G1620" i="1"/>
  <c r="F1609" i="1"/>
  <c r="G1609" i="1"/>
  <c r="F1329" i="1"/>
  <c r="F1330" i="1"/>
  <c r="N1331" i="1"/>
  <c r="F1317" i="1"/>
  <c r="F1316" i="1"/>
  <c r="F2138" i="1"/>
  <c r="F2139" i="1"/>
  <c r="F2140" i="1"/>
  <c r="F2141" i="1"/>
  <c r="F2142" i="1"/>
  <c r="F2143" i="1"/>
  <c r="F2144" i="1"/>
  <c r="F2145" i="1"/>
  <c r="F2146" i="1"/>
  <c r="F2147" i="1"/>
  <c r="F2148" i="1"/>
  <c r="F2149" i="1"/>
  <c r="F2150" i="1"/>
  <c r="F2151" i="1"/>
  <c r="F2152" i="1"/>
  <c r="F2153" i="1"/>
  <c r="F2154" i="1"/>
  <c r="F2155" i="1"/>
  <c r="F2156" i="1"/>
  <c r="F2157" i="1"/>
  <c r="F2158" i="1"/>
  <c r="F2159" i="1"/>
  <c r="F2137" i="1"/>
  <c r="N2263" i="1" l="1"/>
  <c r="P766" i="1"/>
  <c r="P765" i="1"/>
  <c r="N634" i="1"/>
  <c r="F626" i="1"/>
  <c r="G626" i="1"/>
  <c r="N626" i="1"/>
  <c r="N454" i="1"/>
  <c r="N420" i="1"/>
  <c r="P1535" i="1" l="1"/>
  <c r="P1534" i="1"/>
  <c r="P1533" i="1"/>
  <c r="P1730" i="1"/>
  <c r="P1729" i="1"/>
  <c r="P1716" i="1"/>
  <c r="P1715" i="1"/>
  <c r="P2370" i="1"/>
  <c r="P2371" i="1"/>
  <c r="P2372" i="1"/>
  <c r="P2369" i="1"/>
  <c r="P2378" i="1"/>
  <c r="P2379" i="1"/>
  <c r="P2380" i="1"/>
  <c r="P2381" i="1"/>
  <c r="P2382" i="1"/>
  <c r="P2383" i="1"/>
  <c r="P2384" i="1"/>
  <c r="P2377" i="1"/>
  <c r="N2" i="1"/>
  <c r="P741" i="1"/>
  <c r="P742" i="1"/>
  <c r="P743" i="1"/>
  <c r="P740" i="1"/>
  <c r="P739" i="1"/>
  <c r="P738" i="1"/>
  <c r="P737" i="1"/>
  <c r="N1806" i="1"/>
  <c r="P986" i="1"/>
  <c r="P984" i="1"/>
  <c r="P985" i="1"/>
  <c r="P983" i="1"/>
  <c r="N987" i="1"/>
  <c r="P2330" i="1"/>
  <c r="P2331" i="1"/>
  <c r="P2332" i="1"/>
  <c r="P2333" i="1"/>
  <c r="P2334" i="1"/>
  <c r="P2335" i="1"/>
  <c r="P2336" i="1"/>
  <c r="P2337" i="1"/>
  <c r="P2338" i="1"/>
  <c r="P2339" i="1"/>
  <c r="P2329" i="1"/>
  <c r="N2450" i="1"/>
  <c r="F2450" i="1"/>
  <c r="U1501" i="1" l="1"/>
  <c r="U1500" i="1"/>
  <c r="U1499" i="1"/>
  <c r="U1492" i="1"/>
  <c r="U1493" i="1"/>
  <c r="U1491" i="1"/>
  <c r="U2272" i="1"/>
  <c r="U2271" i="1"/>
  <c r="U2270" i="1"/>
  <c r="U2269" i="1"/>
  <c r="U2262" i="1"/>
  <c r="U2261" i="1"/>
  <c r="U2260" i="1"/>
  <c r="U2259" i="1"/>
  <c r="U715" i="1"/>
  <c r="U716" i="1"/>
  <c r="U714" i="1"/>
  <c r="U705" i="1"/>
  <c r="U706" i="1"/>
  <c r="U704" i="1"/>
  <c r="U2060" i="1"/>
  <c r="U2059" i="1"/>
  <c r="U2058" i="1"/>
  <c r="U2046" i="1"/>
  <c r="U2047" i="1"/>
  <c r="U2045" i="1"/>
  <c r="U1129" i="1"/>
  <c r="U1128" i="1"/>
  <c r="U1120" i="1"/>
  <c r="U2009" i="1"/>
  <c r="U2008" i="1"/>
  <c r="U2007" i="1"/>
  <c r="U2000" i="1"/>
  <c r="U1999" i="1"/>
  <c r="U1998" i="1"/>
  <c r="U1490" i="1" l="1"/>
  <c r="U1498" i="1"/>
  <c r="U2417" i="1" l="1"/>
  <c r="U2418" i="1"/>
  <c r="U2416" i="1"/>
  <c r="U2345" i="1"/>
  <c r="U239" i="1"/>
  <c r="U238" i="1"/>
  <c r="U237" i="1"/>
  <c r="U230" i="1"/>
  <c r="U231" i="1"/>
  <c r="U229" i="1"/>
  <c r="U2517" i="1"/>
  <c r="U2516" i="1"/>
  <c r="U2514" i="1"/>
  <c r="U2515" i="1"/>
  <c r="U2513" i="1"/>
  <c r="U2512" i="1"/>
  <c r="U2511" i="1"/>
  <c r="U2510" i="1"/>
  <c r="U2500" i="1"/>
  <c r="U2499" i="1"/>
  <c r="U2498" i="1"/>
  <c r="U2484" i="1"/>
  <c r="U2485" i="1"/>
  <c r="U2483" i="1"/>
  <c r="U2139" i="1"/>
  <c r="U2140" i="1"/>
  <c r="U2138" i="1"/>
  <c r="U1550" i="1"/>
  <c r="U1549" i="1"/>
  <c r="U1548" i="1"/>
  <c r="U1543" i="1"/>
  <c r="U1542" i="1"/>
  <c r="U1544" i="1"/>
  <c r="U966" i="1" l="1"/>
  <c r="U965" i="1"/>
  <c r="U964" i="1"/>
  <c r="U963" i="1"/>
  <c r="U952" i="1"/>
  <c r="U951" i="1"/>
  <c r="U950" i="1"/>
  <c r="U949" i="1"/>
  <c r="U2506" i="1"/>
  <c r="U2505" i="1"/>
  <c r="U2504" i="1"/>
  <c r="U2503" i="1"/>
  <c r="U2491" i="1"/>
  <c r="U2489" i="1"/>
  <c r="U2490" i="1"/>
  <c r="U2488" i="1"/>
  <c r="F1991" i="1" l="1"/>
  <c r="G1991" i="1"/>
  <c r="F1982" i="1"/>
  <c r="G1982" i="1"/>
  <c r="F1428" i="1"/>
  <c r="G1428" i="1"/>
  <c r="F1421" i="1"/>
  <c r="G1421" i="1"/>
  <c r="F1178" i="1"/>
  <c r="G1178" i="1"/>
  <c r="F1163" i="1"/>
  <c r="G1163" i="1"/>
  <c r="F1041" i="1"/>
  <c r="G1041" i="1"/>
  <c r="F1029" i="1"/>
  <c r="G1029" i="1"/>
  <c r="F1034" i="1"/>
  <c r="G1034" i="1"/>
  <c r="F1022" i="1"/>
  <c r="G1022" i="1"/>
  <c r="N771" i="1"/>
  <c r="N2576" i="1" l="1"/>
  <c r="N2569" i="1"/>
  <c r="N2560" i="1"/>
  <c r="N2554" i="1"/>
  <c r="N2546" i="1"/>
  <c r="N2544" i="1"/>
  <c r="N2543" i="1"/>
  <c r="N2538" i="1"/>
  <c r="N2537" i="1"/>
  <c r="N2535" i="1"/>
  <c r="N2534" i="1"/>
  <c r="N2529" i="1"/>
  <c r="N2528" i="1"/>
  <c r="N2526" i="1"/>
  <c r="N2525" i="1"/>
  <c r="N2519" i="1"/>
  <c r="N2510" i="1"/>
  <c r="N2509" i="1"/>
  <c r="N2508" i="1"/>
  <c r="N2503" i="1"/>
  <c r="N2495" i="1"/>
  <c r="N2494" i="1"/>
  <c r="N2493" i="1"/>
  <c r="N2488" i="1"/>
  <c r="N2480" i="1"/>
  <c r="N2479" i="1"/>
  <c r="N2473" i="1"/>
  <c r="N2472" i="1"/>
  <c r="N2466" i="1"/>
  <c r="N2465" i="1"/>
  <c r="N2459" i="1"/>
  <c r="N2458" i="1"/>
  <c r="N2452" i="1"/>
  <c r="N2451" i="1"/>
  <c r="N2444" i="1"/>
  <c r="N2440" i="1"/>
  <c r="N2439" i="1"/>
  <c r="N2420" i="1"/>
  <c r="N2416" i="1"/>
  <c r="N2412" i="1"/>
  <c r="N2411" i="1"/>
  <c r="N2402" i="1"/>
  <c r="N2401" i="1"/>
  <c r="N2392" i="1"/>
  <c r="N2391" i="1"/>
  <c r="N2390" i="1"/>
  <c r="N2389" i="1"/>
  <c r="N2388" i="1"/>
  <c r="N2387" i="1"/>
  <c r="N2386" i="1"/>
  <c r="N2381" i="1"/>
  <c r="N2378" i="1"/>
  <c r="N2377" i="1"/>
  <c r="N2373" i="1"/>
  <c r="N2372" i="1"/>
  <c r="N2369" i="1"/>
  <c r="N2368" i="1"/>
  <c r="N2366" i="1"/>
  <c r="N2361" i="1"/>
  <c r="N2360" i="1"/>
  <c r="N2358" i="1"/>
  <c r="N2353" i="1"/>
  <c r="N2352" i="1"/>
  <c r="N2347" i="1"/>
  <c r="N2341" i="1"/>
  <c r="N2340" i="1"/>
  <c r="N2336" i="1"/>
  <c r="N2330" i="1"/>
  <c r="N2329" i="1"/>
  <c r="N2325" i="1"/>
  <c r="N2322" i="1"/>
  <c r="N2321" i="1"/>
  <c r="N2317" i="1"/>
  <c r="N2314" i="1"/>
  <c r="N2313" i="1"/>
  <c r="N2307" i="1"/>
  <c r="N2306" i="1"/>
  <c r="N2301" i="1"/>
  <c r="N2300" i="1"/>
  <c r="N2294" i="1"/>
  <c r="N2293" i="1"/>
  <c r="N2288" i="1"/>
  <c r="N2287" i="1"/>
  <c r="N2286" i="1"/>
  <c r="N2285" i="1"/>
  <c r="N2281" i="1"/>
  <c r="N2280" i="1"/>
  <c r="N2279" i="1"/>
  <c r="N2278" i="1"/>
  <c r="N2274" i="1"/>
  <c r="N2273" i="1"/>
  <c r="N2269" i="1"/>
  <c r="N2264" i="1"/>
  <c r="N2259" i="1"/>
  <c r="N2254" i="1"/>
  <c r="N2253" i="1"/>
  <c r="N2251" i="1"/>
  <c r="N2250" i="1"/>
  <c r="N2249" i="1"/>
  <c r="N2248" i="1"/>
  <c r="N2246" i="1"/>
  <c r="N2245" i="1"/>
  <c r="N2244" i="1"/>
  <c r="N2243" i="1"/>
  <c r="N2242" i="1"/>
  <c r="N2238" i="1"/>
  <c r="N2233" i="1"/>
  <c r="N2232" i="1"/>
  <c r="N2231" i="1"/>
  <c r="N2227" i="1"/>
  <c r="N2222" i="1"/>
  <c r="N2221" i="1"/>
  <c r="N2220" i="1"/>
  <c r="N2219" i="1"/>
  <c r="N2216" i="1"/>
  <c r="N2213" i="1"/>
  <c r="N2212" i="1"/>
  <c r="N2211" i="1"/>
  <c r="N2208" i="1"/>
  <c r="N2207" i="1"/>
  <c r="N2202" i="1"/>
  <c r="N2201" i="1"/>
  <c r="N2200" i="1"/>
  <c r="N2197" i="1"/>
  <c r="N2188" i="1"/>
  <c r="N2187" i="1"/>
  <c r="N2186" i="1"/>
  <c r="N2184" i="1"/>
  <c r="N2177" i="1"/>
  <c r="N2176" i="1"/>
  <c r="N2175" i="1"/>
  <c r="N2173" i="1"/>
  <c r="N2169" i="1"/>
  <c r="N2168" i="1"/>
  <c r="N2167" i="1"/>
  <c r="N2165" i="1"/>
  <c r="N2161" i="1"/>
  <c r="N2160" i="1"/>
  <c r="N2159" i="1"/>
  <c r="N2154" i="1"/>
  <c r="N2149" i="1"/>
  <c r="N2148" i="1"/>
  <c r="N2147" i="1"/>
  <c r="N2142" i="1"/>
  <c r="N2138" i="1"/>
  <c r="N2137" i="1"/>
  <c r="N2136" i="1"/>
  <c r="N2135" i="1"/>
  <c r="N2131" i="1"/>
  <c r="N2129" i="1"/>
  <c r="N2128" i="1"/>
  <c r="N2127" i="1"/>
  <c r="N2126" i="1"/>
  <c r="N2122" i="1"/>
  <c r="N2120" i="1"/>
  <c r="N2119" i="1"/>
  <c r="N2118" i="1"/>
  <c r="N2117" i="1"/>
  <c r="N2116" i="1"/>
  <c r="F2112" i="1"/>
  <c r="G2112" i="1"/>
  <c r="P2112" i="1"/>
  <c r="N2105" i="1"/>
  <c r="N2104" i="1"/>
  <c r="N2093" i="1"/>
  <c r="N2092" i="1"/>
  <c r="N2087" i="1"/>
  <c r="N2086" i="1"/>
  <c r="N2081" i="1"/>
  <c r="N2080" i="1"/>
  <c r="N2075" i="1"/>
  <c r="N2073" i="1"/>
  <c r="N2072" i="1"/>
  <c r="N2067" i="1"/>
  <c r="N2065" i="1"/>
  <c r="N2064" i="1"/>
  <c r="N2063" i="1"/>
  <c r="N2062" i="1"/>
  <c r="N2058" i="1"/>
  <c r="N2052" i="1"/>
  <c r="N2051" i="1"/>
  <c r="N2050" i="1"/>
  <c r="N2049" i="1"/>
  <c r="N2045" i="1"/>
  <c r="N2039" i="1"/>
  <c r="N2038" i="1"/>
  <c r="N2026" i="1"/>
  <c r="N2025" i="1"/>
  <c r="N2013" i="1"/>
  <c r="N2012" i="1"/>
  <c r="N2004" i="1"/>
  <c r="N2003" i="1"/>
  <c r="N1995" i="1"/>
  <c r="N1994" i="1"/>
  <c r="N1993" i="1"/>
  <c r="N1989" i="1"/>
  <c r="N1986" i="1"/>
  <c r="N1985" i="1"/>
  <c r="N1984" i="1"/>
  <c r="N1980" i="1"/>
  <c r="N1977" i="1"/>
  <c r="N1976" i="1"/>
  <c r="N1975" i="1"/>
  <c r="N1971" i="1"/>
  <c r="N1968" i="1"/>
  <c r="N1967" i="1"/>
  <c r="N1966" i="1"/>
  <c r="N1962" i="1"/>
  <c r="N1959" i="1"/>
  <c r="N1958" i="1"/>
  <c r="N1950" i="1"/>
  <c r="N1949" i="1"/>
  <c r="N1941" i="1"/>
  <c r="N1940" i="1"/>
  <c r="N1939" i="1"/>
  <c r="N1938" i="1"/>
  <c r="N1936" i="1"/>
  <c r="N1932" i="1"/>
  <c r="N1931" i="1"/>
  <c r="N1930" i="1"/>
  <c r="N1929" i="1"/>
  <c r="N1927" i="1"/>
  <c r="N1923" i="1"/>
  <c r="N1922" i="1"/>
  <c r="N1921" i="1"/>
  <c r="N1920" i="1"/>
  <c r="N1917" i="1"/>
  <c r="N1914" i="1"/>
  <c r="N1913" i="1"/>
  <c r="N1912" i="1"/>
  <c r="N1911" i="1"/>
  <c r="N1908" i="1"/>
  <c r="N1905" i="1"/>
  <c r="N1904" i="1"/>
  <c r="F1904" i="1"/>
  <c r="G1904" i="1"/>
  <c r="N1891" i="1"/>
  <c r="N1890" i="1"/>
  <c r="N1877" i="1"/>
  <c r="N1876" i="1"/>
  <c r="N1875" i="1"/>
  <c r="N1873" i="1"/>
  <c r="N1870" i="1"/>
  <c r="N1869" i="1"/>
  <c r="N1868" i="1"/>
  <c r="N1866" i="1"/>
  <c r="N1863" i="1"/>
  <c r="N1862" i="1"/>
  <c r="N1861" i="1"/>
  <c r="N1858" i="1"/>
  <c r="N1854" i="1"/>
  <c r="N1853" i="1"/>
  <c r="N1852" i="1"/>
  <c r="N1849" i="1"/>
  <c r="N1845" i="1"/>
  <c r="N1844" i="1"/>
  <c r="N1843" i="1"/>
  <c r="N1839" i="1"/>
  <c r="N1834" i="1"/>
  <c r="N1833" i="1"/>
  <c r="N1832" i="1"/>
  <c r="N1828" i="1"/>
  <c r="N1824" i="1"/>
  <c r="N1823" i="1"/>
  <c r="N1822" i="1"/>
  <c r="N1821" i="1"/>
  <c r="N1820" i="1"/>
  <c r="N1819" i="1"/>
  <c r="N1815" i="1"/>
  <c r="N1814" i="1"/>
  <c r="N1813" i="1"/>
  <c r="N1812" i="1"/>
  <c r="N1811" i="1"/>
  <c r="N1807" i="1"/>
  <c r="N1802" i="1"/>
  <c r="N1801" i="1"/>
  <c r="N1797" i="1"/>
  <c r="N1796" i="1"/>
  <c r="N1795" i="1"/>
  <c r="N1792" i="1"/>
  <c r="N1784" i="1"/>
  <c r="N1783" i="1"/>
  <c r="N1782" i="1"/>
  <c r="N1779" i="1"/>
  <c r="N1771" i="1"/>
  <c r="N1770" i="1"/>
  <c r="N1769" i="1"/>
  <c r="N1766" i="1"/>
  <c r="N1763" i="1"/>
  <c r="N1762" i="1"/>
  <c r="N1761" i="1"/>
  <c r="N1758" i="1"/>
  <c r="N1755" i="1"/>
  <c r="N1754" i="1"/>
  <c r="N1748" i="1"/>
  <c r="N1743" i="1"/>
  <c r="N1742" i="1"/>
  <c r="N1732" i="1"/>
  <c r="N1731" i="1"/>
  <c r="N1723" i="1"/>
  <c r="N1718" i="1"/>
  <c r="N1717" i="1"/>
  <c r="N1709" i="1"/>
  <c r="N1704" i="1"/>
  <c r="N1703" i="1"/>
  <c r="N1702" i="1"/>
  <c r="N1701" i="1"/>
  <c r="N1699" i="1"/>
  <c r="N1694" i="1"/>
  <c r="N1693" i="1"/>
  <c r="N1684" i="1"/>
  <c r="N1683" i="1"/>
  <c r="N1682" i="1"/>
  <c r="N1681" i="1"/>
  <c r="N1679" i="1"/>
  <c r="N1674" i="1"/>
  <c r="N1673" i="1"/>
  <c r="N1672" i="1"/>
  <c r="N1670" i="1"/>
  <c r="N1665" i="1"/>
  <c r="N1664" i="1"/>
  <c r="N1653" i="1"/>
  <c r="N1652" i="1"/>
  <c r="N1642" i="1"/>
  <c r="N1641" i="1"/>
  <c r="N1640" i="1"/>
  <c r="N1636" i="1"/>
  <c r="N1633" i="1"/>
  <c r="N1632" i="1"/>
  <c r="N1627" i="1"/>
  <c r="N1631" i="1"/>
  <c r="N1624" i="1"/>
  <c r="N1623" i="1"/>
  <c r="N1622" i="1"/>
  <c r="N1621" i="1"/>
  <c r="N1618" i="1"/>
  <c r="N1613" i="1"/>
  <c r="N1612" i="1"/>
  <c r="N1611" i="1"/>
  <c r="N1610" i="1"/>
  <c r="N1607" i="1"/>
  <c r="N1604" i="1"/>
  <c r="N1603" i="1"/>
  <c r="N1600" i="1"/>
  <c r="N1596" i="1"/>
  <c r="N1592" i="1"/>
  <c r="N1591" i="1"/>
  <c r="N1589" i="1"/>
  <c r="N1586" i="1"/>
  <c r="N1582" i="1"/>
  <c r="N1581" i="1"/>
  <c r="N1580" i="1"/>
  <c r="N1578" i="1"/>
  <c r="N1574" i="1"/>
  <c r="N1573" i="1"/>
  <c r="N1570" i="1"/>
  <c r="N1566" i="1"/>
  <c r="N1565" i="1"/>
  <c r="N1564" i="1"/>
  <c r="N1563" i="1"/>
  <c r="N1560" i="1"/>
  <c r="N1559" i="1"/>
  <c r="N1558" i="1"/>
  <c r="N1557" i="1"/>
  <c r="N1554" i="1"/>
  <c r="N1553" i="1"/>
  <c r="N1551" i="1"/>
  <c r="N1548" i="1"/>
  <c r="N1547" i="1"/>
  <c r="N1545" i="1"/>
  <c r="N1542" i="1"/>
  <c r="N1541" i="1"/>
  <c r="N1540" i="1"/>
  <c r="N1538" i="1"/>
  <c r="N1537" i="1"/>
  <c r="N1536" i="1"/>
  <c r="N1535" i="1"/>
  <c r="N1533" i="1"/>
  <c r="N1532" i="1"/>
  <c r="N1531" i="1"/>
  <c r="N1530" i="1"/>
  <c r="N1525" i="1"/>
  <c r="N1517" i="1"/>
  <c r="N1516" i="1"/>
  <c r="N1515" i="1"/>
  <c r="N1510" i="1"/>
  <c r="N1503" i="1"/>
  <c r="N1502" i="1"/>
  <c r="N1498" i="1"/>
  <c r="N1495" i="1"/>
  <c r="N1494" i="1"/>
  <c r="N1490" i="1"/>
  <c r="N1487" i="1"/>
  <c r="N1486" i="1"/>
  <c r="N1485" i="1"/>
  <c r="N1484" i="1"/>
  <c r="N1478" i="1"/>
  <c r="N1473" i="1"/>
  <c r="N1472" i="1"/>
  <c r="N1471" i="1"/>
  <c r="N1470" i="1"/>
  <c r="N1464" i="1"/>
  <c r="N1459" i="1"/>
  <c r="N1458" i="1"/>
  <c r="N1446" i="1"/>
  <c r="N1445" i="1"/>
  <c r="N1433" i="1"/>
  <c r="N1432" i="1"/>
  <c r="N1431" i="1"/>
  <c r="N1430" i="1"/>
  <c r="N1429" i="1"/>
  <c r="N1426" i="1"/>
  <c r="N1425" i="1"/>
  <c r="N1424" i="1"/>
  <c r="N1423" i="1"/>
  <c r="N1422" i="1"/>
  <c r="N1419" i="1"/>
  <c r="N1418" i="1"/>
  <c r="N1417" i="1"/>
  <c r="N1413" i="1"/>
  <c r="N1409" i="1"/>
  <c r="N1408" i="1"/>
  <c r="N1404" i="1"/>
  <c r="N1403" i="1"/>
  <c r="N1401" i="1"/>
  <c r="N1400" i="1"/>
  <c r="N1399" i="1"/>
  <c r="N1395" i="1"/>
  <c r="N1393" i="1"/>
  <c r="N1392" i="1"/>
  <c r="N1391" i="1"/>
  <c r="N1387" i="1"/>
  <c r="N1385" i="1"/>
  <c r="N1384" i="1"/>
  <c r="N1377" i="1"/>
  <c r="N1376" i="1"/>
  <c r="N1369" i="1"/>
  <c r="N1368" i="1"/>
  <c r="N1362" i="1"/>
  <c r="N1358" i="1"/>
  <c r="N1357" i="1"/>
  <c r="N1349" i="1"/>
  <c r="N1348" i="1"/>
  <c r="N1347" i="1"/>
  <c r="N1346" i="1"/>
  <c r="N1344" i="1"/>
  <c r="N1341" i="1"/>
  <c r="N1340" i="1"/>
  <c r="N1339" i="1"/>
  <c r="N1337" i="1"/>
  <c r="N1334" i="1"/>
  <c r="N1333" i="1"/>
  <c r="N1332" i="1"/>
  <c r="N1327" i="1"/>
  <c r="N1321" i="1"/>
  <c r="N1320" i="1"/>
  <c r="N1319" i="1"/>
  <c r="N1318" i="1"/>
  <c r="N1314" i="1"/>
  <c r="N1308" i="1"/>
  <c r="N1307" i="1"/>
  <c r="N1305" i="1"/>
  <c r="N1300" i="1"/>
  <c r="N1299" i="1"/>
  <c r="N1298" i="1"/>
  <c r="N1293" i="1"/>
  <c r="N1292" i="1"/>
  <c r="N1291" i="1"/>
  <c r="N1289" i="1"/>
  <c r="N1286" i="1"/>
  <c r="N1285" i="1"/>
  <c r="N1284" i="1"/>
  <c r="N1282" i="1"/>
  <c r="N1279" i="1"/>
  <c r="N1278" i="1"/>
  <c r="N1277" i="1"/>
  <c r="N1276" i="1"/>
  <c r="N1271" i="1"/>
  <c r="N1270" i="1"/>
  <c r="N1269" i="1"/>
  <c r="N1268" i="1"/>
  <c r="N1267" i="1"/>
  <c r="N1265" i="1"/>
  <c r="N1261" i="1"/>
  <c r="N1260" i="1"/>
  <c r="N1258" i="1"/>
  <c r="N1257" i="1"/>
  <c r="N1253" i="1"/>
  <c r="N1251" i="1"/>
  <c r="N1250" i="1"/>
  <c r="N1249" i="1"/>
  <c r="N1247" i="1"/>
  <c r="N1238" i="1"/>
  <c r="N1237" i="1"/>
  <c r="N1236" i="1"/>
  <c r="N1234" i="1"/>
  <c r="N1225" i="1"/>
  <c r="N1224" i="1"/>
  <c r="N1211" i="1"/>
  <c r="N1210" i="1"/>
  <c r="N1197" i="1"/>
  <c r="N1196" i="1"/>
  <c r="N1192" i="1"/>
  <c r="N1191" i="1"/>
  <c r="N1190" i="1"/>
  <c r="N1188" i="1"/>
  <c r="N1187" i="1"/>
  <c r="N1186" i="1"/>
  <c r="N1185" i="1"/>
  <c r="N1179" i="1"/>
  <c r="N1173" i="1"/>
  <c r="N1172" i="1"/>
  <c r="N1158" i="1"/>
  <c r="N1157" i="1"/>
  <c r="N1156" i="1"/>
  <c r="N1155" i="1"/>
  <c r="N1152" i="1"/>
  <c r="N1145" i="1"/>
  <c r="N1144" i="1"/>
  <c r="N1143" i="1"/>
  <c r="N1142" i="1"/>
  <c r="N1139" i="1"/>
  <c r="N1133" i="1"/>
  <c r="N1132" i="1"/>
  <c r="N1131" i="1"/>
  <c r="N1128" i="1"/>
  <c r="N1126" i="1"/>
  <c r="N1125" i="1"/>
  <c r="N1124" i="1"/>
  <c r="N1120" i="1"/>
  <c r="N1118" i="1"/>
  <c r="N1117" i="1"/>
  <c r="N1110" i="1"/>
  <c r="N1109" i="1"/>
  <c r="N1102" i="1"/>
  <c r="N1101" i="1"/>
  <c r="U1098" i="1"/>
  <c r="U1097" i="1"/>
  <c r="U1096" i="1"/>
  <c r="U1087" i="1"/>
  <c r="U1088" i="1"/>
  <c r="U1086" i="1"/>
  <c r="N1092" i="1"/>
  <c r="N1091" i="1"/>
  <c r="N1082" i="1"/>
  <c r="N1081" i="1"/>
  <c r="N1080" i="1"/>
  <c r="N1075" i="1"/>
  <c r="N1073" i="1"/>
  <c r="N1072" i="1"/>
  <c r="N1064" i="1"/>
  <c r="N1063" i="1"/>
  <c r="N1062" i="1"/>
  <c r="N1061" i="1"/>
  <c r="N1058" i="1"/>
  <c r="N1054" i="1"/>
  <c r="N1053" i="1"/>
  <c r="N1052" i="1"/>
  <c r="N1051" i="1"/>
  <c r="N1048" i="1"/>
  <c r="N1044" i="1"/>
  <c r="N1043" i="1"/>
  <c r="N1042" i="1"/>
  <c r="N1039" i="1"/>
  <c r="N1032" i="1"/>
  <c r="N1031" i="1"/>
  <c r="N1030" i="1"/>
  <c r="N1027" i="1"/>
  <c r="N1020" i="1"/>
  <c r="N1019" i="1"/>
  <c r="N1018" i="1"/>
  <c r="N1017" i="1"/>
  <c r="N1014" i="1"/>
  <c r="N1010" i="1"/>
  <c r="N1009" i="1"/>
  <c r="N1008" i="1"/>
  <c r="N1007" i="1"/>
  <c r="N1004" i="1"/>
  <c r="N1000" i="1"/>
  <c r="N999" i="1"/>
  <c r="N998" i="1"/>
  <c r="N995" i="1"/>
  <c r="N988" i="1"/>
  <c r="N977" i="1"/>
  <c r="N976" i="1"/>
  <c r="N963" i="1"/>
  <c r="N962" i="1"/>
  <c r="N949" i="1"/>
  <c r="N948" i="1"/>
  <c r="N941" i="1"/>
  <c r="N940" i="1"/>
  <c r="N933" i="1"/>
  <c r="N932" i="1"/>
  <c r="N931" i="1"/>
  <c r="N928" i="1"/>
  <c r="N927" i="1"/>
  <c r="N926" i="1"/>
  <c r="N923" i="1"/>
  <c r="N922" i="1"/>
  <c r="N914" i="1"/>
  <c r="N913" i="1"/>
  <c r="N905" i="1"/>
  <c r="N904" i="1"/>
  <c r="N903" i="1"/>
  <c r="N902" i="1"/>
  <c r="N899" i="1"/>
  <c r="N892" i="1"/>
  <c r="N891" i="1"/>
  <c r="N890" i="1"/>
  <c r="N887" i="1"/>
  <c r="N880" i="1"/>
  <c r="N879" i="1"/>
  <c r="N878" i="1"/>
  <c r="N876" i="1"/>
  <c r="N868" i="1"/>
  <c r="N867" i="1"/>
  <c r="N866" i="1"/>
  <c r="N864" i="1"/>
  <c r="N856" i="1"/>
  <c r="N855" i="1"/>
  <c r="N845" i="1"/>
  <c r="N844" i="1"/>
  <c r="N834" i="1"/>
  <c r="N833" i="1"/>
  <c r="N823" i="1"/>
  <c r="N822" i="1"/>
  <c r="N812" i="1"/>
  <c r="N811" i="1"/>
  <c r="N810" i="1"/>
  <c r="N808" i="1"/>
  <c r="N803" i="1"/>
  <c r="N802" i="1"/>
  <c r="N800" i="1"/>
  <c r="N795" i="1"/>
  <c r="N794" i="1"/>
  <c r="N793" i="1"/>
  <c r="N792" i="1"/>
  <c r="N790" i="1"/>
  <c r="N789" i="1"/>
  <c r="N788" i="1"/>
  <c r="N787" i="1"/>
  <c r="N786" i="1"/>
  <c r="N784" i="1"/>
  <c r="N783" i="1"/>
  <c r="N775" i="1"/>
  <c r="N774" i="1"/>
  <c r="N768" i="1"/>
  <c r="N767" i="1"/>
  <c r="N760" i="1"/>
  <c r="N759" i="1"/>
  <c r="N752" i="1"/>
  <c r="N751" i="1"/>
  <c r="N750" i="1"/>
  <c r="N747" i="1"/>
  <c r="N745" i="1"/>
  <c r="N744" i="1"/>
  <c r="N743" i="1"/>
  <c r="N740" i="1"/>
  <c r="N738" i="1"/>
  <c r="N737" i="1"/>
  <c r="N736" i="1"/>
  <c r="N733" i="1"/>
  <c r="N729" i="1"/>
  <c r="N728" i="1"/>
  <c r="N727" i="1"/>
  <c r="N724" i="1"/>
  <c r="N720" i="1"/>
  <c r="N719" i="1"/>
  <c r="N718" i="1"/>
  <c r="N714" i="1"/>
  <c r="N710" i="1"/>
  <c r="N709" i="1"/>
  <c r="N708" i="1"/>
  <c r="N704" i="1"/>
  <c r="N700" i="1"/>
  <c r="N699" i="1"/>
  <c r="N698" i="1"/>
  <c r="N695" i="1"/>
  <c r="N690" i="1"/>
  <c r="N689" i="1"/>
  <c r="N688" i="1"/>
  <c r="N685" i="1"/>
  <c r="N680" i="1"/>
  <c r="N679" i="1"/>
  <c r="N675" i="1"/>
  <c r="N674" i="1"/>
  <c r="N671" i="1"/>
  <c r="N670" i="1"/>
  <c r="N668" i="1"/>
  <c r="N667" i="1"/>
  <c r="N664" i="1"/>
  <c r="N663" i="1"/>
  <c r="N662" i="1"/>
  <c r="N661" i="1"/>
  <c r="N658" i="1"/>
  <c r="N652" i="1"/>
  <c r="N651" i="1"/>
  <c r="N650" i="1"/>
  <c r="N647" i="1"/>
  <c r="N641" i="1"/>
  <c r="N640" i="1"/>
  <c r="N639" i="1"/>
  <c r="N636" i="1"/>
  <c r="N635" i="1"/>
  <c r="N631" i="1"/>
  <c r="N630" i="1"/>
  <c r="N629" i="1"/>
  <c r="N628" i="1"/>
  <c r="N627" i="1"/>
  <c r="N623" i="1"/>
  <c r="N622" i="1"/>
  <c r="N621" i="1"/>
  <c r="N619" i="1"/>
  <c r="N618" i="1"/>
  <c r="N617" i="1"/>
  <c r="N614" i="1"/>
  <c r="N610" i="1"/>
  <c r="N609" i="1"/>
  <c r="N601" i="1"/>
  <c r="N600" i="1"/>
  <c r="N584" i="1"/>
  <c r="N583" i="1"/>
  <c r="N567" i="1"/>
  <c r="N566" i="1"/>
  <c r="N565" i="1"/>
  <c r="N563" i="1"/>
  <c r="N562" i="1"/>
  <c r="N561" i="1"/>
  <c r="N559" i="1"/>
  <c r="N558" i="1"/>
  <c r="N557" i="1"/>
  <c r="N555" i="1"/>
  <c r="N542" i="1"/>
  <c r="N541" i="1"/>
  <c r="N540" i="1"/>
  <c r="N538" i="1"/>
  <c r="N525" i="1"/>
  <c r="N524" i="1"/>
  <c r="N513" i="1"/>
  <c r="N512" i="1"/>
  <c r="N507" i="1"/>
  <c r="N502" i="1"/>
  <c r="N501" i="1"/>
  <c r="N500" i="1"/>
  <c r="N499" i="1"/>
  <c r="N496" i="1"/>
  <c r="N492" i="1"/>
  <c r="N491" i="1"/>
  <c r="N488" i="1"/>
  <c r="N484" i="1"/>
  <c r="N483" i="1"/>
  <c r="N482" i="1"/>
  <c r="N478" i="1"/>
  <c r="N469" i="1"/>
  <c r="N468" i="1"/>
  <c r="N467" i="1"/>
  <c r="N463" i="1"/>
  <c r="N456" i="1"/>
  <c r="N455" i="1"/>
  <c r="N451" i="1"/>
  <c r="N442" i="1"/>
  <c r="N441" i="1"/>
  <c r="N440" i="1"/>
  <c r="N437" i="1"/>
  <c r="N428" i="1"/>
  <c r="N427" i="1"/>
  <c r="N421" i="1"/>
  <c r="N417" i="1"/>
  <c r="N412" i="1"/>
  <c r="N411" i="1"/>
  <c r="N410" i="1"/>
  <c r="N407" i="1"/>
  <c r="N402" i="1"/>
  <c r="N401" i="1"/>
  <c r="N400" i="1"/>
  <c r="N396" i="1"/>
  <c r="N391" i="1"/>
  <c r="N390" i="1"/>
  <c r="N389" i="1"/>
  <c r="N385" i="1"/>
  <c r="N380" i="1"/>
  <c r="N379" i="1"/>
  <c r="N378" i="1"/>
  <c r="N377" i="1"/>
  <c r="N374" i="1"/>
  <c r="N370" i="1"/>
  <c r="N369" i="1"/>
  <c r="N368" i="1"/>
  <c r="N365" i="1"/>
  <c r="N361" i="1"/>
  <c r="N360" i="1"/>
  <c r="N359" i="1"/>
  <c r="N358" i="1"/>
  <c r="N356" i="1"/>
  <c r="N353" i="1"/>
  <c r="N352" i="1"/>
  <c r="N351" i="1"/>
  <c r="N350" i="1"/>
  <c r="N348" i="1"/>
  <c r="N345" i="1"/>
  <c r="N344" i="1"/>
  <c r="N343" i="1"/>
  <c r="N340" i="1"/>
  <c r="N333" i="1"/>
  <c r="N332" i="1"/>
  <c r="N331" i="1"/>
  <c r="N328" i="1"/>
  <c r="N321" i="1"/>
  <c r="N320" i="1"/>
  <c r="N319" i="1"/>
  <c r="N318" i="1"/>
  <c r="N316" i="1"/>
  <c r="N309" i="1"/>
  <c r="N308" i="1"/>
  <c r="N307" i="1"/>
  <c r="N306" i="1"/>
  <c r="N304" i="1"/>
  <c r="N297" i="1"/>
  <c r="N296" i="1"/>
  <c r="N295" i="1"/>
  <c r="N294" i="1"/>
  <c r="N292" i="1"/>
  <c r="N289" i="1"/>
  <c r="N288" i="1"/>
  <c r="N287" i="1"/>
  <c r="N286" i="1"/>
  <c r="N281" i="1"/>
  <c r="N280" i="1"/>
  <c r="N267" i="1"/>
  <c r="N266" i="1"/>
  <c r="N255" i="1"/>
  <c r="N254" i="1"/>
  <c r="N253" i="1"/>
  <c r="N252" i="1"/>
  <c r="N250" i="1"/>
  <c r="N249" i="1"/>
  <c r="N245" i="1"/>
  <c r="N244" i="1"/>
  <c r="N243" i="1"/>
  <c r="N241" i="1"/>
  <c r="N237" i="1"/>
  <c r="N236" i="1"/>
  <c r="N235" i="1"/>
  <c r="N233" i="1"/>
  <c r="N229" i="1"/>
  <c r="N228" i="1"/>
  <c r="N227" i="1"/>
  <c r="N224" i="1"/>
  <c r="N223" i="1"/>
  <c r="N222" i="1"/>
  <c r="N219" i="1"/>
  <c r="N218" i="1"/>
  <c r="N217" i="1"/>
  <c r="N214" i="1"/>
  <c r="N204" i="1"/>
  <c r="N203" i="1"/>
  <c r="N202" i="1"/>
  <c r="N199" i="1"/>
  <c r="N192" i="1"/>
  <c r="N191" i="1"/>
  <c r="N181" i="1"/>
  <c r="N180" i="1"/>
  <c r="N170" i="1"/>
  <c r="N169" i="1"/>
  <c r="N168" i="1"/>
  <c r="N167" i="1"/>
  <c r="N164" i="1"/>
  <c r="N159" i="1"/>
  <c r="N158" i="1"/>
  <c r="N157" i="1"/>
  <c r="N156" i="1"/>
  <c r="N153" i="1"/>
  <c r="N148" i="1"/>
  <c r="N147" i="1"/>
  <c r="N146" i="1"/>
  <c r="N144" i="1"/>
  <c r="N142" i="1"/>
  <c r="N141" i="1"/>
  <c r="N121" i="1"/>
  <c r="N120" i="1"/>
  <c r="N118" i="1"/>
  <c r="N113" i="1"/>
  <c r="N112" i="1"/>
  <c r="N111" i="1"/>
  <c r="N110" i="1"/>
  <c r="N108" i="1"/>
  <c r="N103" i="1"/>
  <c r="N102" i="1"/>
  <c r="N101" i="1"/>
  <c r="N94" i="1"/>
  <c r="N86" i="1"/>
  <c r="N85" i="1"/>
  <c r="N84" i="1"/>
  <c r="N77" i="1"/>
  <c r="N69" i="1"/>
  <c r="N68" i="1"/>
  <c r="N64" i="1"/>
  <c r="N61" i="1"/>
  <c r="N60" i="1"/>
  <c r="N56" i="1"/>
  <c r="N53" i="1"/>
  <c r="N52" i="1"/>
  <c r="N51" i="1"/>
  <c r="N50" i="1"/>
  <c r="N49" i="1"/>
  <c r="N48" i="1"/>
  <c r="N47" i="1"/>
  <c r="N46" i="1"/>
  <c r="N45" i="1"/>
  <c r="N44" i="1"/>
  <c r="N43" i="1"/>
  <c r="N42" i="1"/>
  <c r="N41" i="1"/>
  <c r="N40" i="1"/>
  <c r="N39" i="1"/>
  <c r="N38" i="1"/>
  <c r="N36" i="1"/>
  <c r="N32" i="1"/>
  <c r="N31" i="1"/>
  <c r="N29" i="1"/>
  <c r="N30" i="1"/>
  <c r="N28" i="1"/>
  <c r="N21" i="1"/>
  <c r="N16" i="1"/>
  <c r="N15" i="1"/>
  <c r="N8" i="1"/>
  <c r="N3" i="1"/>
  <c r="F1872" i="1"/>
  <c r="G1872" i="1"/>
  <c r="F1865" i="1"/>
  <c r="G1865" i="1"/>
  <c r="F791" i="1"/>
  <c r="G791" i="1"/>
  <c r="F785" i="1"/>
  <c r="G785" i="1"/>
  <c r="F2076" i="1"/>
  <c r="G2076" i="1"/>
  <c r="F2077" i="1"/>
  <c r="G2077" i="1"/>
  <c r="F2068" i="1"/>
  <c r="G2068" i="1"/>
  <c r="F2069" i="1"/>
  <c r="G2069" i="1"/>
  <c r="F2066" i="1"/>
  <c r="G2066" i="1"/>
  <c r="U1767" i="1"/>
  <c r="U1768" i="1"/>
  <c r="U1759" i="1"/>
  <c r="U1760" i="1"/>
  <c r="U1758" i="1"/>
  <c r="U1766" i="1"/>
  <c r="F1625" i="1"/>
  <c r="G1625" i="1"/>
  <c r="F1523" i="1"/>
  <c r="G1523" i="1"/>
  <c r="U1521" i="1"/>
  <c r="U1520" i="1"/>
  <c r="F1521" i="1"/>
  <c r="G1521" i="1"/>
  <c r="U1507" i="1"/>
  <c r="F1507" i="1"/>
  <c r="G1507" i="1"/>
  <c r="F1508" i="1"/>
  <c r="G1508" i="1"/>
  <c r="U1506" i="1"/>
  <c r="U1288" i="1"/>
  <c r="U1287" i="1"/>
  <c r="U1286" i="1"/>
  <c r="U1280" i="1"/>
  <c r="U1281" i="1"/>
  <c r="U1279" i="1"/>
  <c r="F1127" i="1"/>
  <c r="G1127" i="1"/>
  <c r="G994" i="1"/>
  <c r="F994" i="1"/>
  <c r="N765" i="1"/>
  <c r="N766" i="1"/>
  <c r="P757" i="1"/>
  <c r="P758" i="1" s="1"/>
  <c r="N758" i="1" s="1"/>
  <c r="F674" i="1"/>
  <c r="G674" i="1"/>
  <c r="F667" i="1"/>
  <c r="G667" i="1"/>
  <c r="N757" i="1" l="1"/>
  <c r="F2272" i="1" l="1"/>
  <c r="G2272" i="1"/>
  <c r="U2267" i="1"/>
  <c r="U2266" i="1"/>
  <c r="F2267" i="1"/>
  <c r="G2267" i="1"/>
  <c r="F2262" i="1"/>
  <c r="G2262" i="1"/>
  <c r="F2257" i="1"/>
  <c r="G2257" i="1"/>
  <c r="U2257" i="1"/>
  <c r="U2256" i="1"/>
  <c r="F1937" i="1"/>
  <c r="F1928" i="1"/>
  <c r="F1577" i="1"/>
  <c r="F49" i="1"/>
  <c r="G49" i="1"/>
  <c r="P2562" i="1" l="1"/>
  <c r="P2568" i="1"/>
  <c r="N2568" i="1" s="1"/>
  <c r="P2563" i="1"/>
  <c r="P2564" i="1"/>
  <c r="P2565" i="1"/>
  <c r="P2566" i="1"/>
  <c r="P2567" i="1"/>
  <c r="P2561" i="1"/>
  <c r="N2561" i="1" s="1"/>
  <c r="P2553" i="1"/>
  <c r="N2553" i="1" s="1"/>
  <c r="P2549" i="1"/>
  <c r="P2550" i="1"/>
  <c r="P2551" i="1"/>
  <c r="P2552" i="1"/>
  <c r="P2548" i="1"/>
  <c r="P2547" i="1"/>
  <c r="N2547" i="1" s="1"/>
  <c r="F2032" i="1" l="1"/>
  <c r="G2032" i="1"/>
  <c r="F2019" i="1"/>
  <c r="G2019" i="1"/>
  <c r="F2445" i="1"/>
  <c r="F2446" i="1"/>
  <c r="F2447" i="1"/>
  <c r="F2448" i="1"/>
  <c r="F2449" i="1"/>
  <c r="F2444" i="1"/>
  <c r="F2443" i="1"/>
  <c r="F2442" i="1"/>
  <c r="F2440" i="1"/>
  <c r="F2441" i="1"/>
  <c r="F2439" i="1"/>
  <c r="G2438" i="1"/>
  <c r="F2438" i="1"/>
  <c r="G2437" i="1"/>
  <c r="F2437" i="1"/>
  <c r="G2436" i="1"/>
  <c r="F2436" i="1"/>
  <c r="G2435" i="1"/>
  <c r="F2435" i="1"/>
  <c r="G2434" i="1"/>
  <c r="F2434" i="1"/>
  <c r="G2433" i="1"/>
  <c r="F2433" i="1"/>
  <c r="G2432" i="1"/>
  <c r="F2432" i="1"/>
  <c r="G2431" i="1"/>
  <c r="F2431" i="1"/>
  <c r="G2430" i="1"/>
  <c r="F2430" i="1"/>
  <c r="F2428" i="1"/>
  <c r="G2428" i="1"/>
  <c r="F2429" i="1"/>
  <c r="G2429" i="1"/>
  <c r="F2425" i="1"/>
  <c r="G2425" i="1"/>
  <c r="F2426" i="1"/>
  <c r="G2426" i="1"/>
  <c r="F2423" i="1"/>
  <c r="G2423" i="1"/>
  <c r="F2424" i="1"/>
  <c r="G2424" i="1"/>
  <c r="F2427" i="1"/>
  <c r="G2427" i="1"/>
  <c r="F2422" i="1"/>
  <c r="G2422" i="1"/>
  <c r="F2421" i="1"/>
  <c r="G2421" i="1"/>
  <c r="P2410" i="1"/>
  <c r="N2410" i="1" s="1"/>
  <c r="P2409" i="1"/>
  <c r="N2409" i="1" s="1"/>
  <c r="P2407" i="1"/>
  <c r="P2408" i="1"/>
  <c r="P2406" i="1"/>
  <c r="N2406" i="1" s="1"/>
  <c r="P2400" i="1"/>
  <c r="N2400" i="1" s="1"/>
  <c r="P2399" i="1"/>
  <c r="N2399" i="1" s="1"/>
  <c r="P2397" i="1"/>
  <c r="P2398" i="1"/>
  <c r="P2396" i="1"/>
  <c r="N2396" i="1" s="1"/>
  <c r="F2388" i="1" l="1"/>
  <c r="F2389" i="1"/>
  <c r="F2390" i="1"/>
  <c r="F2387" i="1"/>
  <c r="F2386" i="1"/>
  <c r="F2385" i="1"/>
  <c r="G2385" i="1"/>
  <c r="G2384" i="1"/>
  <c r="F2384" i="1"/>
  <c r="G2383" i="1"/>
  <c r="F2383" i="1"/>
  <c r="G2382" i="1"/>
  <c r="F2382" i="1"/>
  <c r="G2381" i="1"/>
  <c r="F2381" i="1"/>
  <c r="G2380" i="1"/>
  <c r="F2380" i="1"/>
  <c r="G2379" i="1"/>
  <c r="F2379" i="1"/>
  <c r="G2378" i="1"/>
  <c r="F2378" i="1"/>
  <c r="G2377" i="1"/>
  <c r="F2377" i="1"/>
  <c r="F2376" i="1"/>
  <c r="G2376" i="1"/>
  <c r="F2372" i="1"/>
  <c r="G2372" i="1"/>
  <c r="F2373" i="1"/>
  <c r="G2373" i="1"/>
  <c r="F2374" i="1"/>
  <c r="G2374" i="1"/>
  <c r="F2375" i="1"/>
  <c r="G2375" i="1"/>
  <c r="F2371" i="1"/>
  <c r="G2371" i="1"/>
  <c r="F2370" i="1"/>
  <c r="G2370" i="1"/>
  <c r="F2369" i="1"/>
  <c r="G2369" i="1"/>
  <c r="F2368" i="1"/>
  <c r="G2368" i="1"/>
  <c r="U2362" i="1"/>
  <c r="U2363" i="1"/>
  <c r="U2361" i="1"/>
  <c r="U2354" i="1"/>
  <c r="U2355" i="1"/>
  <c r="U2353" i="1"/>
  <c r="G2360" i="1"/>
  <c r="F2360" i="1"/>
  <c r="G2367" i="1"/>
  <c r="F2367" i="1"/>
  <c r="G2366" i="1"/>
  <c r="F2366" i="1"/>
  <c r="G2365" i="1"/>
  <c r="F2365" i="1"/>
  <c r="G2364" i="1"/>
  <c r="F2364" i="1"/>
  <c r="G2363" i="1"/>
  <c r="F2363" i="1"/>
  <c r="G2362" i="1"/>
  <c r="F2362" i="1"/>
  <c r="G2361" i="1"/>
  <c r="F2361" i="1"/>
  <c r="F2358" i="1"/>
  <c r="G2358" i="1"/>
  <c r="F2359" i="1"/>
  <c r="G2359" i="1"/>
  <c r="F2357" i="1"/>
  <c r="G2357" i="1"/>
  <c r="F2356" i="1"/>
  <c r="G2356" i="1"/>
  <c r="F2355" i="1"/>
  <c r="G2355" i="1"/>
  <c r="F2354" i="1"/>
  <c r="G2354" i="1"/>
  <c r="F2353" i="1"/>
  <c r="G2353" i="1"/>
  <c r="F2352" i="1"/>
  <c r="G2352" i="1"/>
  <c r="F2335" i="1"/>
  <c r="G2335" i="1"/>
  <c r="F2351" i="1"/>
  <c r="G2351" i="1"/>
  <c r="F2346" i="1"/>
  <c r="G2346" i="1"/>
  <c r="F2350" i="1"/>
  <c r="G2350" i="1"/>
  <c r="F2349" i="1"/>
  <c r="G2349" i="1"/>
  <c r="F2348" i="1"/>
  <c r="G2348" i="1"/>
  <c r="F2347" i="1"/>
  <c r="G2347" i="1"/>
  <c r="F2345" i="1"/>
  <c r="G2345" i="1"/>
  <c r="U2344" i="1"/>
  <c r="F2344" i="1"/>
  <c r="G2344" i="1"/>
  <c r="U2343" i="1"/>
  <c r="F2343" i="1"/>
  <c r="G2343" i="1"/>
  <c r="U2342" i="1"/>
  <c r="F2342" i="1"/>
  <c r="G2342" i="1"/>
  <c r="U2341" i="1"/>
  <c r="F2341" i="1"/>
  <c r="G2341" i="1"/>
  <c r="F2340" i="1"/>
  <c r="G2340" i="1"/>
  <c r="F2336" i="1" l="1"/>
  <c r="G2336" i="1"/>
  <c r="F2337" i="1"/>
  <c r="G2337" i="1"/>
  <c r="F2338" i="1"/>
  <c r="G2338" i="1"/>
  <c r="F2339" i="1"/>
  <c r="G2339" i="1"/>
  <c r="F2334" i="1"/>
  <c r="G2334" i="1"/>
  <c r="F2331" i="1"/>
  <c r="G2331" i="1"/>
  <c r="F2332" i="1"/>
  <c r="G2332" i="1"/>
  <c r="F2333" i="1"/>
  <c r="G2333" i="1"/>
  <c r="F2330" i="1"/>
  <c r="G2330" i="1"/>
  <c r="F2329" i="1"/>
  <c r="G2329" i="1"/>
  <c r="G2328" i="1"/>
  <c r="F2328" i="1"/>
  <c r="G2327" i="1"/>
  <c r="F2327" i="1"/>
  <c r="G2326" i="1"/>
  <c r="F2326" i="1"/>
  <c r="G2325" i="1"/>
  <c r="F2325" i="1"/>
  <c r="G2324" i="1"/>
  <c r="F2324" i="1"/>
  <c r="G2323" i="1"/>
  <c r="F2323" i="1"/>
  <c r="G2322" i="1"/>
  <c r="F2322" i="1"/>
  <c r="G2321" i="1"/>
  <c r="F2321" i="1"/>
  <c r="F2317" i="1"/>
  <c r="G2317" i="1"/>
  <c r="F2318" i="1"/>
  <c r="G2318" i="1"/>
  <c r="F2319" i="1"/>
  <c r="G2319" i="1"/>
  <c r="F2320" i="1"/>
  <c r="G2320" i="1"/>
  <c r="F2314" i="1"/>
  <c r="G2314" i="1"/>
  <c r="F2315" i="1"/>
  <c r="G2315" i="1"/>
  <c r="F2316" i="1"/>
  <c r="G2316" i="1"/>
  <c r="G2313" i="1"/>
  <c r="F2313" i="1"/>
  <c r="G2312" i="1"/>
  <c r="F2312" i="1"/>
  <c r="G2311" i="1"/>
  <c r="F2311" i="1"/>
  <c r="G2310" i="1"/>
  <c r="F2310" i="1"/>
  <c r="G2309" i="1"/>
  <c r="F2309" i="1"/>
  <c r="G2308" i="1"/>
  <c r="F2308" i="1"/>
  <c r="G2307" i="1"/>
  <c r="F2307" i="1"/>
  <c r="G2306" i="1"/>
  <c r="F2306" i="1"/>
  <c r="G2305" i="1"/>
  <c r="F2305" i="1"/>
  <c r="G2304" i="1"/>
  <c r="F2304" i="1"/>
  <c r="G2303" i="1"/>
  <c r="F2303" i="1"/>
  <c r="G2302" i="1"/>
  <c r="F2302" i="1"/>
  <c r="G2301" i="1"/>
  <c r="F2301" i="1"/>
  <c r="G2300" i="1"/>
  <c r="F2300" i="1"/>
  <c r="F2299" i="1"/>
  <c r="G2299" i="1"/>
  <c r="F2298" i="1"/>
  <c r="G2298" i="1"/>
  <c r="F2297" i="1"/>
  <c r="G2297" i="1"/>
  <c r="F2294" i="1"/>
  <c r="G2294" i="1"/>
  <c r="F2295" i="1"/>
  <c r="G2295" i="1"/>
  <c r="F2296" i="1"/>
  <c r="G2296" i="1"/>
  <c r="G2293" i="1"/>
  <c r="F2293" i="1"/>
  <c r="F2292" i="1"/>
  <c r="G2292" i="1"/>
  <c r="F2289" i="1"/>
  <c r="G2289" i="1"/>
  <c r="F2290" i="1"/>
  <c r="G2290" i="1"/>
  <c r="F2291" i="1"/>
  <c r="G2291" i="1"/>
  <c r="F2288" i="1"/>
  <c r="G2288" i="1"/>
  <c r="F2287" i="1"/>
  <c r="G2287" i="1"/>
  <c r="G2286" i="1" l="1"/>
  <c r="F2286" i="1"/>
  <c r="G2285" i="1"/>
  <c r="F2285" i="1"/>
  <c r="G2284" i="1"/>
  <c r="F2284" i="1"/>
  <c r="G2283" i="1"/>
  <c r="F2283" i="1"/>
  <c r="G2282" i="1"/>
  <c r="F2282" i="1"/>
  <c r="G2281" i="1"/>
  <c r="F2281" i="1"/>
  <c r="G2280" i="1"/>
  <c r="F2280" i="1"/>
  <c r="F2279" i="1"/>
  <c r="G2279" i="1"/>
  <c r="F2278" i="1"/>
  <c r="G2278" i="1"/>
  <c r="F2276" i="1"/>
  <c r="G2276" i="1"/>
  <c r="F2277" i="1"/>
  <c r="G2277" i="1"/>
  <c r="F2275" i="1"/>
  <c r="G2275" i="1"/>
  <c r="F2274" i="1"/>
  <c r="G2274" i="1"/>
  <c r="F2273" i="1"/>
  <c r="G2273" i="1"/>
  <c r="G2271" i="1"/>
  <c r="F2271" i="1"/>
  <c r="G2270" i="1"/>
  <c r="F2270" i="1"/>
  <c r="G2269" i="1"/>
  <c r="F2269" i="1"/>
  <c r="G2268" i="1"/>
  <c r="F2268" i="1"/>
  <c r="G2266" i="1"/>
  <c r="F2266" i="1"/>
  <c r="G2265" i="1"/>
  <c r="F2265" i="1"/>
  <c r="G2264" i="1"/>
  <c r="F2264" i="1"/>
  <c r="G2263" i="1"/>
  <c r="F2263" i="1"/>
  <c r="F2259" i="1"/>
  <c r="G2259" i="1"/>
  <c r="F2260" i="1"/>
  <c r="G2260" i="1"/>
  <c r="F2261" i="1"/>
  <c r="G2261" i="1"/>
  <c r="F2255" i="1"/>
  <c r="G2255" i="1"/>
  <c r="F2256" i="1"/>
  <c r="G2256" i="1"/>
  <c r="F2258" i="1"/>
  <c r="G2258" i="1"/>
  <c r="F2254" i="1"/>
  <c r="G2254" i="1"/>
  <c r="F2253" i="1"/>
  <c r="G225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8" i="1"/>
  <c r="G669" i="1"/>
  <c r="G670" i="1"/>
  <c r="G671" i="1"/>
  <c r="G672" i="1"/>
  <c r="G673" i="1"/>
  <c r="G675" i="1"/>
  <c r="G676" i="1"/>
  <c r="G677" i="1"/>
  <c r="G67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6" i="1"/>
  <c r="G787" i="1"/>
  <c r="G788" i="1"/>
  <c r="G789" i="1"/>
  <c r="G790"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9" i="1"/>
  <c r="G960" i="1"/>
  <c r="G961" i="1"/>
  <c r="G962" i="1"/>
  <c r="G963" i="1"/>
  <c r="G964" i="1"/>
  <c r="G965" i="1"/>
  <c r="G966" i="1"/>
  <c r="G967" i="1"/>
  <c r="G968" i="1"/>
  <c r="G969" i="1"/>
  <c r="G970" i="1"/>
  <c r="G971" i="1"/>
  <c r="G973" i="1"/>
  <c r="G974" i="1"/>
  <c r="G975" i="1"/>
  <c r="G976" i="1"/>
  <c r="G977" i="1"/>
  <c r="G978" i="1"/>
  <c r="G979" i="1"/>
  <c r="G980" i="1"/>
  <c r="G981" i="1"/>
  <c r="G982" i="1"/>
  <c r="G983" i="1"/>
  <c r="G984" i="1"/>
  <c r="G985" i="1"/>
  <c r="G986" i="1"/>
  <c r="G987" i="1"/>
  <c r="G988" i="1"/>
  <c r="G989" i="1"/>
  <c r="G990" i="1"/>
  <c r="G991" i="1"/>
  <c r="G992" i="1"/>
  <c r="G993"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3" i="1"/>
  <c r="G1024" i="1"/>
  <c r="G1025" i="1"/>
  <c r="G1026" i="1"/>
  <c r="G1027" i="1"/>
  <c r="G1028" i="1"/>
  <c r="G1030" i="1"/>
  <c r="G1031" i="1"/>
  <c r="G1032" i="1"/>
  <c r="G1033" i="1"/>
  <c r="G1035" i="1"/>
  <c r="G1036" i="1"/>
  <c r="G1037" i="1"/>
  <c r="G1038" i="1"/>
  <c r="G1039" i="1"/>
  <c r="G1040"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70" i="1"/>
  <c r="G1071" i="1"/>
  <c r="G1072" i="1"/>
  <c r="G1073" i="1"/>
  <c r="G1074" i="1"/>
  <c r="G1075" i="1"/>
  <c r="G1076" i="1"/>
  <c r="G1077"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4" i="1"/>
  <c r="G1165" i="1"/>
  <c r="G1166" i="1"/>
  <c r="G1167" i="1"/>
  <c r="G1168" i="1"/>
  <c r="G1169" i="1"/>
  <c r="G1170" i="1"/>
  <c r="G1171" i="1"/>
  <c r="G1172" i="1"/>
  <c r="G1173" i="1"/>
  <c r="G1174" i="1"/>
  <c r="G1175" i="1"/>
  <c r="G1176"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2" i="1"/>
  <c r="G1423" i="1"/>
  <c r="G1424" i="1"/>
  <c r="G1425" i="1"/>
  <c r="G1426" i="1"/>
  <c r="G1427"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9" i="1"/>
  <c r="G1510" i="1"/>
  <c r="G1511" i="1"/>
  <c r="G1512" i="1"/>
  <c r="G1513" i="1"/>
  <c r="G1514" i="1"/>
  <c r="G1515" i="1"/>
  <c r="G1516" i="1"/>
  <c r="G1517" i="1"/>
  <c r="G1518" i="1"/>
  <c r="G1519" i="1"/>
  <c r="G1520" i="1"/>
  <c r="G1522"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10" i="1"/>
  <c r="G1611" i="1"/>
  <c r="G1612" i="1"/>
  <c r="G1613" i="1"/>
  <c r="G1614" i="1"/>
  <c r="G1615" i="1"/>
  <c r="G1616" i="1"/>
  <c r="G1617" i="1"/>
  <c r="G1618" i="1"/>
  <c r="G1619" i="1"/>
  <c r="G1621" i="1"/>
  <c r="G1622" i="1"/>
  <c r="G1623" i="1"/>
  <c r="G1624" i="1"/>
  <c r="G1626" i="1"/>
  <c r="G1627" i="1"/>
  <c r="G1628" i="1"/>
  <c r="G1629" i="1"/>
  <c r="G1630" i="1"/>
  <c r="G1631" i="1"/>
  <c r="G1632" i="1"/>
  <c r="G1633" i="1"/>
  <c r="G1634" i="1"/>
  <c r="G1635" i="1"/>
  <c r="G1636" i="1"/>
  <c r="G1637" i="1"/>
  <c r="G1638" i="1"/>
  <c r="G1639" i="1"/>
  <c r="G1640" i="1"/>
  <c r="G1664" i="1"/>
  <c r="G1665" i="1"/>
  <c r="G1666" i="1"/>
  <c r="G1667" i="1"/>
  <c r="G1668" i="1"/>
  <c r="G1669" i="1"/>
  <c r="G1670" i="1"/>
  <c r="G1671" i="1"/>
  <c r="G1672" i="1"/>
  <c r="G1673" i="1"/>
  <c r="G1674" i="1"/>
  <c r="G1675" i="1"/>
  <c r="G1676" i="1"/>
  <c r="G1677" i="1"/>
  <c r="G1678" i="1"/>
  <c r="G1679" i="1"/>
  <c r="G1680" i="1"/>
  <c r="G1681" i="1"/>
  <c r="G168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6" i="1"/>
  <c r="G1867" i="1"/>
  <c r="G1868" i="1"/>
  <c r="G1869" i="1"/>
  <c r="G1870" i="1"/>
  <c r="G1871"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5" i="1"/>
  <c r="G1906" i="1"/>
  <c r="G1907" i="1"/>
  <c r="G1908" i="1"/>
  <c r="G1909" i="1"/>
  <c r="G1910" i="1"/>
  <c r="G1911" i="1"/>
  <c r="G1912" i="1"/>
  <c r="G1913" i="1"/>
  <c r="G1914" i="1"/>
  <c r="G1915" i="1"/>
  <c r="G1916" i="1"/>
  <c r="G1917" i="1"/>
  <c r="G1918" i="1"/>
  <c r="G1919" i="1"/>
  <c r="G1920" i="1"/>
  <c r="G1921"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6" i="1"/>
  <c r="G1967" i="1"/>
  <c r="G1968" i="1"/>
  <c r="G1969" i="1"/>
  <c r="G1970" i="1"/>
  <c r="G1971" i="1"/>
  <c r="G1972" i="1"/>
  <c r="G1973" i="1"/>
  <c r="G1975" i="1"/>
  <c r="G1976" i="1"/>
  <c r="G1977" i="1"/>
  <c r="G1978" i="1"/>
  <c r="G1979" i="1"/>
  <c r="G1980" i="1"/>
  <c r="G1981" i="1"/>
  <c r="G1983" i="1"/>
  <c r="G1984" i="1"/>
  <c r="G1985" i="1"/>
  <c r="G1986" i="1"/>
  <c r="G1987" i="1"/>
  <c r="G1988" i="1"/>
  <c r="G1989" i="1"/>
  <c r="G1990"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20" i="1"/>
  <c r="G2021" i="1"/>
  <c r="G2022" i="1"/>
  <c r="G2023" i="1"/>
  <c r="G2024" i="1"/>
  <c r="G2025" i="1"/>
  <c r="G2026" i="1"/>
  <c r="G2027" i="1"/>
  <c r="G2028" i="1"/>
  <c r="G2029" i="1"/>
  <c r="G2030" i="1"/>
  <c r="G2031"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7" i="1"/>
  <c r="G2070" i="1"/>
  <c r="G2071" i="1"/>
  <c r="G2072" i="1"/>
  <c r="G2073" i="1"/>
  <c r="G2074" i="1"/>
  <c r="G2075"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3" i="1"/>
  <c r="G2114" i="1"/>
  <c r="G2115"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8" i="1"/>
  <c r="F669" i="1"/>
  <c r="F670" i="1"/>
  <c r="F671" i="1"/>
  <c r="F672" i="1"/>
  <c r="F673"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6" i="1"/>
  <c r="F787" i="1"/>
  <c r="F788" i="1"/>
  <c r="F789" i="1"/>
  <c r="F790"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90" i="1"/>
  <c r="F891" i="1"/>
  <c r="F892" i="1"/>
  <c r="F893" i="1"/>
  <c r="F894" i="1"/>
  <c r="F895" i="1"/>
  <c r="F896" i="1"/>
  <c r="F897" i="1"/>
  <c r="F898" i="1"/>
  <c r="F899" i="1"/>
  <c r="F900"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9" i="1"/>
  <c r="F960" i="1"/>
  <c r="F961" i="1"/>
  <c r="F962" i="1"/>
  <c r="F963" i="1"/>
  <c r="F964" i="1"/>
  <c r="F965" i="1"/>
  <c r="F966" i="1"/>
  <c r="F967" i="1"/>
  <c r="F968" i="1"/>
  <c r="F969" i="1"/>
  <c r="F970" i="1"/>
  <c r="F971" i="1"/>
  <c r="F973" i="1"/>
  <c r="F974" i="1"/>
  <c r="F975" i="1"/>
  <c r="F976" i="1"/>
  <c r="F977" i="1"/>
  <c r="F978" i="1"/>
  <c r="F979" i="1"/>
  <c r="F980" i="1"/>
  <c r="F981" i="1"/>
  <c r="F982" i="1"/>
  <c r="F983" i="1"/>
  <c r="F984" i="1"/>
  <c r="F985" i="1"/>
  <c r="F986" i="1"/>
  <c r="F987" i="1"/>
  <c r="F988" i="1"/>
  <c r="F989" i="1"/>
  <c r="F990" i="1"/>
  <c r="F991" i="1"/>
  <c r="F992" i="1"/>
  <c r="F993"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3" i="1"/>
  <c r="F1024" i="1"/>
  <c r="F1025" i="1"/>
  <c r="F1026" i="1"/>
  <c r="F1027" i="1"/>
  <c r="F1028" i="1"/>
  <c r="F1030" i="1"/>
  <c r="F1031" i="1"/>
  <c r="F1032" i="1"/>
  <c r="F1033" i="1"/>
  <c r="F1035" i="1"/>
  <c r="F1036" i="1"/>
  <c r="F1037" i="1"/>
  <c r="F1038" i="1"/>
  <c r="F1039" i="1"/>
  <c r="F1040"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70" i="1"/>
  <c r="F1071" i="1"/>
  <c r="F1072" i="1"/>
  <c r="F1073" i="1"/>
  <c r="F1074" i="1"/>
  <c r="F1075" i="1"/>
  <c r="F1076" i="1"/>
  <c r="F1077"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4" i="1"/>
  <c r="F1165" i="1"/>
  <c r="F1166" i="1"/>
  <c r="F1167" i="1"/>
  <c r="F1168" i="1"/>
  <c r="F1169" i="1"/>
  <c r="F1170" i="1"/>
  <c r="F1171" i="1"/>
  <c r="F1172" i="1"/>
  <c r="F1173" i="1"/>
  <c r="F1174" i="1"/>
  <c r="F1175" i="1"/>
  <c r="F1176"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8" i="1"/>
  <c r="F1319" i="1"/>
  <c r="F1320" i="1"/>
  <c r="F1321" i="1"/>
  <c r="F1322" i="1"/>
  <c r="F1323" i="1"/>
  <c r="F1324" i="1"/>
  <c r="F1325" i="1"/>
  <c r="F1326" i="1"/>
  <c r="F1327" i="1"/>
  <c r="F1328"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2" i="1"/>
  <c r="F1423" i="1"/>
  <c r="F1424" i="1"/>
  <c r="F1425" i="1"/>
  <c r="F1426" i="1"/>
  <c r="F1427"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9" i="1"/>
  <c r="F1510" i="1"/>
  <c r="F1511" i="1"/>
  <c r="F1512" i="1"/>
  <c r="F1513" i="1"/>
  <c r="F1514" i="1"/>
  <c r="F1515" i="1"/>
  <c r="F1516" i="1"/>
  <c r="F1517" i="1"/>
  <c r="F1518" i="1"/>
  <c r="F1519" i="1"/>
  <c r="F1520" i="1"/>
  <c r="F1522"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10" i="1"/>
  <c r="F1611" i="1"/>
  <c r="F1612" i="1"/>
  <c r="F1613" i="1"/>
  <c r="F1614" i="1"/>
  <c r="F1615" i="1"/>
  <c r="F1616" i="1"/>
  <c r="F1617" i="1"/>
  <c r="F1618" i="1"/>
  <c r="F1619" i="1"/>
  <c r="F1621" i="1"/>
  <c r="F1622" i="1"/>
  <c r="F1623" i="1"/>
  <c r="F1624"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6" i="1"/>
  <c r="F1867" i="1"/>
  <c r="F1868" i="1"/>
  <c r="F1869" i="1"/>
  <c r="F1870" i="1"/>
  <c r="F1871"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9" i="1"/>
  <c r="F1930" i="1"/>
  <c r="F1931" i="1"/>
  <c r="F1932" i="1"/>
  <c r="F1933" i="1"/>
  <c r="F1934" i="1"/>
  <c r="F1935" i="1"/>
  <c r="F1936"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6" i="1"/>
  <c r="F1967" i="1"/>
  <c r="F1968" i="1"/>
  <c r="F1969" i="1"/>
  <c r="F1970" i="1"/>
  <c r="F1971" i="1"/>
  <c r="F1972" i="1"/>
  <c r="F1973" i="1"/>
  <c r="F1975" i="1"/>
  <c r="F1976" i="1"/>
  <c r="F1977" i="1"/>
  <c r="F1978" i="1"/>
  <c r="F1979" i="1"/>
  <c r="F1980" i="1"/>
  <c r="F1981" i="1"/>
  <c r="F1983" i="1"/>
  <c r="F1984" i="1"/>
  <c r="F1985" i="1"/>
  <c r="F1986" i="1"/>
  <c r="F1987" i="1"/>
  <c r="F1988" i="1"/>
  <c r="F1989" i="1"/>
  <c r="F1990"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20" i="1"/>
  <c r="F2021" i="1"/>
  <c r="F2022" i="1"/>
  <c r="F2023" i="1"/>
  <c r="F2024" i="1"/>
  <c r="F2025" i="1"/>
  <c r="F2026" i="1"/>
  <c r="F2027" i="1"/>
  <c r="F2028" i="1"/>
  <c r="F2029" i="1"/>
  <c r="F2030" i="1"/>
  <c r="F2031"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7" i="1"/>
  <c r="F2070" i="1"/>
  <c r="F2071" i="1"/>
  <c r="F2072" i="1"/>
  <c r="F2073" i="1"/>
  <c r="F2074" i="1"/>
  <c r="F2075"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U2155" i="1"/>
  <c r="U2156" i="1"/>
  <c r="U2154" i="1"/>
  <c r="U2143" i="1"/>
  <c r="U2144" i="1"/>
  <c r="U2142" i="1"/>
  <c r="P2113" i="1" l="1"/>
  <c r="N2113" i="1" s="1"/>
  <c r="P2114" i="1"/>
  <c r="P2115" i="1"/>
  <c r="P2111" i="1"/>
  <c r="N2111" i="1" s="1"/>
  <c r="P2103" i="1"/>
  <c r="P2101" i="1"/>
  <c r="N2101" i="1" s="1"/>
  <c r="P2102" i="1"/>
  <c r="P2100" i="1"/>
  <c r="P2099" i="1"/>
  <c r="N2099" i="1" s="1"/>
  <c r="P2091" i="1"/>
  <c r="N2091" i="1" s="1"/>
  <c r="P2090" i="1"/>
  <c r="P2089" i="1"/>
  <c r="N2089" i="1" s="1"/>
  <c r="P2085" i="1"/>
  <c r="N2085" i="1" s="1"/>
  <c r="P2084" i="1"/>
  <c r="P2083" i="1"/>
  <c r="N2083" i="1" s="1"/>
  <c r="P2037" i="1" l="1"/>
  <c r="N2037" i="1" s="1"/>
  <c r="P2034" i="1"/>
  <c r="P2035" i="1"/>
  <c r="P2036" i="1"/>
  <c r="P2033" i="1"/>
  <c r="N2033" i="1" s="1"/>
  <c r="P2024" i="1"/>
  <c r="N2024" i="1" s="1"/>
  <c r="P2023" i="1"/>
  <c r="P2021" i="1"/>
  <c r="P2022" i="1"/>
  <c r="P2020" i="1"/>
  <c r="N2020" i="1" s="1"/>
  <c r="P2011" i="1"/>
  <c r="N2011" i="1" s="1"/>
  <c r="P2008" i="1"/>
  <c r="P2009" i="1"/>
  <c r="P2010" i="1"/>
  <c r="P2007" i="1"/>
  <c r="N2007" i="1" s="1"/>
  <c r="P2001" i="1"/>
  <c r="P2002" i="1"/>
  <c r="N2002" i="1" s="1"/>
  <c r="P1999" i="1"/>
  <c r="P2000" i="1"/>
  <c r="P1998" i="1"/>
  <c r="N1998" i="1" s="1"/>
  <c r="P1957" i="1"/>
  <c r="N1957" i="1" s="1"/>
  <c r="P1956" i="1"/>
  <c r="N1956" i="1" s="1"/>
  <c r="P1954" i="1"/>
  <c r="P1955" i="1"/>
  <c r="P1953" i="1"/>
  <c r="N1953" i="1" s="1"/>
  <c r="P1948" i="1"/>
  <c r="N1948" i="1" s="1"/>
  <c r="P1947" i="1"/>
  <c r="N1947" i="1" s="1"/>
  <c r="P1946" i="1"/>
  <c r="P1945" i="1"/>
  <c r="P1944" i="1"/>
  <c r="N1944" i="1" s="1"/>
  <c r="P1903" i="1" l="1"/>
  <c r="N1903" i="1" s="1"/>
  <c r="P1901" i="1"/>
  <c r="P1902" i="1"/>
  <c r="P1900" i="1"/>
  <c r="N1900" i="1" s="1"/>
  <c r="P1889" i="1"/>
  <c r="N1889" i="1" s="1"/>
  <c r="P1887" i="1"/>
  <c r="P1888" i="1"/>
  <c r="P1886" i="1"/>
  <c r="N1886" i="1" s="1"/>
  <c r="P1099" i="1"/>
  <c r="P1805" i="1"/>
  <c r="N1805" i="1" s="1"/>
  <c r="P1804" i="1"/>
  <c r="N1804" i="1" s="1"/>
  <c r="P1800" i="1"/>
  <c r="N1800" i="1" s="1"/>
  <c r="P1799" i="1"/>
  <c r="N1799" i="1" s="1"/>
  <c r="P1753" i="1"/>
  <c r="N1753" i="1" s="1"/>
  <c r="P1752" i="1"/>
  <c r="N1752" i="1" s="1"/>
  <c r="P1741" i="1"/>
  <c r="N1741" i="1" s="1"/>
  <c r="P1740" i="1"/>
  <c r="P1739" i="1"/>
  <c r="P1738" i="1"/>
  <c r="P1737" i="1"/>
  <c r="N1737" i="1" s="1"/>
  <c r="N1730" i="1"/>
  <c r="N1729" i="1"/>
  <c r="N1716" i="1"/>
  <c r="N1715" i="1"/>
  <c r="P1692" i="1" l="1"/>
  <c r="N1692" i="1" s="1"/>
  <c r="P1691" i="1"/>
  <c r="N1691" i="1" s="1"/>
  <c r="P1690" i="1"/>
  <c r="P1689" i="1"/>
  <c r="N1689" i="1" s="1"/>
  <c r="N1663" i="1" l="1"/>
  <c r="N1662" i="1"/>
  <c r="N1661" i="1"/>
  <c r="U1659" i="1"/>
  <c r="U1658" i="1"/>
  <c r="U1657" i="1"/>
  <c r="U1656" i="1"/>
  <c r="U1655" i="1"/>
  <c r="U1654" i="1"/>
  <c r="U1653" i="1"/>
  <c r="P1651" i="1"/>
  <c r="N1651" i="1" s="1"/>
  <c r="P1650" i="1"/>
  <c r="N1650" i="1" s="1"/>
  <c r="U1645" i="1"/>
  <c r="U1646" i="1"/>
  <c r="U1647" i="1"/>
  <c r="U1648" i="1"/>
  <c r="U1644" i="1"/>
  <c r="U1643" i="1"/>
  <c r="U1642" i="1"/>
  <c r="U1496" i="1" l="1"/>
  <c r="U1495" i="1"/>
  <c r="U1488" i="1"/>
  <c r="U1487" i="1"/>
  <c r="U1480" i="1"/>
  <c r="U1479" i="1"/>
  <c r="U1466" i="1"/>
  <c r="U1465" i="1"/>
  <c r="P1457" i="1"/>
  <c r="N1457" i="1" s="1"/>
  <c r="P1456" i="1"/>
  <c r="N1456" i="1" s="1"/>
  <c r="P1453" i="1"/>
  <c r="P1454" i="1"/>
  <c r="P1455" i="1"/>
  <c r="P1452" i="1"/>
  <c r="N1452" i="1" s="1"/>
  <c r="P1444" i="1"/>
  <c r="N1444" i="1" s="1"/>
  <c r="P1443" i="1"/>
  <c r="N1443" i="1" s="1"/>
  <c r="P1442" i="1"/>
  <c r="P1441" i="1"/>
  <c r="P1440" i="1"/>
  <c r="P1439" i="1"/>
  <c r="N1439" i="1" s="1"/>
  <c r="P1411" i="1"/>
  <c r="P1412" i="1"/>
  <c r="N1412" i="1" s="1"/>
  <c r="P1410" i="1"/>
  <c r="N1410" i="1" s="1"/>
  <c r="P1381" i="1" l="1"/>
  <c r="P1382" i="1"/>
  <c r="N1382" i="1" s="1"/>
  <c r="P1383" i="1"/>
  <c r="N1383" i="1" s="1"/>
  <c r="P1380" i="1"/>
  <c r="N1380" i="1" s="1"/>
  <c r="P1375" i="1"/>
  <c r="N1375" i="1" s="1"/>
  <c r="P1374" i="1"/>
  <c r="N1374" i="1" s="1"/>
  <c r="P1373" i="1"/>
  <c r="P1372" i="1"/>
  <c r="N1372" i="1" s="1"/>
  <c r="P1367" i="1" l="1"/>
  <c r="N1367" i="1" s="1"/>
  <c r="P1366" i="1"/>
  <c r="N1366" i="1" s="1"/>
  <c r="P1356" i="1"/>
  <c r="N1356" i="1" s="1"/>
  <c r="P1355" i="1"/>
  <c r="N1355" i="1" s="1"/>
  <c r="P1353" i="1"/>
  <c r="P1354" i="1"/>
  <c r="P1352" i="1"/>
  <c r="P1351" i="1"/>
  <c r="N1351" i="1" s="1"/>
  <c r="P1223" i="1"/>
  <c r="N1223" i="1" s="1"/>
  <c r="P1220" i="1"/>
  <c r="P1221" i="1"/>
  <c r="P1222" i="1"/>
  <c r="P1219" i="1"/>
  <c r="N1219" i="1" s="1"/>
  <c r="U1215" i="1"/>
  <c r="U1214" i="1"/>
  <c r="U1213" i="1"/>
  <c r="U1212" i="1"/>
  <c r="U1211" i="1"/>
  <c r="P1209" i="1"/>
  <c r="N1209" i="1" s="1"/>
  <c r="P1208" i="1"/>
  <c r="P1206" i="1"/>
  <c r="P1207" i="1"/>
  <c r="P1205" i="1"/>
  <c r="N1205" i="1" s="1"/>
  <c r="U1201" i="1"/>
  <c r="U1200" i="1"/>
  <c r="U1199" i="1"/>
  <c r="U1198" i="1"/>
  <c r="U1197" i="1"/>
  <c r="P1195" i="1"/>
  <c r="N1195" i="1" s="1"/>
  <c r="P1194" i="1"/>
  <c r="P1193" i="1"/>
  <c r="N1193" i="1" s="1"/>
  <c r="P1171" i="1"/>
  <c r="N1171" i="1" s="1"/>
  <c r="P1170" i="1"/>
  <c r="N1170" i="1" s="1"/>
  <c r="P1169" i="1"/>
  <c r="P1168" i="1"/>
  <c r="P1167" i="1"/>
  <c r="P1166" i="1"/>
  <c r="P1165" i="1"/>
  <c r="P1164" i="1"/>
  <c r="N1164" i="1" s="1"/>
  <c r="P1116" i="1" l="1"/>
  <c r="N1116" i="1" s="1"/>
  <c r="P1115" i="1"/>
  <c r="P1114" i="1"/>
  <c r="N1114" i="1" s="1"/>
  <c r="P1108" i="1"/>
  <c r="N1108" i="1" s="1"/>
  <c r="P1107" i="1"/>
  <c r="P1106" i="1"/>
  <c r="N1106" i="1" s="1"/>
  <c r="P1089" i="1"/>
  <c r="P1100" i="1"/>
  <c r="N1100" i="1" s="1"/>
  <c r="P1097" i="1"/>
  <c r="P1098" i="1"/>
  <c r="P1096" i="1"/>
  <c r="N1096" i="1" s="1"/>
  <c r="P1090" i="1"/>
  <c r="N1090" i="1" s="1"/>
  <c r="P1088" i="1"/>
  <c r="P1087" i="1"/>
  <c r="P1086" i="1"/>
  <c r="N1086" i="1" s="1"/>
  <c r="N1071" i="1"/>
  <c r="N1066" i="1"/>
  <c r="N986" i="1" l="1"/>
  <c r="N983" i="1"/>
  <c r="P975" i="1"/>
  <c r="N975" i="1" s="1"/>
  <c r="P961" i="1"/>
  <c r="N961" i="1" s="1"/>
  <c r="P960" i="1"/>
  <c r="P959" i="1"/>
  <c r="N959" i="1" s="1"/>
  <c r="P974" i="1"/>
  <c r="P973" i="1"/>
  <c r="N973" i="1" s="1"/>
  <c r="P947" i="1"/>
  <c r="N947" i="1" s="1"/>
  <c r="P946" i="1" l="1"/>
  <c r="P945" i="1"/>
  <c r="N945" i="1" s="1"/>
  <c r="N939" i="1"/>
  <c r="N937" i="1"/>
  <c r="P920" i="1"/>
  <c r="P919" i="1"/>
  <c r="P911" i="1"/>
  <c r="P910" i="1"/>
  <c r="P921" i="1"/>
  <c r="N921" i="1" s="1"/>
  <c r="P918" i="1"/>
  <c r="P917" i="1"/>
  <c r="N917" i="1" s="1"/>
  <c r="P912" i="1"/>
  <c r="N912" i="1" s="1"/>
  <c r="P909" i="1"/>
  <c r="P908" i="1"/>
  <c r="N908" i="1" s="1"/>
  <c r="U895" i="1"/>
  <c r="U893" i="1"/>
  <c r="U892" i="1"/>
  <c r="U883" i="1"/>
  <c r="U881" i="1"/>
  <c r="U880" i="1"/>
  <c r="P854" i="1" l="1"/>
  <c r="N854" i="1" s="1"/>
  <c r="P853" i="1"/>
  <c r="N853" i="1" s="1"/>
  <c r="P850" i="1"/>
  <c r="P851" i="1"/>
  <c r="P852" i="1"/>
  <c r="P849" i="1"/>
  <c r="N849" i="1" s="1"/>
  <c r="P843" i="1"/>
  <c r="N843" i="1" s="1"/>
  <c r="P842" i="1"/>
  <c r="N842" i="1" s="1"/>
  <c r="P841" i="1"/>
  <c r="P840" i="1"/>
  <c r="P839" i="1"/>
  <c r="P838" i="1"/>
  <c r="N838" i="1" s="1"/>
  <c r="P830" i="1"/>
  <c r="P819" i="1"/>
  <c r="P832" i="1"/>
  <c r="N832" i="1" s="1"/>
  <c r="P831" i="1"/>
  <c r="N831" i="1" s="1"/>
  <c r="P829" i="1"/>
  <c r="P828" i="1"/>
  <c r="N828" i="1" s="1"/>
  <c r="P821" i="1"/>
  <c r="N821" i="1" s="1"/>
  <c r="P820" i="1"/>
  <c r="N820" i="1" s="1"/>
  <c r="P818" i="1"/>
  <c r="P817" i="1"/>
  <c r="N817" i="1" s="1"/>
  <c r="P807" i="1"/>
  <c r="N807" i="1" s="1"/>
  <c r="P805" i="1"/>
  <c r="P806" i="1"/>
  <c r="P804" i="1"/>
  <c r="N804" i="1" s="1"/>
  <c r="P799" i="1"/>
  <c r="N799" i="1" s="1"/>
  <c r="P798" i="1"/>
  <c r="P797" i="1"/>
  <c r="P796" i="1"/>
  <c r="N796" i="1" s="1"/>
  <c r="P782" i="1"/>
  <c r="N782" i="1" s="1"/>
  <c r="P780" i="1"/>
  <c r="P778" i="1"/>
  <c r="N778" i="1" s="1"/>
  <c r="P779" i="1"/>
  <c r="P781" i="1"/>
  <c r="N781" i="1" s="1"/>
  <c r="U732" i="1"/>
  <c r="U731" i="1"/>
  <c r="U730" i="1"/>
  <c r="U723" i="1"/>
  <c r="U722" i="1"/>
  <c r="U721" i="1"/>
  <c r="P607" i="1" l="1"/>
  <c r="P608" i="1" s="1"/>
  <c r="N608" i="1" s="1"/>
  <c r="P606" i="1"/>
  <c r="P605" i="1"/>
  <c r="N605" i="1" s="1"/>
  <c r="P595" i="1" l="1"/>
  <c r="P596" i="1"/>
  <c r="P597" i="1"/>
  <c r="P598" i="1"/>
  <c r="P599" i="1"/>
  <c r="N599" i="1" s="1"/>
  <c r="P594" i="1"/>
  <c r="N594" i="1" s="1"/>
  <c r="P582" i="1"/>
  <c r="N582" i="1" s="1"/>
  <c r="P581" i="1"/>
  <c r="P580" i="1"/>
  <c r="P579" i="1"/>
  <c r="P578" i="1"/>
  <c r="P577" i="1"/>
  <c r="N577" i="1" s="1"/>
  <c r="P523" i="1" l="1"/>
  <c r="N523" i="1" s="1"/>
  <c r="P522" i="1"/>
  <c r="N522" i="1" s="1"/>
  <c r="P520" i="1"/>
  <c r="P521" i="1"/>
  <c r="P519" i="1"/>
  <c r="N519" i="1" s="1"/>
  <c r="P511" i="1"/>
  <c r="N511" i="1" s="1"/>
  <c r="P510" i="1"/>
  <c r="N510" i="1" s="1"/>
  <c r="U314" i="1" l="1"/>
  <c r="U313" i="1"/>
  <c r="U312" i="1"/>
  <c r="U311" i="1"/>
  <c r="U310" i="1"/>
  <c r="U309" i="1"/>
  <c r="U302" i="1"/>
  <c r="U300" i="1"/>
  <c r="U301" i="1"/>
  <c r="U299" i="1"/>
  <c r="U298" i="1"/>
  <c r="U297" i="1"/>
  <c r="P134" i="1" l="1"/>
  <c r="P285" i="1"/>
  <c r="P284" i="1"/>
  <c r="N284" i="1" s="1"/>
  <c r="P279" i="1"/>
  <c r="N279" i="1" s="1"/>
  <c r="P277" i="1"/>
  <c r="P278" i="1"/>
  <c r="P276" i="1"/>
  <c r="N276" i="1" s="1"/>
  <c r="P265" i="1"/>
  <c r="N265" i="1" s="1"/>
  <c r="P264" i="1"/>
  <c r="P263" i="1"/>
  <c r="P262" i="1"/>
  <c r="N262" i="1" s="1"/>
  <c r="P248" i="1"/>
  <c r="N248" i="1" s="1"/>
  <c r="P247" i="1"/>
  <c r="N247" i="1" s="1"/>
  <c r="P190" i="1"/>
  <c r="N190" i="1" s="1"/>
  <c r="P187" i="1"/>
  <c r="P188" i="1"/>
  <c r="P189" i="1"/>
  <c r="P186" i="1"/>
  <c r="N186" i="1" s="1"/>
  <c r="P179" i="1"/>
  <c r="N179" i="1" s="1"/>
  <c r="P176" i="1"/>
  <c r="P177" i="1"/>
  <c r="P178" i="1"/>
  <c r="P175" i="1"/>
  <c r="N175" i="1" s="1"/>
  <c r="P140" i="1"/>
  <c r="P139" i="1"/>
  <c r="N139" i="1" s="1"/>
  <c r="P138" i="1"/>
  <c r="P137" i="1"/>
  <c r="N137" i="1" s="1"/>
  <c r="P136" i="1"/>
  <c r="N136" i="1" s="1"/>
  <c r="P127" i="1"/>
  <c r="P135" i="1"/>
  <c r="N135" i="1" s="1"/>
  <c r="P133" i="1"/>
  <c r="N133" i="1" s="1"/>
  <c r="P131" i="1"/>
  <c r="P132" i="1"/>
  <c r="P130" i="1"/>
  <c r="N130" i="1" s="1"/>
  <c r="P129" i="1"/>
  <c r="N129" i="1" s="1"/>
  <c r="P128" i="1"/>
  <c r="N128" i="1" s="1"/>
  <c r="P126" i="1"/>
  <c r="N126" i="1" s="1"/>
  <c r="P124" i="1"/>
  <c r="P125" i="1"/>
  <c r="P123" i="1"/>
  <c r="N123" i="1" s="1"/>
  <c r="P122" i="1"/>
  <c r="N12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Brennan Chess (BQXC)</author>
  </authors>
  <commentList>
    <comment ref="Q1" authorId="0" shapeId="0" xr:uid="{44F92A31-2189-4EF4-8AE5-98435701315F}">
      <text>
        <r>
          <rPr>
            <b/>
            <sz val="9"/>
            <color indexed="81"/>
            <rFont val="Tahoma"/>
            <charset val="1"/>
          </rPr>
          <t>Brennan Chess (BQXC):</t>
        </r>
        <r>
          <rPr>
            <sz val="9"/>
            <color indexed="81"/>
            <rFont val="Tahoma"/>
            <charset val="1"/>
          </rPr>
          <t xml:space="preserve">
Financial defined as an actual financial metric or a quantitative revenue driver (e.g., subscribers/users). Broad-reaching financial categories (e.g., at banks) where performance assessments are discretionary and not concretely tied to metrics are non-financial.Market share and capacity factor metrics with targets are financial. Just for metrics, not modifiers. </t>
        </r>
      </text>
    </comment>
  </commentList>
</comments>
</file>

<file path=xl/sharedStrings.xml><?xml version="1.0" encoding="utf-8"?>
<sst xmlns="http://schemas.openxmlformats.org/spreadsheetml/2006/main" count="30949" uniqueCount="1820">
  <si>
    <t>Company</t>
  </si>
  <si>
    <t>CEO/NEO</t>
  </si>
  <si>
    <t>CEO</t>
  </si>
  <si>
    <t>Base Salary</t>
  </si>
  <si>
    <t>Cash Incentive</t>
  </si>
  <si>
    <t>Metric</t>
  </si>
  <si>
    <t>Metric Weight</t>
  </si>
  <si>
    <t>Adjusted Revenue</t>
  </si>
  <si>
    <t>Adjusted Operating Income</t>
  </si>
  <si>
    <t xml:space="preserve">Product &amp; Strategy </t>
  </si>
  <si>
    <t>Customers &amp; Stakeholders</t>
  </si>
  <si>
    <t>Cloud Revenue</t>
  </si>
  <si>
    <t>Cloud Subscribers Growth</t>
  </si>
  <si>
    <t>Teams MAU Growth</t>
  </si>
  <si>
    <t>Xbox Revenue Growth</t>
  </si>
  <si>
    <t>Notes</t>
  </si>
  <si>
    <t>Windows MAD Growth</t>
  </si>
  <si>
    <t>MAD is monthly active devices</t>
  </si>
  <si>
    <t>MAU is monthly active users</t>
  </si>
  <si>
    <t>LinkedIn Sessions</t>
  </si>
  <si>
    <t>Sessions is an indication of member visits</t>
  </si>
  <si>
    <t>NEO</t>
  </si>
  <si>
    <t>Metric Category</t>
  </si>
  <si>
    <t>Growth</t>
  </si>
  <si>
    <t>Profitability</t>
  </si>
  <si>
    <t>Strategy &amp; Operations</t>
  </si>
  <si>
    <t>ESG</t>
  </si>
  <si>
    <t xml:space="preserve">Culture, Diversity, &amp; Sustainability </t>
  </si>
  <si>
    <t>Modifier/Threshold</t>
  </si>
  <si>
    <t>Relative TSR</t>
  </si>
  <si>
    <t>3Y Relative TSR</t>
  </si>
  <si>
    <t>Filing Date</t>
  </si>
  <si>
    <t>Ticker</t>
  </si>
  <si>
    <t>Industry</t>
  </si>
  <si>
    <t>Semiconductors</t>
  </si>
  <si>
    <t>Stock Performance</t>
  </si>
  <si>
    <t>Absolute TSR</t>
  </si>
  <si>
    <t xml:space="preserve">Revenue </t>
  </si>
  <si>
    <t>Adjusted Operating Margin</t>
  </si>
  <si>
    <t>Division Financial and Strategic Goals</t>
  </si>
  <si>
    <t>Individual Performance Factor</t>
  </si>
  <si>
    <t>Based on strategic; operational excellenece; and leadership, values, and culture; all individuals received 120% in 2023</t>
  </si>
  <si>
    <t>Packaged Software</t>
  </si>
  <si>
    <t>Internet Software/Services</t>
  </si>
  <si>
    <t xml:space="preserve">Internet Retail </t>
  </si>
  <si>
    <t>Reflects stock vested in 2023, no stock awards were granted in 2023, as 2022 award was designed to last two years (consistent with policy of every other year grants)</t>
  </si>
  <si>
    <t>Reflects stock vested in 2023, no stock awards were granted in 2022 and 2023 after 2021 award that was designed to last several years (multi-year grant)</t>
  </si>
  <si>
    <t xml:space="preserve">RSU (Google refers to these as GSUs) award in 2022 that is designed to vest over 3 years (multi-year grant); this amount is 2023 vesting sum </t>
  </si>
  <si>
    <t>TSR relative to S&amp;P 100 over 3 years</t>
  </si>
  <si>
    <t>Pharmaceuticals</t>
  </si>
  <si>
    <t>Adjusted EPS</t>
  </si>
  <si>
    <t>Pipeline Progress</t>
  </si>
  <si>
    <t>Removes divestitures of products</t>
  </si>
  <si>
    <t>Excludes amortization of intangibles, asset impairments, restructuring, other special charges, net gains and losses on equity investments, acquired in-process R&amp;D charges, and EPS impacts of divestments</t>
  </si>
  <si>
    <t>Measures potential new drug Phase 3 starts, potential new drug Phase 1 starts, potential new indication or line extension Phase 3 starts, development speed, ability to meet planned project timelines, strategic objective achievement, and whether there were game changer scientific events</t>
  </si>
  <si>
    <t>3Y Absolute TSR</t>
  </si>
  <si>
    <t xml:space="preserve">Evaluated compared to peer group </t>
  </si>
  <si>
    <t>2Y Adjusted EPS</t>
  </si>
  <si>
    <t>Adjusted EPS is similar to adjusted EPS under cash incentive plan, with exception that divestitures of products are not excluded</t>
  </si>
  <si>
    <t>Tobacco</t>
  </si>
  <si>
    <t>Market Share (Top 30 Operating Income Markets)</t>
  </si>
  <si>
    <t xml:space="preserve">Smoke-Free (HTU) Shipment Volume </t>
  </si>
  <si>
    <t>Cash Flow</t>
  </si>
  <si>
    <t>Operating Cash Flow</t>
  </si>
  <si>
    <t>Strategic Initiatives</t>
  </si>
  <si>
    <t>Swedish Match Modifier</t>
  </si>
  <si>
    <t>Adds up to 10 pp</t>
  </si>
  <si>
    <t>Target growing or stable share of top 30 OI markets (target of 15-17)</t>
  </si>
  <si>
    <t>Key strategic diversification opportunity for company</t>
  </si>
  <si>
    <t>Excludes termination of distribution arrangement in Middle East, currency fluctuations, and acquisitions</t>
  </si>
  <si>
    <t>Excludes asset impairment and exit costs, termination of distribution arrangement in Middle East, impairment of intangibles, amortization of intangibles, currency fluctuations, acquisitions, acquisition-related items, and other unusual items</t>
  </si>
  <si>
    <t>Included ESG factors such as creating positive social and environmental impact and building winning team culture and diversification initiatives</t>
  </si>
  <si>
    <t>3Y Adjusted Diluted EPS CAGR</t>
  </si>
  <si>
    <t xml:space="preserve">Compared to peer group </t>
  </si>
  <si>
    <t>Excludes currency fluctuations, assset impairment and exit costs, amortization and impairment of intangibles, asset acquisition costs, and other unusual items</t>
  </si>
  <si>
    <t>Quality of Net Revenue Achievement</t>
  </si>
  <si>
    <t>Discretionary adjustment for transformation performance metric</t>
  </si>
  <si>
    <t xml:space="preserve">Sustainability Criteria Achievement </t>
  </si>
  <si>
    <t>ESG discretionary adjustment for transformation performance metric; product sustainability weighted at 20%, operational sustainability weighted at 10% for adjustment</t>
  </si>
  <si>
    <t>High compared to peers</t>
  </si>
  <si>
    <t>Managed Health Care</t>
  </si>
  <si>
    <t>Adjusted Operating Cash Flow</t>
  </si>
  <si>
    <t>Stewardship</t>
  </si>
  <si>
    <t>Accounts for company's absolute Net Provider Score (NPS), relative NPS, and Employee Experience Index, some ESG elements</t>
  </si>
  <si>
    <t>Discretionary adjustment, no formula</t>
  </si>
  <si>
    <t>3Y Average Return on Equity</t>
  </si>
  <si>
    <t>3Y Cumulative Adjusted EPS</t>
  </si>
  <si>
    <t>Stock Options</t>
  </si>
  <si>
    <t>Adjusted for changes in accounting principles, extraordinary items, and unusual or non-recurring gains or losses</t>
  </si>
  <si>
    <t>Telecommunications Equipment</t>
  </si>
  <si>
    <t>Operating Income</t>
  </si>
  <si>
    <t>Up to 10% modifier, effectively an ESG assessment; looks at accessibility, education, environment, inclusion &amp; diversity, privacy, racial equity and justice initiative, supplier responsibility, and key community initiatives</t>
  </si>
  <si>
    <t>Threshold for award if absolute TSR is not positive</t>
  </si>
  <si>
    <t>Bank</t>
  </si>
  <si>
    <t>These are performance-based RSUs; tied to performance of Apple vs S&amp;P 500 constituents; they were granted in September 2022, no grants it seems in 2023, signalling multi-year grant</t>
  </si>
  <si>
    <t>They were granted in September 2022, no grants it seems in 2023, signalling multi-year grant</t>
  </si>
  <si>
    <t>Business Results</t>
  </si>
  <si>
    <t>Qualitative Considerations</t>
  </si>
  <si>
    <t>Do not specify weighting within the category, but the category includes adjusted revenue, pre-tax income, pre-tax income ex. loan loss reserves, net income, EPS, book value per share, tangible book value per share, return on equity, and return on tangible common equity on the business results side and progress against strategic framework (market shares and other strategic initiatives)</t>
  </si>
  <si>
    <t>Do not specify weighting within the category, but the category includes risk, controls &amp; conduct; client/customer/stakeholder; and teamwork &amp; leadership</t>
  </si>
  <si>
    <t>3Y Absolute and Relative ROTCE</t>
  </si>
  <si>
    <t>CET1</t>
  </si>
  <si>
    <t>If CET1 falls below a certain level (8% in 2023), then up to 1/3 of unvested PSUs will be subject to downward adjustment for each year</t>
  </si>
  <si>
    <t xml:space="preserve">Different assessments for each NEO, but same buckets of risk, controls, &amp; conduct; client/customer/stakeholder; and teamwork &amp; leadership </t>
  </si>
  <si>
    <t>Payout calculated based on absolute and relative average ROTCE, relative ROTCE used if performance falls between threshold and maximum; long-term equity grant in 2021 of SARs is excluded</t>
  </si>
  <si>
    <t>Average brought down by COO who received no RSUs in 2023</t>
  </si>
  <si>
    <t xml:space="preserve">Miscellaneous Commercial Services </t>
  </si>
  <si>
    <t>Adjusted Net Income</t>
  </si>
  <si>
    <t>Strategic Performance Adjustment</t>
  </si>
  <si>
    <t>Up or down 10 pp; 15% on greenhouse gas emissions reduction from 2016 base year, 15% percent response by top-tier suppliers to Carbon Disclosure survey and who set near-term science-based carbon reduction goal; 35% on number of individuals newly connected to digital economy; and 35% on percent improvement of median female pay as percent of median male pay from 2022 base year</t>
  </si>
  <si>
    <t>Down 20 pp to up 10 pp; based on performance on initiatives including expand in payments, extend services, embrace new network opportunities, and enabled by key set of activities</t>
  </si>
  <si>
    <t>3Y Adjusted EPS Growth</t>
  </si>
  <si>
    <t>Up or down 50 pp, vs S&amp;P 500 constituents</t>
  </si>
  <si>
    <t>Excludes 2023 acquisitions, impact of gains and losses on equity investments, non-GAAP special items, and foreign exchange fluctuations</t>
  </si>
  <si>
    <t>Adjustments made in 2022 for Russia-related items, but likely no adjustments in 2023</t>
  </si>
  <si>
    <t>RTX</t>
  </si>
  <si>
    <t>Aerospace &amp; Defense</t>
  </si>
  <si>
    <t>Adjusted Free Cash Flow</t>
  </si>
  <si>
    <t>People &amp; Culture</t>
  </si>
  <si>
    <t>Down 100 pp to up 30 pp</t>
  </si>
  <si>
    <t>ESG-related, measures total representation and employee retention rate</t>
  </si>
  <si>
    <t>ESG-related; measures greenhouse gas emissions and water usage</t>
  </si>
  <si>
    <t>Adjusted 3Y EPS Growth</t>
  </si>
  <si>
    <t>Capped if TSR is negative</t>
  </si>
  <si>
    <t>Seems to make some additional adjustments compared to cash incentive metric; also excludes nonoperating pension and postretirement income or expense, and changes in asset or liability valuations of deferred compensation plans</t>
  </si>
  <si>
    <t xml:space="preserve">Similar adjustments to adjusted EPS </t>
  </si>
  <si>
    <t>For business unit executives, half of metric comes from company-wide performance and half from business unit performance</t>
  </si>
  <si>
    <t>Medical Specialties</t>
  </si>
  <si>
    <t>Adjusted Diluted EPS</t>
  </si>
  <si>
    <t>Free Cash Flow</t>
  </si>
  <si>
    <t>Adjusted Return on Assets</t>
  </si>
  <si>
    <t>Diabetes Care Sales Growth</t>
  </si>
  <si>
    <t>Performance restricted shares; individual performance assessment based on sales and market share growth contribution, margin contribution, and strategic metrics</t>
  </si>
  <si>
    <t>Adjusted Return on Equity</t>
  </si>
  <si>
    <t>Performance restricted shares only vest if 14% adjusted ROE target is achieved</t>
  </si>
  <si>
    <t>Elevated by CFO having low salary and proportinately lower equity grants compared to peers</t>
  </si>
  <si>
    <t>Adjusted Gross Margin</t>
  </si>
  <si>
    <t>Market Share</t>
  </si>
  <si>
    <t>Non-Disclosed Financial Returns</t>
  </si>
  <si>
    <t>Cash Conversion Cycle</t>
  </si>
  <si>
    <t>Strategic Metrics</t>
  </si>
  <si>
    <t>Human Capital Metrics</t>
  </si>
  <si>
    <t>Excludes foreign exchange fluctuations</t>
  </si>
  <si>
    <t>Excludes intangible amortization expense and various other costs, including expenses related to restructuring or acquisitions; likely also excludes foreign exchange fluctuations</t>
  </si>
  <si>
    <t>Excludes interest expense and items in adjusted diluted EPS exclusions</t>
  </si>
  <si>
    <t>Ranges from 10-20% depending on the executive, includes division revenue for division executives; excludes foreign exchange fluctuations</t>
  </si>
  <si>
    <t>Excludes foreign exchange fluctuations and likely the same items as in CEO adjusted diluted EPS</t>
  </si>
  <si>
    <t>Excludes foreign exchange fluctuations, on division basis</t>
  </si>
  <si>
    <t>Includes division free cash flow metrics, division metrics are adjusted</t>
  </si>
  <si>
    <t>Just for GC, not specified</t>
  </si>
  <si>
    <t>Just for EVP and Group President, Established Pharmaceuticals and Nutritional Products</t>
  </si>
  <si>
    <t>Includes goals related to supply chain, capital structure, cybersecurity, acquisition integration, managing economic risks, IT infrastructure, global buying platforms, disclosure requirements, systems implementation/rollout, resolving litigation, product approvals and expansion, commercialization milestones, and key capital projects</t>
  </si>
  <si>
    <t>Relates to meeting talent, succession planning, and diversity targets (ESG)</t>
  </si>
  <si>
    <t>Adjusted EBITDA</t>
  </si>
  <si>
    <t>Adjusted EBITDA Margin</t>
  </si>
  <si>
    <t>Firm can use discretion to revise upward for exceptional performance</t>
  </si>
  <si>
    <t>EBITDA adjusted for non-cash compensation charges such as stock-based compensation, foreign currency fluctuations, acquisition and divestiture costs, and refinancing costs</t>
  </si>
  <si>
    <t>Equal to (pro forma EBITDA as defined * acquisition weighted market multiple - net debt)/diluted weighted average shares outstanding; some NEOs also received a one-time option grant in 2023 as a reward for performance during COVID</t>
  </si>
  <si>
    <t>Industrial Machinery</t>
  </si>
  <si>
    <t>Relative TSR vs S&amp;P 500 Industrials Index</t>
  </si>
  <si>
    <t>Adjusted for impact of foreign exchange fluctuations, acquisitions, and divestitures</t>
  </si>
  <si>
    <t>Adjusted for restructuring costs, amortization of acquired intangibles, and other signficant non-recurring or non-operational nature; further adjusted per same adjustments as sales</t>
  </si>
  <si>
    <t>Adjusted for impact of foreign exchange fluctuations, acquisitions, divestitures, and related transaction costs</t>
  </si>
  <si>
    <t xml:space="preserve">Similar adjustments to above </t>
  </si>
  <si>
    <t>Based on 2024 proposal, which is change from 2023; for co-CEOs</t>
  </si>
  <si>
    <t xml:space="preserve">Vs peer group </t>
  </si>
  <si>
    <t>Adjusted Pre-Tax Income</t>
  </si>
  <si>
    <t>R&amp;D/Innovation</t>
  </si>
  <si>
    <t>Not disclosed, seems pipeline-based</t>
  </si>
  <si>
    <t xml:space="preserve">ESG </t>
  </si>
  <si>
    <t>Sustainability Criteria Achievement (ESG)</t>
  </si>
  <si>
    <t>Assessment of Values and Community Initiatives (ESG)</t>
  </si>
  <si>
    <t>Discretionary Adjustment</t>
  </si>
  <si>
    <t>Compensation committee can implement downward discretionary adjustments</t>
  </si>
  <si>
    <t>3Y Relative ROIC</t>
  </si>
  <si>
    <t>Business Development</t>
  </si>
  <si>
    <t>Only for Chief Operating Officer</t>
  </si>
  <si>
    <t>Only for Chief Operations Officer</t>
  </si>
  <si>
    <t>Pertains to pipeline enhancements, investments, strategic initiatives and integrations, and commecialization and R&amp;D milestones</t>
  </si>
  <si>
    <t>Home Improvement Chains</t>
  </si>
  <si>
    <t>Adjustments include eliminating foreign exchange fluctuations, intangible asset amortization, acquisition and integration-related costs, acquired in process research and development and milestone expenses, changes in fair value of contingent consideration, litigation matters, intangible asset impairment, tax law change impacts, and other non-recurring or unusual items</t>
  </si>
  <si>
    <t>See above</t>
  </si>
  <si>
    <t>Seems to just be for a one year period, similar adjustments as for ROA</t>
  </si>
  <si>
    <t>Inventory Turnover</t>
  </si>
  <si>
    <t>Adjusted for acquisitions and divestitures, accounting changes, and currency fluctuations</t>
  </si>
  <si>
    <t>Adjusted for same items as revenue, as well as restructuring charges and other non-recurring charges</t>
  </si>
  <si>
    <t>Similar adjustments as above</t>
  </si>
  <si>
    <t>No grant if at least 90% of CIP's adjusted operating profit target is not met</t>
  </si>
  <si>
    <t>These are time-based RSUs; they were granted in September 2022</t>
  </si>
  <si>
    <t xml:space="preserve">3Y Adjusted EPS Growth </t>
  </si>
  <si>
    <t>Excludes changes in tax laws and accounting rules, restructuring costs, impacts of acquisitions and divestitures, and signficant and/or non-recurring items</t>
  </si>
  <si>
    <t>Key Cardiometabolic Product Sales Growth</t>
  </si>
  <si>
    <t>3Y, 5Y, and 1Y TSR vs peer group determines guideline for LTI</t>
  </si>
  <si>
    <t>5Y Annual Operating Performance CAGR</t>
  </si>
  <si>
    <t>Time-Based Stock</t>
  </si>
  <si>
    <t>Chemicals</t>
  </si>
  <si>
    <t>Adjusted metrics exclude foreign exchange flucutations and raw materials price changes, as well as extraordinary, nonrecurring factors</t>
  </si>
  <si>
    <t>Reducing Greenhouse Gas Emissions</t>
  </si>
  <si>
    <t>Core Values</t>
  </si>
  <si>
    <t>Relative Performance and Strategic Positioning</t>
  </si>
  <si>
    <t xml:space="preserve">3Y Relative TSR </t>
  </si>
  <si>
    <t>Core values include safety, compliance, sustainability, and inclusion</t>
  </si>
  <si>
    <t>Only negative or adjustment for CEO</t>
  </si>
  <si>
    <t>Positive or negative adjustment for other NEOs</t>
  </si>
  <si>
    <t xml:space="preserve">Qualitative assessment of progress on positioning business for long-term, decarbonization strategy, AI and digitalization initiatives, winning share of high-quality projects, outperforming peers, enhancing organizational capabilities, and commercializing new applications and use cases </t>
  </si>
  <si>
    <t>3Y Average Adjusted Return on Capital</t>
  </si>
  <si>
    <t xml:space="preserve">Excludes after-tax effect of any acquisitions that occurred during three-year period that were not known at time goals were set </t>
  </si>
  <si>
    <t>Pipeline Growth</t>
  </si>
  <si>
    <t>Marketed and Late-Stage Products</t>
  </si>
  <si>
    <t>Manufacturing, Innovation, Quality, and Operations</t>
  </si>
  <si>
    <t>Financial Strength</t>
  </si>
  <si>
    <t>Organizational Development and Capability</t>
  </si>
  <si>
    <t>3Y Non-Financial Metrics</t>
  </si>
  <si>
    <t>Completing Phase 3 trial for vanzacaftor triple, obtaining marketing approval for CASGEVY, and advancing other programs</t>
  </si>
  <si>
    <t>Achieving cystic fibrosis revenue goals and other qualitative efforts</t>
  </si>
  <si>
    <t>Completing various commercial manufacturing readiness processes for CASGEVY launch, supply chain resiliency, and advancing manufacturing plans and capabilities</t>
  </si>
  <si>
    <t>Building organization and fostering inclusive and equitable culture, advancing enterprise risk management efforts and data strategy, and enhancing communications and outreach</t>
  </si>
  <si>
    <t>Up or down 10 pp, can't exceed 150% overall</t>
  </si>
  <si>
    <t>Adjusted Cystic Fibrosis Revenue</t>
  </si>
  <si>
    <t>Based on cystic fibrosis milestone and progress on non-cystic fibrosis diseases areas</t>
  </si>
  <si>
    <t>Continuing to manage financial resources and achieving financial targets, including adjusted EBITDA and net income; adjusted financials exclude acquired in-process research and develpoment, as well as stock-based compensation, intangible asset amortization expensees, gains or losses related to equity investments, increases or decreases in fair value of contingent consideration, acquisition-related costs, and other non-recurring items</t>
  </si>
  <si>
    <t>Financial, Clients, and Foundational Goals</t>
  </si>
  <si>
    <t>Operational Excellence, Talent, and ESG Goals</t>
  </si>
  <si>
    <t xml:space="preserve">3Y Adjusted EPS </t>
  </si>
  <si>
    <t>Up or down 25 pp, relative to S&amp;P 500</t>
  </si>
  <si>
    <t>Up or down 25 pp, TSR vs peers</t>
  </si>
  <si>
    <t>Adjusted Revenue Growth</t>
  </si>
  <si>
    <t xml:space="preserve">Non-Financial Performance </t>
  </si>
  <si>
    <t>Excludes the impact of acquisitions and foreign currency fluctuations</t>
  </si>
  <si>
    <t>Excludes inventory sales charges, certain third-party expenses, restructuring costs, impairment of long-lived assets, litigation costs, net gains/losses on equity investments, and impacts of acquisitions and divestitures</t>
  </si>
  <si>
    <t xml:space="preserve">Includes ESG priorities, positioning company for accelerated revenue growth, positioning company to drive margin expansion over mid-term, and effectively executing capital deployment strategy </t>
  </si>
  <si>
    <t>Same adjustments as above</t>
  </si>
  <si>
    <t>Relative to peer group</t>
  </si>
  <si>
    <t>Cable/Satellite TV</t>
  </si>
  <si>
    <t xml:space="preserve">Excludes impairment charges and other non-recurring items such as legal settlements and gains/losses on sales of assets </t>
  </si>
  <si>
    <t>Operating Performance</t>
  </si>
  <si>
    <t>Measures achievement against long range plans and organizational collaboration</t>
  </si>
  <si>
    <t>Stakeholder and Sustainability Initiatives</t>
  </si>
  <si>
    <t>Measures company's progress on advancing digital equity, environmental sustainability, and improving company culture</t>
  </si>
  <si>
    <t>3Y Average ROIC</t>
  </si>
  <si>
    <t>3Y Relative Adjusted EPS Growth</t>
  </si>
  <si>
    <t>Similar adjustments as above, EPS growth compared to S&amp;P 100</t>
  </si>
  <si>
    <t>Up or down 25 pp based on 3Y TSR performance compared to S&amp;P 100</t>
  </si>
  <si>
    <t>No positive TSR modifier applied if 3Y absolute TSR is below 0</t>
  </si>
  <si>
    <t xml:space="preserve">Adjusted Operating Income after Capital Charge </t>
  </si>
  <si>
    <t>Excludes restructuring costs</t>
  </si>
  <si>
    <t>Reflects 13% capital charge applied to average Machine, Energy, and Transportation net assets; excludes restructuring costs</t>
  </si>
  <si>
    <t>Includes aftermarket parts and other service-related revenues and excludes most Financial Products' revenues, discontinued products, and captive dealer services</t>
  </si>
  <si>
    <t>Individual Performance</t>
  </si>
  <si>
    <t xml:space="preserve">Up or down 10 pp based on each NEO's Service Growth and ESG Strategy assessment respectively (up or down 20 pp total); includes qualitative and quantitative factors; ESG strategy assessment includes greenhouse gas emissions, employee health and safety, and other sustainability-related efforts </t>
  </si>
  <si>
    <t>3Y Average Adjusted Return on Equity</t>
  </si>
  <si>
    <t>Includes segment operating profit after capital charge for one NEO</t>
  </si>
  <si>
    <t>Adjusted Services Revenues</t>
  </si>
  <si>
    <t>Includes segment service revenue for one NEO</t>
  </si>
  <si>
    <t>Target amounts are determined by examining compensation peers and deciding where company should be positioned based on 1Y, 3Y, and 5Y relative TSR perfromance compared to the compensation peer group, competitor peer group, and S&amp;P 500 industrials</t>
  </si>
  <si>
    <t>If adjusted operating profit forecast is below prior year results, incentive max is capped at 100% of target</t>
  </si>
  <si>
    <t>Compensation and Human Resources Committee can make adjustments based on performance and strategic execution</t>
  </si>
  <si>
    <t xml:space="preserve">Forecasted Adjusted Operating Income  </t>
  </si>
  <si>
    <t>Performance stock is performance RSUs; ROE excludes restructuring costs, OPEB mark-to-market gains/losses, deferred tax valuation allowance adjustments, and goodwill impairment</t>
  </si>
  <si>
    <t>Motor Vehicles</t>
  </si>
  <si>
    <t>Market capitalization</t>
  </si>
  <si>
    <t xml:space="preserve">Elon Musk receives no base salary (since 2019) and no cash incentives. Previously, his compensation has consisted of performance-based stock options. He received a multi-year award in 2012 for the option to purchase 5% of Tesla's outstanding stock based on his performance on market capitalization and a series of specified operational milestones related to the Model X and Model 3 and aggregate vehicle production and gross margin targets. The 2018 performance award he was granted, which entitles him to purchase 1% of oustanding stock, is 10 years and has 12 equal vesting tranches that vest based on the achievement of either adjusted EBITDA (increase of $1.5-2B at each stage) or revenue targets (increase of $15-25B at each stage), alongside the achievement of market capitalization targets (increase of $50B at each stage after $100B is reached). This award is currently in judicial limbo after an unfavorable opinion from a Delaware court in January 2024. Adjusted EBITDA excludes stock-based compensation. </t>
  </si>
  <si>
    <t>Tesla's two remaining NEOs (the other two left the company) received base salaries of $275K and $381K. However, without sufficient information on their stock awards and option awards, outside of a $31.6M option grant to SVP, Automotive in 2023 following his promotion to the role, we cannot determine the base salary's contribution to total compensation in a typical year.</t>
  </si>
  <si>
    <t>Restricted stock units seem to be time-based, but disclosure is poor</t>
  </si>
  <si>
    <t xml:space="preserve">Seem to be performance-based but limited disclosure. Primary component of compensation. </t>
  </si>
  <si>
    <t>MSFT</t>
  </si>
  <si>
    <t>AVGO</t>
  </si>
  <si>
    <t>META</t>
  </si>
  <si>
    <t>AMZN</t>
  </si>
  <si>
    <t>GOOG</t>
  </si>
  <si>
    <t>LLY</t>
  </si>
  <si>
    <t>PM</t>
  </si>
  <si>
    <t>UNH</t>
  </si>
  <si>
    <t>AAPL</t>
  </si>
  <si>
    <t>JPM</t>
  </si>
  <si>
    <t>MA</t>
  </si>
  <si>
    <t>ABT</t>
  </si>
  <si>
    <t>TDG</t>
  </si>
  <si>
    <t>CARR</t>
  </si>
  <si>
    <t>NFLX</t>
  </si>
  <si>
    <t>ABBV</t>
  </si>
  <si>
    <t>HD</t>
  </si>
  <si>
    <t>LIN</t>
  </si>
  <si>
    <t>VRTX</t>
  </si>
  <si>
    <t>V</t>
  </si>
  <si>
    <t>TMO</t>
  </si>
  <si>
    <t>CMCSA</t>
  </si>
  <si>
    <t>CAT</t>
  </si>
  <si>
    <t>TSLA</t>
  </si>
  <si>
    <t>EOG</t>
  </si>
  <si>
    <t>Oil &amp; Gas</t>
  </si>
  <si>
    <t>Adjusted All-In After Tax Rate of Return on Total Capital Expenditures</t>
  </si>
  <si>
    <t>Adjusted Return on Capital Employed</t>
  </si>
  <si>
    <t>Relative TSR and Relative Forward-Year Cash Flow Multiple</t>
  </si>
  <si>
    <t>Unit Cost Targets</t>
  </si>
  <si>
    <t>Total Recordable Incident Rate</t>
  </si>
  <si>
    <t xml:space="preserve">Continued Commitment to Strong Environmental Record </t>
  </si>
  <si>
    <t>Operational and Organizational Execution</t>
  </si>
  <si>
    <t>3Y Average Adjusted Return on Capital Employed</t>
  </si>
  <si>
    <t>Measures execution on 2023 goals including drilling 80% of premium wells, capturing of &gt;55 net acres with premium resource potential, production targets, peer leadership in product marketing, minimizing well cost increases, and improving safety culture</t>
  </si>
  <si>
    <t xml:space="preserve">Based on internal premium price deck of flat $40/Bbl WTI oil and $2.50/Mcf HH natural gas prices; adjusted net income in calculation excludes gains/losses on derivatives, gains/losses on asset dispositions, impairments, restructuring costs, other extraordinary items </t>
  </si>
  <si>
    <t>Same net income adjustments as above</t>
  </si>
  <si>
    <t xml:space="preserve">Adds back changes in working capital and other assets and liabilities to CFO and incorporates changes in components of working capital associated with investing activities to get Cash Flow from Operations Before Changes in Working Capital; then subtracts total capital expenditures from that figure, after adjusting capital expenditures for asset retirement costs, non-cash acquisition  costs of unproved properties, non-cash development drilling, acquisition costs of proved properties, acquisition cost of other PP&amp;E, and exploration costs </t>
  </si>
  <si>
    <t xml:space="preserve">Measures oil spill rate, oil recovery rate, methane emissions intensity, greenhouse gas emissions intensity, flaring intensity, and wellhead gas capture rate </t>
  </si>
  <si>
    <t>No weighting provided within category, both are relative to peer group</t>
  </si>
  <si>
    <t xml:space="preserve">Includes capital efficiency per thousand barrels of oil equivalent per day; depreciation, depletion, and amortization for barrel of oil equivalent; barrels of oil equivalent controllable cash operating costs (LOE, G&amp;A, transportation, G&amp;P expenses), and specified all-in finding cost per barrel of oil equivalent </t>
  </si>
  <si>
    <t>Down 70 pp or up 70 pp, same adjustments as above</t>
  </si>
  <si>
    <t>Overall award capped at 100% of target if absolute TSR is negative over 3Y period</t>
  </si>
  <si>
    <t>Adjusted All-In After-Tax Rate of Return on Total Capital Expenditures</t>
  </si>
  <si>
    <t>RCL</t>
  </si>
  <si>
    <t>Hotels/Resorts/Cruiselines</t>
  </si>
  <si>
    <t>Net Yield</t>
  </si>
  <si>
    <t>Net Cruise Costs, excluding Fuel</t>
  </si>
  <si>
    <t>Net Promoter Score/Guest Satisfaction</t>
  </si>
  <si>
    <t>Safety, Envrionment, Security, and Health</t>
  </si>
  <si>
    <t>Employee Engagement</t>
  </si>
  <si>
    <t>ESG Composite Index</t>
  </si>
  <si>
    <t>Adjusted EBITDA per APCD</t>
  </si>
  <si>
    <t>Carbon Intensity Reduction</t>
  </si>
  <si>
    <t xml:space="preserve">Excludes loss on extinguishment of debt, gains/losses on sales of noncontrolling interests, deferred tax liability release, impairment and credit losses, restructuring charges, equity investment gains and losses, and amortization of acquired intangible assets </t>
  </si>
  <si>
    <t>Net yield measured versus 2019; represents Adjusted Gross Margin per available passenger cruise days, where gross margin is adjusted for payroll and related expenses, food, fuel, other operating expenses, and depreciation and amortization expenses.</t>
  </si>
  <si>
    <t>Net cruise costs evaluated versus 2019, calculated on constant currency basis. This metric represents gross cruise costs excluding commissions, transportation and other expenses, onboard and other expenses, and fuel expenses. For the 2023 and 2019 periods, Net Cruise Costs excluding fuel exclude (i) the gain on sale of controlling interest; (ii) impairment and credit losses; and (iii) for 2019 only, restructuring charges and other initiative expenses; the transaction and integration costs related to the Silversea Cruises acquisition; and the costs related to the Oasis of the Seas incident included within other operating expenses in our financial statements.</t>
  </si>
  <si>
    <t>Net Promoter Score/Guest Satisfaction measures customer satisfaction with most recent cruise, intent to cruise again with them and willingness to recommend cruise to others</t>
  </si>
  <si>
    <t>Comprised of safety incident frequency and severity, audit and compliance scores, and other safety, security, environment and health measures</t>
  </si>
  <si>
    <t>Measured by biannual pulse surveys</t>
  </si>
  <si>
    <t>ESG Composite Index is composite of three equally-weighted quantitative ESG metrics that measure progress with respect to goals on improvement of cybersecurity maturity rating from the National Institute of Standards and Technology (NIST), programs related to global employee pay equity, and carbon intensity reduction from 2019</t>
  </si>
  <si>
    <t>Same adjustments as above, also adjusts for dilutive impact of outstanding convertible notes</t>
  </si>
  <si>
    <t>Evaluated vs 2019; represents Well-to-Wake (upstream + downstream) grams of carbon dioxide equivalent emissions divided by the product of gross tonnage and nautical miles traveled</t>
  </si>
  <si>
    <t xml:space="preserve">Performance-based restricted shares; for metrics below 25% weighting on year 1, 25% weighting on year 2, and 50% weighting on year 3; adjusted EBITDA excludes non-operating expenses, gains/losses on sale, impairment and credit losses, restructuring and other initiatives expenses, and equity investment gains and losses </t>
  </si>
  <si>
    <t>Average brought down by two brand NEOs who are evaluated on brand basis for operating income rather than EPS</t>
  </si>
  <si>
    <t>Includes brand-based metrics for two brand-based NEOs</t>
  </si>
  <si>
    <t>Brand Adjusted Operating Income</t>
  </si>
  <si>
    <t>Individual Assessment</t>
  </si>
  <si>
    <t>Only relevant for two brand-based NEOs</t>
  </si>
  <si>
    <t>GE</t>
  </si>
  <si>
    <t>Excludes insurance revenues, acquisitions and business dispositions, and foreign currency fluctuations</t>
  </si>
  <si>
    <t xml:space="preserve">Excludes insurance cash flow from operations, separation cash expenditures, restructuring cash expenditures, and taxes related to business sales </t>
  </si>
  <si>
    <t>Safety Performance</t>
  </si>
  <si>
    <t>Up or down 10 pp; determined based on assessment of performance against targets related to injury and illness rates, serious incidents, fatalities, and overall safety culture and progress</t>
  </si>
  <si>
    <t>Up or down 20 pp, relative to S&amp;P 500 Industrials Index</t>
  </si>
  <si>
    <t>Prior to split of GE into GE Vernova and GE Aerospace; excludes insurance revenues and expenses, interest and other financial charges, non-operating benefits or costs, gains and losses on asset sales, gains and losses on equity investments, restructuring costs, debt extinguishment costs, separation costs, impairment charges, noncontrolling interests, and other extraordinary items</t>
  </si>
  <si>
    <t>Includes segment metrics for segment NEOs</t>
  </si>
  <si>
    <t>GILD</t>
  </si>
  <si>
    <t>Excludes revenue received from Veklury (remdesivir)</t>
  </si>
  <si>
    <t>Pipeline</t>
  </si>
  <si>
    <t>15% is achieve key pipeline milestones and 10% is introduce 8 new molecular entities into Development portfolio</t>
  </si>
  <si>
    <t xml:space="preserve">Excludes Veklury sales, upfront payments related to collaboration agreements and other adjustments for unusual or non-representative income </t>
  </si>
  <si>
    <t>Product</t>
  </si>
  <si>
    <t>Achievement of commercial milestones</t>
  </si>
  <si>
    <t>People</t>
  </si>
  <si>
    <t>Measures employee engagement and advancement of inclusion and diversity; ESG-related</t>
  </si>
  <si>
    <t>Compared to S&amp;P Healthcare Sub-Index</t>
  </si>
  <si>
    <t xml:space="preserve">If absolute TSR is negative, vesting opportunity is capped at 100% of target </t>
  </si>
  <si>
    <t>AMAT</t>
  </si>
  <si>
    <t xml:space="preserve">Products and Growth </t>
  </si>
  <si>
    <t>Services and Subscription</t>
  </si>
  <si>
    <t>Wafer Fabrication Equipment Market Share</t>
  </si>
  <si>
    <t>Adjusted Gross Margin and Related Initiatives</t>
  </si>
  <si>
    <t>Customers and Markets</t>
  </si>
  <si>
    <t>People and Organization</t>
  </si>
  <si>
    <t xml:space="preserve">Talent, Productivity, and Employee Engagement </t>
  </si>
  <si>
    <t>Service Core Revenue Growth</t>
  </si>
  <si>
    <t>Measured by VLSI Research</t>
  </si>
  <si>
    <t xml:space="preserve">Adjusted Operating Margin and Days Inventory Outstanding </t>
  </si>
  <si>
    <t xml:space="preserve">Includes sub-metrics related to milestones for Semiconductor, Display, and Integrated Materials Solution businesses; AI application; and new and adjacent market growth </t>
  </si>
  <si>
    <t xml:space="preserve">Includes sub-metrics related to general Service Business performance and subscription revenue growth for Service Business </t>
  </si>
  <si>
    <t>Excludes acquisition-related items</t>
  </si>
  <si>
    <t>Compared to S&amp;P 500</t>
  </si>
  <si>
    <t xml:space="preserve">Improving Operational, Quality, and Employee Health and Safety </t>
  </si>
  <si>
    <t xml:space="preserve">Applied Materials targets the top quartile for employee engagement </t>
  </si>
  <si>
    <t>Hurdle before any cash bonuses are paid; adjustments include acquisition-related items, restructuring charges, losses and gains on equity investments, impairments, and loss on debt extinguishment</t>
  </si>
  <si>
    <t>3Y Average Adjusted Operating Margin</t>
  </si>
  <si>
    <t>Different sub-metric weights for each NEO</t>
  </si>
  <si>
    <t>Sub-metric weights the same for 3 of 4 NEOs; one NEO is not evaluated on this metric</t>
  </si>
  <si>
    <t>Excludes acquisition-related items, restructuring charges, and other extraordinary items</t>
  </si>
  <si>
    <t xml:space="preserve">People and Organization has two equally weighted sub-metrics evaluating progress towards increasing representation and long-term sustainability goals </t>
  </si>
  <si>
    <t xml:space="preserve">Customers and Markets has two equally weighted sub-metrics: engagements at leading customers and accounts and enhancing customer trust </t>
  </si>
  <si>
    <t>XOM</t>
  </si>
  <si>
    <t xml:space="preserve">Net Income </t>
  </si>
  <si>
    <t xml:space="preserve">Size of target bonus is determined by formula of (2/3*% change in net income). For the formula, Exxon estimates year-end net income in November to allow for payment of bonuses in calendar year. </t>
  </si>
  <si>
    <t>Individual Performance Assessment</t>
  </si>
  <si>
    <t>Same individual assessment undertaken as for cash incentive plan</t>
  </si>
  <si>
    <t>MU</t>
  </si>
  <si>
    <t>Technology &amp; Products</t>
  </si>
  <si>
    <t>Includes goals related to delivery of leading-edge technology and key market segment product milestones</t>
  </si>
  <si>
    <t>Cost &amp; Efficiency</t>
  </si>
  <si>
    <t>Customers</t>
  </si>
  <si>
    <t>Includes metrics such as customer business review scores, customer quality ranking compared to customers’ other suppliers, and customer delivery performance</t>
  </si>
  <si>
    <t>Business</t>
  </si>
  <si>
    <t xml:space="preserve">Includes goals related to greenhouse gas emissions, representation of underrepresented groups, pay equity, and supplier diversity </t>
  </si>
  <si>
    <t>No bonus paid if profitabiltiy (adjusted net income and adjusted operating margin) targets are not hit</t>
  </si>
  <si>
    <t>3Y Relative TSR CAGR</t>
  </si>
  <si>
    <t>Performance-based RSUs; compared to PHLX Semiconductor Sector Index</t>
  </si>
  <si>
    <t>DRAM Revenue from High-Growth Stable Segments</t>
  </si>
  <si>
    <t>Percentage or absolute targets; award eligible to be banked during second and third years of 3Y period</t>
  </si>
  <si>
    <t xml:space="preserve">NAND Bits Shipped into Data Center Segment </t>
  </si>
  <si>
    <t>High Bandwidth Memory Products and Associated Revenue</t>
  </si>
  <si>
    <t>Compute Express Link-Related Products</t>
  </si>
  <si>
    <t>Up to 16.5% modifier, subject to 200% of target overall cap on stock awards; not much disclosure on nature of target</t>
  </si>
  <si>
    <t>DRAM Revenue from High-Growth, Stable Segments</t>
  </si>
  <si>
    <t>MMC</t>
  </si>
  <si>
    <t>Professional Services</t>
  </si>
  <si>
    <t>Excludes restructuring charges, changes in fair value of contingent consideration, legal settlement, intangible amortization, currency fluctuations, the impact of acquisitions/dispositions, and other extraordinary items</t>
  </si>
  <si>
    <t>Adjusted EPS Growth</t>
  </si>
  <si>
    <t xml:space="preserve">Multiplier of performance factor results; excludes currency fluctuations, other net benefit credit (cost) related to pension plans, investment income primarily from Marsh &amp; McLennan Risk Capital Holdings, and impact of OECD global tax framework implementation </t>
  </si>
  <si>
    <t xml:space="preserve">Compensation Committee can implement adjustments based on their analysis of how current period performance compares to prior periods, company's relative TSR against peers and S&amp;P 500, and how compensation compares to peers </t>
  </si>
  <si>
    <t>3Y Adjusted EPS CAGR</t>
  </si>
  <si>
    <t xml:space="preserve">Compared to S&amp;P 500, 75-125% modifier </t>
  </si>
  <si>
    <t xml:space="preserve">3Y Relative TSR modifier capped at 100% if 3Y Absolute TSR is negative </t>
  </si>
  <si>
    <t>Reflects average of 80% weighting for 3 of 4 NEOs and 70% weighting for 1 NEO; includes segment metrics</t>
  </si>
  <si>
    <t>REGN</t>
  </si>
  <si>
    <t>Corporate Performance</t>
  </si>
  <si>
    <t>Compensation Committee assess Corporate Performance primarily by examining achievement of product pipeline and development milestones but also considers finance and operations and talent, culture, and corporate responsibility as secondary factors</t>
  </si>
  <si>
    <t xml:space="preserve">Discretionary adjustment performed after corporate performance determination by Compensation Committee, upward for transformation adjustments and downward for underperformance </t>
  </si>
  <si>
    <t>Reflects average of 100% weighting for CSO and 60% weighting for the 2 other NEOs</t>
  </si>
  <si>
    <t>Reflects average of 0% weighting for CSO and 40% weighting for the 2 other NEOs</t>
  </si>
  <si>
    <t>NVDA</t>
  </si>
  <si>
    <t>1Y performance period</t>
  </si>
  <si>
    <t>Up to 50 pp of modification for Adjusted Operating Income portion of PSUs</t>
  </si>
  <si>
    <t>CRM</t>
  </si>
  <si>
    <t>Equality</t>
  </si>
  <si>
    <t>Sustainability</t>
  </si>
  <si>
    <t>Excludes certain acquisitions</t>
  </si>
  <si>
    <t>Excludes stock-based compensation, amortization of acquisition-related intangibles, and restructuring charges</t>
  </si>
  <si>
    <t xml:space="preserve">Composed of two equally weighted measures: percentage of US employees that are underrepresented minorities &amp; women and percentage of global employees who are women </t>
  </si>
  <si>
    <t>Composed of two equally weighted measures: air travel emissions intensity relative to FY20 levels and percentage of supplier spending with suppliers who have signed an agreement with a Salesforce Supplier Sustainability Exhibit</t>
  </si>
  <si>
    <t xml:space="preserve">Performance-based RSUs, same adjustments as Adjusted Operating Income in cash incentives, measured over 3Y period with annual targets and average payout at the end </t>
  </si>
  <si>
    <t>Relative to Nasdaq-100 Index Group</t>
  </si>
  <si>
    <t xml:space="preserve">Relative TSR payouts capped at 100% if 3Y absolute TSR is negative </t>
  </si>
  <si>
    <t>Only granted to one NEO as part of retention agreement; stock options were phased out for all other NEOs in FY24, with future grants being 50% RSUs and 50% PRSUs</t>
  </si>
  <si>
    <t>BLK</t>
  </si>
  <si>
    <t>Asset Management</t>
  </si>
  <si>
    <t>Financial Performance</t>
  </si>
  <si>
    <t>Business Strength</t>
  </si>
  <si>
    <t xml:space="preserve">Categories include deliver on commitment to clients, grow with clients' needs and evolve how we serve clients, lead in changing world, and deliver sustainable solutions to meet client demand </t>
  </si>
  <si>
    <t>Organizational Strength</t>
  </si>
  <si>
    <t xml:space="preserve">Evaluates talent, DEI, purpose and culture, and sustainability (ESG-related) </t>
  </si>
  <si>
    <t>3Y Average Adjusted Revenue Growth</t>
  </si>
  <si>
    <t>Individual performance assessment determines size of total incentive performance program (includes cash incentive, RSUs, and PRSUs); measures include shareholder returns, net new base fee growth, Adjusted Operating Income, Adjusted Operating Margin, and Adjusted EPS (unweighted)</t>
  </si>
  <si>
    <t xml:space="preserve">Excludes compensation related to appreciation/depreciation on deferred cash compensation plans, amortization of intangible assets, acquisition-related costs, restructuring charges, and other extraordinary costs, as well as distribution and investment advisory fees; no awards received below threshold </t>
  </si>
  <si>
    <t xml:space="preserve">Multi-year grant for NEOs other than CEO and President; sizes vary from $2M-$8.5M; threshold-based vesting </t>
  </si>
  <si>
    <t>3Y Adjusted Revenue Growth</t>
  </si>
  <si>
    <t xml:space="preserve">Same adjustments as above </t>
  </si>
  <si>
    <t>CEG</t>
  </si>
  <si>
    <t>Utilities</t>
  </si>
  <si>
    <t>Renewable Energy Capture</t>
  </si>
  <si>
    <t>Previously based on customer satisfaction survey as well as Net Promoter Score</t>
  </si>
  <si>
    <t>Free Cash Flow before Growth</t>
  </si>
  <si>
    <t>Credit Rating</t>
  </si>
  <si>
    <t>Adjusted Free Cash Flow before Growth</t>
  </si>
  <si>
    <t xml:space="preserve">Excludes non-recurring Capex, growth Capex, and collateral, as well as impacts of changes in working capital </t>
  </si>
  <si>
    <t>Power Customer Satisfaction</t>
  </si>
  <si>
    <t>Nuclear Fleetwide Capacity Factor</t>
  </si>
  <si>
    <t>Excludes hedging losses/gains, decommission-related activity, asset impairments, divestiture-related costs, restructuring expenses, and retirement-related credits</t>
  </si>
  <si>
    <t>Power Dispatch Match</t>
  </si>
  <si>
    <t>Stock Appreciation Rights</t>
  </si>
  <si>
    <t>NOC</t>
  </si>
  <si>
    <t>Excludes impacts of asset sales and divestitures and after-tax impact of discretionary pension contributions and other extraordinary expenses and income</t>
  </si>
  <si>
    <t>Excludes unallocated corporate expenses, as well as intersegment sales and pension expenses</t>
  </si>
  <si>
    <t>Similar adjustments to operating income, but includes corporate segment and excludes intangible asset amortization, PP&amp;E step up depreciation ,and other extraordinary items</t>
  </si>
  <si>
    <t>Non-Financial Metrics</t>
  </si>
  <si>
    <t>Includes people (diversity, employee experience), environmental sustainability, and customer (quality, customer satisfaction)</t>
  </si>
  <si>
    <t>Performance Stock Options</t>
  </si>
  <si>
    <t>Restricted performance stock rights; half of award tied to performance against peer group and half tied to performance against S&amp;P Industrials</t>
  </si>
  <si>
    <t>3Y Adjusted Free Cash Flow</t>
  </si>
  <si>
    <t xml:space="preserve">3Y Average Adjusted ROIC </t>
  </si>
  <si>
    <t>Excludes intersegment eliminations, intangible asset amortization, PP&amp;E step-up depreciation, and gains/losses and costs related to divestitures and asset sales</t>
  </si>
  <si>
    <t xml:space="preserve">Excludes after-tax required pension contributions, divestiture and asset sale-related gains/losses; unanticipated expenses, </t>
  </si>
  <si>
    <t>Awards are capped if absolute TSR is negative</t>
  </si>
  <si>
    <t>Awards are capped at 100% if absolute TSR is negative</t>
  </si>
  <si>
    <t>DHR</t>
  </si>
  <si>
    <t>Diversified Industrials</t>
  </si>
  <si>
    <t xml:space="preserve">Excludes amortization of acquisition-related intangibles, fair value net losses on investments, acquisition-related items, impairments, litigation gains, and other extraordinary items </t>
  </si>
  <si>
    <t>Adjusted Free Cash Flow to Net Income Ratio</t>
  </si>
  <si>
    <t>Excludes cash flow impact of adjusted EPS items</t>
  </si>
  <si>
    <t xml:space="preserve">Removes impact of acquisitions and currency fluctuations </t>
  </si>
  <si>
    <t>Performance Stock</t>
  </si>
  <si>
    <t xml:space="preserve">Up or down 10 pp </t>
  </si>
  <si>
    <t>Weight should be same as performance stock, but summary compensation table values used since targets were not provided</t>
  </si>
  <si>
    <t>3Y Average ROIC Compared to Base Year</t>
  </si>
  <si>
    <t>CME</t>
  </si>
  <si>
    <t>Financial Services</t>
  </si>
  <si>
    <t>Adjusted Cash Earnings</t>
  </si>
  <si>
    <t>Similar to free cash flow, starts with net income and adds back depreciation, stock-based copmensation, amortization of purchase intangibles, and net interest expense and subtracts out capital expenditures</t>
  </si>
  <si>
    <t>Compensation Committee can adjust awards depending on its assessment of individual and company performance</t>
  </si>
  <si>
    <t>3Y Adjusted Net Profit Margin</t>
  </si>
  <si>
    <t>Excludes collateral income, licensing and fee agreements, and custody income</t>
  </si>
  <si>
    <t>MELI</t>
  </si>
  <si>
    <t>Long-Term Cash Incentive</t>
  </si>
  <si>
    <t xml:space="preserve">Adjusted Revenue </t>
  </si>
  <si>
    <t>Adjusted Total Payment Volume</t>
  </si>
  <si>
    <t>Stock Price</t>
  </si>
  <si>
    <t>Cash payment equal to product of 16.66% of half of applicable bonus and quotient of applicable year stock price over average closing price at end of previous year</t>
  </si>
  <si>
    <t>Cash payment equal to 16.66% of half of bonus paid out once a year for a period six years</t>
  </si>
  <si>
    <t>Competitive Net Promoter Score</t>
  </si>
  <si>
    <t>CB</t>
  </si>
  <si>
    <t>Insurance</t>
  </si>
  <si>
    <t>Financial Results</t>
  </si>
  <si>
    <t>Operational and Strategic Goals</t>
  </si>
  <si>
    <t xml:space="preserve">Includes execution of growth initiatives, acquisition integration, business transformation, ESG, digital technology and data analytics, and underwriting portfolio management actions </t>
  </si>
  <si>
    <t>3Y Tangible Book Value Per Share Growth</t>
  </si>
  <si>
    <t>3Y Property &amp; Casualty Combined Ratio</t>
  </si>
  <si>
    <t>Determines vesting; mix of PSUs and PSAs</t>
  </si>
  <si>
    <t>Company and Operating Unit Performance Assessment</t>
  </si>
  <si>
    <t>Unweighted discretionary assessment, looks at similar metrics to CEO</t>
  </si>
  <si>
    <t>Compared to peer group; used if performance results exceed 75th percentile</t>
  </si>
  <si>
    <t>Compared to peer group</t>
  </si>
  <si>
    <t>TXN</t>
  </si>
  <si>
    <t>Profit Sharing</t>
  </si>
  <si>
    <t>Operating Margin</t>
  </si>
  <si>
    <t>Percentage of base salary paid out as profit sharing determined by operating margin</t>
  </si>
  <si>
    <t>Equipment Rental</t>
  </si>
  <si>
    <t>URI</t>
  </si>
  <si>
    <t>Adjusted Economic Profit Improvement</t>
  </si>
  <si>
    <t>Strategic Factors Modifier</t>
  </si>
  <si>
    <t>Adjusted ROIC</t>
  </si>
  <si>
    <t>Annual targets over three year period, vesting each year; excludes currency fluctuations</t>
  </si>
  <si>
    <t>Excludes currency fluctuations, merger-related costs, restructuring charges, stock-based compensation, and impact of fair value mark-up of acquired fleet</t>
  </si>
  <si>
    <t>Annual Equity Grant</t>
  </si>
  <si>
    <t>Assumes 10% weighted cost of capital; spread betewen ROIC and weighted cost of capital; excludes currency fluctuations</t>
  </si>
  <si>
    <t>Annual targets over three year period, vesting each year; excludes currency fluctuations; performance-based RSUs</t>
  </si>
  <si>
    <t>Up or down 10%; ESG-related, three categories (Environment, Customer Sustainability, and Social Measures); includes individual assessment</t>
  </si>
  <si>
    <t>CVX</t>
  </si>
  <si>
    <t>Capital &amp; Cost Management</t>
  </si>
  <si>
    <t>Includes Personal Safety (Fatalities and Serious Injuries); Process Safety; Adjusted Net Production, Excluding Asset Sales; and Refinery Operational Availability. Adjusted Net Production is price-adjusted.</t>
  </si>
  <si>
    <t>Operating &amp; Safety Performance</t>
  </si>
  <si>
    <t>Lower Carbon</t>
  </si>
  <si>
    <t xml:space="preserve">Up or down 25% </t>
  </si>
  <si>
    <t>Compared to S&amp;P 500 Index and peers</t>
  </si>
  <si>
    <t>3Y Relative Adjusted Return on Capital Employed Improvement</t>
  </si>
  <si>
    <t>Compared to peers</t>
  </si>
  <si>
    <t xml:space="preserve">20% modification in case of negative TSR </t>
  </si>
  <si>
    <t>Includes Greenhouse Gas Management; Equity Renewable Fuels Production; Hydrogen Project Progress; and Carbon Capture, Utilization, &amp; Storage</t>
  </si>
  <si>
    <t>CVS</t>
  </si>
  <si>
    <t>Health Care</t>
  </si>
  <si>
    <t>Net Promoter Score</t>
  </si>
  <si>
    <t xml:space="preserve">Excludes impact of amortization of intangible assets, acquisition-related transaction and integration costs, restructuring charges, gains/losses on sales, opioid litigation charges, divestiture-related costs, and other extraordinary items </t>
  </si>
  <si>
    <t>Evaluates executives on leadership, business results, and people</t>
  </si>
  <si>
    <t>Workforce Modifier</t>
  </si>
  <si>
    <t>3Y Adjusted Cumulative EPS</t>
  </si>
  <si>
    <t>Same adjustments as operating income</t>
  </si>
  <si>
    <t xml:space="preserve">No upward modification if Absolute TSR is negative </t>
  </si>
  <si>
    <t>Relates to progress on strategic initiatives disclosed at December 2023 Investor Day</t>
  </si>
  <si>
    <t>Compared to S&amp;P 500 Health Care Index, up or down 25%</t>
  </si>
  <si>
    <t>FCX</t>
  </si>
  <si>
    <t>Mining</t>
  </si>
  <si>
    <t>Copper Sales (billion pounds)</t>
  </si>
  <si>
    <t>Sustainability Scorecard</t>
  </si>
  <si>
    <t>Adjusted Consolidated Unit Net Cash Costs ($/pound)</t>
  </si>
  <si>
    <t>Gold Sales (million ounces)</t>
  </si>
  <si>
    <t>Smelter Project Construction Progress</t>
  </si>
  <si>
    <t>Downward adjustments possible</t>
  </si>
  <si>
    <t xml:space="preserve">3Y Average Adjusted Return on Investment </t>
  </si>
  <si>
    <t>Compared to peer group; up or down 25%</t>
  </si>
  <si>
    <t xml:space="preserve">Excludes stock-based compensation, commodity hedges, early extinguishment of debt, litigation expenses, impairment charges, and other extraordinary items  </t>
  </si>
  <si>
    <t xml:space="preserve">Calculated as Managed Income (after-tax income before non-controlling interests, adjusted for after-tax interest and nonrecurring items) divided by total invested capital adjusted for invested capital on major projects not in service </t>
  </si>
  <si>
    <t xml:space="preserve">Excludes stock-based compensation costs, impairment costs, idle facility costs, feasibility and optimization study costs, restructuring expense, and other unusual expenses </t>
  </si>
  <si>
    <t xml:space="preserve">Includes Copper Mark and Molybdenum Mark, Climate, Tailings Management, Workforce, and Human Rights </t>
  </si>
  <si>
    <t>CMG</t>
  </si>
  <si>
    <t>Restaurants</t>
  </si>
  <si>
    <t>Restaurant Cash Flow Margin</t>
  </si>
  <si>
    <t>Site Assessment Requests</t>
  </si>
  <si>
    <t>Measure of inventory for new restaurants over next 18-24 months</t>
  </si>
  <si>
    <t>Brand Purpose Modifier</t>
  </si>
  <si>
    <t>Up or down 15% based on equal components of Food &amp; Animals (Pounds of Local Produce Purchased), People (Turnover of Diverse Employees Compared to Non-Diverse Employees), and Environment (Number of Restaurants Composting); ESG-related</t>
  </si>
  <si>
    <t>Food Safety Modifier</t>
  </si>
  <si>
    <t>Down up to 20%</t>
  </si>
  <si>
    <t xml:space="preserve">Excludes cash flow from restaurants open after start of the year to address unpredictable timelines for restaurant openings </t>
  </si>
  <si>
    <t>3Y Cumulative Net New Restaurant Openings</t>
  </si>
  <si>
    <t>Granted in form of RSUs for portion of annual incentive plan that is more than 200% of target</t>
  </si>
  <si>
    <t>Option to choose RSUs or PSUs for portion of long-term equity grant (20%)</t>
  </si>
  <si>
    <t>Lower percentage than CEO due to 2 NEOs opting to receive 20% of long-term incentive grant in RSUs rather than SARs</t>
  </si>
  <si>
    <t>Comparable Restaurant Sales Growth</t>
  </si>
  <si>
    <t>3Y Adjusted Cumulative Restaurant Cash Flow</t>
  </si>
  <si>
    <t>BKNG</t>
  </si>
  <si>
    <t>Excludes stock-based compensation expenses, acquisition-related items, and foreign exchange fluctuations and treats all capital expenditures as expenses</t>
  </si>
  <si>
    <t>Excludes acquisition-related items and foreign exchange fluctuations</t>
  </si>
  <si>
    <t>3Y Adjusted Cumulative EBITDA</t>
  </si>
  <si>
    <t>3Y Adjusted Cumulative Revenue</t>
  </si>
  <si>
    <t xml:space="preserve">Up or down 25%, compared to peers </t>
  </si>
  <si>
    <t>Payout capped at 100% of target if Absolute TSR is negative</t>
  </si>
  <si>
    <t>Discretionary adjustment based on individual and corporate performance</t>
  </si>
  <si>
    <t>KDP</t>
  </si>
  <si>
    <t>Beverages</t>
  </si>
  <si>
    <t>Excludes currency fluctuations</t>
  </si>
  <si>
    <t xml:space="preserve">Excludes currency fluctuations, impact of cash incentives, mark to market losses/gains, amortization of intangibles, amortization of deferred financing costs, stock-based compensation, restructuring costs, productivity expenses, impairment charges, transaction costs, and other extraordinary items. </t>
  </si>
  <si>
    <t>Addition of performance vesting conditions to 75% of CEO’s multi-year RSU award granted in September 2020; 25% stayed time-based. Vesting conditions centered on Relative TSR vs S&amp;P 500 over 1Y, 2Y, and 3Y time periods. There also is a requirement that executives own a certain amount of stock and they will receive matching RSUs if they meet minimum commitment amount.</t>
  </si>
  <si>
    <t>For business unit executives, 75% from enterprise-wide performance, 25% from business unit performance</t>
  </si>
  <si>
    <t>Requirement that executives own a certain amount of stock and they will receive matching RSUs if they meet minimum commitment amount.</t>
  </si>
  <si>
    <t>UNP</t>
  </si>
  <si>
    <t>Railroads</t>
  </si>
  <si>
    <t>Adjusted Operating Ratio</t>
  </si>
  <si>
    <t>Adjusts fuel expense and revenue from actual price to price assumed in approved financial plan to address fuel price fluctuations</t>
  </si>
  <si>
    <t>Strategic Scorecard</t>
  </si>
  <si>
    <t>Based on shared set of strategic goals in areas such as safety, customer service, trip plan compliance, market share, employee engagement, and renewable fuel blend</t>
  </si>
  <si>
    <t>Excludes gains on sales of real estate, tax adjustments, accounting changes, reclassifications, and other non-recurring items</t>
  </si>
  <si>
    <t>3Y Relative Operating Income Growth</t>
  </si>
  <si>
    <t>Compared to S&amp;P 100 Industrials Index and Class I Railroads</t>
  </si>
  <si>
    <t>BA</t>
  </si>
  <si>
    <t xml:space="preserve">CEO elected not to receive cash incentive pay for 2023 because of poor performance </t>
  </si>
  <si>
    <t>Includes company revenue and business unit revenue (averaged for CEO)</t>
  </si>
  <si>
    <t>Business Unit Operating Income</t>
  </si>
  <si>
    <t>Average of business unit performance for CEO</t>
  </si>
  <si>
    <t>Adjusts for pension and postretirement accounting costs</t>
  </si>
  <si>
    <t>Production Stability</t>
  </si>
  <si>
    <t>Production Quality</t>
  </si>
  <si>
    <t>Focused on deliveries vs plan</t>
  </si>
  <si>
    <t>Employee Safety</t>
  </si>
  <si>
    <t xml:space="preserve">Climate </t>
  </si>
  <si>
    <t>Measured in terms of energy consumption</t>
  </si>
  <si>
    <t>Equity, Diversity, and Inclusion</t>
  </si>
  <si>
    <t>3Y Cumulative Free Cash Flow</t>
  </si>
  <si>
    <t>Product Safety Modifier</t>
  </si>
  <si>
    <t>CEO received one-time matching award for RSU purchases in 2023</t>
  </si>
  <si>
    <t>CE</t>
  </si>
  <si>
    <t>Occupational Safety</t>
  </si>
  <si>
    <t>Process Safety</t>
  </si>
  <si>
    <t>Environment</t>
  </si>
  <si>
    <t>Quality</t>
  </si>
  <si>
    <t>Excludes refinancing expense; earnings and losses from discontinued operations; divestiture-related gains and losses; impairment costs; actuarial gains and losses; litigation costs; exit and shutdown costs; impacts from plant incidents and natural disasters; and items related to mergers, acquisitions, and dispositions</t>
  </si>
  <si>
    <t xml:space="preserve">Adjusts for contributions from or distributions to noncontrolling joint ventures </t>
  </si>
  <si>
    <t>Same adjustments as Adjusted EBITDA</t>
  </si>
  <si>
    <t>Down 20% and up 20%, compared to Dow Jones US Chemical Industry Index</t>
  </si>
  <si>
    <t>Only for NEOs, not for CEO</t>
  </si>
  <si>
    <t>Performanced-based RSUs, same adjustments as Adjusted EBITDA</t>
  </si>
  <si>
    <t>Total recordable incident rate</t>
  </si>
  <si>
    <t xml:space="preserve">Number of incidents of significant unplanned or uncontrolled release of primary contaminants </t>
  </si>
  <si>
    <t xml:space="preserve">Number of significant and major chemical releases into environment </t>
  </si>
  <si>
    <t xml:space="preserve">Number of high-severity product quality incidents </t>
  </si>
  <si>
    <t>YUM</t>
  </si>
  <si>
    <t>Adjusted Same Store Sales Growth</t>
  </si>
  <si>
    <t>3Y Revenue CAGR</t>
  </si>
  <si>
    <t>3Y Adjusted Operating Income CAGR</t>
  </si>
  <si>
    <t xml:space="preserve">Up or down 25%, compared to S&amp;P 500 Consumer Discretionary Index; total payout capped at 200% of target </t>
  </si>
  <si>
    <t>Includes division metrics; for division NEOs, 75% division performance, 25% overall corporate performance</t>
  </si>
  <si>
    <t xml:space="preserve">Excludes currency fluctuations, gains and losses associated with market-wide refranchising, divestiture-related items, restructuring charges, and other non-recurring expenses </t>
  </si>
  <si>
    <t>COP</t>
  </si>
  <si>
    <t>Operations</t>
  </si>
  <si>
    <t xml:space="preserve">Absolute and Relative Health, Safety, and Environmental </t>
  </si>
  <si>
    <t>Strategic Milestones</t>
  </si>
  <si>
    <t>Energy Transition Milestones</t>
  </si>
  <si>
    <t>Individual Discretionary Adjustment</t>
  </si>
  <si>
    <t>Negative adjustments possible</t>
  </si>
  <si>
    <t>3Y Adjusted Return on Capital Employed</t>
  </si>
  <si>
    <t>Related to new projects, action plans for risks, and DE&amp;I strategy, ESG-related</t>
  </si>
  <si>
    <t xml:space="preserve">Includes greenhouse gas emissions intensity, progress on Net Zero Energy Transition plan, and other carbon-related initiatives </t>
  </si>
  <si>
    <t>Includes total recordable injury rate and process safety events</t>
  </si>
  <si>
    <t>HAL</t>
  </si>
  <si>
    <t>Adjusted NOPAT</t>
  </si>
  <si>
    <t>Adjusted Asset Turnover</t>
  </si>
  <si>
    <t>Greenhouse Gas Emissions Reduction Performance</t>
  </si>
  <si>
    <t xml:space="preserve">Diversity and Inclusion Performance </t>
  </si>
  <si>
    <t xml:space="preserve">Adds back foreign currency gains/losses and other non-operating income and adjusts for unusual items </t>
  </si>
  <si>
    <t xml:space="preserve">Excludes cash and marketable investment, deferred tax assets, debt (including finance lease liabilities) and non-current deferred income tax liabilities </t>
  </si>
  <si>
    <t>3Y Average Return on Capital Employed</t>
  </si>
  <si>
    <t>Up or down 25%, compared to PHLX Oil Service Sector constituents</t>
  </si>
  <si>
    <t>3Y Relative Average Return on Capital Employed</t>
  </si>
  <si>
    <t>Award capped at 100% of target if this is negative</t>
  </si>
  <si>
    <t>Same determinants as performance stock</t>
  </si>
  <si>
    <t>Calculated as (NI + After-Tax Interest Expense)/Average Invested Capital, compared to peer group</t>
  </si>
  <si>
    <t>Restricted stock rights</t>
  </si>
  <si>
    <t>Categories examined: Risk, Regulatory, &amp; Control; Financial; Strategy, Technology, &amp; Innovation; and Talent, Leadership, &amp; Culture (including DE&amp;I)</t>
  </si>
  <si>
    <t>3Y Average Adjusted Return on Tangible Common Equity</t>
  </si>
  <si>
    <t>3Y Relative Average Adjusted Return on Tangible Common Equity</t>
  </si>
  <si>
    <t>Up or down 25%, compared to peer group</t>
  </si>
  <si>
    <t>Target number of performance stock awards reduced by a third for any year in 3Y period where company incurs a net operating loss</t>
  </si>
  <si>
    <t>Restricted share rights</t>
  </si>
  <si>
    <t>Includes business line performance (20%) for business line CEOs</t>
  </si>
  <si>
    <t>Company Performance Assessment</t>
  </si>
  <si>
    <t xml:space="preserve">Performance Stock Award; adjusts for losses resulting from discontinued operations, changes in accounting principles, reversals of credit loss reserves taken in 2020, operating losses in third and fourth quarters of 2022 due to litigation and customer remediation matters, , and FDIC special assessment. For CEO, adjusted to exclude impact of any penalties or other charges related to litigation or investigations of Wells Fargo's retail sales practices </t>
  </si>
  <si>
    <t>SLB</t>
  </si>
  <si>
    <t xml:space="preserve">Excludes impacts of asset impairments, losses/gains on sales, goodwill, Asset Performance Solution investments, restructurings, divestitures, unrealized gains on marketable securities, and intangible assets </t>
  </si>
  <si>
    <t>Measures emissions intensity reduction and gender diversity</t>
  </si>
  <si>
    <t>3Y Free Cash Flow Margin</t>
  </si>
  <si>
    <t>Same items as Free Cash Flow</t>
  </si>
  <si>
    <t>Compared to peer group and S&amp;P Global 1200 Energy Index</t>
  </si>
  <si>
    <t>Compensation Committee has discretion to cap payouts on ROCE PSUs at 100% of target in the event of material asset impairments</t>
  </si>
  <si>
    <t>Includes Asset Performance Solution investments and capitalizes exploration data</t>
  </si>
  <si>
    <t>NOW</t>
  </si>
  <si>
    <t>Adjusted Net New Annual Contract Value</t>
  </si>
  <si>
    <t>Excludes impact of currency fluctuations; annual value of all new contracts minus the annual value of all contracts that have expired and the reduction in annual value from contracts reduced in size or scope</t>
  </si>
  <si>
    <t xml:space="preserve">Excludes stock-based compensation, amortization of purchased intangibles, legal settlements, business combination and other related costs, and impact of currency fluctuations </t>
  </si>
  <si>
    <t>Non-Financial Goals</t>
  </si>
  <si>
    <t xml:space="preserve">Up to -25% of modification based on non-financial goals; in 2023, these were Customer Experience and Value Realization; New Logos; Product Quality; and People and Culture (ESG) </t>
  </si>
  <si>
    <t>Need to hit at least 85% of target  for anything to vest</t>
  </si>
  <si>
    <t>3Y Adjusted Subscription Revenues</t>
  </si>
  <si>
    <t>Up to 20% of modification, compared to S&amp;P 500</t>
  </si>
  <si>
    <t>Performance restricted share units, excludes currency fluctuations</t>
  </si>
  <si>
    <t>COF</t>
  </si>
  <si>
    <t>3Y Adjusted Return on Tangible Common Equity</t>
  </si>
  <si>
    <t>3Y Relative Adjusted Return on Tangible Common Equity</t>
  </si>
  <si>
    <t xml:space="preserve">3Y Relative Dividends + Tangible Book Value per Share </t>
  </si>
  <si>
    <t xml:space="preserve">Same performance factors as above </t>
  </si>
  <si>
    <t xml:space="preserve">Compared to KBW Bank Index </t>
  </si>
  <si>
    <t xml:space="preserve">Compared to KBW Bank Index, excludes impairment, amortization, and re-measurement of intangible assets </t>
  </si>
  <si>
    <t xml:space="preserve">Downward modification if Adjusted ROTCE is negative for one or more years in 3Y performance period </t>
  </si>
  <si>
    <t>3Y Adjusted Revenue</t>
  </si>
  <si>
    <t>Up or down 20%, compared to peer group</t>
  </si>
  <si>
    <t>Includes segment metrics for the one segment NEO</t>
  </si>
  <si>
    <t xml:space="preserve">Reduced by fact that one NEO is a segment leader </t>
  </si>
  <si>
    <t xml:space="preserve">Included because one NEO is a segment leader, not used otherwise </t>
  </si>
  <si>
    <t>New Product Innovations</t>
  </si>
  <si>
    <t>Injury and Illness Rate</t>
  </si>
  <si>
    <t>Up or down 5%, focused on Precision Care and measured based on percentage of orders attributed to new product introductions over 5Q period</t>
  </si>
  <si>
    <t xml:space="preserve">Up or down 5% </t>
  </si>
  <si>
    <t xml:space="preserve">Excludes impacts of currency fluctuations and sales from recent acquisitions and dispositions with less than a full year of comparable net sales </t>
  </si>
  <si>
    <t xml:space="preserve">Excludes income/loss from discontinued operations, restructuring costs, acquisition and disposition-related charges, spin-off and separation costs, gains/losses on business and asset dispositions, amortization of acquisition-related intangible assets, and investment revaluation gains/loss </t>
  </si>
  <si>
    <t xml:space="preserve">Includes additions to internal-use software, as well as impacts of dispositions of PP&amp;E and the impact of factoring programs </t>
  </si>
  <si>
    <t>Similar adjustments to Adjusted Operating Income, also excludes non-operating benefit (income) costs</t>
  </si>
  <si>
    <t>UBER</t>
  </si>
  <si>
    <t>Transportation</t>
  </si>
  <si>
    <t>Strategic and Operational Priorities</t>
  </si>
  <si>
    <t>Gross Bookings</t>
  </si>
  <si>
    <t>Same adjustments as above; measured as percetage of gross bookings</t>
  </si>
  <si>
    <t>3Y Average Gross Bookings Growth</t>
  </si>
  <si>
    <t>Two metrics are percentage of managers that are women and percentage of senior analysts and above who come from US underrepresented groups</t>
  </si>
  <si>
    <t>3Y Safety Improvement</t>
  </si>
  <si>
    <t xml:space="preserve">Two metrics are percent reduction in Critical Sexual Assault and Motor Vehicle Crash Fatalities </t>
  </si>
  <si>
    <t>3Y Diversity, Equity, and Inclusion</t>
  </si>
  <si>
    <t xml:space="preserve">Excludes legal, tax, and regulatory reserve changes and settlements; goodwill and asset impairments; gains/losses on sales of assets; acquisition, financing, and divestiture-related expenses; restructuring charges; and other extraordinary items </t>
  </si>
  <si>
    <t>Up or down 30%, compared to S&amp;P 500</t>
  </si>
  <si>
    <t>DG</t>
  </si>
  <si>
    <t>Discount Stores</t>
  </si>
  <si>
    <t>Excludes impact of costs, fees, and expenses related to transaction that results in Change in Control or securities offering, disaster-related charges, LIFO provision or benefit unusual items, and unplanned losses or gains</t>
  </si>
  <si>
    <t>Same adjustments as Adjusted Operating Income</t>
  </si>
  <si>
    <t>1Y performance period; same adjustments as Adjusted Operating Income</t>
  </si>
  <si>
    <t>MDLZ</t>
  </si>
  <si>
    <t>Specialty Food</t>
  </si>
  <si>
    <t>Adjusted Gross Profit Growth</t>
  </si>
  <si>
    <t>Excludes impacts of acquisitions, divestitures, and short-term distributor agreements related to sales of businesses; restructuring costs; mark-to-market impacts from derivative contracts; inventory step-up charges; and other extraordinary items</t>
  </si>
  <si>
    <t>Free Cash Flow Growth</t>
  </si>
  <si>
    <t>Adjusted Volume Growth</t>
  </si>
  <si>
    <t>Adjusted Operating Income Growth</t>
  </si>
  <si>
    <t>Snacks Leadership</t>
  </si>
  <si>
    <t>Excludes acquisitions, divestitures, short-term distributor agreements related to sale of business, and currency fluctuations</t>
  </si>
  <si>
    <t>Excludes acquisitions, divestitures, and short-term distributor agreements related to sale of business</t>
  </si>
  <si>
    <t>Similar adjustments to Adjusted Gross Profit Growth</t>
  </si>
  <si>
    <t>Measured by growth in multiple snacking categories</t>
  </si>
  <si>
    <t xml:space="preserve">Includes Sustainability, Mindful Snacking, and Colleagues </t>
  </si>
  <si>
    <t>Up or down 24% (30%*0.8) based on net revenue weighted across key markets</t>
  </si>
  <si>
    <t>Excludes gains/losses on asset sales and equity method transactions, impairment charges on goodwill and intangible assets, loss on debt extinguishment, and other extraordinary items that mirror Adjusted Operating Profit adjustments</t>
  </si>
  <si>
    <t>Same adjustments as for cash incentive plan</t>
  </si>
  <si>
    <t>Includes regional metrics; 80-20 regional/national weighting for 2 regional NEOs</t>
  </si>
  <si>
    <t>QSR</t>
  </si>
  <si>
    <t>Net New Restaurants</t>
  </si>
  <si>
    <t>3Y Cumulative Net New Restaurants</t>
  </si>
  <si>
    <t xml:space="preserve">Matching RSUs, similar to Keurig Dr Pepper; size is based on cash incentive bonus </t>
  </si>
  <si>
    <t>Includes business unit performance and company-level performance for 3 business unit executives</t>
  </si>
  <si>
    <t>Seems to be just business unit performance for 3 business unit executives</t>
  </si>
  <si>
    <t>Size is based on cash incentive bonus</t>
  </si>
  <si>
    <t xml:space="preserve">Excludes franchise agreement amortization as a result of acquisition accounting, gains/losses from equity method investments, other operating expenses, acquisition-related items, restructuring costs, and other extraordinary items </t>
  </si>
  <si>
    <t>Franchisee Profitability</t>
  </si>
  <si>
    <t xml:space="preserve">Corporate and Individual Performance </t>
  </si>
  <si>
    <t xml:space="preserve">Up or down 20% </t>
  </si>
  <si>
    <t>Need to achieve at least 50% of target for bonus payout</t>
  </si>
  <si>
    <t xml:space="preserve">Downward adjustment if certain expense targets or compliance requirements (undisclosed) are not met </t>
  </si>
  <si>
    <t xml:space="preserve">Weighted average of brand performance </t>
  </si>
  <si>
    <t>IR</t>
  </si>
  <si>
    <t xml:space="preserve">Excludes stock-based compensation, restructuring costs, acquisition-related expenses, foreign currency transaction gains, gains/losses on equity investments, loss on extinguishment of debt, adjustments to LIFO inventories, and other extraordinary items </t>
  </si>
  <si>
    <t>Compared to S&amp;P 500 Industrials</t>
  </si>
  <si>
    <t>5Y Adjusted EPS CAGR</t>
  </si>
  <si>
    <t>Determines 75% of one-time award granted in 2022</t>
  </si>
  <si>
    <t>Determines 25% of one-time award granted in 2022</t>
  </si>
  <si>
    <t xml:space="preserve">5Y Absolute TSR </t>
  </si>
  <si>
    <t>Annual threshold for one-time award granted in 2022</t>
  </si>
  <si>
    <t>Business Unit Adjusted EBITDA</t>
  </si>
  <si>
    <t>Same adjustments as Adjusted EPS</t>
  </si>
  <si>
    <t>Business Unit Operating Cash Flow</t>
  </si>
  <si>
    <t>Numbers skewed because 3 of 4 NEOs have same weightings as CEO, but 1 NEO is a business unit executive with different pay metrics</t>
  </si>
  <si>
    <t>ABNB</t>
  </si>
  <si>
    <t>Multi-year RSU grant given in November 2020, vesting contingent on achieving stock price targets</t>
  </si>
  <si>
    <t>Business Performance</t>
  </si>
  <si>
    <t>The Roadmap</t>
  </si>
  <si>
    <t>Other Foundation</t>
  </si>
  <si>
    <t>Technology</t>
  </si>
  <si>
    <t>Example metrics include Deliver Business Plan and Make Hosting Mainstream</t>
  </si>
  <si>
    <t>Example metrics include Product Releases</t>
  </si>
  <si>
    <t>Example metrics include Fixed Cost Management, Employee Experience, and Public Actions to Serve Stakeholders</t>
  </si>
  <si>
    <t>Example metrics include Community Support Interactions and Variable Costs</t>
  </si>
  <si>
    <t xml:space="preserve">Should be 50-50 split between stock options and RSUs, but numbers do not reflect that </t>
  </si>
  <si>
    <t>Example metrics include Efficient Use of Infrastructure</t>
  </si>
  <si>
    <t>MS</t>
  </si>
  <si>
    <t>Qualitative Company Performance Factors</t>
  </si>
  <si>
    <t>Quantitative Company Performance Factors</t>
  </si>
  <si>
    <t xml:space="preserve">Includes Effective Risk and Control Framework; Culture, Leadership, Strategy, Resilience, Reputation, and Deepening of MUFG Alliance; Global Regulatory Standing; Workforce Resilience and Diversity; and Credit Rating </t>
  </si>
  <si>
    <t>3Y Absolute Return on Tangible Common Equity</t>
  </si>
  <si>
    <t>3Y Relative Return on Tangible Common Equity</t>
  </si>
  <si>
    <t>One-time staking awards given to 3 NEOs have performance stock component with same metrics</t>
  </si>
  <si>
    <t xml:space="preserve">Includes Effective Risk and Control Framework; Culture, Leadership, Strategy, Resilience, Reputation, and Deepening of MUFG Alliance; Global Regulatory Standing; Workforce Resilience and Diversity (ESG); and Credit Rating </t>
  </si>
  <si>
    <t>AON</t>
  </si>
  <si>
    <t xml:space="preserve">Paid out in performance stock with same vesting conditions as long-term performance stock grant; excludes amortization and impairment of intangible assets, restructuring costs, legal settlement expenses, and other extraordinary items  </t>
  </si>
  <si>
    <t>People and Culture</t>
  </si>
  <si>
    <t xml:space="preserve">Qualitative goals in recruitment, promotion, education, and representation strategy pillars </t>
  </si>
  <si>
    <t>No awards if 70% of 2022 Adjusted Operating Income not achieved; percentage likely changes year to year</t>
  </si>
  <si>
    <t>Compensation Committee can make discretionary adjustments</t>
  </si>
  <si>
    <t>Stock price hurdle for PSUs paid out as part of Annual Incentive Payment</t>
  </si>
  <si>
    <t>Similar adjustments to Adjusted Operating Income, also excludes incremental growth in fiduciary investment income over past year</t>
  </si>
  <si>
    <t>Paid out in performance stock for all NEOs except one, who received a portion in cash</t>
  </si>
  <si>
    <t>20% to 10% discretionary adjustments by CEO; upward adjustments require Compensation Committee approval; Compensation Committee can also make additional adjustments</t>
  </si>
  <si>
    <t>2 NEOs received one-time PSU grants in July 2023; vesting tied to share price targets</t>
  </si>
  <si>
    <t>SNPS</t>
  </si>
  <si>
    <t xml:space="preserve">Excludes stock-based compensation, amortization of intangible assets, acquisition-related items, restructuring charges, and non-qualified deferred compensation plan </t>
  </si>
  <si>
    <t>FY+1 Revenue Backlog</t>
  </si>
  <si>
    <t>Multiplier of 85-150% percent</t>
  </si>
  <si>
    <t>FY+2 Revenue Backlog</t>
  </si>
  <si>
    <t>Multiplier of 100-110% percent</t>
  </si>
  <si>
    <t>Organizational Performance Goals</t>
  </si>
  <si>
    <t>0 pp if threshold not met, 8-10 pp modification otherwise; 40% Retain Talent, 30% Increase Representation, and 30% Employee Engagement Score; ESG-related</t>
  </si>
  <si>
    <t>Threshold of 70% of target must be hit for award to pay out</t>
  </si>
  <si>
    <t>3Y Adjusted Revenue CAGR</t>
  </si>
  <si>
    <t>Up or down 25%, compared to S&amp;P 500</t>
  </si>
  <si>
    <t xml:space="preserve">Performance-based restricted stock units, adds back unreimbursed lost revenue incurred as a result of unusual or non-recurring transactions or events, lost revenue as a result of changes in trade or public policies, and significant incremental impact resulted from new accounting guidance or standards. Exclude revenue related to acquisitions or divestitures </t>
  </si>
  <si>
    <t>SRE</t>
  </si>
  <si>
    <t xml:space="preserve">Excludes currency fluctuations, impacts of acquisitions and divestitures, unrealized mark-to-market gains/losses on derivatives, unplanned pension returns, impairments, litigation charges, and other extraordinary items </t>
  </si>
  <si>
    <t>Safety</t>
  </si>
  <si>
    <t>Half Public Safety (e.g., damage prevention, gas leak and power shutoff responses) and half Employee and Contractor Safety</t>
  </si>
  <si>
    <t>Environmental, Culture, and Governance</t>
  </si>
  <si>
    <t xml:space="preserve">Each weighted a third </t>
  </si>
  <si>
    <t>Half compared to S&amp;P 500 Utilities Index, half to S&amp;P 500</t>
  </si>
  <si>
    <t>3Y Relative Adjusted EPS CAGR</t>
  </si>
  <si>
    <t>Same adjustments as Adjusted Net Income, as well as excludes share purchases</t>
  </si>
  <si>
    <t>HLT</t>
  </si>
  <si>
    <t>Explained below</t>
  </si>
  <si>
    <t xml:space="preserve">Adjusted Free Cash Flow per Share in 3Y </t>
  </si>
  <si>
    <t>Adjusted EBITDA in 3Y</t>
  </si>
  <si>
    <t>3Y Adjusted Net Unit Growth CAGR</t>
  </si>
  <si>
    <t xml:space="preserve">REvPar Index Growth in 3Y </t>
  </si>
  <si>
    <t xml:space="preserve">Excludes stock-based compensation, gains/losses associated with asset dispositions, impacts of debt restructurings and retirements, restructuring costs, non-cash impairment costs, amortization of contract acquisition costs, reimbursement revenues and expenses including in other revenues and expenses from managed and franchised properties, and other items </t>
  </si>
  <si>
    <t xml:space="preserve">Excludes the same items as Adjusted EBITDA, as well as net impact from loyalty program advanced point sales </t>
  </si>
  <si>
    <t>Excludes impact from any portfolio acquisition or disposition</t>
  </si>
  <si>
    <t>Franchise Fees</t>
  </si>
  <si>
    <t>Business Area Performance</t>
  </si>
  <si>
    <t>Business Area Performance and Organizational Strength</t>
  </si>
  <si>
    <t>Includes Lead with Our Culture (e.g., Progress Toward Travel with Purpose 2030 Goals, Global Team Member Engagement Survey) and Maximize Customer Experience</t>
  </si>
  <si>
    <t>1 NEO has 20% of his payout tied to franchise fees, while the metric is not included for other NEOs, skewing the averages</t>
  </si>
  <si>
    <t>MAT</t>
  </si>
  <si>
    <t>3Y Cumulative Adjusted Free Cash Flow</t>
  </si>
  <si>
    <t>HAS</t>
  </si>
  <si>
    <t>MSI</t>
  </si>
  <si>
    <t xml:space="preserve">Compensation and Leadership Committee has discretion to reduce if absolute TSR is negative </t>
  </si>
  <si>
    <t>Market Stock Units</t>
  </si>
  <si>
    <t xml:space="preserve">Excludes share-based compensation, reorganization of business charges, intangible assets amortization expenses, tangible and intangible asset impairments, certain non-cash pension adjustments, legal settlements and other contingencies, gains and losses on investments and asset sales, gains and losses on extinguishment of debt, and other extraordinary items </t>
  </si>
  <si>
    <t>Evaluated based on progress on financial, operational, long-term strategic, and people goals</t>
  </si>
  <si>
    <t>ACN</t>
  </si>
  <si>
    <t xml:space="preserve">Company Performance </t>
  </si>
  <si>
    <t xml:space="preserve">Compared to peer group and S&amp;P 500 Total Return Index </t>
  </si>
  <si>
    <t>Performance stock is performance-based restricted stock, excludes restructuring expenses; annual targets over 3 year period</t>
  </si>
  <si>
    <t>Does not include matching program where executives can commit up to 30% of cash incentives to stock purchases and then receive a 50% match</t>
  </si>
  <si>
    <t>If relative TSR is below 55th percentile over prior two-year period vs peer group, modifier is capped at 0%</t>
  </si>
  <si>
    <t>DHI</t>
  </si>
  <si>
    <t>Homebuilding</t>
  </si>
  <si>
    <t>Pre-Tax Income</t>
  </si>
  <si>
    <t>Size of bonus is based on fixed percentage of pre-tax income</t>
  </si>
  <si>
    <t>Same determinants as cash incentives</t>
  </si>
  <si>
    <t xml:space="preserve">Compensation Committee has ability to reduce bonus downward </t>
  </si>
  <si>
    <t>Compared to S&amp;P 500 Index TSR</t>
  </si>
  <si>
    <t>3Y Relative Return on Investment</t>
  </si>
  <si>
    <t>Compared to peers; defined as pre-tax income divided by average total assets</t>
  </si>
  <si>
    <t>3Y Relative Homebuilding Segment Gross Margin</t>
  </si>
  <si>
    <t>Includes inventory and land-option charges</t>
  </si>
  <si>
    <t>AJG</t>
  </si>
  <si>
    <t>3Y Adjusted EBITDA</t>
  </si>
  <si>
    <t>Deferred Equity Grant</t>
  </si>
  <si>
    <t>Vests if employee is still employed at company at age 62</t>
  </si>
  <si>
    <t>Matrix of Adjusted Revenue Growth and Adjusted EBITDA used to determine pay; Adjusted Revenue Growth excludes gains/losses on divestitures and foreign currency fluctuations; only for Brokerage and Risk Management, no corporate</t>
  </si>
  <si>
    <t>Excludes estimated acquisition earnout payables, gains on sales of books of business, restructuring charges, and foreign currency fluctuations; only for Brokerage &amp; Risk Management, no corporate</t>
  </si>
  <si>
    <t>AMGN</t>
  </si>
  <si>
    <t>Execute Key Clinical Studies and Regulatory Filings</t>
  </si>
  <si>
    <t>Advance Early Pipeline</t>
  </si>
  <si>
    <t>Successful Integrations and Collaborations</t>
  </si>
  <si>
    <t>Excludes acquisition and licensing-related expenses and restructuring costs</t>
  </si>
  <si>
    <t xml:space="preserve">Measured by metrics, such as number of new product teams, IND approvals, and number of new human studies </t>
  </si>
  <si>
    <t xml:space="preserve">Focused on environmental sustainability, diversity of clinical trials, and diversity and inclusion in management </t>
  </si>
  <si>
    <t xml:space="preserve">Focused on integration of acquisitions and collaborations; targets include employee retention and growth of acquired companies </t>
  </si>
  <si>
    <t>Same adjustments as above, annual targets of 3Y</t>
  </si>
  <si>
    <t>Relative TSR modifier capped at 100% of target if Absolute TSR is negative</t>
  </si>
  <si>
    <t>MO</t>
  </si>
  <si>
    <t>Adjusted Operating Companies Income</t>
  </si>
  <si>
    <t>Adjusted Discretionary Cash Flow</t>
  </si>
  <si>
    <t>Strategic Initiatives/Other Considerations</t>
  </si>
  <si>
    <t xml:space="preserve">Not disclosed for competitive reasons </t>
  </si>
  <si>
    <t>Modifier on business performance rating of -20 to 20%, compared to S&amp;P 500 Food, Beverage, and Tobacco Index</t>
  </si>
  <si>
    <t>3Y Adjusted Cash Conversion</t>
  </si>
  <si>
    <t>Compensation and Talent Development Committee has discretion to adjust awards up or down</t>
  </si>
  <si>
    <t xml:space="preserve">Excludes adjusted items related to non-participating manufacturers in master settlement; acquisition, disposition, and integrated-related items; tobacco, health, and other litigation items; loss on disposition of JUUL equity securities; AB InBev-related items; Cronos-related items; and other extraordinary items  </t>
  </si>
  <si>
    <t>OCI is operating income excluding amortization of intangibles and general corporate expenses, excludes similar items to adjusted EPS</t>
  </si>
  <si>
    <t xml:space="preserve">Adjusted Discretionary Cash Flow starts with change in cash, cash equivalents, and restricted cash and adds back dividends, repurchases, net long-term payments, proceeds from asset sales and acquisition expenses, and net tax benefit associated with JUUL related losses </t>
  </si>
  <si>
    <t xml:space="preserve">Includes initiatives related to talent; long-term profitability of smokeless tobacco; increasing customer engagement and productivity with data and technology; moving toward smoke-free future through products, science, and advocacy; and consumer-centric adjacency growth system </t>
  </si>
  <si>
    <t xml:space="preserve">DE&amp;I assessment performed on each executive; rating of Advocate or Ally required to receive highest individual performance rating </t>
  </si>
  <si>
    <t>75% of business performance rating, which is 50% of determinants, same adjustments as above</t>
  </si>
  <si>
    <t xml:space="preserve">Portion of adjusted net income that is converted to adjusted discretionary cash flow </t>
  </si>
  <si>
    <t>TGT</t>
  </si>
  <si>
    <t>Specialty Store</t>
  </si>
  <si>
    <t>Excludes short-term incentive expense</t>
  </si>
  <si>
    <t>Team Scorecard</t>
  </si>
  <si>
    <t>Compared to peer group, excludes sales from divested assets and 53rd week; represents PSU portion of performance stock award (~60% of total)</t>
  </si>
  <si>
    <t>3Y Relative EPS CAGR</t>
  </si>
  <si>
    <t>Represents PSU portion of performance stock award (~60% of total)</t>
  </si>
  <si>
    <t>3Y Relative Adjusted ROIC</t>
  </si>
  <si>
    <t>Represents PSU portion of performance stock award (~60% of total), excludes discontinued operations</t>
  </si>
  <si>
    <t>Performance-based restricted stock portion of performance stock award (~40% of total)</t>
  </si>
  <si>
    <t>3Y Relative Adjusted Revenue CAGR</t>
  </si>
  <si>
    <t>INTC</t>
  </si>
  <si>
    <t xml:space="preserve">Annual targets over 3Y </t>
  </si>
  <si>
    <t>Up or down 12.5%, compared to S&amp;P 500</t>
  </si>
  <si>
    <t>Up or down 12.5%</t>
  </si>
  <si>
    <t>Excludes impact of significant divestitures</t>
  </si>
  <si>
    <t>Excludes share-based compensation, acquisition-related items, patent settlement impacts, impairment charges, and divestiture impacts</t>
  </si>
  <si>
    <t xml:space="preserve">Likely at company level, unclear since company just changed to this metric in 2024; likely excludes same items as Adjusted Gross margin, as well as restructuring charges </t>
  </si>
  <si>
    <t>VICI</t>
  </si>
  <si>
    <t>REIT</t>
  </si>
  <si>
    <t xml:space="preserve">FFO is net income attributable to common stockholders, excluding gains or losses from sales of real estate assets, depreciation and amortization related to real estate, gains and losses from change in control, impairment write-downs, and proportionate share of adjustments from investment in unconsolidated affiliate. AFFO adds/subtracts out non-cash leasing and financing adjustments, non-cash change in allowance for credit losses, stock-based compensation expense, amortization of debt issuance costs, transaction costs, capital expenditures, non-real estate depreciation, impairment charges, gains/losses on debt extinguishment and interest rate swap settlements, and other extraordinary items </t>
  </si>
  <si>
    <t>Compared to MSCI US REIT Index</t>
  </si>
  <si>
    <t>2Y Adjusted Funds from Operations per Share Growth</t>
  </si>
  <si>
    <t>COST</t>
  </si>
  <si>
    <t>Food Retail</t>
  </si>
  <si>
    <t>Adjusted Pre-Tax Income Growth</t>
  </si>
  <si>
    <t>Excludes foreign currency fluctuations and extra week in FY23 and adjusts for discontinuation of charter shipping activities</t>
  </si>
  <si>
    <t>Excludes foreign currency fluctuations and extra week in FY23</t>
  </si>
  <si>
    <t>1Y performance period, same adjustments as above, threshold needs to be hit for this or revenue growth for full payout</t>
  </si>
  <si>
    <t>Include undisclosed DE&amp;I, resource consumption, and other environmental metrics</t>
  </si>
  <si>
    <t>KLAC</t>
  </si>
  <si>
    <t xml:space="preserve">Balanced Scorecard </t>
  </si>
  <si>
    <t>Up or down 20%</t>
  </si>
  <si>
    <t xml:space="preserve">Performance-based restricted stock; compared to peers; large one-time EPS-based performance stock awards granted in FY23 based on Adjusted EPS </t>
  </si>
  <si>
    <t>3Y Relative Free Cash Flow Margin</t>
  </si>
  <si>
    <t>ANET</t>
  </si>
  <si>
    <t>Information Technology</t>
  </si>
  <si>
    <t xml:space="preserve">No weight specified, helps determine overall size of bonus pool; excludes stock-based compensation expenses, acquisition-related costs, amortization of intangible assets, and other non-recurring items </t>
  </si>
  <si>
    <t>Revenue and Adjusted Operating Income help determine size of bonus pool, but payout percentage of target determined by Compensation Committee based on individual factors, assessment of overall company performance, and market comparisons</t>
  </si>
  <si>
    <t>2Y Adjusted Gross Margin</t>
  </si>
  <si>
    <t>Annual target</t>
  </si>
  <si>
    <t xml:space="preserve">Annual target, same adjustments as above </t>
  </si>
  <si>
    <t>Excludes stock-based compensation and intangible asset amortization</t>
  </si>
  <si>
    <t>Annual targets over 3Y</t>
  </si>
  <si>
    <t xml:space="preserve">Threshold of 85% of revenue target must be achieved before incentive payments can be made </t>
  </si>
  <si>
    <t>BMY</t>
  </si>
  <si>
    <t xml:space="preserve">Adjusted Growth Portfolio Revenue </t>
  </si>
  <si>
    <t>Likely excludes foreign currency fluctuations, judging from previous revenue metrics included</t>
  </si>
  <si>
    <t>Seems to be unadjusted</t>
  </si>
  <si>
    <t xml:space="preserve">Pipeline metric is 50% on Near-Term Value (e.g., regulatory submissions and approvals) and 50% on long-term growth potential (e.g., early-to-late stage development transition, investigational new drugs), as well as a qualitative overlay from the Science and Technology Committee and Compensation and Management Development Committee </t>
  </si>
  <si>
    <t>ESG Scorecard</t>
  </si>
  <si>
    <t>3Y Cumulative Adjusted Growth Portfolio Revenue</t>
  </si>
  <si>
    <t>3Y Cumulative Adjusted Operating Margin</t>
  </si>
  <si>
    <t xml:space="preserve">ESG goals related to greenhouse gas emissions, supplier diversity, clinical trial diversity, and employee engagement </t>
  </si>
  <si>
    <t>Excludes amortization of acquired intangible assets, acquisition and integration costs, restructuring costs, divestiture gains or losses, stock compensation resulting from acquisition-related equity awards, and other extraordinary items</t>
  </si>
  <si>
    <t>Need this to be 80% of grant price date for any shares to vest</t>
  </si>
  <si>
    <t>Vest in equal amounts over 4 performance periods, increase or decrease in proportion to change in TSR over 1Y, 2Y, 3Y, and 4Y performance periods</t>
  </si>
  <si>
    <t>Size of grant determined by individual performance rating</t>
  </si>
  <si>
    <t>EFX</t>
  </si>
  <si>
    <t>Credit Rating Agency</t>
  </si>
  <si>
    <t>Excludes currency fluctuations and impact of acquisitions</t>
  </si>
  <si>
    <t xml:space="preserve">Excludes acquisition-related intangible amortization expenses, accrual for legal and regulatory matters related to the 2017 cybersecurity incident, acquisition-related adjustments, restructuring costs, pension adjustments, and other extraordinary items </t>
  </si>
  <si>
    <t>Annual targets over 3Y, excludes similar items to EPS</t>
  </si>
  <si>
    <t>Vests in two equal tranches, exercise prices set at 110% and 120% of stock price at time of grant</t>
  </si>
  <si>
    <t>Percentages reflect average of corporate-level and business unit executives</t>
  </si>
  <si>
    <t>Includes business unit metrics for busines unit NEOs</t>
  </si>
  <si>
    <t>Different goals for each executive tied to strategic priorities associated with governance, environment, consumer impact, security, and workforce diversity (ESG-related)</t>
  </si>
  <si>
    <t>Exercise price set at grant date price</t>
  </si>
  <si>
    <t>The Compensation Committee can adjust awards downward; awards capped at $5M</t>
  </si>
  <si>
    <t>PNC</t>
  </si>
  <si>
    <t xml:space="preserve">3Y Relative Average Adjusted EPS Growth </t>
  </si>
  <si>
    <t xml:space="preserve">The Human Resources Committee can make discretionary positive or negative adjustments </t>
  </si>
  <si>
    <t>For overall size of grant</t>
  </si>
  <si>
    <t>Common Equity Tier 1 Capital Ratio</t>
  </si>
  <si>
    <t>For each year during the three-year performance period that PNC fails to meet the CET1 Ratio, one-third of the target number of PSUs granted will be eligible for forfeiture.</t>
  </si>
  <si>
    <t>SPGI</t>
  </si>
  <si>
    <t>Adjusted EBITA Margin</t>
  </si>
  <si>
    <t>Growth &amp; Innovation</t>
  </si>
  <si>
    <t>Customer at the Core</t>
  </si>
  <si>
    <t>Data &amp; Technology</t>
  </si>
  <si>
    <t xml:space="preserve">Lead &amp; Inspire </t>
  </si>
  <si>
    <t>Execute &amp; Deliver</t>
  </si>
  <si>
    <t>For division executives, half division and half corporate performance</t>
  </si>
  <si>
    <t>Unspecified in proxy</t>
  </si>
  <si>
    <t>3Y S&amp;P Dow Jones Indices Adjusted EBITA Growth</t>
  </si>
  <si>
    <t>Reflects how one NEO is paid with 60% LT cash incentives, 28% PSUs, and 12% RSUs, while the other NEOs are paid the same as the CEO</t>
  </si>
  <si>
    <t xml:space="preserve">Excludes merger-related costs, unspent investment funds, restructuring charges, foreign exchange fluctuations, asset impairments, acquisition and divestiture impacts, and other extraordinary items. </t>
  </si>
  <si>
    <t>Excludes foreign currency fluctuations and impacts of acquisitions and divestitures</t>
  </si>
  <si>
    <t>Annual targets over 3Y; excludes merger-related costs, unspent investment funds, restructuring charges, pension-related charges, foreign exchange fluctuations, asset impairments, acquisition and divestiture impacts, and other extraordinary items</t>
  </si>
  <si>
    <t>WELL</t>
  </si>
  <si>
    <t>Adjusted Funds from Operations per Share</t>
  </si>
  <si>
    <t>Adjusted Fixed Charge Coverage</t>
  </si>
  <si>
    <t>General and Administrative Expense Controls</t>
  </si>
  <si>
    <t>ESG Measures</t>
  </si>
  <si>
    <t xml:space="preserve">Excludes gains/losses from sales of real estate, impairments of depreciable assets, real depreciation and amortization, net gains/losses on derivatives and financial instruments, losses on extinguishment of debt, provision for loan losses, and other non-recurring items </t>
  </si>
  <si>
    <t>Ratio of fixed charges to Adjusted to EBITDA. Excludes stock-based compensation, provision for loan losses, gains/losses on extinguishment of debt, gains/losses/impairments on properties, gains/losses on derivatives and financial instruments, net casualty losses, and other non-recurring expenses</t>
  </si>
  <si>
    <t xml:space="preserve">Includes metrics such as overall ESG rating, greenhouse gas emissions reduction, employee engagement, and energy data coverage </t>
  </si>
  <si>
    <t>(Net Debt + Preferred)/Annualized Adjusted EBITDA</t>
  </si>
  <si>
    <t>Structured as profits interests, which means they have no value on datate of grant if company is liquidated. 40% compared to FTSE Nareit Equity Health Care Index and 40% compared to MSCI US REIT Index</t>
  </si>
  <si>
    <t>CEO had choice to receive this portion of long-term incentive award in RSUs or options</t>
  </si>
  <si>
    <t>Reflects that one NEO opted for 50% options and 50% RSUs for his portion of long-term incentive award</t>
  </si>
  <si>
    <t>PAYX</t>
  </si>
  <si>
    <t>Data Processing Services</t>
  </si>
  <si>
    <t>Annualized New Business Revenue</t>
  </si>
  <si>
    <t>Approximate amount of revenue earned from sale of solutions to new clients and new product sales to existing clients</t>
  </si>
  <si>
    <t>Service Revenue</t>
  </si>
  <si>
    <t>2Y Adjusted Service Revenue</t>
  </si>
  <si>
    <t>Compensation and Leadership Committee has discretion to adjust cash incentive payouts</t>
  </si>
  <si>
    <t>Excludes restructuring charges and interest on funds held for clients</t>
  </si>
  <si>
    <t>Allows for 2% of total service revenue to be delivered from acquisitions</t>
  </si>
  <si>
    <t>Household/Personal Care</t>
  </si>
  <si>
    <t>PG</t>
  </si>
  <si>
    <t>Business Unit Performance Factor</t>
  </si>
  <si>
    <t>ESG Factor</t>
  </si>
  <si>
    <t xml:space="preserve">Modification to Total Company Performance Factor (Adjusted Revenue Growth and Adjusted EPS Growth) of up or down 20% based on ESG factor; measures progress on key goals such as greenhouse gas emission reduction, sustainable packaging, water restoration, responsible sourcing of inputs, and diversity and inclusion </t>
  </si>
  <si>
    <t>Compensation and Leadership Development Committee has discretion</t>
  </si>
  <si>
    <t xml:space="preserve">3Y Adjusted Free Cash Flow Productivity </t>
  </si>
  <si>
    <t>Weighted average of all business units for corporate-level NEOs</t>
  </si>
  <si>
    <t>Reflects how NEOs have choice over how much to receive of time-based grants in restricted stock and options; CFO and COO opted for 50-50 split, while the two others opted for 100-0 options and 75-25 options and restricted stock</t>
  </si>
  <si>
    <t>Excludes impact of acquisitions, divestitures, and foreign exchange fluctutations</t>
  </si>
  <si>
    <t>Excludes restructuring charges and expenses associated with early extinguishment of debt</t>
  </si>
  <si>
    <t>Excludes foreign exchange fluctuations and restructuring charges</t>
  </si>
  <si>
    <t>Ratio of 3-year sum of Adjusted Free Cash Flow (excluding tax payments related to transitional taxes from US Tax Act) to 3-year sum of Adjusted Net Income (excludes losses on early extinguishment of debt)</t>
  </si>
  <si>
    <t>AIG</t>
  </si>
  <si>
    <t>Adjusted Accident Year Combined Ratio</t>
  </si>
  <si>
    <t xml:space="preserve">Adjusted Return on Common Equity </t>
  </si>
  <si>
    <t>Excludes catastrophe losses and related reinstatement premiums, prior year developments, and impact of reserve discounting</t>
  </si>
  <si>
    <t xml:space="preserve">Excludes changes in fair value of hedging securities, net change in market risk benefits, changes in benefit reserves related to realized gains and losses, change in fair value of equity securities, loss/gain on extinguishment of debt, gains/losses on derivative instruments, impacts of divestitures and acquisitions, restructuring costs, impairment of goodwill, non-operating litigation reserves and settlements, and other non-recurring items. It also further adjusts for difference between actual and expected catastrophe losses, net of reinsurance; alternative investment returns, fair value changes on fixed maturity securities; and return on business transactions. Adjusted EPS measures net income attributable to common shareholders. </t>
  </si>
  <si>
    <t>Adjusts for changes in fair value of available for sale securities portfolio, market risk benefits attributable to AIG's own credit risk, foreign currency translation adjustments, same adjustments as EPS.</t>
  </si>
  <si>
    <t>Achievement of AIG Parent Exit-Run-Rate General Operating Expense Targets</t>
  </si>
  <si>
    <t>3Y Achievement of AIG Parent Exit-Run-Rate General Operating Expense Targets</t>
  </si>
  <si>
    <t>Calculated as consecutive annual improvement each year over 3Y</t>
  </si>
  <si>
    <t>Compared to General Insurance peer group</t>
  </si>
  <si>
    <t xml:space="preserve">Assessments based on individual performance on financial, strategic, operational, and organizational goals </t>
  </si>
  <si>
    <t>ISRG</t>
  </si>
  <si>
    <t>Corporate Performance Goals</t>
  </si>
  <si>
    <t xml:space="preserve">Excludes cash incentive plan expenses, share-based compensation and long-term incentive plan expenses, non-cash amortization of intangible assets, facilities asset abandonment charges, litigation charges, contributions to Foundation, and other extraordinary items </t>
  </si>
  <si>
    <t>Determines size of incentive pool with threshold</t>
  </si>
  <si>
    <t>4 thematic areas of Support Our Customers, Innovation &amp; Operational Excellence, Quality &amp; Regulatory, and Financial; poor disclosure, claims this is due to competitive reasons</t>
  </si>
  <si>
    <t>Compared to S&amp;P Healthcare Equipment Select Index</t>
  </si>
  <si>
    <t>3Y Procedure Count Growth</t>
  </si>
  <si>
    <t xml:space="preserve">Combined da Vinci and Ion procedure count growth relative to total procedures performed in prior fiscal year </t>
  </si>
  <si>
    <t>SYK</t>
  </si>
  <si>
    <t>Commitments Focused on Carbon Emissions and DE&amp;I</t>
  </si>
  <si>
    <t>No payout of cash incentives if this is below 80% of target</t>
  </si>
  <si>
    <t>3Y Average Adjusted EPS Growth</t>
  </si>
  <si>
    <t>3Y Relative Average Revenue Growth</t>
  </si>
  <si>
    <t>Undisclosed threshold must be met before there are payouts</t>
  </si>
  <si>
    <t>Excludes acquisition and integration-related expenses, amortization of purchased intangible assets, restructuring charges, medical device regulation costs, recall-related matters, litigation costs, and currency fluctuations</t>
  </si>
  <si>
    <t>Same exclusions as Adjusted Operating Income</t>
  </si>
  <si>
    <t>Excludes recall payments</t>
  </si>
  <si>
    <t>Excludes goodwill impairments and same items as Adjusted Operating Income, but is not currency adjusted; 30% weighting in overachievement bonus (ie when targets are achieved)</t>
  </si>
  <si>
    <t>Excludes currency fluctuations; weight of 30% for overachievement</t>
  </si>
  <si>
    <t>For group-level executives, half group performance and half consolidated performance</t>
  </si>
  <si>
    <t>The Compensation and Human Capital Committee can make discretionary adjustments</t>
  </si>
  <si>
    <t xml:space="preserve">Adjusted EPS </t>
  </si>
  <si>
    <t>Excludes amortization of intangible assets, acquisition-related expenses, and other unspecified non-recurring items (seem to be related to litigation costs, gains/losses on asset disposals)</t>
  </si>
  <si>
    <t>CHTR</t>
  </si>
  <si>
    <t>MOH</t>
  </si>
  <si>
    <t>Strategic Objectives</t>
  </si>
  <si>
    <t xml:space="preserve">Excludes stock-based compensation, other income, gains/losses on retirement of assets, and mobile device-related revenue or expenses </t>
  </si>
  <si>
    <t xml:space="preserve">Excludes mobile device-related revenue </t>
  </si>
  <si>
    <t>6 stock price hurdles, 5Y award</t>
  </si>
  <si>
    <t>Compensation and Benefits Commmittee has discretionary ability</t>
  </si>
  <si>
    <t>MCD</t>
  </si>
  <si>
    <t>Systemwide Sales Growth</t>
  </si>
  <si>
    <t>New Restaurant Openings</t>
  </si>
  <si>
    <t xml:space="preserve">Excludes foreign currency fluctuations, asset impairment costs, gains/losses related to strategic initiatives, and extraordinary events </t>
  </si>
  <si>
    <t>Return</t>
  </si>
  <si>
    <t>Up or down 25%, triggered if EPS and ROIC result in payout, compared to S&amp;P 500</t>
  </si>
  <si>
    <t>Conversion of Registered Franchise Applicants and Their Diversity</t>
  </si>
  <si>
    <t>ESG-related; up or down 15 pp, only applied to head of US and IOM segments, based on conversion of registered franchise applicants into new restaurant owners and diversity of such new restaurant owners</t>
  </si>
  <si>
    <t>Same adjustments as Adjusted Operating Income Growth</t>
  </si>
  <si>
    <t>MRK</t>
  </si>
  <si>
    <t xml:space="preserve">Sustainability </t>
  </si>
  <si>
    <t xml:space="preserve">3Y Relative Average TSR </t>
  </si>
  <si>
    <t>3Y Average Absolute TSR</t>
  </si>
  <si>
    <t>Payout capped at 100% of target if this is negative</t>
  </si>
  <si>
    <t xml:space="preserve">Excludes impacts of significant acquisitions or divestitures, foreign currency fluctuations, associated impact of hyperinflation in certain markets, and other extraordinary items </t>
  </si>
  <si>
    <t xml:space="preserve">Excludes same items, as well as effect of certain business development transactions, restructurings, merger-related costs, and other extraordinary items </t>
  </si>
  <si>
    <t>Includes Discovery &amp; Early Development (38%), Global Development (20%), Approvals (20%), Filings (18%), and Health Technology Assessment (5%)</t>
  </si>
  <si>
    <t>Includes Access to Health (60%) and Inclusion of Employees (40%)</t>
  </si>
  <si>
    <t xml:space="preserve">Same adjsutments as Adjusted Pre-Tax Income, also adjusts for impact of share repurchases by company above or below planned levels and gains/losses arising from equity investments </t>
  </si>
  <si>
    <t>EXR</t>
  </si>
  <si>
    <t xml:space="preserve">Adjusts for real estate depreciation, amortization of intangibles, unconsolidated joint venture real estate depreciation and amortization, distributions paid on Series A Preferred Operating Partnership units, noncontrolling interests’ income, and Life Storage merger costs </t>
  </si>
  <si>
    <t>Row Labels</t>
  </si>
  <si>
    <t>Grand Total</t>
  </si>
  <si>
    <t>Excludes stock-based compensation</t>
  </si>
  <si>
    <t>2Y Adjusted Operating Income</t>
  </si>
  <si>
    <t>Unweighted metrics; includes: build awesome things, make our business sucessful, make progress on societal issues related to our business (ESG), and go out and tell our story; target is 75% of salary, increased by company performance factor of 150%</t>
  </si>
  <si>
    <t>Leverage</t>
  </si>
  <si>
    <t>Metric Sub-Category</t>
  </si>
  <si>
    <t>Revenue</t>
  </si>
  <si>
    <t>Users</t>
  </si>
  <si>
    <t>Relative TSR Modifier</t>
  </si>
  <si>
    <t>Other</t>
  </si>
  <si>
    <t>Individual Performance Modifier</t>
  </si>
  <si>
    <t>Absolute TSR Modifier</t>
  </si>
  <si>
    <t>EPS</t>
  </si>
  <si>
    <t>Product Volume</t>
  </si>
  <si>
    <t>Other Modifier</t>
  </si>
  <si>
    <t>Return on Equity</t>
  </si>
  <si>
    <t>ESG Modifier</t>
  </si>
  <si>
    <t>Absolute TSR Threshold</t>
  </si>
  <si>
    <t>Absolute TSR Cap</t>
  </si>
  <si>
    <t>Lilly doesn't mention PSUs in their proxy filing but does mention RSUs, so am assuming performance-based grants are RSUs rather than PSUs; they're categorized as performance stock though</t>
  </si>
  <si>
    <t>No payout if shareholder return is negative</t>
  </si>
  <si>
    <t>Net Income</t>
  </si>
  <si>
    <t>Return on Tangible Common Equity</t>
  </si>
  <si>
    <t>CET1 Cap</t>
  </si>
  <si>
    <t>ROIC</t>
  </si>
  <si>
    <t>TSR compared to nine core aerospace and defense peers (50%) and S&amp;P 500 constituents (50%)</t>
  </si>
  <si>
    <t>Return on Assets</t>
  </si>
  <si>
    <t>EBITDA</t>
  </si>
  <si>
    <t>Gross Margin</t>
  </si>
  <si>
    <t>Return on Equity Modifier</t>
  </si>
  <si>
    <t>EBITDA Margin</t>
  </si>
  <si>
    <t>Cash Conversion</t>
  </si>
  <si>
    <t>Relative ROIC</t>
  </si>
  <si>
    <t>Discretionary Modifier</t>
  </si>
  <si>
    <t xml:space="preserve">Working Capital </t>
  </si>
  <si>
    <t>Working Capital</t>
  </si>
  <si>
    <t>Operating Income Threshold</t>
  </si>
  <si>
    <t>Return on Capital</t>
  </si>
  <si>
    <t>Discretionary adjustment based on individual performance, not mandated to be applied</t>
  </si>
  <si>
    <t>Operating Income Cap</t>
  </si>
  <si>
    <t>Market Capitalization</t>
  </si>
  <si>
    <t>NOPAT</t>
  </si>
  <si>
    <t>Return on Capital Employed</t>
  </si>
  <si>
    <t>Safety Modifier</t>
  </si>
  <si>
    <t>After target bonus size is determined, individuals' bonuses depend on Compensation Committee's assessments of individual performance against the company's strategic objectives. Financial metrics included are Return on Average Capital Employed, Cash Flow from Operations and Asset Sales, Relative TSR compared to peer group, Structural Cost Savings, Capex Discipline, and Debt-to-Capital ratio.</t>
  </si>
  <si>
    <t xml:space="preserve">Percentages not broken out between net income and operating margin, but assume equal weighting; adjustments for net income include stock-based compensation, restructuring costs, impairment charges, gains and losses from settlements and patent license charges, gains and losses on debt repurchases and conversions, initial impact of FIFO inventory change, and other extraordinary items. Adjusted operating income likely includes the subset of these exclusions that pertain to operating activities. </t>
  </si>
  <si>
    <t>Net Income Threshold</t>
  </si>
  <si>
    <t>Operating Margin Threshold</t>
  </si>
  <si>
    <t>Revenue Modifier</t>
  </si>
  <si>
    <t xml:space="preserve">Other Modifier </t>
  </si>
  <si>
    <t>EPS Modifier</t>
  </si>
  <si>
    <t>Gross Margin Modifier</t>
  </si>
  <si>
    <t>4Y Absolute Stock Price Appreciation</t>
  </si>
  <si>
    <t>Customer Satisfaction</t>
  </si>
  <si>
    <t>Leverage Modifier</t>
  </si>
  <si>
    <t>Down 25 pp to 0 pp modifier based on credit rating downgrade; most similar to leverage metric for Welltower</t>
  </si>
  <si>
    <t>Qualitative assessment</t>
  </si>
  <si>
    <t>ROIC Modifier</t>
  </si>
  <si>
    <t>Net Profit Margin</t>
  </si>
  <si>
    <t>Relative Revenue</t>
  </si>
  <si>
    <t>Relative Return on Capital Employed</t>
  </si>
  <si>
    <t>Return on Investment</t>
  </si>
  <si>
    <t>Same Store Sales</t>
  </si>
  <si>
    <t>Cash Flow Margin</t>
  </si>
  <si>
    <t>Store Openings</t>
  </si>
  <si>
    <t>Store Cash Flow</t>
  </si>
  <si>
    <t>Relative Operating Income</t>
  </si>
  <si>
    <t>Asset Turnover</t>
  </si>
  <si>
    <t>Company Performance Factors</t>
  </si>
  <si>
    <t>Relative Return on Tangible Common Equity</t>
  </si>
  <si>
    <t>Relative Return on Investment</t>
  </si>
  <si>
    <t>EBITA Margin</t>
  </si>
  <si>
    <t>Relative Adjusted Return on Capital Employed</t>
  </si>
  <si>
    <t>Return on Capital Employed Cap</t>
  </si>
  <si>
    <t>Operating Income Modifier</t>
  </si>
  <si>
    <t>Other Threshold</t>
  </si>
  <si>
    <t>Return on Tangible Common Equity Cap</t>
  </si>
  <si>
    <t>Net Income Cap</t>
  </si>
  <si>
    <t>Relative TSR Cap</t>
  </si>
  <si>
    <t>Gross Profit</t>
  </si>
  <si>
    <t>Market Share Modifier</t>
  </si>
  <si>
    <t>Individual Performance Threshold</t>
  </si>
  <si>
    <t>EPS Threshold</t>
  </si>
  <si>
    <t>Stock Price Threshold</t>
  </si>
  <si>
    <t>Net Unit Growth</t>
  </si>
  <si>
    <t>EBITA</t>
  </si>
  <si>
    <t>Target size up or down 15%, based on one-year and three-year Absolute TSR, as well as overall assessment of prior fiscal year period</t>
  </si>
  <si>
    <t xml:space="preserve">3Y Relative SG&amp;A as % of Revenues </t>
  </si>
  <si>
    <t>Relative EPS</t>
  </si>
  <si>
    <t>Funds from Operations Per Share</t>
  </si>
  <si>
    <t>Revenue Threshold</t>
  </si>
  <si>
    <t>Pre-Tax Income Threshold</t>
  </si>
  <si>
    <t>Same adjustments as above, compared to peers</t>
  </si>
  <si>
    <t>3Y Cumulative Adjusted Funds from Operations Per Share</t>
  </si>
  <si>
    <t>Excludes Humira sales, as drug went off patent in 2023; and adjusted for currency fluctuations</t>
  </si>
  <si>
    <t>FE</t>
  </si>
  <si>
    <t>Baseline Operations and Maintenance</t>
  </si>
  <si>
    <t>DE&amp;I</t>
  </si>
  <si>
    <t>Excludes restructuring costs, investigation and other related costs, regulatory charges,  strategic transaction charges, pension fair value adjustments, divestitures, debt extinguishment costs, and impact of unforseen accounting, legislative, and regulatory changes</t>
  </si>
  <si>
    <t xml:space="preserve">Measures R&amp;D and certain corporate labor and other expenses that are non-deferrable and do not have a regulatory means of recovery via riders or trackers </t>
  </si>
  <si>
    <t xml:space="preserve">Measured by Operations Index, which is based on five key equally-weighted operating metrics: System Average Interruption Duration Index, Transmission Outage Frequency, Engaged Customer Relationship (ECR) Score, Environmental Excursions and Notices of Violation; and Reg Gen EFOR (percentage of generation that was not available versus the amount of time a unit was requested to be online) </t>
  </si>
  <si>
    <t>Equal weights between systemwide Days Away, Restricted, or Transferred (DART) rate and Life Changing Events (payout of 200% of target if no LCEs and 0% if there is at least one)</t>
  </si>
  <si>
    <t>Equally weighted Diverse Supplier Spend and Diverse Hiring</t>
  </si>
  <si>
    <t>Safety Threshold</t>
  </si>
  <si>
    <t>Employee Fatality</t>
  </si>
  <si>
    <t>Compensation Committee has discretion to adjust award amounts</t>
  </si>
  <si>
    <t>Compared to S&amp;P 500 Utilities Index</t>
  </si>
  <si>
    <t xml:space="preserve">Payout cap of 100% if 3Y Absolute TSR is negative </t>
  </si>
  <si>
    <t>Same adjustments as Adjusted Net Income; performance-based restrictede stock</t>
  </si>
  <si>
    <t xml:space="preserve">No payout of Safety if there is fatality of employees other than no-fault fatality </t>
  </si>
  <si>
    <t>Ethics and Compliance</t>
  </si>
  <si>
    <t>Ethics and Compliance downward modifier, up to 100%</t>
  </si>
  <si>
    <t xml:space="preserve">The size of the cash incentives pool is based on the company’s achievement of the midpoint of its Adjusted Net Income guidance, with payouts as earned if Adjusted Net Income is at or exceeds the midpoints, reductions to payouts if Adjusted Net Income is between the target and threshold amounts, and no payouts if Adjusted Net Income falls below the threshold amount ~97% of target in 2023) </t>
  </si>
  <si>
    <t>GIS</t>
  </si>
  <si>
    <t>Consumer Packaged Goods</t>
  </si>
  <si>
    <t>3Y Cumulative Operating Cash Flow</t>
  </si>
  <si>
    <t xml:space="preserve">Excludes foreign currency fluctuations, 53rd week, and acquisitions and divestitures, as well as unspecified corporate adjustments </t>
  </si>
  <si>
    <t>Excludes foreign exchange fluctuations, restructuring charges, mark-to-market effects of commodity positions, valuation adjustments and losses on sale of corporate investments, impacts of divestitures, product recall costs, and acquisition integration costs</t>
  </si>
  <si>
    <t>ALNY</t>
  </si>
  <si>
    <t>Commercial Objectives</t>
  </si>
  <si>
    <t>Pipeline and Development</t>
  </si>
  <si>
    <t>Advance Culture</t>
  </si>
  <si>
    <t>Focused on early pipeline and platform efforts</t>
  </si>
  <si>
    <t>Focused on ensuring organizational growth and scale while cultivating desired culture and advancing culture of integrity, quality, and employee safety</t>
  </si>
  <si>
    <t>TSCO</t>
  </si>
  <si>
    <t xml:space="preserve">The Compensation and Human Capital Committee has ability to adjust Net Income for extraordinary or unusual items, but it made no adjustments in 2023 </t>
  </si>
  <si>
    <t>Includes Lead with Legendary Service (20%), Differentiate Neighbor's Club Experience (20%), Advance Omni Fulfillment (20%), Grow with Orscheln (20%), Fusion and Garden Center Cost Efficency (10%), and Fusion and Garden Center Sales Lift (10%)</t>
  </si>
  <si>
    <t>Revenue in 3Y</t>
  </si>
  <si>
    <t>EPS in 3Y</t>
  </si>
  <si>
    <t>Up or down 25% based on 3Y Relative TSR compared to S&amp;P 500</t>
  </si>
  <si>
    <t xml:space="preserve">The Compensation and Human Committee has the discretion to adjust payouts for individual executive performance, non-recurring factors, and strategic long-term decisions </t>
  </si>
  <si>
    <t>FI</t>
  </si>
  <si>
    <t xml:space="preserve">The Talent and Compensation Committee has the discretion to adjust payouts </t>
  </si>
  <si>
    <t xml:space="preserve">Excludes Output Solutions postage reimbursements, Deferred revenue purchase accounting adjustments, and the impacts of acquisitions and divestitures </t>
  </si>
  <si>
    <t>Excludes merger and integration costs, severance costs, amortization of acquisition-related intangible assets, net gains/losses on sales of businesses and assets, and the Canadian tax law change</t>
  </si>
  <si>
    <t>Annual targets over 3Y; same adjustments as cash incentive adjusted revenue, also excludes foreign currency fluctuations</t>
  </si>
  <si>
    <t xml:space="preserve">Annual targets over 3Y; excludes same items as Adjusted Operatign Income, as well as non wholly-owned entity activities and the Argentine peso devaluation </t>
  </si>
  <si>
    <t>PGR</t>
  </si>
  <si>
    <t>Average Number of Policies in Force</t>
  </si>
  <si>
    <t>Combined Ratio</t>
  </si>
  <si>
    <t>The Compensation and Talent Committee has the discretion to adjust payouts</t>
  </si>
  <si>
    <t>Performance of fixed-income portfolio over 3Y on FTE total return basis relative to peers</t>
  </si>
  <si>
    <t>3Y Relative Business Line Growth</t>
  </si>
  <si>
    <t>3Y Relative Fixed Income Investment Results</t>
  </si>
  <si>
    <t>CNP</t>
  </si>
  <si>
    <t xml:space="preserve">Adjusted EPS includes net income from Electric and Natural Gas segments, as well as after-tax Corporate and Other Operating Income and an allocation of corporate overhead. It excludes gains/losses on equity securities and indexed debt securities, as well as impacts associated with mergers and divestitures. </t>
  </si>
  <si>
    <t>The Compensation Committee has the discretion to reduce the payout for executive officers to align their payouts with the achievement of non-financial metrics applicable to the short-term incentive plans of non-executives (e.g., Safety and Cybersecurity, Managed O&amp;M, and Managed Capital)</t>
  </si>
  <si>
    <t>3Y Cumulative Carbon Emissions Reduction</t>
  </si>
  <si>
    <t>P/E Modifier</t>
  </si>
  <si>
    <t>If P/E is in top quartile of peer group, P/E modifier will provide for minimum 75% payout level for award regardless of the level of TSR earned</t>
  </si>
  <si>
    <t>75% of metric tied to reduction of Scope 1 and 2 emissions, 25% to Scope 3 emissions</t>
  </si>
  <si>
    <t>Down 5% to no modification based on DE&amp;I, focused on diversity of applicants and suppliers'</t>
  </si>
  <si>
    <t>GM</t>
  </si>
  <si>
    <t>Adjusted Automotive Free Cash Flow</t>
  </si>
  <si>
    <t>Electric Vehicle Strategic Goals</t>
  </si>
  <si>
    <t>Software and Services Strategic Goals</t>
  </si>
  <si>
    <t>Autonomous Vehicle Strategic Goals</t>
  </si>
  <si>
    <t xml:space="preserve">Capped at 110%; can't cause total payout to exceed 200% </t>
  </si>
  <si>
    <t>3Y Cumulative Adjusted Automotive Operating Cash Flow</t>
  </si>
  <si>
    <t>3Y Adjusted Operating Margin</t>
  </si>
  <si>
    <t>Relative TSR payout capped at 100% if this is negative</t>
  </si>
  <si>
    <t xml:space="preserve">Excludes restructuring costs (voluntary wage separation program, Buick dealer transitions to EVs, Cruise restructuring), GM Korea wage litigation, and India asset sales </t>
  </si>
  <si>
    <t>Adds back employee separation costs and Buick dealer strategy costs and subtracts out recall-related expenses attributable to events occurring in 2014; makes the same adjustments as Adjusted Operating Income</t>
  </si>
  <si>
    <t>Unspecified because this is a new metric</t>
  </si>
  <si>
    <t>Same adjustments as Adjusted Automotive Free Cash Flow</t>
  </si>
  <si>
    <t xml:space="preserve">Same adjustments as Adjusted Operating Income </t>
  </si>
  <si>
    <t>LHX</t>
  </si>
  <si>
    <t>LHX NeXt Synergy Savings</t>
  </si>
  <si>
    <t>Operating Margin Modifier</t>
  </si>
  <si>
    <t>Up or down 25% based on Adjusted Operating Margin in 3Y, same adjustments as above</t>
  </si>
  <si>
    <t>Excludes impacts of divestitures, mergers, and acquisitions</t>
  </si>
  <si>
    <t xml:space="preserve">Excludes impacts of divestitures, mergers, and acquisitions, as well as amortization of acquisition-related intangibles, gains/losses on divestitures and sales, impairment charges, gains/losses on asset sales, and restructuring costs. </t>
  </si>
  <si>
    <t>Unspecified, but likely same adjustments as Adjusted Operating Income</t>
  </si>
  <si>
    <t>Compared to S&amp;P 500 and peer group, unclear how this is divided since it is a new metric</t>
  </si>
  <si>
    <t xml:space="preserve">The Compensation Committee has the discretion to adjust payout amounts </t>
  </si>
  <si>
    <t>3Y Average Adjusted ROIC</t>
  </si>
  <si>
    <t>3Y Average Adjusted Operating Income</t>
  </si>
  <si>
    <t>GS</t>
  </si>
  <si>
    <t>3Y Average Absolute and Relative Return on Equity</t>
  </si>
  <si>
    <t xml:space="preserve">Relative ROE compared to peers used to determine payout if 3Y Absolute ROE is between threshold and maximum </t>
  </si>
  <si>
    <t xml:space="preserve">Absolute TSR </t>
  </si>
  <si>
    <t>5Y Relative TSR</t>
  </si>
  <si>
    <t>For one-time shareholder value creation award given in 2021, based 50% on Absolute TSR and 50% on Relative TSR vs peers</t>
  </si>
  <si>
    <t>For one-time shareholder value creation awards given in 2021 and 2022, based 50% on Absolute TSR and 50% on Relative TSR vs peers</t>
  </si>
  <si>
    <t>APD</t>
  </si>
  <si>
    <t>Up or down 15% modification possible based on discretionary Compensation Committee adjustment for factors not reflected in relative TSR</t>
  </si>
  <si>
    <t xml:space="preserve">Excludes the impact of non-service related components of net periodic benefit/cost for defined benefit pension plans, equity method investment impairment charges, and business and asset actions (assumed to be acquisitions, divestitures, restructuring costs, and gains/losses on asset sales) </t>
  </si>
  <si>
    <t xml:space="preserve">Up or down 20%; focuses on emissions intensity reductions, capital investment in energy transition projects, diversity, and safety </t>
  </si>
  <si>
    <t>PFE</t>
  </si>
  <si>
    <t>Pipeline Modifier</t>
  </si>
  <si>
    <t>Pipeline Achievement</t>
  </si>
  <si>
    <t xml:space="preserve">Excludes foreign currency fluctuations and unspecified non-recurring items </t>
  </si>
  <si>
    <t xml:space="preserve">Excludes foreign currency fluctuations, in-process research and development expenses, amortization of intangible assets, acquisition-related items, restructuring charges, acquisition-related items,  asset impairments, gains/losses on equity securities, and the impact of discontinued operations </t>
  </si>
  <si>
    <t xml:space="preserve">Excludes certain discretionary timing items for compensation purposes </t>
  </si>
  <si>
    <t xml:space="preserve">The Compensation Committee has the discretion to adjust payouts </t>
  </si>
  <si>
    <t>No value if TSR is negative over relevant performance period</t>
  </si>
  <si>
    <t>5Y or 7Y Absolute TSR</t>
  </si>
  <si>
    <t>Modification based on 3Y TSR compared to NYSE Arca Pharmaceutical Index (DRG Index), with more extreme modification based on differences between Pfizer and DRG Index's TSR that are greater than 20 pp</t>
  </si>
  <si>
    <t>Payout capped at target if this is negative</t>
  </si>
  <si>
    <t>Performance stock is performance share awards, annual targets over 3Y, same adjustments as Adjusted EPS</t>
  </si>
  <si>
    <t xml:space="preserve">Up or down 25%, includes 4 metrics from signs of clinical activity to product approvals measured by projected peak year revenues </t>
  </si>
  <si>
    <t xml:space="preserve">Up or down 5%, includes Percentage of Vice President and Higher Roles held by Women and Minorities and Greenhouse Gas Emissions </t>
  </si>
  <si>
    <t>DASH</t>
  </si>
  <si>
    <t>Software</t>
  </si>
  <si>
    <t>CEO is co-founder, receives no equity grants because he already is a significant shareholder</t>
  </si>
  <si>
    <t>Split into 2Y and 4Y vests, with newly appointed CFO receiving 100% of time-based stock grant in 4Y vesting stock while the mix of the other 3 NEOs was 26-45% 2Y vest and 55-74% 4Y vest</t>
  </si>
  <si>
    <t>FDX</t>
  </si>
  <si>
    <t xml:space="preserve">The Compensation and Human Resources Committee has discretion to adjust the CEO’s payout based on individual and corporate performance  </t>
  </si>
  <si>
    <t xml:space="preserve">Excludes restructuring costs, as well as mark-to-market retirement plan accounting adjustments, integration-related items, and share repurchases in excess of the amount that offsets dilution from equity awards </t>
  </si>
  <si>
    <t>Likely excludes operating items excluded from Adjusted EPS</t>
  </si>
  <si>
    <t xml:space="preserve">The CEO has the discretion to adjust the NEOs’ payouts based on the achievement of individual performance objectives </t>
  </si>
  <si>
    <t>No payout of TSR portion of award if 3Y Absolute TSR is negative</t>
  </si>
  <si>
    <t>DAY</t>
  </si>
  <si>
    <t>Adjusted Cloud Revenue</t>
  </si>
  <si>
    <t>Sales Per Employee Per Month Annual Contract Value</t>
  </si>
  <si>
    <t>Cloud Recurring Revenue</t>
  </si>
  <si>
    <t>Adjusted Cloud Recurring Gross Margin</t>
  </si>
  <si>
    <t>Compared to S&amp;P 1500 Application Software Index</t>
  </si>
  <si>
    <t>Separately is only component of sales incentive plan for Chief Revenue Officer</t>
  </si>
  <si>
    <t>Performance-based restricted stock</t>
  </si>
  <si>
    <t>Performance-based restricted stock, annual targets over 3Y</t>
  </si>
  <si>
    <t>Excludes share-based compensation, annual targets over 3Y</t>
  </si>
  <si>
    <t xml:space="preserve">Includes float revenue, adjusted to reflect expected interest rate impacts to float revenues and foreign currency rate impacts to all revenue items. Also excludes share-based compensation, restructuring charges, foreign currency fluctuations, and other items. </t>
  </si>
  <si>
    <t>Includes float revenue, adjusted to reflect expected interest rate impacts to float revenues and foreign currency rate impacts to all revenue items</t>
  </si>
  <si>
    <t>DXCM</t>
  </si>
  <si>
    <t xml:space="preserve">Unweighted, secondary component of cash incentive compensation; excludes the amortization of acquired intangible assets, restructuring costs, and intellectual property litigation costs </t>
  </si>
  <si>
    <t>CEO Strategic Initiative Component</t>
  </si>
  <si>
    <t>Measures related to organizational structure improvements, product development, and product roadmap. If all milestones are achieved, the CEO Financial Performance Multiplier is equal to the Company Financial Performance Multiplier. In the event that milestones are not 100% achieved, the Financial Performance Multiplier may be less due to partial achievement.</t>
  </si>
  <si>
    <t xml:space="preserve">The Compensation Committee has discretion to adjust payouts </t>
  </si>
  <si>
    <t>Relative TSR Multiplier</t>
  </si>
  <si>
    <t>Compared to Nasdaq Composite, 0-125% multiplier</t>
  </si>
  <si>
    <t>DTE</t>
  </si>
  <si>
    <t>Utility Operating Excellence Index</t>
  </si>
  <si>
    <t>The Organization and Compensation Committee has the discretion to adjust payouts</t>
  </si>
  <si>
    <t>Utility Operating Excellence Index has the following components: Nuclear On-Line Reliabiltiy Loss (40%); System Average Interrpution Duration Index, excluding Major Event Days (20%); Percentage of Customers Experiencing 4 or More Interruptions in a Year (20%); and High Consequence Area Miles Assessable by In Line Inspection (20%)</t>
  </si>
  <si>
    <t>Excludes Michigan Public Service Commission disallowance of certain capital project costs previously recorded and certain mark-to-market transactions</t>
  </si>
  <si>
    <t>Customer Satisfaction has the following components: Net Promoter Score (60%) and Customer Complaints (40%)</t>
  </si>
  <si>
    <t>Equally weighted components of OSHA Recordable Incident Rate and High Energy Serious Injury or Fatality</t>
  </si>
  <si>
    <t>Reflects 35% weighting for President and COO-DTE Vantage and Energy Trading, pertains to his units</t>
  </si>
  <si>
    <t>Reflects 35% weighting for President and COO-DTE Vantage and Energy Trading; Business Development has two components Long-Range Earnings Growth (71%) and New Project Growth (29%)</t>
  </si>
  <si>
    <t>DTE Vantage Projects Long-Range Earnings Growth</t>
  </si>
  <si>
    <t xml:space="preserve">Progress towards 2027 earnings from new projects </t>
  </si>
  <si>
    <t>NET</t>
  </si>
  <si>
    <t>Multi-year grant</t>
  </si>
  <si>
    <t>Awarded in 2021, similar in structure to Tesla option Musk received. Give CEO and co-founder right to purchase a certain number of shares based on achievement of stock price hurdles.</t>
  </si>
  <si>
    <t>Awarded to co-founder (COO/President) in 2021, to other 2 NEOs in 2022. Based on achievement of stock price hurdles.</t>
  </si>
  <si>
    <t>DLTR</t>
  </si>
  <si>
    <t>The Compensation Committee has the discretion to adjust payout amounts</t>
  </si>
  <si>
    <t>Multi-year new hire award in 2022, annualized over 5Y</t>
  </si>
  <si>
    <t>3Y Cumulative Adjusted Revenue</t>
  </si>
  <si>
    <t>Up or down 25%, compared to peers</t>
  </si>
  <si>
    <t xml:space="preserve">Adjusted Revenue excludes foreign currency fluctuations and the impact of mergers, acquisitions, and integrations </t>
  </si>
  <si>
    <t xml:space="preserve">Adjusted Operating Income excludes foreign currency fluctuations; the impact of mergers, acquisitions, and integrations; impairment charges, restructuring costs, legal costs, and other extraordinary items </t>
  </si>
  <si>
    <t>EQIX</t>
  </si>
  <si>
    <t>Strategic Modifier</t>
  </si>
  <si>
    <t xml:space="preserve">Strategic Modifier is 50% Digital Services Revenue, 25% Social Aspirational Goals (related to workforce representation), and 25% Environmental Targets (related to Energy Efficiency, Long-Term Climate Target, Renewable Energy, and Water Usage) </t>
  </si>
  <si>
    <t xml:space="preserve">Excludes the same items as adjusted  revenue, as well as stock-based compensation, depreciation and amortization expense on non-real estate assets, accretion, stock-based charitable contributions, restructuring charges, impairment charges, transaction costs, rent expense and contract cost adjustments, amortization of deferred financial costs and debt discounts and premiums, gains/losses on debt extinguishment, recurring capital expenditures, impacts of divestitures, and other extraordinary items </t>
  </si>
  <si>
    <t>1Y performance period, same adjustments as above</t>
  </si>
  <si>
    <t>Compared to Russell 1000</t>
  </si>
  <si>
    <t>Digital Service Revenue</t>
  </si>
  <si>
    <t xml:space="preserve">Vests immediately, excludes foreign currency fluctuations, capital market activity, lease conversion impacts, integration-related items, sales allowance impacts, and other extraordinary items </t>
  </si>
  <si>
    <t>3Y vest</t>
  </si>
  <si>
    <t>Funds from Operations Per Share Threshold</t>
  </si>
  <si>
    <t>95% of target must be hit for both Adjusted Revenue and AFFO/share before payouts</t>
  </si>
  <si>
    <t>Market Cap Category</t>
  </si>
  <si>
    <t>Mega-Cap</t>
  </si>
  <si>
    <t>Ultra-Cap</t>
  </si>
  <si>
    <t>Large-Cap</t>
  </si>
  <si>
    <t>NOVO</t>
  </si>
  <si>
    <t>GOOGL</t>
  </si>
  <si>
    <t>CNQ</t>
  </si>
  <si>
    <t>AZN</t>
  </si>
  <si>
    <t>ASML</t>
  </si>
  <si>
    <t>AIR</t>
  </si>
  <si>
    <t>SAF</t>
  </si>
  <si>
    <t>LVMH</t>
  </si>
  <si>
    <t>TSM</t>
  </si>
  <si>
    <t>NESN</t>
  </si>
  <si>
    <t>SHOP</t>
  </si>
  <si>
    <t>WFC</t>
  </si>
  <si>
    <t>GEHC</t>
  </si>
  <si>
    <t>RELI1</t>
  </si>
  <si>
    <t>Mid-Cap</t>
  </si>
  <si>
    <t>Size</t>
  </si>
  <si>
    <t>Sector</t>
  </si>
  <si>
    <t>Communication Services</t>
  </si>
  <si>
    <t>Consumer Discretionary</t>
  </si>
  <si>
    <t>Consumer Staples</t>
  </si>
  <si>
    <t>Industrials</t>
  </si>
  <si>
    <t>Financials</t>
  </si>
  <si>
    <t>Energy</t>
  </si>
  <si>
    <t>Materials</t>
  </si>
  <si>
    <t>Real Estate</t>
  </si>
  <si>
    <t>Equity Real Estate Investment Trusts (REITs)</t>
  </si>
  <si>
    <t>Capital Goods</t>
  </si>
  <si>
    <t>Consumer Services</t>
  </si>
  <si>
    <t>Banks</t>
  </si>
  <si>
    <t>Consumer Durables and Apparel</t>
  </si>
  <si>
    <t>AAA</t>
  </si>
  <si>
    <t>BBB</t>
  </si>
  <si>
    <t>AA-</t>
  </si>
  <si>
    <t>AA</t>
  </si>
  <si>
    <t>AA+</t>
  </si>
  <si>
    <t>A+</t>
  </si>
  <si>
    <t>A-</t>
  </si>
  <si>
    <t>BBB+</t>
  </si>
  <si>
    <t>BBB-</t>
  </si>
  <si>
    <t>A</t>
  </si>
  <si>
    <t>BB+</t>
  </si>
  <si>
    <t>BB</t>
  </si>
  <si>
    <t>BB-</t>
  </si>
  <si>
    <t>FactSet Industry</t>
  </si>
  <si>
    <t>A3</t>
  </si>
  <si>
    <t>According to TSMC’s Articles of Incorporation, TSMC shall allocate compensation to directors and profit sharing bonus to employees of TSMC not more than 0.3% and not less than 1% of annual profits during the period, respectively.</t>
  </si>
  <si>
    <t>Paid out quarterly, equivalent to profit sharing at end of year</t>
  </si>
  <si>
    <t>ESG Achievements</t>
  </si>
  <si>
    <t>Measured annually, up or down 10 pp; annual objectives, which are judged individdually, include operational goals and ESG achievements in focus areas: Drive Green Manufacturing, Build a Sustainable Supply Chain, Create a Diverse and Inclusive Workplace, Develop Talent, and Care for the Disadvantaged</t>
  </si>
  <si>
    <t>Measured annually, 3Y vesting; compared to S&amp;P 500 IT Index</t>
  </si>
  <si>
    <t>Non-Financial Performance</t>
  </si>
  <si>
    <t>3Y Average Adjusted Operating Income Growth</t>
  </si>
  <si>
    <t>Oil and Gas</t>
  </si>
  <si>
    <t>Strategic Capital Allocation</t>
  </si>
  <si>
    <t>Operational Performance</t>
  </si>
  <si>
    <t>Safety, Asset Integrity, and Environmental</t>
  </si>
  <si>
    <t xml:space="preserve">Metrics related to GHG Emissions Intensity, Recordable Injury Frequency, Pipeline Leaks, and Wells Abandoned </t>
  </si>
  <si>
    <t>Size of grant depends on cash incentives; 2/3 compared to primary peer group (Canadian peers) and 1/3 to primary and secondary peer group (Canadian and American peers); paid out in cash</t>
  </si>
  <si>
    <t>Pipeline Regulatory Events</t>
  </si>
  <si>
    <t>Pipeline Progression Events</t>
  </si>
  <si>
    <t>Excludes foreign currency fluctuations</t>
  </si>
  <si>
    <t>Excludes foreign currency fluctuations, adds back proceeds from disposals of intangible assets</t>
  </si>
  <si>
    <t>Excludes foreign currency fluctuations, as well as restructuring costs, intangible asset amortization and impairments, and other undisclosed extraordinary items</t>
  </si>
  <si>
    <t>3Y Regulatory Events</t>
  </si>
  <si>
    <t>3Y New Molecular Entity Phase III/Registrational Volume</t>
  </si>
  <si>
    <t>3Y Progress on Ambition Zero Carbon</t>
  </si>
  <si>
    <t xml:space="preserve">Scope 1 and Scope 2 GHG emissiosn reductions vs 2015 baseline </t>
  </si>
  <si>
    <t>Not rated by S&amp;P, but Moody's rates their senior unsecured LC bond at A2, suggesting an A S&amp;P rating</t>
  </si>
  <si>
    <t>Co-Presidents, rather than CEO</t>
  </si>
  <si>
    <t>Customer Orientation</t>
  </si>
  <si>
    <t>Technology Leadership Index</t>
  </si>
  <si>
    <t>Compared to PHLX Semiconductor Sector Index</t>
  </si>
  <si>
    <t>3Y Average Technology Leadership Index</t>
  </si>
  <si>
    <t xml:space="preserve">No adjustments made to Operating Margin in 2023, but Supervisory Committee has the discretion to adjust target levels </t>
  </si>
  <si>
    <t>Half ASML Customer Trust Survey; 2.5% each for Applications: Adoption of Multi Beam, DUV Costs and Competitiveness, EUV Low NA Maturity, EUV High NA Performance</t>
  </si>
  <si>
    <t xml:space="preserve">Set of internal targets related to ASML’s progress on product and technology roadmaps; consists of 19 key projects in Applications, DUV, and EUV for 2023. Not much more disclosure because of competitive concerns. </t>
  </si>
  <si>
    <t xml:space="preserve">Excludes impact of mergers and acquisitions and R&amp;D that deviates from target </t>
  </si>
  <si>
    <t>Equally weighted subcomponents of Commitment of Top-80% Suppliers to Reduce CO2 Emissions Footprint by 2030, Employee Engagement, and Total and Senior Employee Inflow of Women</t>
  </si>
  <si>
    <t xml:space="preserve">More forward looking than cash incentive metrics </t>
  </si>
  <si>
    <t>CO2 Emissions</t>
  </si>
  <si>
    <t>Lost Time Injury Frequency Rate</t>
  </si>
  <si>
    <t>Excludes certain foreign exchange fluctuations and impacts of unplanned mergers and acquisitions</t>
  </si>
  <si>
    <t xml:space="preserve">Same adjustments as Adjusted Operating Income, as well as change of securities, contribution to plan assets for pension schemes, realized treasured swaps, and bank activities </t>
  </si>
  <si>
    <t>60% CEO Individual Objectives, 30% Top Company Objectives, and 10% Behavior</t>
  </si>
  <si>
    <t>3Y Average EPS</t>
  </si>
  <si>
    <t>3Y Cumulative Operating Income</t>
  </si>
  <si>
    <t xml:space="preserve">Not specified as adjusted, but likely the same adjustments </t>
  </si>
  <si>
    <t>No vesting if 3Y Cumulative Operating Income is negative; not specified as adjusted, but likely the same adjustments as above</t>
  </si>
  <si>
    <t>Country of Listing</t>
  </si>
  <si>
    <t>United States</t>
  </si>
  <si>
    <t>Taiwan</t>
  </si>
  <si>
    <t>Region of Listing</t>
  </si>
  <si>
    <t>Asia</t>
  </si>
  <si>
    <t>Denmark</t>
  </si>
  <si>
    <t>Europe</t>
  </si>
  <si>
    <t>Canada</t>
  </si>
  <si>
    <t>United Kingdom</t>
  </si>
  <si>
    <t>Netherlands</t>
  </si>
  <si>
    <t>France</t>
  </si>
  <si>
    <t>Adjusted Recurring Operating Income</t>
  </si>
  <si>
    <t>Adjusted for remeasurement of foreign currency-denominated revenues at the hedged rate, currency hedging gains/losses, amortization of acquisition-related intangible assets, divestitures, and other acquisition-related items</t>
  </si>
  <si>
    <t>Accounts Receivable</t>
  </si>
  <si>
    <t xml:space="preserve">Mix of quantitative and qualitative, changes year to year but was similar metrics in 2023; in 2024, will be 20% Technological Transition, 15% Technological and Industrial Evolution of Aircraft Interiors Business, 10% Expand and Strengthen Strategic Partnerships, 10% Communication Plan for Financial Pathway, 10% Digital/Cybersecurity, and 35% Corporate and Social Responsiblity and Human Capital </t>
  </si>
  <si>
    <t>3Y Average Adjusted Recurring Operating Income</t>
  </si>
  <si>
    <t>3Y Average Free Cash Flow</t>
  </si>
  <si>
    <t>The Board has the discretion to adjust payout amounts</t>
  </si>
  <si>
    <t>The Board has discretion to adjust payouts</t>
  </si>
  <si>
    <t xml:space="preserve"> Board of Directors can allow for up to 50% of performance stock to vest despite Operating Income threshold if there are extraordinary circumstances; Board furthermore has ability to adjust payouts</t>
  </si>
  <si>
    <t>Apparel</t>
  </si>
  <si>
    <t>Revenue Growth</t>
  </si>
  <si>
    <t>Cash Flow Relative to Budget</t>
  </si>
  <si>
    <t xml:space="preserve">Would assume this is free cash flow, but not sure </t>
  </si>
  <si>
    <t>Strategy</t>
  </si>
  <si>
    <t>Environmental and Social Responsibility</t>
  </si>
  <si>
    <t xml:space="preserve">Pays out ratably depending on whether there are positive YoY changes in each of next two fiscal years in any of the following metrics: Profit from Recurring Operations, Operating Free Cash Flow, and Operating Margin </t>
  </si>
  <si>
    <t>Undisclosed, non-financial conditions</t>
  </si>
  <si>
    <t xml:space="preserve">Only for Group Managing Director since disclosure is too limited for non-senior executive officers </t>
  </si>
  <si>
    <t>Switzerland</t>
  </si>
  <si>
    <t>ESG Objectives</t>
  </si>
  <si>
    <t xml:space="preserve">Referred to as Organic Growth, excludes impact of acquisitions and divestitures, other change in Group scope of activity, and foreign currency fluctuations, removes distorting effects of hyperinflation </t>
  </si>
  <si>
    <t>Referred to as Underlying Trading Operating Profit, excludes restructuring costs, impairment charges, litigation and onerous contract expenses, the impacts of acquisitions and divestitures, and other operating income and expenses</t>
  </si>
  <si>
    <t xml:space="preserve">Includes 5 equally weighted components: Affordable Nutrition with Micro Nutrients, Reduction of Greenhouse Gas Emissions, Plastic Packaging Designed for Recycling, Reduction of Water Use in Factories, and Management Positions Held by Women </t>
  </si>
  <si>
    <t>Same metrics as above, CEO must receive at least half of his short-term incentive in stock that vests in 3Y</t>
  </si>
  <si>
    <t xml:space="preserve">Compared to STOXX Global 1800 Food &amp; Beverage Gross Return Index </t>
  </si>
  <si>
    <t>Adjusted for currency fluctuations</t>
  </si>
  <si>
    <t>3Y Adjusted ROIC Improvement</t>
  </si>
  <si>
    <t>3Y Reduction in Greenhouse Gas Emissions</t>
  </si>
  <si>
    <t>Numerator excludes litigations and miscellaneous trading income/expenses; denominator excludes financing, tax, and cash-management activities; seems to also remove goodwill and intangible assets, but inadequate disclosure to confirm</t>
  </si>
  <si>
    <t>The Head of Zone North America and Head of Nestle Health Science also have phantom share plans (performance share plans that are settled in cash) tied to metrics for their respective units</t>
  </si>
  <si>
    <t>For CFO, 85% of total target is linked to Nestle Group Performance; for Function Heads, 50% tied to functional objectives and 35% to Group Performance, and for Zone or Business Heads, 60% tied to business objectives and 25% to Group Performance</t>
  </si>
  <si>
    <t>CEO received a $150M one-time equity award in 2024, which likely is designed as an at least 5-year award given it is 7.5x the size of the 2023, 2022, and 2021 grants, which were all ~$20M</t>
  </si>
  <si>
    <t xml:space="preserve">Reflects mix of NEOs, skewed by large equity award to COO in 2023; consists of $1M that each NEO can allocate as they choose to cash, RSUs, or stock options. In 2023, allocations to cash ranged from 72-100% of flexible compensation. </t>
  </si>
  <si>
    <t>STZ</t>
  </si>
  <si>
    <t>Food &amp; Beverages</t>
  </si>
  <si>
    <t>Relative TSR awards capped at 100% of target if this is negative</t>
  </si>
  <si>
    <t xml:space="preserve">Compared to S&amp;P 500 Food, Beverage, and Tobacco Index </t>
  </si>
  <si>
    <t>Adjusts for impacts of acquisitions, divestitures, and joint ventures</t>
  </si>
  <si>
    <t xml:space="preserve">Adds operating income attributable to noncontrolling interests and adjusts for foreign currency fluctuations, equity losses and related activities, Canopy EIE, gains/losses on sales of businesses, restructuring costs, inventory step-ups, asset impairments, derivative contracts, insurance recoveries, and gains/losses from unconsolidated investments </t>
  </si>
  <si>
    <t>Hong Kong</t>
  </si>
  <si>
    <t>Value of New Business</t>
  </si>
  <si>
    <t>Operating Profit After Tax</t>
  </si>
  <si>
    <t>Underlying Free Surplus Generation</t>
  </si>
  <si>
    <t xml:space="preserve">Remuneration Committee can make discretionary adjustments for individual performance </t>
  </si>
  <si>
    <t>3Y Value of New Business</t>
  </si>
  <si>
    <t>3Y Equity Measured on Embedded Value Basis</t>
  </si>
  <si>
    <t xml:space="preserve">Compared to peer group of 19 life and health or multi-line insurance companies within Dow Jones Insurance Titans 30 Index </t>
  </si>
  <si>
    <t xml:space="preserve">Total of embedded value, goodwill, and other intangible assets; is an estimate of the economic value of the in-force life insurance business, including the net worth on the balance sheet but excluding any economic value attributable to future new business </t>
  </si>
  <si>
    <t xml:space="preserve">Estimate of economic value of one year’s sales </t>
  </si>
  <si>
    <t xml:space="preserve">Free surplus generated from in-force business, adjusted for non-specified nonrecurring items and before free surplus is used to fund new business, unallocated Group Office expenses, finance costs, investment return variances and other non-operating items </t>
  </si>
  <si>
    <t>Remuneration Committee can make discretionary adjustments</t>
  </si>
  <si>
    <t>South Korea</t>
  </si>
  <si>
    <t>Profit After Tax</t>
  </si>
  <si>
    <t>Cost of Capital</t>
  </si>
  <si>
    <t>Unclear what this pertains to, whether it is TSR or stock price appreciation</t>
  </si>
  <si>
    <t>3Y Return on Equity</t>
  </si>
  <si>
    <t>3Y Stock Performance</t>
  </si>
  <si>
    <t>3Y Operating Margin</t>
  </si>
  <si>
    <t>Measured at division level</t>
  </si>
  <si>
    <t>Japan</t>
  </si>
  <si>
    <t xml:space="preserve">Excludes gains/losses on asset sales, restructuring costs, impairment losses, and non-recurring costs </t>
  </si>
  <si>
    <t>Adjusted Operating Margin Before R&amp;D</t>
  </si>
  <si>
    <t>Research and Development Progress</t>
  </si>
  <si>
    <t>ESG Indicators</t>
  </si>
  <si>
    <t>Research and Development achievements (number of new indications for 3ADC on the market, pipeline values in early and late stages)</t>
  </si>
  <si>
    <t>Compared to TOPIX</t>
  </si>
  <si>
    <t xml:space="preserve">Based on Dow Jones Sustainability Indices, Sustainability Indices, and FTSE Russell or Access to Medicine </t>
  </si>
  <si>
    <t>BATS</t>
  </si>
  <si>
    <t>New Categories Contribution to Adjusted Operating Income</t>
  </si>
  <si>
    <t>Volume Share Growth</t>
  </si>
  <si>
    <t>Excludes currency fluctuations, net finance costs, dividends from associates and dividends paid to noncontrolling interests, cash paid/received in respect of litigation, and impacts of acquisitions and divestitures</t>
  </si>
  <si>
    <t xml:space="preserve">Excludes foreign currency fluctuations, restructuring and integration costs, amortization and impairment of intangibles, impairment of goodwill, and impacts of acquisitions and divestitures </t>
  </si>
  <si>
    <t>Contribution from Vapour, HP, and Modern Oral product categories; excludes foreign currency fluctuations and impacts of acquisitions and divestitures</t>
  </si>
  <si>
    <t xml:space="preserve">Group share of key markets include HP performance for all major markets </t>
  </si>
  <si>
    <t>The Board has the discretion to adjust payouts</t>
  </si>
  <si>
    <t>3Y Adjusted Operating Cash Flow Conversion Ratio</t>
  </si>
  <si>
    <t>3Y New Categories Revenue CAGR</t>
  </si>
  <si>
    <t>Pertains just to CFO since information is not provided on other executive officers</t>
  </si>
  <si>
    <t>Adjusted New Categories Revenue Growth</t>
  </si>
  <si>
    <t>SAP</t>
  </si>
  <si>
    <t>Germany</t>
  </si>
  <si>
    <t>Adjusted Current Cloud Backlog</t>
  </si>
  <si>
    <t>Adjusted Cloud and Software Revenue Growth</t>
  </si>
  <si>
    <t>Adjusted Operating Margin Improvement</t>
  </si>
  <si>
    <t>Customer Net Promoter Score</t>
  </si>
  <si>
    <t>Employee Engagement Index</t>
  </si>
  <si>
    <t>Greenhouse Gas Emissions</t>
  </si>
  <si>
    <t>Weighted Cumulative Achievement</t>
  </si>
  <si>
    <t>Weighted cumulative achievement must be greater than 50% of target for payout to occur</t>
  </si>
  <si>
    <t>Excludes foreign currency flucutations and impacts of divestitures and acquisitions</t>
  </si>
  <si>
    <t>Excludes same items, as well as extraordinary compliance expenses</t>
  </si>
  <si>
    <t xml:space="preserve">In case of unforeseeable events, the supervisory board is entitled to adjust awards by no more than 20% in either direction </t>
  </si>
  <si>
    <t xml:space="preserve">In case of unforeseeable events, the supervisory board is entitled to adjust awards by no more than 10% in either direction </t>
  </si>
  <si>
    <t>Requirement to use at least 5% of payout to purchase shares with 3Y vesting, excludes foreign currency flucutations and impacts of divestitures and acquisitions</t>
  </si>
  <si>
    <t>Same requirement to use at least 5% of payout to purchase shares</t>
  </si>
  <si>
    <t>3Y Cumulative Adjusted Cloud Revenue</t>
  </si>
  <si>
    <t>3Y Cumulative Adjusted Operating Income</t>
  </si>
  <si>
    <t>TTE</t>
  </si>
  <si>
    <t>Pre-Dividend Organic Cash Breakeven</t>
  </si>
  <si>
    <t>Organic Gearing</t>
  </si>
  <si>
    <t>Integrated Power Operating Cash Flow</t>
  </si>
  <si>
    <t>Scope 1 + 2 Greenhouse Gas Emissions</t>
  </si>
  <si>
    <t xml:space="preserve">Board has discretion to adjust payouts and calculation of financial metrics to exclude extraordinary items </t>
  </si>
  <si>
    <t>Compard to peers, measured annually over 3Y</t>
  </si>
  <si>
    <t>Relative Variation in Net Cash Flow Per Share</t>
  </si>
  <si>
    <t>Compared to peers, measured annually over 3Y</t>
  </si>
  <si>
    <t>3Y Reduction in Lifecycle Carbon Itensity of Energy Products Sold to Customers</t>
  </si>
  <si>
    <t>3Y Methane Emissions Reduction</t>
  </si>
  <si>
    <t xml:space="preserve">Net debt (excluding leases), restated for net cash used in acquisitions and disposals during the year  </t>
  </si>
  <si>
    <t>For Integrated Power Segment</t>
  </si>
  <si>
    <t xml:space="preserve">30% on Total Recordable Incident Rate, 30% on Fatality Incident Rate, and 40% on Total Number of Tier 1 + Tier 2 Incidents </t>
  </si>
  <si>
    <t>The pre-dividend organic cash breakeven is defined as the Brent price for which the operating cash flow before working capital changes (MBA) covers the organic investments</t>
  </si>
  <si>
    <t>Relative Adjusted Return on Average Capital Employed</t>
  </si>
  <si>
    <t>Adjusted for gains/losses on asset sales, asset impairments, changes in inventory fair value, and other extraordinary items</t>
  </si>
  <si>
    <t>The ROACE is equal to the net adjusted operating income divided by the average of the capital employed (at replacement costs, net of deferred income tax and noncurrent liabilities. Adjusted Net Operating Income refers to Net Income before net cost of net debt, i.e., cost of net debt net of its tax effects, less adjustment items. Adjustment items are same as for Adjusted Return on Equity.</t>
  </si>
  <si>
    <t>GLEN</t>
  </si>
  <si>
    <t>Holisitic assessment based on metrics including Adjusted EBITDA and Funds from Operations; Production relative to market conditions and market inventories; Commodity Prices; Safety metrics including fatality and injury rates, relative to previous year and rolling 3Y average; Major projects relative to timeline and budget; M&amp;A aligned to strategic priorities; CO2e industrial emissions reduction relative to target; Capex relative to budget; Corporate controls and desired compliance culture; and Distribution to shareholders. Similar to a bank. Unique requirement that these must be held for 2 years post-retirement.</t>
  </si>
  <si>
    <t xml:space="preserve">Board will reduce payments in event of shareholders not receiving minimum distribution required under distribution policy, unsatisfactory progress on ESG initiatives, and unsatisfactory business performance </t>
  </si>
  <si>
    <t>Financial Metric Threshold</t>
  </si>
  <si>
    <t>Strategic goals only used in payout when threshold is met on at least one financial metric</t>
  </si>
  <si>
    <t>FLUT</t>
  </si>
  <si>
    <t>Casinos &amp; Gaming</t>
  </si>
  <si>
    <t>FanDuel Adjusted Operating Income</t>
  </si>
  <si>
    <t>Safer Gambling</t>
  </si>
  <si>
    <t xml:space="preserve">Adjusted for changes in legislation in US states that results in unexpected revenue streams or additional investments, as well as well as transaction fees and associated costs, restructuring and integration costs, and costs related to legal settlements and disputes </t>
  </si>
  <si>
    <t>Aggregate of divisional performance, with different measures for UKI, Sportsbet, International, and FanDuel. For UKI, 67% from % of revenues from customers who self-exclude in the year as a proportion of total revenue and 33% from % of customers using at least one safer gambling tool. Sportsbet is % of net revenue from customers with a deposit limit, and International and FanDuel are % of customers using at least one safer gambling tool.</t>
  </si>
  <si>
    <t xml:space="preserve">The Board has the discretion to adjust payouts </t>
  </si>
  <si>
    <t>Deferred Option Grant</t>
  </si>
  <si>
    <t xml:space="preserve">Only adjusted for changes in legislation in US states that results in unexpected revenue streams or additional investments </t>
  </si>
  <si>
    <t>BAES1</t>
  </si>
  <si>
    <t>Order Intake</t>
  </si>
  <si>
    <t>Safety and DE&amp;I Underpin</t>
  </si>
  <si>
    <t xml:space="preserve">Possible -25% downward modification; assesses the company’s recordable accident rate, gender diversity, and ethnic diversity </t>
  </si>
  <si>
    <t xml:space="preserve">Excludes foreign currency fluctuations; amortization of program, customer-related, and other intangible assets, intangible asset impairment, net finance income and tax expense of equity accounted investments, gains/sales on divestitures, acquisition-related costs, and gains/losses related to pensions. </t>
  </si>
  <si>
    <t xml:space="preserve">Strategic objectives linked to sustainably growing defence and security business, growing business in adjacent markets, expanding international business, developing diverse workplace, sustainable shareholder growth and strong financial performance, and advancing sustainability agenda </t>
  </si>
  <si>
    <t xml:space="preserve">Refers to funded orders received from customers including the Group’s share of order intake of equity accounted investments </t>
  </si>
  <si>
    <t>3Y Return on Capital Employed Improvement</t>
  </si>
  <si>
    <t>3Y ESG Metrics</t>
  </si>
  <si>
    <t xml:space="preserve">Reflect mix of CFO and US Division CEO's compensation. Only US Division CEO received restricted time-based stock </t>
  </si>
  <si>
    <t>Reflects fact that US Division CEO is also measured on US Division Operating Income</t>
  </si>
  <si>
    <t>30% for US Division CEO, 0% for CFO</t>
  </si>
  <si>
    <t>3Y US Division Operating Cash Flow</t>
  </si>
  <si>
    <t>30% for CFO, 0% for US Division CEO</t>
  </si>
  <si>
    <t>Adjusted US Division Operating Income</t>
  </si>
  <si>
    <t>Industry Group</t>
  </si>
  <si>
    <t>Software and Services</t>
  </si>
  <si>
    <t>Media and Entertainment</t>
  </si>
  <si>
    <t>Interactive Media and Services</t>
  </si>
  <si>
    <t>Consumer Discretionary Distribution and Retail</t>
  </si>
  <si>
    <t>Broadline Retail</t>
  </si>
  <si>
    <t>Pharmaceuticals, Biotechnology and Life Sciences</t>
  </si>
  <si>
    <t>Food, Beverage and Tobacco</t>
  </si>
  <si>
    <t>Health Care Equipment and Services</t>
  </si>
  <si>
    <t>Health Care Providers and Services</t>
  </si>
  <si>
    <t>Aerospace and Defense</t>
  </si>
  <si>
    <t>Technology Hardware and Equipment</t>
  </si>
  <si>
    <t>Technology Hardware, Storage and Peripherals</t>
  </si>
  <si>
    <t>Health Care Equipment and Supplies</t>
  </si>
  <si>
    <t>Oil, Gas and Consumable Fuels</t>
  </si>
  <si>
    <t>Building Products</t>
  </si>
  <si>
    <t>Entertainment</t>
  </si>
  <si>
    <t>Biotechnology</t>
  </si>
  <si>
    <t>Specialty Retail</t>
  </si>
  <si>
    <t>Life Sciences Tools and Services</t>
  </si>
  <si>
    <t>Media</t>
  </si>
  <si>
    <t>Machinery</t>
  </si>
  <si>
    <t>Automobiles and Components</t>
  </si>
  <si>
    <t>Automobiles</t>
  </si>
  <si>
    <t>Hotels, Restaurants and Leisure</t>
  </si>
  <si>
    <t>Textiles, Apparel and Luxury Goods</t>
  </si>
  <si>
    <t>Food Products</t>
  </si>
  <si>
    <t>Capital Markets</t>
  </si>
  <si>
    <t>IT Services</t>
  </si>
  <si>
    <t>Electric Utilities</t>
  </si>
  <si>
    <t>Trading Companies and Distributors</t>
  </si>
  <si>
    <t>Metals and Mining</t>
  </si>
  <si>
    <t>Ground Transportation</t>
  </si>
  <si>
    <t>Energy Equipment and Services</t>
  </si>
  <si>
    <t>Consumer Finance</t>
  </si>
  <si>
    <t>Consumer Staples Distribution and Retail</t>
  </si>
  <si>
    <t>Multi-Utilities</t>
  </si>
  <si>
    <t>Communications Equipment</t>
  </si>
  <si>
    <t>Household Durables</t>
  </si>
  <si>
    <t>Specialized REITs</t>
  </si>
  <si>
    <t>Commercial and Professional Services</t>
  </si>
  <si>
    <t>Health Care REITs</t>
  </si>
  <si>
    <t>Household and Personal Products</t>
  </si>
  <si>
    <t>Household Products</t>
  </si>
  <si>
    <t>Air Freight and Logistics</t>
  </si>
  <si>
    <t>Industrial Machinery and Supplies and Components</t>
  </si>
  <si>
    <t>Leisure Products</t>
  </si>
  <si>
    <t>Rating</t>
  </si>
  <si>
    <t>Financial</t>
  </si>
  <si>
    <t>Non-Financial</t>
  </si>
  <si>
    <t>Unweighted Metrics</t>
  </si>
  <si>
    <t>PSU award in 2023 designed to last five years (multi-year grant); based on annualized value; President received similar award, but NEOs below only reflect awards for other 2 NEOs</t>
  </si>
  <si>
    <t>Reflects other 2 NEOs, 50% for President</t>
  </si>
  <si>
    <t xml:space="preserve">Reflects 25% for other two NEOs. Is 50% for President. Adjustments to operating income include amortization of acquisition-related intangibles, stock-based compensation, restructuring &amp; other charges, acquisition-related costs, and provisions or accruals for anticipated payouts under cash incentive plan </t>
  </si>
  <si>
    <t>Average of 0% for Dr. Kawwas, 50% for other two NEOs; includes direct expense and fiscal responsibility of division and divisional strategic goals; poor disclosure</t>
  </si>
  <si>
    <t>COO's long-term equity grant of SARs in 2021 is excluded from calculation</t>
  </si>
  <si>
    <t xml:space="preserve">Average for 4 NEOs other than CEO and COO, different business results for each executive officer, but same split between business results and progress against strategic framework </t>
  </si>
  <si>
    <t>Financial/Non-Financial/TSR</t>
  </si>
  <si>
    <t>TSR</t>
  </si>
  <si>
    <t>Cash payment equal to 16.66% of half of bonus paid out once a year for a period of six years</t>
  </si>
  <si>
    <t>Unweighted, includes firm financial performance (e.g., revenues, net income, pre-tax profit, client assets, AUM), capital and liquidity strength (e.g., CET1, dividend) , business segment performance, Efficiency ratio and ROTCE, TSR; assumes equal weighting of metrics</t>
  </si>
  <si>
    <t xml:space="preserve">Assume equal weight; considers Financial Objectives (e.g., revenue growth, new bookings, operating margin, EPS, and free cash flow), People Objectives (gender, racial, and ethnic diversity and inclusion goals; investing in employees’ wellbeing), Clients and Ecosystem Partners (partnering with clients for 360 degree value and maintaining #1 position for leading ecosystem partners), Strategic Objectives (increasing brand leadership position, achieving key strategic priority areas and growth initiatives), and Sustainability (environmental goals, continuing commitment to communities) </t>
  </si>
  <si>
    <t>Assume equal weight</t>
  </si>
  <si>
    <t>Matrix of Adjusted Operating Income and Balanced Scorecard used to calculate payout as % of target; excludes expenses related to mergers and acquisitions, goodwill impairment, and restructuring; assume equal weighting</t>
  </si>
  <si>
    <t>No weight specified, helps determine overall size of bonus pool; assume equal weighting</t>
  </si>
  <si>
    <t>Performance Goals (Financial)</t>
  </si>
  <si>
    <t>Performance Goals (Pipeline)</t>
  </si>
  <si>
    <t>Final performance factor is a weighted average of each business unit's score, which is determined by a matrix of Average Number of Policies in Force and Combined Ratio; assume equal weighting</t>
  </si>
  <si>
    <t>Unweighted, but referred to as primary component of company performance, which makes up 80% of CEO cash incentives. Excludes the effect of acquisitions/dispositions and foreign currency fluctuations; assume this is 50% and other is 30%</t>
  </si>
  <si>
    <t>Split into Purpose &amp; Sustainability (components include Social Responsibility, Environmental Responsibility, Sustainable Employer, and Sustainable Supply Chain) and Innovation and Therapeutic Focus (components include Diabetes Care, Obesity Care, Rare Disease, and Other Serious Chronic Diseases); assume equal weighting between parts</t>
  </si>
  <si>
    <t>Non-Financial Performance (Pipeline)</t>
  </si>
  <si>
    <t>Split into Purpose &amp; Sustainability (components include Social Responsibility, Environmental Responsibility, Sustainable Employer, and Sustainable Supply Chain) and Innovation and Therapeutic Focus (components include Diabetes Care, Obesity Care, Rare Disease, and Other Serious Chronic Diseases); assume equal weighting</t>
  </si>
  <si>
    <t>3Y Strategic Initiatives Achievement (ESG)</t>
  </si>
  <si>
    <t>3Y Strategic Initiatives Achievement (Pipeline)</t>
  </si>
  <si>
    <t>Non-Financial Performance (ESG)</t>
  </si>
  <si>
    <t>Includes goals related to cybersecurity, risk management, technology, acquisition integration, digital enablement, sustainability, diversity, employee experience, and charitable activities; some quantitative and some qualitative goals</t>
  </si>
  <si>
    <t>Cost &amp; Efficiency includes goals focuses on leading-edge DRAM and NAND product cumulative yields, process and system project implementation, product cost reductions, and Fab and assembly and test manufacturing cost reductions; this seems discretionary</t>
  </si>
  <si>
    <t>Includes goals focused on revenue from more stable end markets and commercial channel, DRAM and NAND leading node shipments ,and NAND product mix; this seems discretionary</t>
  </si>
  <si>
    <t>Long-Term Cash Grant</t>
  </si>
  <si>
    <t>Includes Adjusted Operating Income, Adjusted Operating Return on Equity, Adjusted Return on Tangible Equity, Property and Casualty Combined Ratio, and Tangible Book Value Per Share Growth. Adjusted Operating Income excludes net realized gains and losses, market risk benefit gains and losses, Cigna integration expenses, amortization of fair value adjustment of acquired invested assets, and long-term debt related to certain acquisitions. Adjusted Operating Return on Equity and Adjusted Return on Tangible Equity exclude same items as Adjusted Operating Income, in addition not unrealized gains and losses on investments, current discount rate on future policy benefits, and instrument-specific credit risk on market risk benefits. Goodwill and other intangible assets are excluded from Adjusted Return on Tangible Equity. Life Insurance segment excluded from Property and Casualty Combined Ratio, which includes impact of realized gains and losses on crop derivatives. Tangible Book Value Per Share Growth excludes goodwill and other intangible assets. Discretionary, but very basedo n results.</t>
  </si>
  <si>
    <t>Unweighted metrics, effectively discretionary measure tied to 1Y and 3Y Absolute and Relative Revenue Growth, Operating Margin, and TSR; relative compared to peer group; also takes into account individual and strategic performance assessments</t>
  </si>
  <si>
    <t>Includes Adjusted Return on Capital Employed; Free Cash Flow, Excluding Working Capital; and 3Y Average Relative Adjusted EPS. Adjusted Return on Capital Employed excludes impacts of divestitures, impairments, asset sales, and foreign currency fluctuations. Adjusted EPS excludes same items, except for foreign currency fluctuations. Targets for each of the metrics.</t>
  </si>
  <si>
    <t>Includes Operating Expenses, Excluding Fuel and Transportation; Organic Capital Expenditures; and capital expenditure milestone. Organic Capital Expenditures excludes acquisition costs, but includes investments in assets post-acquisition. Targets for each of the metrics.</t>
  </si>
  <si>
    <t>Includes production, capital, operating and overhead costs, and operational milestones; excludes impacts of acquisitions, dispositions, foreign currency fluctuations, and other items beyond management's control; quantitative targets for each metric, so is marked as financial</t>
  </si>
  <si>
    <t>Measures performance in following categories: Risk, Regulatory, &amp; Control; Financial; Operational Excellence (cost savings and process improvements); Customer-Centric Culture &amp; Conduct; Technology &amp; Innovation; ESG; and Talent &amp; Leadership. Financial metrics include revenue, noninterest expense, pre-tax provision profit, net income, diluted EPS, ROE, ROTCE, CET1 ratio, and Efficiency Ratio, as well as Absolute and Relative TSR compared to peers; no targets established, so not categorized as financial</t>
  </si>
  <si>
    <t>RSUs are cash settled in 3 years depending on price of stock at end of 3Y period, effectively a salary paid in stock; forfeit of 50% of one-year of vesting if Adjusted Net Income are not positive for any fiscal year in the vesting period; discretionary adjustment for the rest depending on NEO’s culpability in outcome; excludes impairment or amortization of goodwill and intangible assets and build or release of allowance for credit losses; entire salary paid in RSUs that are cash settled</t>
  </si>
  <si>
    <t>Deferred 3 years; Performance Factors and CEO Contribution Assessment determine size of award; performance categories include Financial and Operating Performance (Revenue, Pre-Provision Earnings, Adjusted Diluted EPS, Return on Assets, ROTCE, One-Year TSR, and Adjusted Operating Efficiency Ratio), Governance and Risk Management (Credit Performance and Underwriting Quality, Risk Management and Compliance, Balance Sheet Strength, and Board and Executive Governance), Strategic Performance (Progress Toward Achievement of Long-Term Strategy; Execution Against Corporate Imperatives; Disciplined Investments in Infrastructure, Growth, and Technology Initiatives; and CEO Leadership and Performance of Executive Team); and Winning with Our Customers and Associates (Customer Advocacy and Brand; Recruitment and Development of World-Class Talent; Associate Engagement and Retention; Diversity, Inclusion, and Belong; Corporate Reputation and Community Engagement; and Live Our Values and Champion Our Culture). Adjusted metrics exclude restructuring charges, FDIC special assessment, and insurance recoveries and legal reserve activity. No quantitative targets, so marked as discretionary.</t>
  </si>
  <si>
    <t>5 equally weighted subcomponents of Mobility and Delivery Membership Count; Mobility and Delivery Category Positions Across Countries; Cultural Survey Results; Zero-Emissions Vehicle as % of Miles (ESG); and Monthly Active Drivers and Couriers; quantitative targets are good</t>
  </si>
  <si>
    <t>Unweighted, includes firm financial performance (e.g., revenues, net income, pre-tax profit, client assets, AUM), capital and liquidity strength (e.g., CET1, dividend) , business segment performance, Efficiency ratio and ROTCE, TSR; assumes equal weighting of metrics, but no targets</t>
  </si>
  <si>
    <t>Includes Win with Our Customers (e.g., Hilton Honors Enrollment and Digital and Online Travel Agency Channel Mix Change), Enhance Our Network Effect (e.g., Net Unit Growth and Progress on Approved Deals through Construction Starts), and Maximize our Performance (e.g., Adjusted EBITDA, Real Estate Adjusted EBITDA, and RevPar Index Growth) ; no qunatitative targets, so mostly discretionary; mark as non-financial as a result</t>
  </si>
  <si>
    <t>Based on Compensation and Human Capital Management Committee’s assessment of executives’ progress toward strategic priorities, including inventory turnover, team engagement, equity and inclusion, sales plans for new and remodeled stores, and market share at category and enterprise level ; no targets, seems discretionary</t>
  </si>
  <si>
    <t>One Intel Operational Goals (Financial)</t>
  </si>
  <si>
    <t>One Intel Operational Goals (Strategic)</t>
  </si>
  <si>
    <t>One Intel Operational Goals (ESG) Modifier</t>
  </si>
  <si>
    <t>Five components: Product Leadership (25%), Process Leadership (22.5%), Financial Stability (20%), Scale Growth Engines (20%), and Culture (12.5%). Undisclosed, but quantitative targets. Separate into financial, strategic, and ESG.</t>
  </si>
  <si>
    <t>Modifier of 20 points for RISE 2030 Related Goals; applied if Adjusted Revenue and Gross Margin are at or above targets</t>
  </si>
  <si>
    <t>Includes KLA Revenue, Market Leadership (measured by market share), Product Differentiation (measured by Adjusted Gross Margin), Productivity (measured by Adjusted Operating Margin), and Human Capital (measured by Employee Engagement, Retention, and Female Representation); no targets used, so effectively discretionary</t>
  </si>
  <si>
    <t>Corporate Assessment</t>
  </si>
  <si>
    <t>Unweighted; determines size of grant. Measured against prior year, current year budget, and peer group; includes Financial Performance (Net Interest Income, Adjusted Noninterest Income, Adjusted EPS, Adjusted Return on Assets, Adjusted Return on Equity, and Risk-Adjusted Efficiency Ratio). Adjusted metrics adjust for acquisition and merger integration costs, discontinued operations, special assessment charge, reserve build/release, restructuring costs, and other extraordinary items; assume equal weighting, but no quantitative targets, so make non-financial. Other categories include Capital, Risk, and Expense Managmenent (Tangible Book Value, CET1 Ratio, Loans to Deposits Ratio, Net Charge-Offs to Average Loans, Allowance for Loan and Lease Losses to Total Loans, and Adjusted Noninterest Expense. Measured against prior year, current year budget, and peer group); Business Growth (Tangible Book Value, CET1 Ratio, Loans to Deposits Ratio, Net Charge-Offs to Average Loans, Allowance for Loan and Lease Losses to Total Loans, and Adjusted Noninterest Expense. Measured against prior year, current year budget, and peer group); and TSR (1Y, 3Y, and 5Y Absolute and Relative TSR)</t>
  </si>
  <si>
    <t>Excecutive's pay determined by combination of corporate and individual performance</t>
  </si>
  <si>
    <t>Based on retrospective assessment of performance of each business unit against six metrics: Revenue Growth, Operating Profit Growth, Adjusted Free Cash Flow Productivity (conversion of earnings into cash), Market Share, Operating TSR, and Internal Controls (Audit Results and Issue Remediation); weighted average for CEO; Compensation and Leadership Development Committee determines Business Unit Performance Factor following recommendation from committee consisting of CEO, CFO, and CHRO; only seem to have targets for sales growth and profit growth that are not disclosed; makes this non-financial since there aren't quantitative targets</t>
  </si>
  <si>
    <t>Based on growth (e.g., winning new contracts and reprocuring existing contracts), participation in M&amp;A, increase in market share and organic growth rate, operational improvements, ESG, workforce talent, and other factors. 5% of this is tied to clinical performance metric centered on reduction in preterm birth rate for black mothers who are members of Illinois health plan; ultimately mostly discretionary, so is marked as non-financial</t>
  </si>
  <si>
    <t>Related to execution of Charter’s network evolution and expansion initiatives and effective management of capital and free cash flow (weighted at 50% each); referred to as discretionary</t>
  </si>
  <si>
    <t xml:space="preserve">Strategic Objectives </t>
  </si>
  <si>
    <t>Will reflect management’s efforts toward key strategic initiatives, including franchising strategy, employee engagement, and established DEI ambitions; some ESG</t>
  </si>
  <si>
    <t>Corporate goals pertaining to same store operating income growth, G&amp;A budget, gross investments, third-party management platform expansion, Life Storage acquisition integration, and executing public bond deals with goal of increasing leverage; defined targets, making this financial, quantitative goal</t>
  </si>
  <si>
    <t>People, Culture, and Compensation Committee has authority to make discretionary adjustments; modification made</t>
  </si>
  <si>
    <t>Includes execute on Medical Strategy, achieve ONPATTRO, AMVUTTRA, GIVLAARI, and OXLUMO commercial success, and achieve key financial targets (includes net product revenue, combined R&amp;D and SG&amp;A operating expenses 1Y Relative TSR, and COGS as percentage of net product revenues); some quantitative targets for revenue and expenses, but no explicit financial targets for other components and lack of disclosure on how payout ranges are determined</t>
  </si>
  <si>
    <t>Measures growth of two business lines (Private Passenger Auto and Commercial Auto) over 3Y compared to growth rate of each of the markets as a whole (excluding their results); weightings based on business lines' relative contribution to net premiums earned</t>
  </si>
  <si>
    <t>Unweighted, includes Financial Performance, Strategic Priorities &amp; Clients, Risk Management &amp; Controls, and People, as well as individual component. Financial Performance includes Adjusted ROE, Adjusted ROTE, TSR, efficiency ratio, Adjusted pre-tax earnings, Adjusted EPS, Adjusted BVPS growth, and CET1 ratio. Adjusted metrics exclude items related to Asset and Wealth Management’s transition to a less capital intensive business, revenues and costs resulting from the sales of the Marcus and GreenSky point-of-sale loans portfolios, gains from the Personal Financial Management sale, the FDIC Special Assessment Fee, and a reserve reduction for the GM Card related to the transfer of the GM Card portfolio to held for sale. Strategic Priorities &amp; Clients measures client feedback, share of addressable market, progress toward sustainable finance commitments, and other factors. Risk Management &amp; Controls measures reputational risk, risk management, internal audit findings, and compliance, among other factors. People measures DE&amp;I progress, attrition, and leadership pipeline health, among other factors (ESG).</t>
  </si>
  <si>
    <t>Same factors determine size of this award</t>
  </si>
  <si>
    <t>Includes metrics related to Deleveraging Balance Sheet, Opportunistic Acquisition/Disposition, Dividends, and Repurchases; no explicit targets, so not really quantitative in nature, more discretionary</t>
  </si>
  <si>
    <t>Some return and cash flow metrics; metrics related to Balance Sheet Strength, Capital Expenditure, ROE, ROIC, and Adjusted Funds Flow per Share; adjusted financial metrics, including Adjusted EBITDA, exclude share-based compensation, unrealized risk management activities gains/losses, asset retirement obligation accretion, foreign exchange fluctuations, abandonment expenditures and gains/losses on acquisitions and investments; quantitative targets, so marked as financial</t>
  </si>
  <si>
    <t>Metrics related to Barrel of Oil Equivalent Production and Operating Costs, quantitative targets</t>
  </si>
  <si>
    <t xml:space="preserve">Bonus is a function of STIP </t>
  </si>
  <si>
    <t>38% on steering toward carbon neutrality, 38% on CSR performance focused on climate and diversity, and 25% on profitable growth in renewables and electricity ; all qualitative</t>
  </si>
  <si>
    <t>Plan Type</t>
  </si>
  <si>
    <t>Plan Type Weight</t>
  </si>
  <si>
    <t>Plan Consideration</t>
  </si>
  <si>
    <t>Consideration Weight</t>
  </si>
  <si>
    <t>Short-Term Incentive</t>
  </si>
  <si>
    <t>Performance</t>
  </si>
  <si>
    <t>Long-Term Incentive</t>
  </si>
  <si>
    <t>Non-Performance</t>
  </si>
  <si>
    <t>Non/Performance</t>
  </si>
  <si>
    <t>ESG-related</t>
  </si>
  <si>
    <t>Based on individual performance factor</t>
  </si>
  <si>
    <t>Target amounts are determined by examining compensation peers and deciding where company should be positioned based on 1Y, 3Y, and 5Y relative TSR perfromance compared to the compensation peer group, competitor peer group, and S&amp;P 500 industrials; discretionary adjustments possible</t>
  </si>
  <si>
    <t>One-Time Award</t>
  </si>
  <si>
    <t xml:space="preserve">Matrix of Adjusted Revenue Growth and Adjusted Operating Margin used to determine payout following target amount calculated by combination of financial performance, business strength, and organizational strength (same as cash incentives); measures estimated annual revenue impact of BlackRock’s total net new business in a given year, including net new technology services revenue, excluding the effect of market appreciation/(depreciation) and foreign exchange; no shares earned in event of negative Adjusted REvenue Growth </t>
  </si>
  <si>
    <t>Unweighted discretionary assessment, same determinants as cash incentives; TSR modifier</t>
  </si>
  <si>
    <t>Vested shares; same determinants as cash incentives</t>
  </si>
  <si>
    <t xml:space="preserve">Grant size determined by same factors as cash incentives, Compared to KBW Bank Index </t>
  </si>
  <si>
    <t xml:space="preserve">Grant size determined by same factors as cash incentives; forfeit of 50% of one-year of vesting if Adjusted Net Income is not positive for any fiscal year in the vesting period; discretionary adjustment for the rest depending on NEO’s culpability in outcome; excludes impairment or amortization of goodwill and intangible assets and build or release of allowance for credit losses </t>
  </si>
  <si>
    <t>Same determinants of grant size as cash incentive</t>
  </si>
  <si>
    <t xml:space="preserve">Same grant size determinants as performance stock; forfeit of 50% of one-year of vesting if Adjusted Net Income is not positive for any fiscal year in the vesting period; discretionary adjustment for the rest depending on NEO’s culpability in outcome; excludes impairment or amortization of goodwill and intangible assets and build or release of allowance for credit losses </t>
  </si>
  <si>
    <t>Annual Performance Stock Grant</t>
  </si>
  <si>
    <t xml:space="preserve">Allocation depends on stock price over 3 one-year periods, 1% increase in stock price leads to 1% increase in number of MSUs earned; maximum payout of 100% of stock-price apreciation and threshold of 50% stock price depreciation </t>
  </si>
  <si>
    <t>Same financial drivers as long-term cash incentive, 75% 3Y Adjusted EPS Growth, 25% Adjusted Cash Conversion; up or down 20% based on 3Y Relative TSR</t>
  </si>
  <si>
    <t>Size of grant determined by same items as cash incentives; compared to peers, payout determined by matrix of this and 3Y Average Adjusted ROE described below; assume equal weighting</t>
  </si>
  <si>
    <t>Same determinants as cash incentives for grant size, shares the CET1 Capital Ratio cap that PSUs have</t>
  </si>
  <si>
    <t>Same determinants as cash incentives for grant size</t>
  </si>
  <si>
    <t>Same determinants as performance stock options</t>
  </si>
  <si>
    <t>Same metrics as Performance Stock, with same Absolute TSR Cap</t>
  </si>
  <si>
    <t>50% on 5Y Absolute TSR, 50% on 7Y Absolute TSR</t>
  </si>
  <si>
    <t>Half of short-term incentive payout is in stock grants that are deferred 3 years; same determinants as cash incentives</t>
  </si>
  <si>
    <t>Half of short-term incentive is paid in deferred shares, same metrics as cash incentives</t>
  </si>
  <si>
    <t>Award based on 3Y Relative TSR compared to Nasdaq 100</t>
  </si>
  <si>
    <t>Requirement that executives receive half of their short-term incentive payout in deferred options (half vest in 3Y, half vest in 4Y); same metrics as cash incentives</t>
  </si>
  <si>
    <t>1/3 of short-term incentive award is paid in RSUs that vest in 3Y; same determinants as cash incentives</t>
  </si>
  <si>
    <t>Five-year (multi-year) PSU award made in 2020, annualization of plan included in compensation mix; based on absolute TSR over 5Y period; CSO received same award</t>
  </si>
  <si>
    <t>Determines vesting; mix of PSUs and PSAs; size of grant determined by same metrics as cash incentives</t>
  </si>
  <si>
    <t>Size of grant determined by same metrics as cash incentives, determines vesting; mix of PSUs and PSAs</t>
  </si>
  <si>
    <t>Unweighted discretionary assessment, looks at similar metrics to CEO; assume 50-50 split</t>
  </si>
  <si>
    <t>Does not reflect President's pay which is same as CEO, as both are co-founders</t>
  </si>
  <si>
    <t>Weighting not specified, includes net revenue growth, net income growth, EPS growth, payments transaction growth, constant-dollar payments volume growth, constant-dollar cross-border volume growth, and net new acceptance locations excluding China; assume 50% weighting for each; quantitative targets</t>
  </si>
  <si>
    <t xml:space="preserve">Excludes gains and losses on equity investments, foreign exchange fluctuations, amortization of acquired intangible assets, acquisition-related costs, litigation provisions, and other non-recurring items </t>
  </si>
  <si>
    <t>1Y and 3Y Absolute TSR</t>
  </si>
  <si>
    <t>Sum of Plan Type Weight</t>
  </si>
  <si>
    <t>Excludes impairment charges, gains and losses on dispositions and asset sales, gains and losses on currency derivatives, and other non-recurring items; assumes equal weighting between relative and absolute measures</t>
  </si>
  <si>
    <t>Assumes equal weighting between absolute and relative</t>
  </si>
  <si>
    <t>Assumes equal weighting</t>
  </si>
  <si>
    <t>Same adjustments as above, assumes equal weighting between relative and absolute</t>
  </si>
  <si>
    <t>3Y Relative Adjusted Return on Capital Employed</t>
  </si>
  <si>
    <t>Board has discretion to adjust payouts based on individual performance</t>
  </si>
  <si>
    <t>Board has discretion to adjust payouts</t>
  </si>
  <si>
    <t>10Y performance period, vary year to year, 2023 goals were Achievement of Adjusted Operating Income in FY25 (40%), FDA Acceptance of an NDA for a Therapeutic to Treat ATTR Amyloidosis with Cardiomyopathy, After Receipt of Positive Result on Clinical Outcomes Endpoint from Phase 3 Clinical Study (30%), and Achievement of Human Proof of Concept for Investigational RNAi Therapeutic Directed to an Extrahepatic, non-CNS Target (30%); operating income excludes stock-based compensation and realized and unrealized gains on equity investments</t>
  </si>
  <si>
    <t>(All)</t>
  </si>
  <si>
    <t>Business Lines' combined ratios over last 12M of vesting period must be 96% or greater for there to be payouts</t>
  </si>
  <si>
    <t>Unclear what the distribution is between short-term and long-term cash incentives in payout, likely slanted toward long-term; reflects division-based metrics being used; just split evenly since it's all financial</t>
  </si>
  <si>
    <t>FInancial</t>
  </si>
  <si>
    <t>Performance-based restricted shares, 1Y performance period, same adjustments as above, threshold needs to be hit for this or pre-tax income growth for full payout; assume equal weighting</t>
  </si>
  <si>
    <t>Average of two CEOs is 40%; not shown as there is insufficient data on rest of mix</t>
  </si>
  <si>
    <t>Average is 31%, not shown as there is insufficient information on rest of mix</t>
  </si>
  <si>
    <t>Equal to (pro forma EBITDA as defined * acquisition weighted market multiple - net debt)/diluted weighted average shares outstanding; CEO also received a one-time option grant in 2023 as a reward for performance during COVID. Adjusted for special dividends and share repurchases. If TransDigm exceeds the AOP maximum target in a given year, the excess achievement may be used to make up for any shortfalls in the two years both before and after the given year; 5Y vesting, 100% on AOP in 5Y for CEO; 50% on AOP in 4Y and 50% on AOP in 5Y for NEOs; annually targets over 5Y for General Counsel</t>
  </si>
  <si>
    <t>ROIC vs peers; annual targets over 3Y</t>
  </si>
  <si>
    <t>Includes all NEOs, skewed by CSO who has PSUs while others don't</t>
  </si>
  <si>
    <t>Same adjustments as above; annual goals, payout based on average performance</t>
  </si>
  <si>
    <t>Same adjustments as above; payout based on 3Y average of performance against annual targets</t>
  </si>
  <si>
    <t>Downward modification of up to 25% based on achievement of two goals: design and deployment of employee climate survey and development and implementation of operational control limits for several programs; executives must complete Safety management System Training during grant year for the awards to vest</t>
  </si>
  <si>
    <t>Relative TSR Threshold</t>
  </si>
  <si>
    <t xml:space="preserve">No payout if Adjusted Revenue CAGR or Relative TSR fall below threshold  </t>
  </si>
  <si>
    <t>Relative TSR awards capped at 100% of target if Absolute TSR is negative</t>
  </si>
  <si>
    <t>2Y Procedure Count Growth</t>
  </si>
  <si>
    <t>Relative TSR payouts capped at 100% of target if 3Y Absolute TSR is negative</t>
  </si>
  <si>
    <t xml:space="preserve">Measures progress on senior leader diversity; down at most 10% </t>
  </si>
  <si>
    <t>Performance Stock Appreciation Rights</t>
  </si>
  <si>
    <t>Awards capped at 100% of target if 3Y Relative TSR is below 25th percentile of S&amp;P 500</t>
  </si>
  <si>
    <t>Modification capped at 0 if Absolute TSR is negative</t>
  </si>
  <si>
    <t>HON</t>
  </si>
  <si>
    <t>Industrial Conglomerates</t>
  </si>
  <si>
    <t>3Y Average Adjusted Segment Margin Rate</t>
  </si>
  <si>
    <t>3Y Average Adjusted Return on Investment</t>
  </si>
  <si>
    <t xml:space="preserve">Excludes pension mark-to-market expenses, separated related tax adjustment, changes in fair value for Garrett equity securities, gains on sale, expenses related Universal Oil Product matters, Russian-related charges, impacts of divestitures, and pension headwinds </t>
  </si>
  <si>
    <t xml:space="preserve">Excludes the impacts of acquisitions and divestitures and foreign currency fluctuations </t>
  </si>
  <si>
    <t>Operating margin at the segment-level excluding stock-based compensation; repositioning, asbestos, environmental expenses, equity income adjustments, and other charges; pension and other postretirement service costs; the impacts of acquisitions and divestitures, but includes foreign currency fluctuations</t>
  </si>
  <si>
    <t>Excludes the impacts of acquisitions, divestitures, and pensions, but includes foreign currency fluctuations</t>
  </si>
  <si>
    <t>Reflects average of corporate and segment NEOs</t>
  </si>
  <si>
    <t>Business Unit Income Contribution</t>
  </si>
  <si>
    <t>Reflects average of corporate and segment NEOs, undefined, likely belowing segment operating profit</t>
  </si>
  <si>
    <t>BBVA</t>
  </si>
  <si>
    <t>Spain</t>
  </si>
  <si>
    <t>Adjusted Net Attributable Profit</t>
  </si>
  <si>
    <t>Efficiency Ratio</t>
  </si>
  <si>
    <t>Net Recommendation Index</t>
  </si>
  <si>
    <t>Target Customers</t>
  </si>
  <si>
    <t>Channeling of Sustainable Business</t>
  </si>
  <si>
    <t>Net Attributable Profit</t>
  </si>
  <si>
    <t>Capital Ratio</t>
  </si>
  <si>
    <t>Liquidity Coverage Ratio</t>
  </si>
  <si>
    <t>Calculated as group’s consolidated net profit from continued operations and profit after tax from discontinued operations. It excludes non-recurring results (e.g., purchase of offices in Spain was excluded in FY22 and restructuring costs were excluded in FY21).</t>
  </si>
  <si>
    <t xml:space="preserve">Measures return in relation to regulatory capital required to meet target CET1 fully-loaded ratio. The numerator is adjusted net attributable profit, while the denominator is risk-weighted assets multiplied by target CET1 fully-loaded ratio plus regulatory deductions and differences of perimeter in equity between regulatory and accounting view and minus solvency minority interests. </t>
  </si>
  <si>
    <t xml:space="preserve">Calculated as operating expenses/gross margin. Gross income is the sum of net interest income, net fees and commissions, net trading income, dividend income, share of profit or loss of entities accounted for using the equity method, and other operating income and operating expenses, and assets’ income and expenses of liabilities under insurance or reinsurance contracts. Operating expenses include depreciation. </t>
  </si>
  <si>
    <t>Relative and absolute results taken into account. The achievement of this indicator at Group level is calculated as the weighted average over the net margin of the level of achievement obtained by the different countries by reference to the targets set for each of them for the different segments in each financial year</t>
  </si>
  <si>
    <t>The achievement of this indicator at Group level is calculated as the weighted average of the level of achievement obtained by the different countries by reference to the targets set for each of them for the different segments in each financial year.</t>
  </si>
  <si>
    <t>It is considered as channeling of sustainable business all mobilization of financial cash flows, in a cumulative way, in relation with activities, clients or products which are considered sustainable or that drive sustainability in accordance with both internal and market standards, regulations and best practices.</t>
  </si>
  <si>
    <t>Same metrics as cash incentives; reflects fact that initial distribution (37%) is half cash and half shares/options, with rest of distribution being 60% shares/options and 40% cash</t>
  </si>
  <si>
    <t>Unspecified threshold must be met for payouts to be made</t>
  </si>
  <si>
    <t xml:space="preserve">Applies to deferrals; only granted if CET1 fully loaded and Liquidity Coverage Ratio thresholds met each year of vesting  </t>
  </si>
  <si>
    <t>4Y Adjusted Tangible Book Value Per Share CAGR</t>
  </si>
  <si>
    <t>Tangible Book Value Per Share</t>
  </si>
  <si>
    <t>4Y Relative TSR</t>
  </si>
  <si>
    <t>4Y Decarbonization of Portfolio</t>
  </si>
  <si>
    <t>4Y Percentage of Women in Management Positions</t>
  </si>
  <si>
    <t>Calculated as (Shareholders’ Funds + AOCI – Intangible Assets)/(Shares Outstanding – Treasury Shares). Shareholders’ funds are adjusted to take into account execution of Dividend-option, while denominator is adjusted to include result of capital increase resulting from the execution of the dividend options. Adjustments also exclude non-recurrent transactions. Meanwhile, over the concepts related to the system of remuneration to shareholders, the amounts distributed to them (which include the amounts distributed under the items “Share premium”, as well as the “Interim dividends”) are adjusted.</t>
  </si>
  <si>
    <t>Compared to Euro Stoxx Banks Index</t>
  </si>
  <si>
    <t xml:space="preserve">Measures the degree to which the bank has complied with decarbonization targets for specific sectors in which it has publicly specified targets (oil &amp; gas, power, auto, steel, cement, and coal) </t>
  </si>
  <si>
    <t>Unspecified threshold must be met for grants to be made the following year</t>
  </si>
  <si>
    <t>Adjusted Return on Regulatory Capital</t>
  </si>
  <si>
    <t>(Multiple Items)</t>
  </si>
  <si>
    <t>Sum of Metric Weight</t>
  </si>
  <si>
    <t>Product Sustainability (20%) and Operational Sustainability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</si>
</sst>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0" fillId="0" borderId="0" xfId="0" applyNumberFormat="1"/>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applyAlignment="1">
      <alignment horizontal="left" indent="1"/>
    </xf>
    <xf numFmtId="164" fontId="0" fillId="0" borderId="0" xfId="1" applyNumberFormat="1" applyFont="1"/>
    <xf numFmtId="0" fontId="0" fillId="0" borderId="0" xfId="0" applyAlignment="1">
      <alignment horizontal="right"/>
    </xf>
    <xf numFmtId="9" fontId="0" fillId="0" borderId="0" xfId="1" applyFont="1" applyAlignment="1">
      <alignment horizontal="left"/>
    </xf>
    <xf numFmtId="9" fontId="0" fillId="0" borderId="0" xfId="0" applyNumberFormat="1" applyAlignment="1">
      <alignment horizontal="left"/>
    </xf>
  </cellXfs>
  <cellStyles count="2">
    <cellStyle name="Normal" xfId="0" builtinId="0"/>
    <cellStyle name="Percent" xfId="1" builtinId="5"/>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dxf>
    <dxf>
      <numFmt numFmtId="13" formatCode="0%"/>
    </dxf>
    <dxf>
      <numFmt numFmtId="13" formatCode="0%"/>
    </dxf>
    <dxf>
      <numFmt numFmtId="13" formatCode="0%"/>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nan Chess (BQXC)" refreshedDate="45527.56967326389" createdVersion="8" refreshedVersion="8" minRefreshableVersion="3" recordCount="2616" xr:uid="{365E96D7-C061-4D9D-BBF5-A5265A5D7BCE}">
  <cacheSource type="worksheet">
    <worksheetSource name="Table1"/>
  </cacheSource>
  <cacheFields count="21">
    <cacheField name="Ticker" numFmtId="0">
      <sharedItems containsMixedTypes="1" containsNumber="1" containsInteger="1" minValue="1299" maxValue="5930" count="142">
        <s v="MSFT"/>
        <s v="AVGO"/>
        <s v="META"/>
        <s v="AMZN"/>
        <s v="GOOG"/>
        <s v="LLY"/>
        <s v="PM"/>
        <s v="UNH"/>
        <s v="AAPL"/>
        <s v="JPM"/>
        <s v="MA"/>
        <s v="RTX"/>
        <s v="ABT"/>
        <s v="TDG"/>
        <s v="CARR"/>
        <s v="NFLX"/>
        <s v="ABBV"/>
        <s v="HD"/>
        <s v="LIN"/>
        <s v="VRTX"/>
        <s v="V"/>
        <s v="TMO"/>
        <s v="CMCSA"/>
        <s v="CAT"/>
        <s v="TSLA"/>
        <s v="EOG"/>
        <s v="RCL"/>
        <s v="GE"/>
        <s v="GILD"/>
        <s v="AMAT"/>
        <s v="XOM"/>
        <s v="MU"/>
        <s v="MMC"/>
        <s v="REGN"/>
        <s v="NVDA"/>
        <s v="CRM"/>
        <s v="BLK"/>
        <s v="CEG"/>
        <s v="NOC"/>
        <s v="DHR"/>
        <s v="CME"/>
        <s v="MELI"/>
        <s v="CB"/>
        <s v="TXN"/>
        <s v="URI"/>
        <s v="CVX"/>
        <s v="CVS"/>
        <s v="FCX"/>
        <s v="CMG"/>
        <s v="BKNG"/>
        <s v="KDP"/>
        <s v="UNP"/>
        <s v="BA"/>
        <s v="CE"/>
        <s v="YUM"/>
        <s v="COP"/>
        <s v="HAL"/>
        <s v="WFC"/>
        <s v="SLB"/>
        <s v="NOW"/>
        <s v="COF"/>
        <s v="GEHC"/>
        <s v="UBER"/>
        <s v="DG"/>
        <s v="MDLZ"/>
        <s v="QSR"/>
        <s v="IR"/>
        <s v="ABNB"/>
        <s v="MS"/>
        <s v="AON"/>
        <s v="SNPS"/>
        <s v="SRE"/>
        <s v="HLT"/>
        <s v="MSI"/>
        <s v="ACN"/>
        <s v="DHI"/>
        <s v="AJG"/>
        <s v="AMGN"/>
        <s v="MO"/>
        <s v="TGT"/>
        <s v="INTC"/>
        <s v="VICI"/>
        <s v="COST"/>
        <s v="KLAC"/>
        <s v="ANET"/>
        <s v="BMY"/>
        <s v="EFX"/>
        <s v="PNC"/>
        <s v="SPGI"/>
        <s v="WELL"/>
        <s v="PAYX"/>
        <s v="PG"/>
        <s v="AIG"/>
        <s v="ISRG"/>
        <s v="SYK"/>
        <s v="MOH"/>
        <s v="CHTR"/>
        <s v="MCD"/>
        <s v="MRK"/>
        <s v="EXR"/>
        <s v="FE"/>
        <s v="GIS"/>
        <s v="ALNY"/>
        <s v="TSCO"/>
        <s v="FI"/>
        <s v="PGR"/>
        <s v="CNP"/>
        <s v="GM"/>
        <s v="LHX"/>
        <s v="GS"/>
        <s v="APD"/>
        <s v="PFE"/>
        <s v="DASH"/>
        <s v="FDX"/>
        <s v="DAY"/>
        <s v="DXCM"/>
        <s v="DTE"/>
        <s v="NET"/>
        <s v="DLTR"/>
        <s v="EQIX"/>
        <n v="2330"/>
        <s v="NOVO"/>
        <s v="CNQ"/>
        <s v="AZN"/>
        <s v="ASML"/>
        <s v="AIR"/>
        <s v="SAF"/>
        <s v="LVMH"/>
        <s v="NESN"/>
        <s v="SHOP"/>
        <s v="STZ"/>
        <n v="1299"/>
        <n v="5930"/>
        <n v="4568"/>
        <s v="BATS"/>
        <s v="SAP"/>
        <s v="TTE"/>
        <s v="GLEN"/>
        <s v="FLUT"/>
        <s v="BAES1"/>
        <s v="HON"/>
        <s v="BBVA"/>
      </sharedItems>
    </cacheField>
    <cacheField name="Sector" numFmtId="0">
      <sharedItems count="11">
        <s v="Information Technology"/>
        <s v="Communication Services"/>
        <s v="Consumer Discretionary"/>
        <s v="Health Care"/>
        <s v="Consumer Staples"/>
        <s v="Financials"/>
        <s v="Industrials"/>
        <s v="Materials"/>
        <s v="Energy"/>
        <s v="Utilities"/>
        <s v="Real Estate"/>
      </sharedItems>
    </cacheField>
    <cacheField name="Industry Group" numFmtId="0">
      <sharedItems count="25">
        <s v="Software and Services"/>
        <s v="Semiconductors"/>
        <s v="Media and Entertainment"/>
        <s v="Consumer Discretionary Distribution and Retail"/>
        <s v="Pharmaceuticals, Biotechnology and Life Sciences"/>
        <s v="Food, Beverage and Tobacco"/>
        <s v="Health Care Equipment and Services"/>
        <s v="Technology Hardware and Equipment"/>
        <s v="Banks"/>
        <s v="Financial Services"/>
        <s v="Capital Goods"/>
        <s v="Materials"/>
        <s v="Automobiles and Components"/>
        <s v="Energy"/>
        <s v="Consumer Services"/>
        <s v="Insurance"/>
        <s v="Utilities"/>
        <s v="Transportation"/>
        <s v="Consumer Staples Distribution and Retail"/>
        <s v="Machinery"/>
        <s v="Hotels, Restaurants and Leisure"/>
        <s v="Consumer Durables and Apparel"/>
        <s v="Equity Real Estate Investment Trusts (REITs)"/>
        <s v="Commercial and Professional Services"/>
        <s v="Household and Personal Products"/>
      </sharedItems>
    </cacheField>
    <cacheField name="Industry" numFmtId="0">
      <sharedItems count="46">
        <s v="Software"/>
        <s v="Semiconductors"/>
        <s v="Interactive Media and Services"/>
        <s v="Broadline Retail"/>
        <s v="Pharmaceuticals"/>
        <s v="Tobacco"/>
        <s v="Health Care Providers and Services"/>
        <s v="Technology Hardware, Storage and Peripherals"/>
        <s v="Banks"/>
        <s v="Financial Services"/>
        <s v="Aerospace and Defense"/>
        <s v="Health Care Equipment and Supplies"/>
        <s v="Building Products"/>
        <s v="Entertainment"/>
        <s v="Biotechnology"/>
        <s v="Specialty Retail"/>
        <s v="Chemicals"/>
        <s v="Life Sciences Tools and Services"/>
        <s v="Media"/>
        <s v="Machinery"/>
        <s v="Automobiles"/>
        <s v="Oil, Gas and Consumable Fuels"/>
        <s v="Hotels, Restaurants and Leisure"/>
        <s v="Insurance"/>
        <s v="Capital Markets"/>
        <s v="Electric Utilities"/>
        <s v="Trading Companies and Distributors"/>
        <s v="Metals and Mining"/>
        <s v="Beverages"/>
        <s v="Ground Transportation"/>
        <s v="Energy Equipment and Services"/>
        <s v="Consumer Finance"/>
        <s v="Consumer Staples Distribution and Retail"/>
        <s v="Food Products"/>
        <s v="Industrial Machinery and Supplies and Components"/>
        <s v="Multi-Utilities"/>
        <s v="Communications Equipment"/>
        <s v="IT Services"/>
        <s v="Household Durables"/>
        <s v="Specialized REITs"/>
        <s v="Professional Services"/>
        <s v="Health Care REITs"/>
        <s v="Household Products"/>
        <s v="Air Freight and Logistics"/>
        <s v="Textiles, Apparel and Luxury Goods"/>
        <s v="Industrial Conglomerates"/>
      </sharedItems>
    </cacheField>
    <cacheField name="FactSet Industry" numFmtId="0">
      <sharedItems/>
    </cacheField>
    <cacheField name="Market Cap Category" numFmtId="0">
      <sharedItems count="10">
        <s v="Mega-Cap"/>
        <s v="Ultra-Cap"/>
        <s v="Large-Cap"/>
        <s v="Mid-Cap"/>
        <s v=" Mega-Cap " u="1"/>
        <s v="Ultra-Cap " u="1"/>
        <s v="Large-Cap " u="1"/>
        <s v=" Ultra-Cap " u="1"/>
        <s v=" Large-Cap " u="1"/>
        <s v=" Mid-Cap " u="1"/>
      </sharedItems>
    </cacheField>
    <cacheField name="Credit Rating" numFmtId="0">
      <sharedItems containsBlank="1"/>
    </cacheField>
    <cacheField name="Country of Listing" numFmtId="0">
      <sharedItems/>
    </cacheField>
    <cacheField name="Region of Listing" numFmtId="0">
      <sharedItems count="4">
        <s v="United States"/>
        <s v="Asia"/>
        <s v="Europe"/>
        <s v="Canada"/>
      </sharedItems>
    </cacheField>
    <cacheField name="Filing Date" numFmtId="14">
      <sharedItems containsSemiMixedTypes="0" containsNonDate="0" containsDate="1" containsString="0" minDate="2023-08-10T00:00:00" maxDate="2024-06-12T00:00:00"/>
    </cacheField>
    <cacheField name="CEO/NEO" numFmtId="0">
      <sharedItems count="2">
        <s v="CEO"/>
        <s v="NEO"/>
      </sharedItems>
    </cacheField>
    <cacheField name="Plan Type" numFmtId="0">
      <sharedItems containsBlank="1" count="6">
        <s v="Base Salary"/>
        <s v="Short-Term Incentive"/>
        <s v="Long-Term Incentive"/>
        <s v="One-Time Award"/>
        <s v="Profit Sharing"/>
        <m u="1"/>
      </sharedItems>
    </cacheField>
    <cacheField name="Non/Performance" numFmtId="0">
      <sharedItems containsBlank="1" count="3">
        <s v="Non-Performance"/>
        <s v="Performance"/>
        <m/>
      </sharedItems>
    </cacheField>
    <cacheField name="Plan Type Weight" numFmtId="9">
      <sharedItems containsString="0" containsBlank="1" containsNumber="1" minValue="0.01" maxValue="1"/>
    </cacheField>
    <cacheField name="Plan Consideration" numFmtId="0">
      <sharedItems/>
    </cacheField>
    <cacheField name="Consideration Weight" numFmtId="9">
      <sharedItems containsString="0" containsBlank="1" containsNumber="1" minValue="0.01" maxValue="1"/>
    </cacheField>
    <cacheField name="Financial/Non-Financial/TSR" numFmtId="9">
      <sharedItems containsBlank="1" count="4">
        <m/>
        <s v="Financial"/>
        <s v="Non-Financial"/>
        <s v="TSR"/>
      </sharedItems>
    </cacheField>
    <cacheField name="Metric Category" numFmtId="0">
      <sharedItems containsBlank="1"/>
    </cacheField>
    <cacheField name="Metric Sub-Category" numFmtId="0">
      <sharedItems containsBlank="1" count="98">
        <m/>
        <s v="Revenue"/>
        <s v="Operating Income"/>
        <s v="Other"/>
        <s v="Customer Satisfaction"/>
        <s v="Users"/>
        <s v="Relative TSR Modifier"/>
        <s v="ESG"/>
        <s v="Absolute TSR"/>
        <s v="Operating Margin"/>
        <s v="Individual Performance Modifier"/>
        <s v="Relative TSR"/>
        <s v="Absolute TSR Cap"/>
        <s v="Individual Performance Assessment"/>
        <s v="EPS"/>
        <s v="Pipeline"/>
        <s v="Market Share"/>
        <s v="Product Volume"/>
        <s v="Operating Cash Flow"/>
        <s v="Other Modifier"/>
        <s v="ESG Modifier"/>
        <s v="Return on Equity"/>
        <s v="Return on Tangible Common Equity"/>
        <s v="CET1 Cap"/>
        <s v="Net Income"/>
        <s v="Free Cash Flow"/>
        <s v="ROIC"/>
        <s v="Return on Assets"/>
        <s v="Return on Equity Modifier"/>
        <s v="Gross Margin"/>
        <s v="Working Capital "/>
        <s v="EBITDA Margin"/>
        <s v="EBITDA"/>
        <s v="Pre-Tax Income"/>
        <s v="Discretionary Modifier"/>
        <s v="Operating Income Threshold"/>
        <s v="Return on Capital"/>
        <s v="Operating Income Cap"/>
        <s v="Market Capitalization"/>
        <s v="Return on Capital Employed"/>
        <s v="Safety"/>
        <s v="Safety Modifier"/>
        <s v="Net Income Threshold"/>
        <s v="Operating Margin Threshold"/>
        <s v="Revenue Modifier"/>
        <s v="Other Modifier "/>
        <s v="EPS Modifier"/>
        <s v="Gross Margin Modifier"/>
        <s v="Stock Price"/>
        <s v="Leverage Modifier"/>
        <s v="Cash Conversion"/>
        <s v="ROIC Modifier"/>
        <s v="Net Profit Margin"/>
        <s v="Absolute TSR Modifier"/>
        <s v="Relative Return on Capital Employed"/>
        <s v="Return on Investment"/>
        <s v="Same Store Sales"/>
        <s v="Cash Flow Margin"/>
        <s v="Store Openings"/>
        <s v="Store Cash Flow"/>
        <s v="Relative TSR Threshold"/>
        <s v="Relative Operating Income"/>
        <s v="NOPAT"/>
        <s v="Asset Turnover"/>
        <s v="Return on Capital Employed Cap"/>
        <s v="Relative Return on Tangible Common Equity"/>
        <s v="Operating Income Modifier"/>
        <s v="Other Threshold"/>
        <s v="Net Income Cap"/>
        <s v="Return on Tangible Common Equity Cap"/>
        <s v="Working Capital"/>
        <s v="Gross Profit"/>
        <s v="Market Share Modifier"/>
        <s v="Individual Performance Threshold"/>
        <s v="EPS Threshold"/>
        <s v="Stock Price Threshold"/>
        <s v="Revenue Threshold"/>
        <s v="Net Unit Growth"/>
        <s v="Relative TSR Cap"/>
        <s v="Relative Return on Investment"/>
        <s v="Relative EPS"/>
        <s v="Relative ROIC"/>
        <s v="Funds from Operations Per Share"/>
        <s v="Pre-Tax Income Threshold"/>
        <s v="Absolute TSR Threshold"/>
        <s v="Revenue "/>
        <s v="EBITA Margin"/>
        <s v="EBITA"/>
        <s v="Leverage"/>
        <s v="Relative Revenue"/>
        <s v="Safety Threshold"/>
        <s v="Operating Margin Modifier"/>
        <s v="Absolute TSR "/>
        <s v="Pipeline Modifier"/>
        <s v="Relative TSR Multiplier"/>
        <s v="Funds from Operations Per Share Threshold"/>
        <s v="Efficiency Ratio"/>
        <s v="Tangible Book Value Per Share"/>
      </sharedItems>
    </cacheField>
    <cacheField name="Metric" numFmtId="0">
      <sharedItems containsBlank="1"/>
    </cacheField>
    <cacheField name="Metric Weight" numFmtId="9">
      <sharedItems containsString="0" containsBlank="1" containsNumber="1" minValue="0.02"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6">
  <r>
    <x v="0"/>
    <x v="0"/>
    <x v="0"/>
    <x v="0"/>
    <s v="Packaged Software"/>
    <x v="0"/>
    <s v="AAA"/>
    <s v="United States"/>
    <x v="0"/>
    <d v="2023-10-19T00:00:00"/>
    <x v="0"/>
    <x v="0"/>
    <x v="0"/>
    <n v="4.2000000000000003E-2"/>
    <s v="Base Salary"/>
    <n v="4.2000000000000003E-2"/>
    <x v="0"/>
    <m/>
    <x v="0"/>
    <m/>
    <m/>
  </r>
  <r>
    <x v="0"/>
    <x v="0"/>
    <x v="0"/>
    <x v="0"/>
    <s v="Packaged Software"/>
    <x v="0"/>
    <s v="AAA"/>
    <s v="United States"/>
    <x v="0"/>
    <d v="2023-10-19T00:00:00"/>
    <x v="0"/>
    <x v="1"/>
    <x v="1"/>
    <n v="0.125"/>
    <s v="Cash Incentive"/>
    <n v="0.125"/>
    <x v="1"/>
    <s v="Growth"/>
    <x v="1"/>
    <s v="Adjusted Revenue"/>
    <n v="0.35"/>
  </r>
  <r>
    <x v="0"/>
    <x v="0"/>
    <x v="0"/>
    <x v="0"/>
    <s v="Packaged Software"/>
    <x v="0"/>
    <s v="AAA"/>
    <s v="United States"/>
    <x v="0"/>
    <d v="2023-10-19T00:00:00"/>
    <x v="0"/>
    <x v="1"/>
    <x v="1"/>
    <m/>
    <s v="Cash Incentive"/>
    <n v="0.125"/>
    <x v="1"/>
    <s v="Profitability"/>
    <x v="2"/>
    <s v="Adjusted Operating Income"/>
    <n v="0.35"/>
  </r>
  <r>
    <x v="0"/>
    <x v="0"/>
    <x v="0"/>
    <x v="0"/>
    <s v="Packaged Software"/>
    <x v="0"/>
    <s v="AAA"/>
    <s v="United States"/>
    <x v="0"/>
    <d v="2023-10-19T00:00:00"/>
    <x v="0"/>
    <x v="1"/>
    <x v="1"/>
    <m/>
    <s v="Cash Incentive"/>
    <n v="0.125"/>
    <x v="2"/>
    <s v="Strategy &amp; Operations"/>
    <x v="3"/>
    <s v="Product &amp; Strategy "/>
    <n v="0.1"/>
  </r>
  <r>
    <x v="0"/>
    <x v="0"/>
    <x v="0"/>
    <x v="0"/>
    <s v="Packaged Software"/>
    <x v="0"/>
    <s v="AAA"/>
    <s v="United States"/>
    <x v="0"/>
    <d v="2023-10-19T00:00:00"/>
    <x v="0"/>
    <x v="1"/>
    <x v="1"/>
    <m/>
    <s v="Cash Incentive"/>
    <n v="0.125"/>
    <x v="2"/>
    <s v="Strategy &amp; Operations"/>
    <x v="4"/>
    <s v="Customers &amp; Stakeholders"/>
    <n v="0.1"/>
  </r>
  <r>
    <x v="0"/>
    <x v="0"/>
    <x v="0"/>
    <x v="0"/>
    <s v="Packaged Software"/>
    <x v="0"/>
    <s v="AAA"/>
    <s v="United States"/>
    <x v="0"/>
    <d v="2023-10-19T00:00:00"/>
    <x v="0"/>
    <x v="1"/>
    <x v="1"/>
    <m/>
    <s v="Cash Incentive"/>
    <n v="0.125"/>
    <x v="2"/>
    <s v="ESG"/>
    <x v="3"/>
    <s v="Culture, Diversity, &amp; Sustainability "/>
    <n v="0.1"/>
  </r>
  <r>
    <x v="0"/>
    <x v="0"/>
    <x v="0"/>
    <x v="0"/>
    <s v="Packaged Software"/>
    <x v="0"/>
    <s v="AAA"/>
    <s v="United States"/>
    <x v="0"/>
    <d v="2023-10-19T00:00:00"/>
    <x v="0"/>
    <x v="2"/>
    <x v="1"/>
    <n v="0.83299999999999996"/>
    <s v="Performance Stock"/>
    <n v="0.83299999999999996"/>
    <x v="1"/>
    <s v="Growth"/>
    <x v="1"/>
    <s v="Cloud Revenue"/>
    <n v="0.3"/>
  </r>
  <r>
    <x v="0"/>
    <x v="0"/>
    <x v="0"/>
    <x v="0"/>
    <s v="Packaged Software"/>
    <x v="0"/>
    <s v="AAA"/>
    <s v="United States"/>
    <x v="0"/>
    <d v="2023-10-19T00:00:00"/>
    <x v="0"/>
    <x v="2"/>
    <x v="1"/>
    <m/>
    <s v="Performance Stock"/>
    <n v="0.83299999999999996"/>
    <x v="1"/>
    <s v="Growth"/>
    <x v="5"/>
    <s v="Cloud Subscribers Growth"/>
    <n v="0.2"/>
  </r>
  <r>
    <x v="0"/>
    <x v="0"/>
    <x v="0"/>
    <x v="0"/>
    <s v="Packaged Software"/>
    <x v="0"/>
    <s v="AAA"/>
    <s v="United States"/>
    <x v="0"/>
    <d v="2023-10-19T00:00:00"/>
    <x v="0"/>
    <x v="2"/>
    <x v="1"/>
    <m/>
    <s v="Performance Stock"/>
    <n v="0.83299999999999996"/>
    <x v="1"/>
    <s v="Growth"/>
    <x v="5"/>
    <s v="Teams MAU Growth"/>
    <n v="0.2"/>
  </r>
  <r>
    <x v="0"/>
    <x v="0"/>
    <x v="0"/>
    <x v="0"/>
    <s v="Packaged Software"/>
    <x v="0"/>
    <s v="AAA"/>
    <s v="United States"/>
    <x v="0"/>
    <d v="2023-10-19T00:00:00"/>
    <x v="0"/>
    <x v="2"/>
    <x v="1"/>
    <m/>
    <s v="Performance Stock"/>
    <n v="0.83299999999999996"/>
    <x v="1"/>
    <s v="Growth"/>
    <x v="1"/>
    <s v="Xbox Revenue Growth"/>
    <n v="0.1"/>
  </r>
  <r>
    <x v="0"/>
    <x v="0"/>
    <x v="0"/>
    <x v="0"/>
    <s v="Packaged Software"/>
    <x v="0"/>
    <s v="AAA"/>
    <s v="United States"/>
    <x v="0"/>
    <d v="2023-10-19T00:00:00"/>
    <x v="0"/>
    <x v="2"/>
    <x v="1"/>
    <m/>
    <s v="Performance Stock"/>
    <n v="0.83299999999999996"/>
    <x v="1"/>
    <s v="Growth"/>
    <x v="5"/>
    <s v="Windows MAD Growth"/>
    <n v="0.1"/>
  </r>
  <r>
    <x v="0"/>
    <x v="0"/>
    <x v="0"/>
    <x v="0"/>
    <s v="Packaged Software"/>
    <x v="0"/>
    <s v="AAA"/>
    <s v="United States"/>
    <x v="0"/>
    <d v="2023-10-19T00:00:00"/>
    <x v="0"/>
    <x v="2"/>
    <x v="1"/>
    <m/>
    <s v="Performance Stock"/>
    <n v="0.83299999999999996"/>
    <x v="1"/>
    <s v="Growth"/>
    <x v="5"/>
    <s v="LinkedIn Sessions"/>
    <n v="0.1"/>
  </r>
  <r>
    <x v="0"/>
    <x v="0"/>
    <x v="0"/>
    <x v="0"/>
    <s v="Packaged Software"/>
    <x v="0"/>
    <s v="AAA"/>
    <s v="United States"/>
    <x v="0"/>
    <d v="2023-10-19T00:00:00"/>
    <x v="0"/>
    <x v="2"/>
    <x v="1"/>
    <m/>
    <s v="Performance Stock"/>
    <n v="0.83299999999999996"/>
    <x v="0"/>
    <s v="Modifier/Threshold"/>
    <x v="6"/>
    <s v="3Y Relative TSR"/>
    <m/>
  </r>
  <r>
    <x v="0"/>
    <x v="0"/>
    <x v="0"/>
    <x v="0"/>
    <s v="Packaged Software"/>
    <x v="0"/>
    <s v="AAA"/>
    <s v="United States"/>
    <x v="0"/>
    <d v="2023-10-19T00:00:00"/>
    <x v="1"/>
    <x v="0"/>
    <x v="0"/>
    <n v="5.5999999999999994E-2"/>
    <s v="Base Salary"/>
    <n v="5.5999999999999994E-2"/>
    <x v="0"/>
    <m/>
    <x v="0"/>
    <m/>
    <m/>
  </r>
  <r>
    <x v="0"/>
    <x v="0"/>
    <x v="0"/>
    <x v="0"/>
    <s v="Packaged Software"/>
    <x v="0"/>
    <s v="AAA"/>
    <s v="United States"/>
    <x v="0"/>
    <d v="2023-10-19T00:00:00"/>
    <x v="1"/>
    <x v="1"/>
    <x v="1"/>
    <n v="0.13400000000000001"/>
    <s v="Cash Incentive"/>
    <n v="0.13400000000000001"/>
    <x v="1"/>
    <s v="Growth"/>
    <x v="1"/>
    <s v="Adjusted Revenue"/>
    <n v="0.25"/>
  </r>
  <r>
    <x v="0"/>
    <x v="0"/>
    <x v="0"/>
    <x v="0"/>
    <s v="Packaged Software"/>
    <x v="0"/>
    <s v="AAA"/>
    <s v="United States"/>
    <x v="0"/>
    <d v="2023-10-19T00:00:00"/>
    <x v="1"/>
    <x v="1"/>
    <x v="1"/>
    <m/>
    <s v="Cash Incentive"/>
    <n v="0.13400000000000001"/>
    <x v="1"/>
    <s v="Profitability"/>
    <x v="2"/>
    <s v="Adjusted Operating Income"/>
    <n v="0.25"/>
  </r>
  <r>
    <x v="0"/>
    <x v="0"/>
    <x v="0"/>
    <x v="0"/>
    <s v="Packaged Software"/>
    <x v="0"/>
    <s v="AAA"/>
    <s v="United States"/>
    <x v="0"/>
    <d v="2023-10-19T00:00:00"/>
    <x v="1"/>
    <x v="1"/>
    <x v="1"/>
    <m/>
    <s v="Cash Incentive"/>
    <n v="0.13400000000000001"/>
    <x v="2"/>
    <s v="Strategy &amp; Operations"/>
    <x v="3"/>
    <s v="Product &amp; Strategy "/>
    <n v="0.16669999999999999"/>
  </r>
  <r>
    <x v="0"/>
    <x v="0"/>
    <x v="0"/>
    <x v="0"/>
    <s v="Packaged Software"/>
    <x v="0"/>
    <s v="AAA"/>
    <s v="United States"/>
    <x v="0"/>
    <d v="2023-10-19T00:00:00"/>
    <x v="1"/>
    <x v="1"/>
    <x v="1"/>
    <m/>
    <s v="Cash Incentive"/>
    <n v="0.13400000000000001"/>
    <x v="2"/>
    <s v="Strategy &amp; Operations"/>
    <x v="4"/>
    <s v="Customers &amp; Stakeholders"/>
    <n v="0.16669999999999999"/>
  </r>
  <r>
    <x v="0"/>
    <x v="0"/>
    <x v="0"/>
    <x v="0"/>
    <s v="Packaged Software"/>
    <x v="0"/>
    <s v="AAA"/>
    <s v="United States"/>
    <x v="0"/>
    <d v="2023-10-19T00:00:00"/>
    <x v="1"/>
    <x v="1"/>
    <x v="1"/>
    <m/>
    <s v="Cash Incentive"/>
    <n v="0.13400000000000001"/>
    <x v="2"/>
    <s v="ESG"/>
    <x v="7"/>
    <s v="Culture, Diversity, &amp; Sustainability "/>
    <n v="0.16669999999999999"/>
  </r>
  <r>
    <x v="0"/>
    <x v="0"/>
    <x v="0"/>
    <x v="0"/>
    <s v="Packaged Software"/>
    <x v="0"/>
    <s v="AAA"/>
    <s v="United States"/>
    <x v="0"/>
    <d v="2023-10-19T00:00:00"/>
    <x v="1"/>
    <x v="2"/>
    <x v="1"/>
    <n v="0.40500000000000003"/>
    <s v="Performance Stock"/>
    <n v="0.40500000000000003"/>
    <x v="1"/>
    <s v="Growth"/>
    <x v="1"/>
    <s v="Cloud Revenue"/>
    <n v="0.3"/>
  </r>
  <r>
    <x v="0"/>
    <x v="0"/>
    <x v="0"/>
    <x v="0"/>
    <s v="Packaged Software"/>
    <x v="0"/>
    <s v="AAA"/>
    <s v="United States"/>
    <x v="0"/>
    <d v="2023-10-19T00:00:00"/>
    <x v="1"/>
    <x v="2"/>
    <x v="1"/>
    <m/>
    <s v="Performance Stock"/>
    <n v="0.40500000000000003"/>
    <x v="1"/>
    <s v="Growth"/>
    <x v="5"/>
    <s v="Cloud Subscribers Growth"/>
    <n v="0.2"/>
  </r>
  <r>
    <x v="0"/>
    <x v="0"/>
    <x v="0"/>
    <x v="0"/>
    <s v="Packaged Software"/>
    <x v="0"/>
    <s v="AAA"/>
    <s v="United States"/>
    <x v="0"/>
    <d v="2023-10-19T00:00:00"/>
    <x v="1"/>
    <x v="2"/>
    <x v="1"/>
    <m/>
    <s v="Performance Stock"/>
    <n v="0.40500000000000003"/>
    <x v="1"/>
    <s v="Growth"/>
    <x v="5"/>
    <s v="Teams MAU Growth"/>
    <n v="0.2"/>
  </r>
  <r>
    <x v="0"/>
    <x v="0"/>
    <x v="0"/>
    <x v="0"/>
    <s v="Packaged Software"/>
    <x v="0"/>
    <s v="AAA"/>
    <s v="United States"/>
    <x v="0"/>
    <d v="2023-10-19T00:00:00"/>
    <x v="1"/>
    <x v="2"/>
    <x v="1"/>
    <m/>
    <s v="Performance Stock"/>
    <n v="0.40500000000000003"/>
    <x v="1"/>
    <s v="Growth"/>
    <x v="1"/>
    <s v="Xbox Revenue Growth"/>
    <n v="0.1"/>
  </r>
  <r>
    <x v="0"/>
    <x v="0"/>
    <x v="0"/>
    <x v="0"/>
    <s v="Packaged Software"/>
    <x v="0"/>
    <s v="AAA"/>
    <s v="United States"/>
    <x v="0"/>
    <d v="2023-10-19T00:00:00"/>
    <x v="1"/>
    <x v="2"/>
    <x v="1"/>
    <m/>
    <s v="Performance Stock"/>
    <n v="0.40500000000000003"/>
    <x v="1"/>
    <s v="Growth"/>
    <x v="5"/>
    <s v="Windows MAD Growth"/>
    <n v="0.1"/>
  </r>
  <r>
    <x v="0"/>
    <x v="0"/>
    <x v="0"/>
    <x v="0"/>
    <s v="Packaged Software"/>
    <x v="0"/>
    <s v="AAA"/>
    <s v="United States"/>
    <x v="0"/>
    <d v="2023-10-19T00:00:00"/>
    <x v="1"/>
    <x v="2"/>
    <x v="1"/>
    <m/>
    <s v="Performance Stock"/>
    <n v="0.40500000000000003"/>
    <x v="1"/>
    <s v="Growth"/>
    <x v="5"/>
    <s v="LinkedIn Sessions"/>
    <n v="0.1"/>
  </r>
  <r>
    <x v="0"/>
    <x v="0"/>
    <x v="0"/>
    <x v="0"/>
    <s v="Packaged Software"/>
    <x v="0"/>
    <s v="AAA"/>
    <s v="United States"/>
    <x v="0"/>
    <d v="2023-10-19T00:00:00"/>
    <x v="1"/>
    <x v="2"/>
    <x v="1"/>
    <m/>
    <s v="Performance Stock"/>
    <n v="0.40500000000000003"/>
    <x v="0"/>
    <s v="Modifier/Threshold"/>
    <x v="6"/>
    <s v="3Y Relative TSR"/>
    <m/>
  </r>
  <r>
    <x v="0"/>
    <x v="0"/>
    <x v="0"/>
    <x v="0"/>
    <s v="Packaged Software"/>
    <x v="0"/>
    <s v="AAA"/>
    <s v="United States"/>
    <x v="0"/>
    <d v="2023-10-19T00:00:00"/>
    <x v="1"/>
    <x v="2"/>
    <x v="0"/>
    <n v="0.40500000000000003"/>
    <s v="Time-Based Stock"/>
    <n v="0.40500000000000003"/>
    <x v="0"/>
    <m/>
    <x v="0"/>
    <m/>
    <m/>
  </r>
  <r>
    <x v="1"/>
    <x v="0"/>
    <x v="1"/>
    <x v="1"/>
    <s v="Semiconductors"/>
    <x v="0"/>
    <s v="BBB"/>
    <s v="United States"/>
    <x v="0"/>
    <d v="2024-02-26T00:00:00"/>
    <x v="0"/>
    <x v="0"/>
    <x v="0"/>
    <n v="0.04"/>
    <s v="Base Salary"/>
    <n v="0.04"/>
    <x v="0"/>
    <m/>
    <x v="0"/>
    <m/>
    <m/>
  </r>
  <r>
    <x v="1"/>
    <x v="0"/>
    <x v="1"/>
    <x v="1"/>
    <s v="Semiconductors"/>
    <x v="0"/>
    <s v="BBB"/>
    <s v="United States"/>
    <x v="0"/>
    <d v="2024-02-26T00:00:00"/>
    <x v="0"/>
    <x v="2"/>
    <x v="1"/>
    <n v="0.96"/>
    <s v="Performance Stock"/>
    <n v="0.96"/>
    <x v="3"/>
    <s v="Stock Performance"/>
    <x v="8"/>
    <s v="Absolute TSR"/>
    <n v="1"/>
  </r>
  <r>
    <x v="1"/>
    <x v="0"/>
    <x v="1"/>
    <x v="1"/>
    <s v="Semiconductors"/>
    <x v="0"/>
    <s v="BBB"/>
    <s v="United States"/>
    <x v="0"/>
    <d v="2024-02-26T00:00:00"/>
    <x v="1"/>
    <x v="0"/>
    <x v="0"/>
    <n v="4.2030590936743405E-2"/>
    <s v="Base Salary"/>
    <n v="4.2030590936743405E-2"/>
    <x v="0"/>
    <m/>
    <x v="0"/>
    <m/>
    <m/>
  </r>
  <r>
    <x v="1"/>
    <x v="0"/>
    <x v="1"/>
    <x v="1"/>
    <s v="Semiconductors"/>
    <x v="0"/>
    <s v="BBB"/>
    <s v="United States"/>
    <x v="0"/>
    <d v="2024-02-26T00:00:00"/>
    <x v="1"/>
    <x v="1"/>
    <x v="1"/>
    <n v="4.2030590936743405E-2"/>
    <s v="Cash Incentive"/>
    <n v="4.2030590936743405E-2"/>
    <x v="1"/>
    <s v="Growth"/>
    <x v="1"/>
    <s v="Revenue "/>
    <n v="0.25"/>
  </r>
  <r>
    <x v="1"/>
    <x v="0"/>
    <x v="1"/>
    <x v="1"/>
    <s v="Semiconductors"/>
    <x v="0"/>
    <s v="BBB"/>
    <s v="United States"/>
    <x v="0"/>
    <d v="2024-02-26T00:00:00"/>
    <x v="1"/>
    <x v="1"/>
    <x v="1"/>
    <m/>
    <s v="Cash Incentive"/>
    <n v="4.2030590936743405E-2"/>
    <x v="1"/>
    <s v="Profitability"/>
    <x v="9"/>
    <s v="Adjusted Operating Margin"/>
    <n v="0.25"/>
  </r>
  <r>
    <x v="1"/>
    <x v="0"/>
    <x v="1"/>
    <x v="1"/>
    <s v="Semiconductors"/>
    <x v="0"/>
    <s v="BBB"/>
    <s v="United States"/>
    <x v="0"/>
    <d v="2024-02-26T00:00:00"/>
    <x v="1"/>
    <x v="1"/>
    <x v="1"/>
    <m/>
    <s v="Cash Incentive"/>
    <n v="4.2030590936743405E-2"/>
    <x v="2"/>
    <s v="Strategy &amp; Operations"/>
    <x v="3"/>
    <s v="Division Financial and Strategic Goals"/>
    <n v="0.5"/>
  </r>
  <r>
    <x v="1"/>
    <x v="0"/>
    <x v="1"/>
    <x v="1"/>
    <s v="Semiconductors"/>
    <x v="0"/>
    <s v="BBB"/>
    <s v="United States"/>
    <x v="0"/>
    <d v="2024-02-26T00:00:00"/>
    <x v="1"/>
    <x v="1"/>
    <x v="1"/>
    <m/>
    <s v="Cash Incentive"/>
    <n v="4.2030590936743405E-2"/>
    <x v="0"/>
    <s v="Modifier/Threshold"/>
    <x v="10"/>
    <s v="Individual Performance Factor"/>
    <m/>
  </r>
  <r>
    <x v="1"/>
    <x v="0"/>
    <x v="1"/>
    <x v="1"/>
    <s v="Semiconductors"/>
    <x v="0"/>
    <s v="BBB"/>
    <s v="United States"/>
    <x v="0"/>
    <d v="2024-02-26T00:00:00"/>
    <x v="1"/>
    <x v="2"/>
    <x v="1"/>
    <n v="0.60287069506216984"/>
    <s v="Performance Stock"/>
    <n v="0.60287069506216984"/>
    <x v="3"/>
    <s v="Stock Performance"/>
    <x v="11"/>
    <s v="Relative TSR"/>
    <n v="1"/>
  </r>
  <r>
    <x v="1"/>
    <x v="0"/>
    <x v="1"/>
    <x v="1"/>
    <s v="Semiconductors"/>
    <x v="0"/>
    <s v="BBB"/>
    <s v="United States"/>
    <x v="0"/>
    <d v="2024-02-26T00:00:00"/>
    <x v="1"/>
    <x v="2"/>
    <x v="1"/>
    <m/>
    <s v="Performance Stock"/>
    <n v="0.60287069506216984"/>
    <x v="0"/>
    <s v="Modifier/Threshold"/>
    <x v="12"/>
    <s v="Absolute TSR"/>
    <m/>
  </r>
  <r>
    <x v="1"/>
    <x v="0"/>
    <x v="1"/>
    <x v="1"/>
    <s v="Semiconductors"/>
    <x v="0"/>
    <s v="BBB"/>
    <s v="United States"/>
    <x v="0"/>
    <d v="2024-02-26T00:00:00"/>
    <x v="1"/>
    <x v="2"/>
    <x v="0"/>
    <n v="0.31306812306434334"/>
    <s v="Time-Based Stock"/>
    <n v="0.31306812306434334"/>
    <x v="0"/>
    <m/>
    <x v="0"/>
    <m/>
    <m/>
  </r>
  <r>
    <x v="2"/>
    <x v="1"/>
    <x v="2"/>
    <x v="2"/>
    <s v="Internet Software/Services"/>
    <x v="0"/>
    <s v="AA-"/>
    <s v="United States"/>
    <x v="0"/>
    <d v="2024-04-19T00:00:00"/>
    <x v="1"/>
    <x v="0"/>
    <x v="0"/>
    <n v="4.1500000000000002E-2"/>
    <s v="Base Salary"/>
    <n v="4.1500000000000002E-2"/>
    <x v="0"/>
    <m/>
    <x v="0"/>
    <m/>
    <m/>
  </r>
  <r>
    <x v="2"/>
    <x v="1"/>
    <x v="2"/>
    <x v="2"/>
    <s v="Internet Software/Services"/>
    <x v="0"/>
    <s v="AA-"/>
    <s v="United States"/>
    <x v="0"/>
    <d v="2024-04-19T00:00:00"/>
    <x v="1"/>
    <x v="1"/>
    <x v="1"/>
    <n v="3.1099999999999999E-2"/>
    <s v="Cash Incentive"/>
    <n v="3.1099999999999999E-2"/>
    <x v="2"/>
    <s v="Strategy &amp; Operations"/>
    <x v="13"/>
    <s v="Unweighted Metrics"/>
    <n v="1"/>
  </r>
  <r>
    <x v="2"/>
    <x v="1"/>
    <x v="2"/>
    <x v="2"/>
    <s v="Internet Software/Services"/>
    <x v="0"/>
    <s v="AA-"/>
    <s v="United States"/>
    <x v="0"/>
    <d v="2024-04-19T00:00:00"/>
    <x v="1"/>
    <x v="2"/>
    <x v="0"/>
    <n v="0.9274"/>
    <s v="Time-Based Stock"/>
    <n v="0.9274"/>
    <x v="0"/>
    <m/>
    <x v="0"/>
    <m/>
    <m/>
  </r>
  <r>
    <x v="3"/>
    <x v="2"/>
    <x v="3"/>
    <x v="3"/>
    <s v="Internet Retail "/>
    <x v="0"/>
    <s v="AA"/>
    <s v="United States"/>
    <x v="0"/>
    <d v="2024-04-11T00:00:00"/>
    <x v="0"/>
    <x v="0"/>
    <x v="0"/>
    <n v="1.3000000000000001E-2"/>
    <s v="Base Salary"/>
    <n v="1.3000000000000001E-2"/>
    <x v="0"/>
    <m/>
    <x v="0"/>
    <m/>
    <m/>
  </r>
  <r>
    <x v="3"/>
    <x v="2"/>
    <x v="3"/>
    <x v="3"/>
    <s v="Internet Retail "/>
    <x v="0"/>
    <s v="AA"/>
    <s v="United States"/>
    <x v="0"/>
    <d v="2024-04-11T00:00:00"/>
    <x v="0"/>
    <x v="2"/>
    <x v="0"/>
    <n v="0.98699999999999999"/>
    <s v="Time-Based Stock"/>
    <n v="0.98699999999999999"/>
    <x v="0"/>
    <m/>
    <x v="0"/>
    <m/>
    <m/>
  </r>
  <r>
    <x v="3"/>
    <x v="2"/>
    <x v="3"/>
    <x v="3"/>
    <s v="Internet Retail "/>
    <x v="0"/>
    <s v="AA"/>
    <s v="United States"/>
    <x v="0"/>
    <d v="2024-04-11T00:00:00"/>
    <x v="1"/>
    <x v="0"/>
    <x v="0"/>
    <n v="3.2000000000000001E-2"/>
    <s v="Base Salary"/>
    <n v="3.2000000000000001E-2"/>
    <x v="0"/>
    <m/>
    <x v="0"/>
    <m/>
    <m/>
  </r>
  <r>
    <x v="3"/>
    <x v="2"/>
    <x v="3"/>
    <x v="3"/>
    <s v="Internet Retail "/>
    <x v="0"/>
    <s v="AA"/>
    <s v="United States"/>
    <x v="0"/>
    <d v="2024-04-11T00:00:00"/>
    <x v="1"/>
    <x v="2"/>
    <x v="0"/>
    <n v="0.96799999999999997"/>
    <s v="Time-Based Stock"/>
    <n v="0.96799999999999997"/>
    <x v="0"/>
    <m/>
    <x v="0"/>
    <m/>
    <m/>
  </r>
  <r>
    <x v="4"/>
    <x v="1"/>
    <x v="2"/>
    <x v="2"/>
    <s v="Internet Software/Services"/>
    <x v="0"/>
    <s v="AA+"/>
    <s v="United States"/>
    <x v="0"/>
    <d v="2024-04-26T00:00:00"/>
    <x v="0"/>
    <x v="0"/>
    <x v="0"/>
    <n v="1.2999999999999999E-2"/>
    <s v="Base Salary"/>
    <n v="1.2999999999999999E-2"/>
    <x v="0"/>
    <m/>
    <x v="0"/>
    <m/>
    <m/>
  </r>
  <r>
    <x v="4"/>
    <x v="1"/>
    <x v="2"/>
    <x v="2"/>
    <s v="Internet Software/Services"/>
    <x v="0"/>
    <s v="AA+"/>
    <s v="United States"/>
    <x v="0"/>
    <d v="2024-04-26T00:00:00"/>
    <x v="0"/>
    <x v="2"/>
    <x v="0"/>
    <n v="0.98699999999999999"/>
    <s v="Time-Based Stock"/>
    <n v="0.98699999999999999"/>
    <x v="0"/>
    <m/>
    <x v="0"/>
    <m/>
    <m/>
  </r>
  <r>
    <x v="4"/>
    <x v="1"/>
    <x v="2"/>
    <x v="2"/>
    <s v="Internet Software/Services"/>
    <x v="0"/>
    <s v="AA+"/>
    <s v="United States"/>
    <x v="0"/>
    <d v="2024-04-26T00:00:00"/>
    <x v="1"/>
    <x v="0"/>
    <x v="0"/>
    <n v="0.03"/>
    <s v="Base Salary"/>
    <n v="0.03"/>
    <x v="0"/>
    <m/>
    <x v="0"/>
    <m/>
    <m/>
  </r>
  <r>
    <x v="4"/>
    <x v="1"/>
    <x v="2"/>
    <x v="2"/>
    <s v="Internet Software/Services"/>
    <x v="0"/>
    <s v="AA+"/>
    <s v="United States"/>
    <x v="0"/>
    <d v="2024-04-26T00:00:00"/>
    <x v="1"/>
    <x v="1"/>
    <x v="1"/>
    <n v="0.05"/>
    <s v="Cash Incentive"/>
    <n v="0.05"/>
    <x v="2"/>
    <s v="ESG"/>
    <x v="7"/>
    <s v="ESG"/>
    <m/>
  </r>
  <r>
    <x v="4"/>
    <x v="1"/>
    <x v="2"/>
    <x v="2"/>
    <s v="Internet Software/Services"/>
    <x v="0"/>
    <s v="AA+"/>
    <s v="United States"/>
    <x v="0"/>
    <d v="2024-04-26T00:00:00"/>
    <x v="1"/>
    <x v="2"/>
    <x v="1"/>
    <n v="0.26"/>
    <s v="Performance Stock"/>
    <n v="0.26"/>
    <x v="3"/>
    <s v="Stock Performance"/>
    <x v="11"/>
    <s v="3Y Relative TSR"/>
    <n v="1"/>
  </r>
  <r>
    <x v="4"/>
    <x v="1"/>
    <x v="2"/>
    <x v="2"/>
    <s v="Internet Software/Services"/>
    <x v="0"/>
    <s v="AA+"/>
    <s v="United States"/>
    <x v="0"/>
    <d v="2024-04-26T00:00:00"/>
    <x v="1"/>
    <x v="2"/>
    <x v="0"/>
    <n v="0.66"/>
    <s v="Time-Based Stock"/>
    <n v="0.66"/>
    <x v="0"/>
    <m/>
    <x v="0"/>
    <m/>
    <m/>
  </r>
  <r>
    <x v="5"/>
    <x v="3"/>
    <x v="4"/>
    <x v="4"/>
    <s v="Pharmaceuticals"/>
    <x v="0"/>
    <s v="A+"/>
    <s v="United States"/>
    <x v="0"/>
    <d v="2024-03-22T00:00:00"/>
    <x v="0"/>
    <x v="0"/>
    <x v="0"/>
    <n v="0.08"/>
    <s v="Base Salary"/>
    <n v="0.08"/>
    <x v="0"/>
    <m/>
    <x v="0"/>
    <m/>
    <m/>
  </r>
  <r>
    <x v="5"/>
    <x v="3"/>
    <x v="4"/>
    <x v="4"/>
    <s v="Pharmaceuticals"/>
    <x v="0"/>
    <s v="A+"/>
    <s v="United States"/>
    <x v="0"/>
    <d v="2024-03-22T00:00:00"/>
    <x v="0"/>
    <x v="1"/>
    <x v="1"/>
    <n v="0.11"/>
    <s v="Cash Incentive"/>
    <n v="0.11"/>
    <x v="1"/>
    <s v="Growth"/>
    <x v="1"/>
    <s v="Adjusted Revenue"/>
    <n v="0.25"/>
  </r>
  <r>
    <x v="5"/>
    <x v="3"/>
    <x v="4"/>
    <x v="4"/>
    <s v="Pharmaceuticals"/>
    <x v="0"/>
    <s v="A+"/>
    <s v="United States"/>
    <x v="0"/>
    <d v="2024-03-22T00:00:00"/>
    <x v="0"/>
    <x v="1"/>
    <x v="1"/>
    <m/>
    <s v="Cash Incentive"/>
    <n v="0.11"/>
    <x v="1"/>
    <s v="Profitability"/>
    <x v="14"/>
    <s v="Adjusted EPS"/>
    <n v="0.5"/>
  </r>
  <r>
    <x v="5"/>
    <x v="3"/>
    <x v="4"/>
    <x v="4"/>
    <s v="Pharmaceuticals"/>
    <x v="0"/>
    <s v="A+"/>
    <s v="United States"/>
    <x v="0"/>
    <d v="2024-03-22T00:00:00"/>
    <x v="0"/>
    <x v="1"/>
    <x v="1"/>
    <m/>
    <s v="Cash Incentive"/>
    <n v="0.11"/>
    <x v="2"/>
    <s v="Strategy &amp; Operations"/>
    <x v="15"/>
    <s v="Pipeline Progress"/>
    <n v="0.25"/>
  </r>
  <r>
    <x v="5"/>
    <x v="3"/>
    <x v="4"/>
    <x v="4"/>
    <s v="Pharmaceuticals"/>
    <x v="0"/>
    <s v="A+"/>
    <s v="United States"/>
    <x v="0"/>
    <d v="2024-03-22T00:00:00"/>
    <x v="0"/>
    <x v="2"/>
    <x v="1"/>
    <n v="0.81"/>
    <s v="Performance Stock"/>
    <n v="0.81"/>
    <x v="3"/>
    <s v="Stock Performance"/>
    <x v="8"/>
    <s v="3Y Absolute TSR"/>
    <n v="0.35"/>
  </r>
  <r>
    <x v="5"/>
    <x v="3"/>
    <x v="4"/>
    <x v="4"/>
    <s v="Pharmaceuticals"/>
    <x v="0"/>
    <s v="A+"/>
    <s v="United States"/>
    <x v="0"/>
    <d v="2024-03-22T00:00:00"/>
    <x v="0"/>
    <x v="2"/>
    <x v="1"/>
    <m/>
    <s v="Performance Stock"/>
    <n v="0.81"/>
    <x v="3"/>
    <s v="Stock Performance"/>
    <x v="11"/>
    <s v="3Y Relative TSR"/>
    <n v="0.35"/>
  </r>
  <r>
    <x v="5"/>
    <x v="3"/>
    <x v="4"/>
    <x v="4"/>
    <s v="Pharmaceuticals"/>
    <x v="0"/>
    <s v="A+"/>
    <s v="United States"/>
    <x v="0"/>
    <d v="2024-03-22T00:00:00"/>
    <x v="0"/>
    <x v="2"/>
    <x v="1"/>
    <m/>
    <s v="Performance Stock"/>
    <n v="0.81"/>
    <x v="1"/>
    <s v="Profitability"/>
    <x v="14"/>
    <s v="2Y Adjusted EPS"/>
    <n v="0.3"/>
  </r>
  <r>
    <x v="5"/>
    <x v="3"/>
    <x v="4"/>
    <x v="4"/>
    <s v="Pharmaceuticals"/>
    <x v="0"/>
    <s v="A+"/>
    <s v="United States"/>
    <x v="0"/>
    <d v="2024-03-22T00:00:00"/>
    <x v="0"/>
    <x v="2"/>
    <x v="1"/>
    <m/>
    <s v="Performance Stock"/>
    <n v="0.81"/>
    <x v="0"/>
    <s v="Modifier/Threshold"/>
    <x v="12"/>
    <s v="3Y Absolute TSR"/>
    <m/>
  </r>
  <r>
    <x v="5"/>
    <x v="3"/>
    <x v="4"/>
    <x v="4"/>
    <s v="Pharmaceuticals"/>
    <x v="0"/>
    <s v="A+"/>
    <s v="United States"/>
    <x v="0"/>
    <d v="2024-03-22T00:00:00"/>
    <x v="1"/>
    <x v="0"/>
    <x v="0"/>
    <n v="0.17"/>
    <s v="Base Salary"/>
    <n v="0.17"/>
    <x v="0"/>
    <m/>
    <x v="0"/>
    <m/>
    <m/>
  </r>
  <r>
    <x v="5"/>
    <x v="3"/>
    <x v="4"/>
    <x v="4"/>
    <s v="Pharmaceuticals"/>
    <x v="0"/>
    <s v="A+"/>
    <s v="United States"/>
    <x v="0"/>
    <d v="2024-03-22T00:00:00"/>
    <x v="1"/>
    <x v="1"/>
    <x v="1"/>
    <n v="0.17"/>
    <s v="Cash Incentive"/>
    <n v="0.17"/>
    <x v="1"/>
    <s v="Growth"/>
    <x v="1"/>
    <s v="Adjusted Revenue"/>
    <n v="0.25"/>
  </r>
  <r>
    <x v="5"/>
    <x v="3"/>
    <x v="4"/>
    <x v="4"/>
    <s v="Pharmaceuticals"/>
    <x v="0"/>
    <s v="A+"/>
    <s v="United States"/>
    <x v="0"/>
    <d v="2024-03-22T00:00:00"/>
    <x v="1"/>
    <x v="1"/>
    <x v="1"/>
    <m/>
    <s v="Cash Incentive"/>
    <n v="0.17"/>
    <x v="1"/>
    <s v="Profitability"/>
    <x v="14"/>
    <s v="Adjusted EPS"/>
    <n v="0.5"/>
  </r>
  <r>
    <x v="5"/>
    <x v="3"/>
    <x v="4"/>
    <x v="4"/>
    <s v="Pharmaceuticals"/>
    <x v="0"/>
    <s v="A+"/>
    <s v="United States"/>
    <x v="0"/>
    <d v="2024-03-22T00:00:00"/>
    <x v="1"/>
    <x v="1"/>
    <x v="1"/>
    <m/>
    <s v="Cash Incentive"/>
    <n v="0.17"/>
    <x v="2"/>
    <s v="Strategy &amp; Operations"/>
    <x v="15"/>
    <s v="Pipeline Progress"/>
    <n v="0.25"/>
  </r>
  <r>
    <x v="5"/>
    <x v="3"/>
    <x v="4"/>
    <x v="4"/>
    <s v="Pharmaceuticals"/>
    <x v="0"/>
    <s v="A+"/>
    <s v="United States"/>
    <x v="0"/>
    <d v="2024-03-22T00:00:00"/>
    <x v="1"/>
    <x v="2"/>
    <x v="1"/>
    <n v="0.66"/>
    <s v="Performance Stock"/>
    <n v="0.66"/>
    <x v="3"/>
    <s v="Stock Performance"/>
    <x v="8"/>
    <s v="3Y Absolute TSR"/>
    <n v="0.35"/>
  </r>
  <r>
    <x v="5"/>
    <x v="3"/>
    <x v="4"/>
    <x v="4"/>
    <s v="Pharmaceuticals"/>
    <x v="0"/>
    <s v="A+"/>
    <s v="United States"/>
    <x v="0"/>
    <d v="2024-03-22T00:00:00"/>
    <x v="1"/>
    <x v="2"/>
    <x v="1"/>
    <m/>
    <s v="Performance Stock"/>
    <n v="0.66"/>
    <x v="3"/>
    <s v="Stock Performance"/>
    <x v="11"/>
    <s v="3Y Relative TSR"/>
    <n v="0.35"/>
  </r>
  <r>
    <x v="5"/>
    <x v="3"/>
    <x v="4"/>
    <x v="4"/>
    <s v="Pharmaceuticals"/>
    <x v="0"/>
    <s v="A+"/>
    <s v="United States"/>
    <x v="0"/>
    <d v="2024-03-22T00:00:00"/>
    <x v="1"/>
    <x v="2"/>
    <x v="1"/>
    <m/>
    <s v="Performance Stock"/>
    <n v="0.66"/>
    <x v="1"/>
    <s v="Profitability"/>
    <x v="14"/>
    <s v="2Y Adjusted EPS"/>
    <n v="0.3"/>
  </r>
  <r>
    <x v="5"/>
    <x v="3"/>
    <x v="4"/>
    <x v="4"/>
    <s v="Pharmaceuticals"/>
    <x v="0"/>
    <s v="A+"/>
    <s v="United States"/>
    <x v="0"/>
    <d v="2024-03-22T00:00:00"/>
    <x v="1"/>
    <x v="2"/>
    <x v="1"/>
    <m/>
    <s v="Performance Stock"/>
    <n v="0.66"/>
    <x v="0"/>
    <s v="Modifier/Threshold"/>
    <x v="12"/>
    <s v="3Y Absolute TSR"/>
    <m/>
  </r>
  <r>
    <x v="6"/>
    <x v="4"/>
    <x v="5"/>
    <x v="5"/>
    <s v="Tobacco"/>
    <x v="0"/>
    <s v="A-"/>
    <s v="United States"/>
    <x v="0"/>
    <d v="2024-03-28T00:00:00"/>
    <x v="0"/>
    <x v="0"/>
    <x v="0"/>
    <n v="0.111"/>
    <s v="Base Salary"/>
    <n v="0.111"/>
    <x v="0"/>
    <m/>
    <x v="0"/>
    <m/>
    <m/>
  </r>
  <r>
    <x v="6"/>
    <x v="4"/>
    <x v="5"/>
    <x v="5"/>
    <s v="Tobacco"/>
    <x v="0"/>
    <s v="A-"/>
    <s v="United States"/>
    <x v="0"/>
    <d v="2024-03-28T00:00:00"/>
    <x v="0"/>
    <x v="1"/>
    <x v="1"/>
    <n v="0.222"/>
    <s v="Cash Incentive"/>
    <n v="0.222"/>
    <x v="1"/>
    <s v="Strategy &amp; Operations"/>
    <x v="16"/>
    <s v="Market Share (Top 30 Operating Income Markets)"/>
    <n v="0.15"/>
  </r>
  <r>
    <x v="6"/>
    <x v="4"/>
    <x v="5"/>
    <x v="5"/>
    <s v="Tobacco"/>
    <x v="0"/>
    <s v="A-"/>
    <s v="United States"/>
    <x v="0"/>
    <d v="2024-03-28T00:00:00"/>
    <x v="0"/>
    <x v="1"/>
    <x v="1"/>
    <m/>
    <s v="Cash Incentive"/>
    <n v="0.222"/>
    <x v="1"/>
    <s v="Strategy &amp; Operations"/>
    <x v="17"/>
    <s v="Smoke-Free (HTU) Shipment Volume "/>
    <n v="0.15"/>
  </r>
  <r>
    <x v="6"/>
    <x v="4"/>
    <x v="5"/>
    <x v="5"/>
    <s v="Tobacco"/>
    <x v="0"/>
    <s v="A-"/>
    <s v="United States"/>
    <x v="0"/>
    <d v="2024-03-28T00:00:00"/>
    <x v="0"/>
    <x v="1"/>
    <x v="1"/>
    <m/>
    <s v="Cash Incentive"/>
    <n v="0.222"/>
    <x v="1"/>
    <s v="Growth"/>
    <x v="1"/>
    <s v="Adjusted Revenue Growth"/>
    <n v="0.2"/>
  </r>
  <r>
    <x v="6"/>
    <x v="4"/>
    <x v="5"/>
    <x v="5"/>
    <s v="Tobacco"/>
    <x v="0"/>
    <s v="A-"/>
    <s v="United States"/>
    <x v="0"/>
    <d v="2024-03-28T00:00:00"/>
    <x v="0"/>
    <x v="1"/>
    <x v="1"/>
    <m/>
    <s v="Cash Incentive"/>
    <n v="0.222"/>
    <x v="1"/>
    <s v="Profitability"/>
    <x v="2"/>
    <s v="Adjusted Operating Income Growth"/>
    <n v="0.15"/>
  </r>
  <r>
    <x v="6"/>
    <x v="4"/>
    <x v="5"/>
    <x v="5"/>
    <s v="Tobacco"/>
    <x v="0"/>
    <s v="A-"/>
    <s v="United States"/>
    <x v="0"/>
    <d v="2024-03-28T00:00:00"/>
    <x v="0"/>
    <x v="1"/>
    <x v="1"/>
    <m/>
    <s v="Cash Incentive"/>
    <n v="0.222"/>
    <x v="1"/>
    <s v="Cash Flow"/>
    <x v="18"/>
    <s v="Operating Cash Flow"/>
    <n v="0.2"/>
  </r>
  <r>
    <x v="6"/>
    <x v="4"/>
    <x v="5"/>
    <x v="5"/>
    <s v="Tobacco"/>
    <x v="0"/>
    <s v="A-"/>
    <s v="United States"/>
    <x v="0"/>
    <d v="2024-03-28T00:00:00"/>
    <x v="0"/>
    <x v="1"/>
    <x v="1"/>
    <m/>
    <s v="Cash Incentive"/>
    <n v="0.222"/>
    <x v="2"/>
    <s v="Strategy &amp; Operations"/>
    <x v="7"/>
    <s v="Strategic Initiatives"/>
    <n v="0.15"/>
  </r>
  <r>
    <x v="6"/>
    <x v="4"/>
    <x v="5"/>
    <x v="5"/>
    <s v="Tobacco"/>
    <x v="0"/>
    <s v="A-"/>
    <s v="United States"/>
    <x v="0"/>
    <d v="2024-03-28T00:00:00"/>
    <x v="0"/>
    <x v="1"/>
    <x v="1"/>
    <m/>
    <s v="Cash Incentive"/>
    <n v="0.222"/>
    <x v="0"/>
    <s v="Modifier/Threshold"/>
    <x v="19"/>
    <s v="Swedish Match Modifier"/>
    <m/>
  </r>
  <r>
    <x v="6"/>
    <x v="4"/>
    <x v="5"/>
    <x v="5"/>
    <s v="Tobacco"/>
    <x v="0"/>
    <s v="A-"/>
    <s v="United States"/>
    <x v="0"/>
    <d v="2024-03-28T00:00:00"/>
    <x v="0"/>
    <x v="1"/>
    <x v="1"/>
    <m/>
    <s v="Cash Incentive"/>
    <n v="0.222"/>
    <x v="0"/>
    <s v="Modifier/Threshold"/>
    <x v="10"/>
    <s v="Individual Performance Factor"/>
    <m/>
  </r>
  <r>
    <x v="6"/>
    <x v="4"/>
    <x v="5"/>
    <x v="5"/>
    <s v="Tobacco"/>
    <x v="0"/>
    <s v="A-"/>
    <s v="United States"/>
    <x v="0"/>
    <d v="2024-03-28T00:00:00"/>
    <x v="0"/>
    <x v="2"/>
    <x v="1"/>
    <n v="0.4"/>
    <s v="Performance Stock"/>
    <n v="0.4"/>
    <x v="3"/>
    <s v="Stock Performance"/>
    <x v="11"/>
    <s v="3Y Relative TSR"/>
    <n v="0.4"/>
  </r>
  <r>
    <x v="6"/>
    <x v="4"/>
    <x v="5"/>
    <x v="5"/>
    <s v="Tobacco"/>
    <x v="0"/>
    <s v="A-"/>
    <s v="United States"/>
    <x v="0"/>
    <d v="2024-03-28T00:00:00"/>
    <x v="0"/>
    <x v="2"/>
    <x v="1"/>
    <m/>
    <s v="Performance Stock"/>
    <n v="0.4"/>
    <x v="1"/>
    <s v="Profitability"/>
    <x v="14"/>
    <s v="3Y Adjusted Diluted EPS CAGR"/>
    <n v="0.3"/>
  </r>
  <r>
    <x v="6"/>
    <x v="4"/>
    <x v="5"/>
    <x v="5"/>
    <s v="Tobacco"/>
    <x v="0"/>
    <s v="A-"/>
    <s v="United States"/>
    <x v="0"/>
    <d v="2024-03-28T00:00:00"/>
    <x v="0"/>
    <x v="2"/>
    <x v="1"/>
    <m/>
    <s v="Performance Stock"/>
    <n v="0.4"/>
    <x v="2"/>
    <s v="ESG"/>
    <x v="7"/>
    <s v="Sustainability"/>
    <n v="0.3"/>
  </r>
  <r>
    <x v="6"/>
    <x v="4"/>
    <x v="5"/>
    <x v="5"/>
    <s v="Tobacco"/>
    <x v="0"/>
    <s v="A-"/>
    <s v="United States"/>
    <x v="0"/>
    <d v="2024-03-28T00:00:00"/>
    <x v="0"/>
    <x v="2"/>
    <x v="1"/>
    <m/>
    <s v="Performance Stock"/>
    <n v="0.4"/>
    <x v="0"/>
    <s v="Modifier/Threshold"/>
    <x v="12"/>
    <s v="3Y Absolute TSR"/>
    <m/>
  </r>
  <r>
    <x v="6"/>
    <x v="4"/>
    <x v="5"/>
    <x v="5"/>
    <s v="Tobacco"/>
    <x v="0"/>
    <s v="A-"/>
    <s v="United States"/>
    <x v="0"/>
    <d v="2024-03-28T00:00:00"/>
    <x v="0"/>
    <x v="2"/>
    <x v="1"/>
    <m/>
    <s v="Performance Stock"/>
    <n v="0.4"/>
    <x v="0"/>
    <s v="Modifier/Threshold"/>
    <x v="19"/>
    <s v="Quality of Net Revenue Achievement"/>
    <m/>
  </r>
  <r>
    <x v="6"/>
    <x v="4"/>
    <x v="5"/>
    <x v="5"/>
    <s v="Tobacco"/>
    <x v="0"/>
    <s v="A-"/>
    <s v="United States"/>
    <x v="0"/>
    <d v="2024-03-28T00:00:00"/>
    <x v="0"/>
    <x v="2"/>
    <x v="1"/>
    <m/>
    <s v="Performance Stock"/>
    <n v="0.4"/>
    <x v="0"/>
    <s v="Modifier/Threshold"/>
    <x v="20"/>
    <s v="Sustainability Criteria Achievement (ESG)"/>
    <m/>
  </r>
  <r>
    <x v="6"/>
    <x v="4"/>
    <x v="5"/>
    <x v="5"/>
    <s v="Tobacco"/>
    <x v="0"/>
    <s v="A-"/>
    <s v="United States"/>
    <x v="0"/>
    <d v="2024-03-28T00:00:00"/>
    <x v="0"/>
    <x v="2"/>
    <x v="1"/>
    <m/>
    <s v="Performance Stock"/>
    <n v="0.4"/>
    <x v="0"/>
    <s v="Modifier/Threshold"/>
    <x v="10"/>
    <s v="Individual Performance Factor"/>
    <m/>
  </r>
  <r>
    <x v="6"/>
    <x v="4"/>
    <x v="5"/>
    <x v="5"/>
    <s v="Tobacco"/>
    <x v="0"/>
    <s v="A-"/>
    <s v="United States"/>
    <x v="0"/>
    <d v="2024-03-28T00:00:00"/>
    <x v="0"/>
    <x v="2"/>
    <x v="0"/>
    <n v="0.26700000000000002"/>
    <s v="Time-Based Stock"/>
    <n v="0.26700000000000002"/>
    <x v="0"/>
    <m/>
    <x v="0"/>
    <m/>
    <m/>
  </r>
  <r>
    <x v="6"/>
    <x v="4"/>
    <x v="5"/>
    <x v="5"/>
    <s v="Tobacco"/>
    <x v="0"/>
    <s v="A-"/>
    <s v="United States"/>
    <x v="0"/>
    <d v="2024-03-28T00:00:00"/>
    <x v="1"/>
    <x v="0"/>
    <x v="0"/>
    <n v="0.25269607843137254"/>
    <s v="Base Salary"/>
    <n v="0.25269607843137254"/>
    <x v="0"/>
    <m/>
    <x v="0"/>
    <m/>
    <m/>
  </r>
  <r>
    <x v="6"/>
    <x v="4"/>
    <x v="5"/>
    <x v="5"/>
    <s v="Tobacco"/>
    <x v="0"/>
    <s v="A-"/>
    <s v="United States"/>
    <x v="0"/>
    <d v="2024-03-28T00:00:00"/>
    <x v="1"/>
    <x v="1"/>
    <x v="1"/>
    <n v="0.28082107843137255"/>
    <s v="Cash Incentive"/>
    <n v="0.28082107843137255"/>
    <x v="1"/>
    <s v="Strategy &amp; Operations"/>
    <x v="16"/>
    <s v="Market Share (Top 30 Operating Income Markets)"/>
    <n v="0.15"/>
  </r>
  <r>
    <x v="6"/>
    <x v="4"/>
    <x v="5"/>
    <x v="5"/>
    <s v="Tobacco"/>
    <x v="0"/>
    <s v="A-"/>
    <s v="United States"/>
    <x v="0"/>
    <d v="2024-03-28T00:00:00"/>
    <x v="1"/>
    <x v="1"/>
    <x v="1"/>
    <m/>
    <s v="Cash Incentive"/>
    <n v="0.28082107843137255"/>
    <x v="1"/>
    <s v="Strategy &amp; Operations"/>
    <x v="17"/>
    <s v="Smoke-Free (HTU) Shipment Volume "/>
    <n v="0.15"/>
  </r>
  <r>
    <x v="6"/>
    <x v="4"/>
    <x v="5"/>
    <x v="5"/>
    <s v="Tobacco"/>
    <x v="0"/>
    <s v="A-"/>
    <s v="United States"/>
    <x v="0"/>
    <d v="2024-03-28T00:00:00"/>
    <x v="1"/>
    <x v="1"/>
    <x v="1"/>
    <m/>
    <s v="Cash Incentive"/>
    <n v="0.28082107843137255"/>
    <x v="1"/>
    <s v="Growth"/>
    <x v="1"/>
    <s v="Adjusted Revenue Growth"/>
    <n v="0.2"/>
  </r>
  <r>
    <x v="6"/>
    <x v="4"/>
    <x v="5"/>
    <x v="5"/>
    <s v="Tobacco"/>
    <x v="0"/>
    <s v="A-"/>
    <s v="United States"/>
    <x v="0"/>
    <d v="2024-03-28T00:00:00"/>
    <x v="1"/>
    <x v="1"/>
    <x v="1"/>
    <m/>
    <s v="Cash Incentive"/>
    <n v="0.28082107843137255"/>
    <x v="1"/>
    <s v="Profitability"/>
    <x v="2"/>
    <s v="Adjusted Operating Income Growth"/>
    <n v="0.15"/>
  </r>
  <r>
    <x v="6"/>
    <x v="4"/>
    <x v="5"/>
    <x v="5"/>
    <s v="Tobacco"/>
    <x v="0"/>
    <s v="A-"/>
    <s v="United States"/>
    <x v="0"/>
    <d v="2024-03-28T00:00:00"/>
    <x v="1"/>
    <x v="1"/>
    <x v="1"/>
    <m/>
    <s v="Cash Incentive"/>
    <n v="0.28082107843137255"/>
    <x v="1"/>
    <s v="Cash Flow"/>
    <x v="18"/>
    <s v="Operating Cash Flow"/>
    <n v="0.2"/>
  </r>
  <r>
    <x v="6"/>
    <x v="4"/>
    <x v="5"/>
    <x v="5"/>
    <s v="Tobacco"/>
    <x v="0"/>
    <s v="A-"/>
    <s v="United States"/>
    <x v="0"/>
    <d v="2024-03-28T00:00:00"/>
    <x v="1"/>
    <x v="1"/>
    <x v="1"/>
    <m/>
    <s v="Cash Incentive"/>
    <n v="0.28082107843137255"/>
    <x v="2"/>
    <s v="Strategy &amp; Operations"/>
    <x v="7"/>
    <s v="Strategic Initiatives"/>
    <n v="0.15"/>
  </r>
  <r>
    <x v="6"/>
    <x v="4"/>
    <x v="5"/>
    <x v="5"/>
    <s v="Tobacco"/>
    <x v="0"/>
    <s v="A-"/>
    <s v="United States"/>
    <x v="0"/>
    <d v="2024-03-28T00:00:00"/>
    <x v="1"/>
    <x v="1"/>
    <x v="1"/>
    <m/>
    <s v="Cash Incentive"/>
    <n v="0.28082107843137255"/>
    <x v="0"/>
    <s v="Modifier/Threshold"/>
    <x v="19"/>
    <s v="Swedish Match Modifier"/>
    <m/>
  </r>
  <r>
    <x v="6"/>
    <x v="4"/>
    <x v="5"/>
    <x v="5"/>
    <s v="Tobacco"/>
    <x v="0"/>
    <s v="A-"/>
    <s v="United States"/>
    <x v="0"/>
    <d v="2024-03-28T00:00:00"/>
    <x v="1"/>
    <x v="1"/>
    <x v="1"/>
    <m/>
    <s v="Cash Incentive"/>
    <n v="0.28082107843137255"/>
    <x v="0"/>
    <s v="Modifier/Threshold"/>
    <x v="10"/>
    <s v="Individual Performance Factor"/>
    <m/>
  </r>
  <r>
    <x v="6"/>
    <x v="4"/>
    <x v="5"/>
    <x v="5"/>
    <s v="Tobacco"/>
    <x v="0"/>
    <s v="A-"/>
    <s v="United States"/>
    <x v="0"/>
    <d v="2024-03-28T00:00:00"/>
    <x v="1"/>
    <x v="2"/>
    <x v="1"/>
    <n v="0.27474264705882356"/>
    <s v="Performance Stock"/>
    <n v="0.27474264705882356"/>
    <x v="3"/>
    <s v="Stock Performance"/>
    <x v="11"/>
    <s v="3Y Relative TSR"/>
    <n v="0.4"/>
  </r>
  <r>
    <x v="6"/>
    <x v="4"/>
    <x v="5"/>
    <x v="5"/>
    <s v="Tobacco"/>
    <x v="0"/>
    <s v="A-"/>
    <s v="United States"/>
    <x v="0"/>
    <d v="2024-03-28T00:00:00"/>
    <x v="1"/>
    <x v="2"/>
    <x v="1"/>
    <m/>
    <s v="Performance Stock"/>
    <n v="0.27474264705882356"/>
    <x v="1"/>
    <s v="Profitability"/>
    <x v="14"/>
    <s v="3Y Adjusted Diluted EPS CAGR"/>
    <n v="0.3"/>
  </r>
  <r>
    <x v="6"/>
    <x v="4"/>
    <x v="5"/>
    <x v="5"/>
    <s v="Tobacco"/>
    <x v="0"/>
    <s v="A-"/>
    <s v="United States"/>
    <x v="0"/>
    <d v="2024-03-28T00:00:00"/>
    <x v="1"/>
    <x v="2"/>
    <x v="1"/>
    <m/>
    <s v="Performance Stock"/>
    <n v="0.27474264705882356"/>
    <x v="2"/>
    <s v="ESG"/>
    <x v="7"/>
    <s v="Sustainability"/>
    <n v="0.3"/>
  </r>
  <r>
    <x v="6"/>
    <x v="4"/>
    <x v="5"/>
    <x v="5"/>
    <s v="Tobacco"/>
    <x v="0"/>
    <s v="A-"/>
    <s v="United States"/>
    <x v="0"/>
    <d v="2024-03-28T00:00:00"/>
    <x v="1"/>
    <x v="2"/>
    <x v="1"/>
    <m/>
    <s v="Performance Stock"/>
    <n v="0.27474264705882356"/>
    <x v="0"/>
    <s v="Modifier/Threshold"/>
    <x v="12"/>
    <s v="3Y Absolute TSR"/>
    <m/>
  </r>
  <r>
    <x v="6"/>
    <x v="4"/>
    <x v="5"/>
    <x v="5"/>
    <s v="Tobacco"/>
    <x v="0"/>
    <s v="A-"/>
    <s v="United States"/>
    <x v="0"/>
    <d v="2024-03-28T00:00:00"/>
    <x v="1"/>
    <x v="2"/>
    <x v="1"/>
    <m/>
    <s v="Performance Stock"/>
    <n v="0.27474264705882356"/>
    <x v="0"/>
    <s v="Modifier/Threshold"/>
    <x v="19"/>
    <s v="Quality of Net Revenue Achievement"/>
    <m/>
  </r>
  <r>
    <x v="6"/>
    <x v="4"/>
    <x v="5"/>
    <x v="5"/>
    <s v="Tobacco"/>
    <x v="0"/>
    <s v="A-"/>
    <s v="United States"/>
    <x v="0"/>
    <d v="2024-03-28T00:00:00"/>
    <x v="1"/>
    <x v="2"/>
    <x v="1"/>
    <m/>
    <s v="Performance Stock"/>
    <n v="0.27474264705882356"/>
    <x v="0"/>
    <s v="Modifier/Threshold"/>
    <x v="20"/>
    <s v="Sustainability Criteria Achievement "/>
    <m/>
  </r>
  <r>
    <x v="6"/>
    <x v="4"/>
    <x v="5"/>
    <x v="5"/>
    <s v="Tobacco"/>
    <x v="0"/>
    <s v="A-"/>
    <s v="United States"/>
    <x v="0"/>
    <d v="2024-03-28T00:00:00"/>
    <x v="1"/>
    <x v="2"/>
    <x v="1"/>
    <m/>
    <s v="Performance Stock"/>
    <n v="0.27474264705882356"/>
    <x v="0"/>
    <s v="Modifier/Threshold"/>
    <x v="10"/>
    <s v="Individual Performance Factor"/>
    <m/>
  </r>
  <r>
    <x v="6"/>
    <x v="4"/>
    <x v="5"/>
    <x v="5"/>
    <s v="Tobacco"/>
    <x v="0"/>
    <s v="A-"/>
    <s v="United States"/>
    <x v="0"/>
    <d v="2024-03-28T00:00:00"/>
    <x v="1"/>
    <x v="2"/>
    <x v="0"/>
    <n v="0.19174019607843137"/>
    <s v="Time-Based Stock"/>
    <n v="0.19174019607843137"/>
    <x v="0"/>
    <m/>
    <x v="0"/>
    <m/>
    <m/>
  </r>
  <r>
    <x v="7"/>
    <x v="3"/>
    <x v="6"/>
    <x v="6"/>
    <s v="Managed Health Care"/>
    <x v="0"/>
    <s v="A+"/>
    <s v="United States"/>
    <x v="0"/>
    <d v="2024-04-22T00:00:00"/>
    <x v="0"/>
    <x v="0"/>
    <x v="0"/>
    <n v="0.06"/>
    <s v="Base Salary"/>
    <n v="0.06"/>
    <x v="0"/>
    <m/>
    <x v="0"/>
    <m/>
    <m/>
  </r>
  <r>
    <x v="7"/>
    <x v="3"/>
    <x v="6"/>
    <x v="6"/>
    <s v="Managed Health Care"/>
    <x v="0"/>
    <s v="A+"/>
    <s v="United States"/>
    <x v="0"/>
    <d v="2024-04-22T00:00:00"/>
    <x v="0"/>
    <x v="1"/>
    <x v="1"/>
    <n v="0.12"/>
    <s v="Cash Incentive"/>
    <n v="0.12"/>
    <x v="1"/>
    <s v="Growth"/>
    <x v="1"/>
    <s v="Adjusted Revenue"/>
    <n v="0.3"/>
  </r>
  <r>
    <x v="7"/>
    <x v="3"/>
    <x v="6"/>
    <x v="6"/>
    <s v="Managed Health Care"/>
    <x v="0"/>
    <s v="A+"/>
    <s v="United States"/>
    <x v="0"/>
    <d v="2024-04-22T00:00:00"/>
    <x v="0"/>
    <x v="1"/>
    <x v="1"/>
    <m/>
    <s v="Cash Incentive"/>
    <n v="0.12"/>
    <x v="1"/>
    <s v="Profitability"/>
    <x v="2"/>
    <s v="Adjusted Operating Income"/>
    <n v="0.3"/>
  </r>
  <r>
    <x v="7"/>
    <x v="3"/>
    <x v="6"/>
    <x v="6"/>
    <s v="Managed Health Care"/>
    <x v="0"/>
    <s v="A+"/>
    <s v="United States"/>
    <x v="0"/>
    <d v="2024-04-22T00:00:00"/>
    <x v="0"/>
    <x v="1"/>
    <x v="1"/>
    <m/>
    <s v="Cash Incentive"/>
    <n v="0.12"/>
    <x v="1"/>
    <s v="Cash Flow"/>
    <x v="18"/>
    <s v="Adjusted Operating Cash Flow"/>
    <n v="0.15"/>
  </r>
  <r>
    <x v="7"/>
    <x v="3"/>
    <x v="6"/>
    <x v="6"/>
    <s v="Managed Health Care"/>
    <x v="0"/>
    <s v="A+"/>
    <s v="United States"/>
    <x v="0"/>
    <d v="2024-04-22T00:00:00"/>
    <x v="0"/>
    <x v="1"/>
    <x v="1"/>
    <m/>
    <s v="Cash Incentive"/>
    <n v="0.12"/>
    <x v="2"/>
    <s v="ESG"/>
    <x v="4"/>
    <s v="Stewardship"/>
    <n v="0.25"/>
  </r>
  <r>
    <x v="7"/>
    <x v="3"/>
    <x v="6"/>
    <x v="6"/>
    <s v="Managed Health Care"/>
    <x v="0"/>
    <s v="A+"/>
    <s v="United States"/>
    <x v="0"/>
    <d v="2024-04-22T00:00:00"/>
    <x v="0"/>
    <x v="1"/>
    <x v="1"/>
    <m/>
    <s v="Cash Incentive"/>
    <n v="0.12"/>
    <x v="0"/>
    <s v="Modifier/Threshold"/>
    <x v="10"/>
    <s v="Individual Performance Factor"/>
    <m/>
  </r>
  <r>
    <x v="7"/>
    <x v="3"/>
    <x v="6"/>
    <x v="6"/>
    <s v="Managed Health Care"/>
    <x v="0"/>
    <s v="A+"/>
    <s v="United States"/>
    <x v="0"/>
    <d v="2024-04-22T00:00:00"/>
    <x v="0"/>
    <x v="2"/>
    <x v="1"/>
    <n v="0.4"/>
    <s v="Performance Stock"/>
    <n v="0.4"/>
    <x v="1"/>
    <s v="Profitability"/>
    <x v="14"/>
    <s v="3Y Cumulative Adjusted EPS"/>
    <n v="0.5"/>
  </r>
  <r>
    <x v="7"/>
    <x v="3"/>
    <x v="6"/>
    <x v="6"/>
    <s v="Managed Health Care"/>
    <x v="0"/>
    <s v="A+"/>
    <s v="United States"/>
    <x v="0"/>
    <d v="2024-04-22T00:00:00"/>
    <x v="0"/>
    <x v="2"/>
    <x v="1"/>
    <m/>
    <s v="Performance Stock"/>
    <n v="0.4"/>
    <x v="1"/>
    <s v="Return"/>
    <x v="21"/>
    <s v="3Y Average Return on Equity"/>
    <n v="0.5"/>
  </r>
  <r>
    <x v="7"/>
    <x v="3"/>
    <x v="6"/>
    <x v="6"/>
    <s v="Managed Health Care"/>
    <x v="0"/>
    <s v="A+"/>
    <s v="United States"/>
    <x v="0"/>
    <d v="2024-04-22T00:00:00"/>
    <x v="0"/>
    <x v="2"/>
    <x v="0"/>
    <n v="0.21"/>
    <s v="Time-Based Stock"/>
    <n v="0.21"/>
    <x v="0"/>
    <m/>
    <x v="0"/>
    <m/>
    <m/>
  </r>
  <r>
    <x v="7"/>
    <x v="3"/>
    <x v="6"/>
    <x v="6"/>
    <s v="Managed Health Care"/>
    <x v="0"/>
    <s v="A+"/>
    <s v="United States"/>
    <x v="0"/>
    <d v="2024-04-22T00:00:00"/>
    <x v="0"/>
    <x v="2"/>
    <x v="0"/>
    <n v="0.21"/>
    <s v="Stock Options"/>
    <n v="0.21"/>
    <x v="0"/>
    <m/>
    <x v="0"/>
    <m/>
    <m/>
  </r>
  <r>
    <x v="7"/>
    <x v="3"/>
    <x v="6"/>
    <x v="6"/>
    <s v="Managed Health Care"/>
    <x v="0"/>
    <s v="A+"/>
    <s v="United States"/>
    <x v="0"/>
    <d v="2024-04-22T00:00:00"/>
    <x v="1"/>
    <x v="0"/>
    <x v="0"/>
    <n v="0.08"/>
    <s v="Base Salary"/>
    <n v="0.08"/>
    <x v="0"/>
    <m/>
    <x v="0"/>
    <m/>
    <m/>
  </r>
  <r>
    <x v="7"/>
    <x v="3"/>
    <x v="6"/>
    <x v="6"/>
    <s v="Managed Health Care"/>
    <x v="0"/>
    <s v="A+"/>
    <s v="United States"/>
    <x v="0"/>
    <d v="2024-04-22T00:00:00"/>
    <x v="1"/>
    <x v="1"/>
    <x v="1"/>
    <n v="0.16"/>
    <s v="Cash Incentive"/>
    <n v="0.16"/>
    <x v="1"/>
    <s v="Growth"/>
    <x v="1"/>
    <s v="Adjusted Revenue"/>
    <n v="0.3"/>
  </r>
  <r>
    <x v="7"/>
    <x v="3"/>
    <x v="6"/>
    <x v="6"/>
    <s v="Managed Health Care"/>
    <x v="0"/>
    <s v="A+"/>
    <s v="United States"/>
    <x v="0"/>
    <d v="2024-04-22T00:00:00"/>
    <x v="1"/>
    <x v="1"/>
    <x v="1"/>
    <m/>
    <s v="Cash Incentive"/>
    <n v="0.16"/>
    <x v="1"/>
    <s v="Profitability"/>
    <x v="2"/>
    <s v="Adjusted Operating Income"/>
    <n v="0.3"/>
  </r>
  <r>
    <x v="7"/>
    <x v="3"/>
    <x v="6"/>
    <x v="6"/>
    <s v="Managed Health Care"/>
    <x v="0"/>
    <s v="A+"/>
    <s v="United States"/>
    <x v="0"/>
    <d v="2024-04-22T00:00:00"/>
    <x v="1"/>
    <x v="1"/>
    <x v="1"/>
    <m/>
    <s v="Cash Incentive"/>
    <n v="0.16"/>
    <x v="1"/>
    <s v="Cash Flow"/>
    <x v="18"/>
    <s v="Adjusted Operating Cash Flow"/>
    <n v="0.15"/>
  </r>
  <r>
    <x v="7"/>
    <x v="3"/>
    <x v="6"/>
    <x v="6"/>
    <s v="Managed Health Care"/>
    <x v="0"/>
    <s v="A+"/>
    <s v="United States"/>
    <x v="0"/>
    <d v="2024-04-22T00:00:00"/>
    <x v="1"/>
    <x v="1"/>
    <x v="1"/>
    <m/>
    <s v="Cash Incentive"/>
    <n v="0.16"/>
    <x v="2"/>
    <s v="Strategy &amp; Operations"/>
    <x v="4"/>
    <s v="Stewardship"/>
    <n v="0.25"/>
  </r>
  <r>
    <x v="7"/>
    <x v="3"/>
    <x v="6"/>
    <x v="6"/>
    <s v="Managed Health Care"/>
    <x v="0"/>
    <s v="A+"/>
    <s v="United States"/>
    <x v="0"/>
    <d v="2024-04-22T00:00:00"/>
    <x v="1"/>
    <x v="1"/>
    <x v="1"/>
    <m/>
    <s v="Cash Incentive"/>
    <n v="0.16"/>
    <x v="0"/>
    <s v="Modifier/Threshold"/>
    <x v="10"/>
    <s v="Individual Performance Factor"/>
    <m/>
  </r>
  <r>
    <x v="7"/>
    <x v="3"/>
    <x v="6"/>
    <x v="6"/>
    <s v="Managed Health Care"/>
    <x v="0"/>
    <s v="A+"/>
    <s v="United States"/>
    <x v="0"/>
    <d v="2024-04-22T00:00:00"/>
    <x v="1"/>
    <x v="2"/>
    <x v="1"/>
    <n v="0.38"/>
    <s v="Performance Stock"/>
    <n v="0.38"/>
    <x v="1"/>
    <s v="Profitability"/>
    <x v="14"/>
    <s v="3Y Cumulative Adjusted EPS"/>
    <n v="0.5"/>
  </r>
  <r>
    <x v="7"/>
    <x v="3"/>
    <x v="6"/>
    <x v="6"/>
    <s v="Managed Health Care"/>
    <x v="0"/>
    <s v="A+"/>
    <s v="United States"/>
    <x v="0"/>
    <d v="2024-04-22T00:00:00"/>
    <x v="1"/>
    <x v="2"/>
    <x v="1"/>
    <m/>
    <s v="Performance Stock"/>
    <n v="0.38"/>
    <x v="1"/>
    <s v="Profitability"/>
    <x v="21"/>
    <s v="3Y Average Return on Equity"/>
    <n v="0.5"/>
  </r>
  <r>
    <x v="7"/>
    <x v="3"/>
    <x v="6"/>
    <x v="6"/>
    <s v="Managed Health Care"/>
    <x v="0"/>
    <s v="A+"/>
    <s v="United States"/>
    <x v="0"/>
    <d v="2024-04-22T00:00:00"/>
    <x v="1"/>
    <x v="2"/>
    <x v="0"/>
    <n v="0.19"/>
    <s v="Time-Based Stock"/>
    <n v="0.19"/>
    <x v="0"/>
    <m/>
    <x v="0"/>
    <m/>
    <m/>
  </r>
  <r>
    <x v="7"/>
    <x v="3"/>
    <x v="6"/>
    <x v="6"/>
    <s v="Managed Health Care"/>
    <x v="0"/>
    <s v="A+"/>
    <s v="United States"/>
    <x v="0"/>
    <d v="2024-04-22T00:00:00"/>
    <x v="1"/>
    <x v="2"/>
    <x v="0"/>
    <n v="0.19"/>
    <s v="Stock Options"/>
    <n v="0.19"/>
    <x v="0"/>
    <m/>
    <x v="0"/>
    <m/>
    <m/>
  </r>
  <r>
    <x v="8"/>
    <x v="0"/>
    <x v="7"/>
    <x v="7"/>
    <s v="Telecommunications Equipment"/>
    <x v="0"/>
    <s v="AA+"/>
    <s v="United States"/>
    <x v="0"/>
    <d v="2024-01-11T00:00:00"/>
    <x v="0"/>
    <x v="0"/>
    <x v="0"/>
    <n v="6.1224489795918366E-2"/>
    <s v="Base Salary"/>
    <n v="6.1224489795918366E-2"/>
    <x v="0"/>
    <m/>
    <x v="0"/>
    <m/>
    <m/>
  </r>
  <r>
    <x v="8"/>
    <x v="0"/>
    <x v="7"/>
    <x v="7"/>
    <s v="Telecommunications Equipment"/>
    <x v="0"/>
    <s v="AA+"/>
    <s v="United States"/>
    <x v="0"/>
    <d v="2024-01-11T00:00:00"/>
    <x v="0"/>
    <x v="1"/>
    <x v="1"/>
    <n v="0.12244897959183673"/>
    <s v="Cash Incentive"/>
    <n v="0.12244897959183673"/>
    <x v="1"/>
    <s v="Growth"/>
    <x v="1"/>
    <s v="Revenue "/>
    <n v="0.5"/>
  </r>
  <r>
    <x v="8"/>
    <x v="0"/>
    <x v="7"/>
    <x v="7"/>
    <s v="Telecommunications Equipment"/>
    <x v="0"/>
    <s v="AA+"/>
    <s v="United States"/>
    <x v="0"/>
    <d v="2024-01-11T00:00:00"/>
    <x v="0"/>
    <x v="1"/>
    <x v="1"/>
    <m/>
    <s v="Cash Incentive"/>
    <n v="0.12244897959183673"/>
    <x v="1"/>
    <s v="Profitability"/>
    <x v="2"/>
    <s v="Operating Income"/>
    <n v="0.5"/>
  </r>
  <r>
    <x v="8"/>
    <x v="0"/>
    <x v="7"/>
    <x v="7"/>
    <s v="Telecommunications Equipment"/>
    <x v="0"/>
    <s v="AA+"/>
    <s v="United States"/>
    <x v="0"/>
    <d v="2024-01-11T00:00:00"/>
    <x v="0"/>
    <x v="1"/>
    <x v="1"/>
    <m/>
    <s v="Cash Incentive"/>
    <n v="0.12244897959183673"/>
    <x v="0"/>
    <s v="Modifier/Threshold"/>
    <x v="20"/>
    <s v="Assessment of Values and Community Initiatives (ESG)"/>
    <m/>
  </r>
  <r>
    <x v="8"/>
    <x v="0"/>
    <x v="7"/>
    <x v="7"/>
    <s v="Telecommunications Equipment"/>
    <x v="0"/>
    <s v="AA+"/>
    <s v="United States"/>
    <x v="0"/>
    <d v="2024-01-11T00:00:00"/>
    <x v="0"/>
    <x v="2"/>
    <x v="1"/>
    <n v="0.61224489795918369"/>
    <s v="Performance Stock"/>
    <n v="0.61224489795918369"/>
    <x v="3"/>
    <s v="Stock Performance"/>
    <x v="11"/>
    <s v="3Y Relative TSR"/>
    <n v="1"/>
  </r>
  <r>
    <x v="8"/>
    <x v="0"/>
    <x v="7"/>
    <x v="7"/>
    <s v="Telecommunications Equipment"/>
    <x v="0"/>
    <s v="AA+"/>
    <s v="United States"/>
    <x v="0"/>
    <d v="2024-01-11T00:00:00"/>
    <x v="0"/>
    <x v="2"/>
    <x v="1"/>
    <m/>
    <s v="Performance Stock"/>
    <n v="0.61224489795918369"/>
    <x v="0"/>
    <s v="Modifier/Threshold"/>
    <x v="12"/>
    <s v="3Y Absolute TSR"/>
    <m/>
  </r>
  <r>
    <x v="8"/>
    <x v="0"/>
    <x v="7"/>
    <x v="7"/>
    <s v="Telecommunications Equipment"/>
    <x v="0"/>
    <s v="AA+"/>
    <s v="United States"/>
    <x v="0"/>
    <d v="2024-01-11T00:00:00"/>
    <x v="0"/>
    <x v="2"/>
    <x v="0"/>
    <n v="0.20408163265306123"/>
    <s v="Time-Based Stock"/>
    <n v="0.20408163265306123"/>
    <x v="0"/>
    <m/>
    <x v="0"/>
    <m/>
    <m/>
  </r>
  <r>
    <x v="8"/>
    <x v="0"/>
    <x v="7"/>
    <x v="7"/>
    <s v="Telecommunications Equipment"/>
    <x v="0"/>
    <s v="AA+"/>
    <s v="United States"/>
    <x v="0"/>
    <d v="2024-01-11T00:00:00"/>
    <x v="1"/>
    <x v="0"/>
    <x v="0"/>
    <n v="4.3478260869565216E-2"/>
    <s v="Base Salary"/>
    <n v="4.3478260869565216E-2"/>
    <x v="0"/>
    <m/>
    <x v="0"/>
    <m/>
    <m/>
  </r>
  <r>
    <x v="8"/>
    <x v="0"/>
    <x v="7"/>
    <x v="7"/>
    <s v="Telecommunications Equipment"/>
    <x v="0"/>
    <s v="AA+"/>
    <s v="United States"/>
    <x v="0"/>
    <d v="2024-01-11T00:00:00"/>
    <x v="1"/>
    <x v="1"/>
    <x v="1"/>
    <n v="8.6956521739130432E-2"/>
    <s v="Cash Incentive"/>
    <n v="8.6956521739130432E-2"/>
    <x v="1"/>
    <s v="Growth"/>
    <x v="1"/>
    <s v="Revenue "/>
    <n v="0.5"/>
  </r>
  <r>
    <x v="8"/>
    <x v="0"/>
    <x v="7"/>
    <x v="7"/>
    <s v="Telecommunications Equipment"/>
    <x v="0"/>
    <s v="AA+"/>
    <s v="United States"/>
    <x v="0"/>
    <d v="2024-01-11T00:00:00"/>
    <x v="1"/>
    <x v="1"/>
    <x v="1"/>
    <m/>
    <s v="Cash Incentive"/>
    <n v="8.6956521739130432E-2"/>
    <x v="1"/>
    <s v="Profitability"/>
    <x v="2"/>
    <s v="Operating Income"/>
    <n v="0.5"/>
  </r>
  <r>
    <x v="8"/>
    <x v="0"/>
    <x v="7"/>
    <x v="7"/>
    <s v="Telecommunications Equipment"/>
    <x v="0"/>
    <s v="AA+"/>
    <s v="United States"/>
    <x v="0"/>
    <d v="2024-01-11T00:00:00"/>
    <x v="1"/>
    <x v="1"/>
    <x v="1"/>
    <m/>
    <s v="Cash Incentive"/>
    <n v="8.6956521739130432E-2"/>
    <x v="0"/>
    <s v="Modifier/Threshold"/>
    <x v="20"/>
    <s v="Assessment of Values and Community Initiatives (ESG)"/>
    <m/>
  </r>
  <r>
    <x v="8"/>
    <x v="0"/>
    <x v="7"/>
    <x v="7"/>
    <s v="Telecommunications Equipment"/>
    <x v="0"/>
    <s v="AA+"/>
    <s v="United States"/>
    <x v="0"/>
    <d v="2024-01-11T00:00:00"/>
    <x v="1"/>
    <x v="2"/>
    <x v="1"/>
    <n v="0.43478260869565216"/>
    <s v="Performance Stock"/>
    <n v="0.43478260869565216"/>
    <x v="3"/>
    <s v="Stock Performance"/>
    <x v="11"/>
    <s v="3Y Relative TSR"/>
    <n v="1"/>
  </r>
  <r>
    <x v="8"/>
    <x v="0"/>
    <x v="7"/>
    <x v="7"/>
    <s v="Telecommunications Equipment"/>
    <x v="0"/>
    <s v="AA+"/>
    <s v="United States"/>
    <x v="0"/>
    <d v="2024-01-11T00:00:00"/>
    <x v="1"/>
    <x v="2"/>
    <x v="1"/>
    <m/>
    <s v="Performance Stock"/>
    <n v="0.43478260869565216"/>
    <x v="0"/>
    <s v="Modifier/Threshold"/>
    <x v="12"/>
    <s v="3Y Absolute TSR"/>
    <m/>
  </r>
  <r>
    <x v="8"/>
    <x v="0"/>
    <x v="7"/>
    <x v="7"/>
    <s v="Telecommunications Equipment"/>
    <x v="0"/>
    <s v="AA+"/>
    <s v="United States"/>
    <x v="0"/>
    <d v="2024-01-11T00:00:00"/>
    <x v="1"/>
    <x v="2"/>
    <x v="0"/>
    <n v="0.43478260869565216"/>
    <s v="Time-Based Stock"/>
    <n v="0.43478260869565216"/>
    <x v="0"/>
    <m/>
    <x v="0"/>
    <m/>
    <m/>
  </r>
  <r>
    <x v="9"/>
    <x v="5"/>
    <x v="8"/>
    <x v="8"/>
    <s v="Bank"/>
    <x v="0"/>
    <s v="A-"/>
    <s v="United States"/>
    <x v="0"/>
    <d v="2024-04-08T00:00:00"/>
    <x v="0"/>
    <x v="0"/>
    <x v="0"/>
    <n v="4.1666666666666664E-2"/>
    <s v="Base Salary"/>
    <n v="4.1666666666666664E-2"/>
    <x v="0"/>
    <m/>
    <x v="0"/>
    <m/>
    <m/>
  </r>
  <r>
    <x v="9"/>
    <x v="5"/>
    <x v="8"/>
    <x v="8"/>
    <s v="Bank"/>
    <x v="0"/>
    <s v="A-"/>
    <s v="United States"/>
    <x v="0"/>
    <d v="2024-04-08T00:00:00"/>
    <x v="0"/>
    <x v="1"/>
    <x v="1"/>
    <n v="0.1388888888888889"/>
    <s v="Cash Incentive"/>
    <n v="0.1388888888888889"/>
    <x v="2"/>
    <s v="Strategy &amp; Operations"/>
    <x v="3"/>
    <s v="Business Results"/>
    <n v="0.5"/>
  </r>
  <r>
    <x v="9"/>
    <x v="5"/>
    <x v="8"/>
    <x v="8"/>
    <s v="Bank"/>
    <x v="0"/>
    <s v="A-"/>
    <s v="United States"/>
    <x v="0"/>
    <d v="2024-04-08T00:00:00"/>
    <x v="0"/>
    <x v="1"/>
    <x v="1"/>
    <m/>
    <s v="Cash Incentive"/>
    <n v="0.1388888888888889"/>
    <x v="2"/>
    <s v="Strategy &amp; Operations"/>
    <x v="3"/>
    <s v="Qualitative Considerations"/>
    <n v="0.5"/>
  </r>
  <r>
    <x v="9"/>
    <x v="5"/>
    <x v="8"/>
    <x v="8"/>
    <s v="Bank"/>
    <x v="0"/>
    <s v="A-"/>
    <s v="United States"/>
    <x v="0"/>
    <d v="2024-04-08T00:00:00"/>
    <x v="0"/>
    <x v="2"/>
    <x v="1"/>
    <n v="0.81944444444444442"/>
    <s v="Performance Stock"/>
    <n v="0.81944444444444442"/>
    <x v="1"/>
    <s v="Return"/>
    <x v="22"/>
    <s v="3Y Absolute and Relative ROTCE"/>
    <n v="1"/>
  </r>
  <r>
    <x v="9"/>
    <x v="5"/>
    <x v="8"/>
    <x v="8"/>
    <s v="Bank"/>
    <x v="0"/>
    <s v="A-"/>
    <s v="United States"/>
    <x v="0"/>
    <d v="2024-04-08T00:00:00"/>
    <x v="0"/>
    <x v="2"/>
    <x v="1"/>
    <m/>
    <s v="Performance Stock"/>
    <n v="0.81944444444444442"/>
    <x v="0"/>
    <s v="Modifier/Threshold"/>
    <x v="23"/>
    <s v="CET1"/>
    <m/>
  </r>
  <r>
    <x v="9"/>
    <x v="5"/>
    <x v="8"/>
    <x v="8"/>
    <s v="Bank"/>
    <x v="0"/>
    <s v="A-"/>
    <s v="United States"/>
    <x v="0"/>
    <d v="2024-04-08T00:00:00"/>
    <x v="1"/>
    <x v="0"/>
    <x v="0"/>
    <n v="4.1771771771771771E-2"/>
    <s v="Base Salary"/>
    <n v="4.1771771771771771E-2"/>
    <x v="0"/>
    <m/>
    <x v="0"/>
    <m/>
    <m/>
  </r>
  <r>
    <x v="9"/>
    <x v="5"/>
    <x v="8"/>
    <x v="8"/>
    <s v="Bank"/>
    <x v="0"/>
    <s v="A-"/>
    <s v="United States"/>
    <x v="0"/>
    <d v="2024-04-08T00:00:00"/>
    <x v="1"/>
    <x v="1"/>
    <x v="1"/>
    <n v="0.34062462462462467"/>
    <s v="Cash Incentive"/>
    <n v="0.34062462462462467"/>
    <x v="2"/>
    <s v="Strategy &amp; Operations"/>
    <x v="3"/>
    <s v="Business Results"/>
    <n v="0.5"/>
  </r>
  <r>
    <x v="9"/>
    <x v="5"/>
    <x v="8"/>
    <x v="8"/>
    <s v="Bank"/>
    <x v="0"/>
    <s v="A-"/>
    <s v="United States"/>
    <x v="0"/>
    <d v="2024-04-08T00:00:00"/>
    <x v="1"/>
    <x v="1"/>
    <x v="1"/>
    <m/>
    <s v="Cash Incentive"/>
    <n v="0.34062462462462467"/>
    <x v="2"/>
    <s v="Strategy &amp; Operations"/>
    <x v="3"/>
    <s v="Qualitative Considerations"/>
    <n v="0.5"/>
  </r>
  <r>
    <x v="9"/>
    <x v="5"/>
    <x v="8"/>
    <x v="8"/>
    <s v="Bank"/>
    <x v="0"/>
    <s v="A-"/>
    <s v="United States"/>
    <x v="0"/>
    <d v="2024-04-08T00:00:00"/>
    <x v="1"/>
    <x v="2"/>
    <x v="1"/>
    <n v="0.38713513513513514"/>
    <s v="Performance Stock"/>
    <n v="0.38713513513513514"/>
    <x v="1"/>
    <s v="Return"/>
    <x v="22"/>
    <s v="3Y Absolute and Relative ROTCE"/>
    <n v="1"/>
  </r>
  <r>
    <x v="9"/>
    <x v="5"/>
    <x v="8"/>
    <x v="8"/>
    <s v="Bank"/>
    <x v="0"/>
    <s v="A-"/>
    <s v="United States"/>
    <x v="0"/>
    <d v="2024-04-08T00:00:00"/>
    <x v="1"/>
    <x v="2"/>
    <x v="1"/>
    <m/>
    <s v="Performance Stock"/>
    <n v="0.38713513513513514"/>
    <x v="0"/>
    <s v="Modifier/Threshold"/>
    <x v="23"/>
    <s v="CET1"/>
    <m/>
  </r>
  <r>
    <x v="9"/>
    <x v="5"/>
    <x v="8"/>
    <x v="8"/>
    <s v="Bank"/>
    <x v="0"/>
    <s v="A-"/>
    <s v="United States"/>
    <x v="0"/>
    <d v="2024-04-08T00:00:00"/>
    <x v="1"/>
    <x v="2"/>
    <x v="0"/>
    <n v="0.23046846846846844"/>
    <s v="Time-Based Stock"/>
    <n v="0.23046846846846844"/>
    <x v="0"/>
    <m/>
    <x v="0"/>
    <m/>
    <m/>
  </r>
  <r>
    <x v="10"/>
    <x v="5"/>
    <x v="9"/>
    <x v="9"/>
    <s v="Miscellaneous Commercial Services "/>
    <x v="0"/>
    <s v="A+"/>
    <s v="United States"/>
    <x v="0"/>
    <d v="2024-04-26T00:00:00"/>
    <x v="0"/>
    <x v="0"/>
    <x v="0"/>
    <n v="0.05"/>
    <s v="Base Salary"/>
    <n v="0.05"/>
    <x v="0"/>
    <m/>
    <x v="0"/>
    <m/>
    <m/>
  </r>
  <r>
    <x v="10"/>
    <x v="5"/>
    <x v="9"/>
    <x v="9"/>
    <s v="Miscellaneous Commercial Services "/>
    <x v="0"/>
    <s v="A+"/>
    <s v="United States"/>
    <x v="0"/>
    <d v="2024-04-26T00:00:00"/>
    <x v="0"/>
    <x v="1"/>
    <x v="1"/>
    <n v="0.11"/>
    <s v="Cash Incentive"/>
    <n v="0.11"/>
    <x v="1"/>
    <s v="Profitability"/>
    <x v="24"/>
    <s v="Adjusted Net Income"/>
    <n v="0.67"/>
  </r>
  <r>
    <x v="10"/>
    <x v="5"/>
    <x v="9"/>
    <x v="9"/>
    <s v="Miscellaneous Commercial Services "/>
    <x v="0"/>
    <s v="A+"/>
    <s v="United States"/>
    <x v="0"/>
    <d v="2024-04-26T00:00:00"/>
    <x v="0"/>
    <x v="1"/>
    <x v="1"/>
    <m/>
    <s v="Cash Incentive"/>
    <n v="0.11"/>
    <x v="1"/>
    <s v="Growth"/>
    <x v="1"/>
    <s v="Adjusted Revenue"/>
    <n v="0.33"/>
  </r>
  <r>
    <x v="10"/>
    <x v="5"/>
    <x v="9"/>
    <x v="9"/>
    <s v="Miscellaneous Commercial Services "/>
    <x v="0"/>
    <s v="A+"/>
    <s v="United States"/>
    <x v="0"/>
    <d v="2024-04-26T00:00:00"/>
    <x v="0"/>
    <x v="1"/>
    <x v="1"/>
    <m/>
    <s v="Cash Incentive"/>
    <n v="0.11"/>
    <x v="0"/>
    <s v="Modifier/Threshold"/>
    <x v="20"/>
    <s v="ESG"/>
    <m/>
  </r>
  <r>
    <x v="10"/>
    <x v="5"/>
    <x v="9"/>
    <x v="9"/>
    <s v="Miscellaneous Commercial Services "/>
    <x v="0"/>
    <s v="A+"/>
    <s v="United States"/>
    <x v="0"/>
    <d v="2024-04-26T00:00:00"/>
    <x v="0"/>
    <x v="1"/>
    <x v="1"/>
    <m/>
    <s v="Cash Incentive"/>
    <n v="0.11"/>
    <x v="0"/>
    <s v="Modifier/Threshold"/>
    <x v="19"/>
    <s v="Strategic Performance Adjustment"/>
    <m/>
  </r>
  <r>
    <x v="10"/>
    <x v="5"/>
    <x v="9"/>
    <x v="9"/>
    <s v="Miscellaneous Commercial Services "/>
    <x v="0"/>
    <s v="A+"/>
    <s v="United States"/>
    <x v="0"/>
    <d v="2024-04-26T00:00:00"/>
    <x v="0"/>
    <x v="1"/>
    <x v="1"/>
    <m/>
    <s v="Cash Incentive"/>
    <n v="0.11"/>
    <x v="0"/>
    <s v="Modifier/Threshold"/>
    <x v="10"/>
    <s v="Individual Performance Factor"/>
    <m/>
  </r>
  <r>
    <x v="10"/>
    <x v="5"/>
    <x v="9"/>
    <x v="9"/>
    <s v="Miscellaneous Commercial Services "/>
    <x v="0"/>
    <s v="A+"/>
    <s v="United States"/>
    <x v="0"/>
    <d v="2024-04-26T00:00:00"/>
    <x v="0"/>
    <x v="2"/>
    <x v="1"/>
    <n v="0.5"/>
    <s v="Performance Stock"/>
    <n v="0.5"/>
    <x v="1"/>
    <s v="Profitability"/>
    <x v="14"/>
    <s v="3Y Average Adjusted EPS Growth"/>
    <n v="0.5"/>
  </r>
  <r>
    <x v="10"/>
    <x v="5"/>
    <x v="9"/>
    <x v="9"/>
    <s v="Miscellaneous Commercial Services "/>
    <x v="0"/>
    <s v="A+"/>
    <s v="United States"/>
    <x v="0"/>
    <d v="2024-04-26T00:00:00"/>
    <x v="0"/>
    <x v="2"/>
    <x v="1"/>
    <m/>
    <s v="Performance Stock"/>
    <n v="0.5"/>
    <x v="1"/>
    <s v="Growth"/>
    <x v="1"/>
    <s v="3Y Average Adjusted Revenue Growth"/>
    <n v="0.5"/>
  </r>
  <r>
    <x v="10"/>
    <x v="5"/>
    <x v="9"/>
    <x v="9"/>
    <s v="Miscellaneous Commercial Services "/>
    <x v="0"/>
    <s v="A+"/>
    <s v="United States"/>
    <x v="0"/>
    <d v="2024-04-26T00:00:00"/>
    <x v="0"/>
    <x v="2"/>
    <x v="1"/>
    <m/>
    <s v="Performance Stock"/>
    <n v="0.5"/>
    <x v="0"/>
    <s v="Modifier/Threshold"/>
    <x v="6"/>
    <s v="3Y Relative TSR"/>
    <m/>
  </r>
  <r>
    <x v="10"/>
    <x v="5"/>
    <x v="9"/>
    <x v="9"/>
    <s v="Miscellaneous Commercial Services "/>
    <x v="0"/>
    <s v="A+"/>
    <s v="United States"/>
    <x v="0"/>
    <d v="2024-04-26T00:00:00"/>
    <x v="0"/>
    <x v="2"/>
    <x v="0"/>
    <n v="0.17"/>
    <s v="Time-Based Stock"/>
    <n v="0.17"/>
    <x v="0"/>
    <m/>
    <x v="0"/>
    <m/>
    <m/>
  </r>
  <r>
    <x v="10"/>
    <x v="5"/>
    <x v="9"/>
    <x v="9"/>
    <s v="Miscellaneous Commercial Services "/>
    <x v="0"/>
    <s v="A+"/>
    <s v="United States"/>
    <x v="0"/>
    <d v="2024-04-26T00:00:00"/>
    <x v="0"/>
    <x v="2"/>
    <x v="0"/>
    <n v="0.17"/>
    <s v="Stock Options"/>
    <n v="0.17"/>
    <x v="0"/>
    <m/>
    <x v="0"/>
    <m/>
    <m/>
  </r>
  <r>
    <x v="10"/>
    <x v="5"/>
    <x v="9"/>
    <x v="9"/>
    <s v="Miscellaneous Commercial Services "/>
    <x v="0"/>
    <s v="A+"/>
    <s v="United States"/>
    <x v="0"/>
    <d v="2024-04-26T00:00:00"/>
    <x v="1"/>
    <x v="0"/>
    <x v="0"/>
    <n v="0.09"/>
    <s v="Base Salary"/>
    <n v="0.09"/>
    <x v="0"/>
    <m/>
    <x v="0"/>
    <m/>
    <m/>
  </r>
  <r>
    <x v="10"/>
    <x v="5"/>
    <x v="9"/>
    <x v="9"/>
    <s v="Miscellaneous Commercial Services "/>
    <x v="0"/>
    <s v="A+"/>
    <s v="United States"/>
    <x v="0"/>
    <d v="2024-04-26T00:00:00"/>
    <x v="1"/>
    <x v="1"/>
    <x v="1"/>
    <n v="0.12"/>
    <s v="Cash Incentive"/>
    <n v="0.12"/>
    <x v="1"/>
    <s v="Profitability"/>
    <x v="24"/>
    <s v="Adjusted Net Income"/>
    <n v="0.67"/>
  </r>
  <r>
    <x v="10"/>
    <x v="5"/>
    <x v="9"/>
    <x v="9"/>
    <s v="Miscellaneous Commercial Services "/>
    <x v="0"/>
    <s v="A+"/>
    <s v="United States"/>
    <x v="0"/>
    <d v="2024-04-26T00:00:00"/>
    <x v="1"/>
    <x v="1"/>
    <x v="1"/>
    <m/>
    <s v="Cash Incentive"/>
    <n v="0.12"/>
    <x v="1"/>
    <s v="Growth"/>
    <x v="1"/>
    <s v="Adjusted Revenue"/>
    <n v="0.33"/>
  </r>
  <r>
    <x v="10"/>
    <x v="5"/>
    <x v="9"/>
    <x v="9"/>
    <s v="Miscellaneous Commercial Services "/>
    <x v="0"/>
    <s v="A+"/>
    <s v="United States"/>
    <x v="0"/>
    <d v="2024-04-26T00:00:00"/>
    <x v="1"/>
    <x v="1"/>
    <x v="1"/>
    <m/>
    <s v="Cash Incentive"/>
    <n v="0.12"/>
    <x v="0"/>
    <s v="Modifier/Threshold"/>
    <x v="20"/>
    <s v="ESG"/>
    <m/>
  </r>
  <r>
    <x v="10"/>
    <x v="5"/>
    <x v="9"/>
    <x v="9"/>
    <s v="Miscellaneous Commercial Services "/>
    <x v="0"/>
    <s v="A+"/>
    <s v="United States"/>
    <x v="0"/>
    <d v="2024-04-26T00:00:00"/>
    <x v="1"/>
    <x v="1"/>
    <x v="1"/>
    <m/>
    <s v="Cash Incentive"/>
    <n v="0.12"/>
    <x v="0"/>
    <s v="Modifier/Threshold"/>
    <x v="19"/>
    <s v="Strategic Performance Adjustment"/>
    <m/>
  </r>
  <r>
    <x v="10"/>
    <x v="5"/>
    <x v="9"/>
    <x v="9"/>
    <s v="Miscellaneous Commercial Services "/>
    <x v="0"/>
    <s v="A+"/>
    <s v="United States"/>
    <x v="0"/>
    <d v="2024-04-26T00:00:00"/>
    <x v="1"/>
    <x v="1"/>
    <x v="1"/>
    <m/>
    <s v="Cash Incentive"/>
    <n v="0.12"/>
    <x v="0"/>
    <s v="Modifier/Threshold"/>
    <x v="10"/>
    <s v="Individual Performance Factor"/>
    <m/>
  </r>
  <r>
    <x v="10"/>
    <x v="5"/>
    <x v="9"/>
    <x v="9"/>
    <s v="Miscellaneous Commercial Services "/>
    <x v="0"/>
    <s v="A+"/>
    <s v="United States"/>
    <x v="0"/>
    <d v="2024-04-26T00:00:00"/>
    <x v="1"/>
    <x v="2"/>
    <x v="1"/>
    <n v="0.47"/>
    <s v="Performance Stock"/>
    <n v="0.47"/>
    <x v="1"/>
    <s v="Profitability"/>
    <x v="14"/>
    <s v="3Y Average Adjusted EPS Growth"/>
    <n v="0.5"/>
  </r>
  <r>
    <x v="10"/>
    <x v="5"/>
    <x v="9"/>
    <x v="9"/>
    <s v="Miscellaneous Commercial Services "/>
    <x v="0"/>
    <s v="A+"/>
    <s v="United States"/>
    <x v="0"/>
    <d v="2024-04-26T00:00:00"/>
    <x v="1"/>
    <x v="2"/>
    <x v="1"/>
    <m/>
    <s v="Performance Stock"/>
    <n v="0.47"/>
    <x v="1"/>
    <s v="Growth"/>
    <x v="1"/>
    <s v="3Y Average Adjusted Revenue Growth"/>
    <n v="0.5"/>
  </r>
  <r>
    <x v="10"/>
    <x v="5"/>
    <x v="9"/>
    <x v="9"/>
    <s v="Miscellaneous Commercial Services "/>
    <x v="0"/>
    <s v="A+"/>
    <s v="United States"/>
    <x v="0"/>
    <d v="2024-04-26T00:00:00"/>
    <x v="1"/>
    <x v="2"/>
    <x v="1"/>
    <m/>
    <s v="Performance Stock"/>
    <n v="0.47"/>
    <x v="0"/>
    <s v="Modifier/Threshold"/>
    <x v="6"/>
    <s v="3Y Relative TSR"/>
    <m/>
  </r>
  <r>
    <x v="10"/>
    <x v="5"/>
    <x v="9"/>
    <x v="9"/>
    <s v="Miscellaneous Commercial Services "/>
    <x v="0"/>
    <s v="A+"/>
    <s v="United States"/>
    <x v="0"/>
    <d v="2024-04-26T00:00:00"/>
    <x v="1"/>
    <x v="2"/>
    <x v="0"/>
    <n v="0.16"/>
    <s v="Time-Based Stock"/>
    <n v="0.16"/>
    <x v="0"/>
    <m/>
    <x v="0"/>
    <m/>
    <m/>
  </r>
  <r>
    <x v="10"/>
    <x v="5"/>
    <x v="9"/>
    <x v="9"/>
    <s v="Miscellaneous Commercial Services "/>
    <x v="0"/>
    <s v="A+"/>
    <s v="United States"/>
    <x v="0"/>
    <d v="2024-04-26T00:00:00"/>
    <x v="1"/>
    <x v="2"/>
    <x v="0"/>
    <n v="0.16"/>
    <s v="Stock Options"/>
    <n v="0.16"/>
    <x v="0"/>
    <m/>
    <x v="0"/>
    <m/>
    <m/>
  </r>
  <r>
    <x v="11"/>
    <x v="6"/>
    <x v="10"/>
    <x v="10"/>
    <s v="Aerospace &amp; Defense"/>
    <x v="0"/>
    <s v="BBB+"/>
    <s v="United States"/>
    <x v="0"/>
    <d v="2024-03-11T00:00:00"/>
    <x v="0"/>
    <x v="0"/>
    <x v="0"/>
    <n v="0.12"/>
    <s v="Base Salary"/>
    <n v="0.12"/>
    <x v="0"/>
    <m/>
    <x v="0"/>
    <m/>
    <m/>
  </r>
  <r>
    <x v="11"/>
    <x v="6"/>
    <x v="10"/>
    <x v="10"/>
    <s v="Aerospace &amp; Defense"/>
    <x v="0"/>
    <s v="BBB+"/>
    <s v="United States"/>
    <x v="0"/>
    <d v="2024-03-11T00:00:00"/>
    <x v="0"/>
    <x v="1"/>
    <x v="1"/>
    <n v="0.19"/>
    <s v="Cash Incentive"/>
    <n v="0.19"/>
    <x v="1"/>
    <s v="Profitability"/>
    <x v="24"/>
    <s v="Adjusted Net Income"/>
    <n v="0.4"/>
  </r>
  <r>
    <x v="11"/>
    <x v="6"/>
    <x v="10"/>
    <x v="10"/>
    <s v="Aerospace &amp; Defense"/>
    <x v="0"/>
    <s v="BBB+"/>
    <s v="United States"/>
    <x v="0"/>
    <d v="2024-03-11T00:00:00"/>
    <x v="0"/>
    <x v="1"/>
    <x v="1"/>
    <m/>
    <s v="Cash Incentive"/>
    <n v="0.19"/>
    <x v="1"/>
    <s v="Cash Flow"/>
    <x v="25"/>
    <s v="Adjusted Free Cash Flow"/>
    <n v="0.4"/>
  </r>
  <r>
    <x v="11"/>
    <x v="6"/>
    <x v="10"/>
    <x v="10"/>
    <s v="Aerospace &amp; Defense"/>
    <x v="0"/>
    <s v="BBB+"/>
    <s v="United States"/>
    <x v="0"/>
    <d v="2024-03-11T00:00:00"/>
    <x v="0"/>
    <x v="1"/>
    <x v="1"/>
    <m/>
    <s v="Cash Incentive"/>
    <n v="0.19"/>
    <x v="2"/>
    <s v="ESG"/>
    <x v="7"/>
    <s v="People &amp; Culture"/>
    <n v="0.1"/>
  </r>
  <r>
    <x v="11"/>
    <x v="6"/>
    <x v="10"/>
    <x v="10"/>
    <s v="Aerospace &amp; Defense"/>
    <x v="0"/>
    <s v="BBB+"/>
    <s v="United States"/>
    <x v="0"/>
    <d v="2024-03-11T00:00:00"/>
    <x v="0"/>
    <x v="1"/>
    <x v="1"/>
    <m/>
    <s v="Cash Incentive"/>
    <n v="0.19"/>
    <x v="2"/>
    <s v="ESG"/>
    <x v="7"/>
    <s v="Sustainability Criteria Achievement "/>
    <n v="0.1"/>
  </r>
  <r>
    <x v="11"/>
    <x v="6"/>
    <x v="10"/>
    <x v="10"/>
    <s v="Aerospace &amp; Defense"/>
    <x v="0"/>
    <s v="BBB+"/>
    <s v="United States"/>
    <x v="0"/>
    <d v="2024-03-11T00:00:00"/>
    <x v="0"/>
    <x v="1"/>
    <x v="1"/>
    <m/>
    <s v="Cash Incentive"/>
    <n v="0.19"/>
    <x v="0"/>
    <s v="Modifier/Threshold"/>
    <x v="10"/>
    <s v="Individual Performance Factor"/>
    <m/>
  </r>
  <r>
    <x v="11"/>
    <x v="6"/>
    <x v="10"/>
    <x v="10"/>
    <s v="Aerospace &amp; Defense"/>
    <x v="0"/>
    <s v="BBB+"/>
    <s v="United States"/>
    <x v="0"/>
    <d v="2024-03-11T00:00:00"/>
    <x v="0"/>
    <x v="2"/>
    <x v="1"/>
    <n v="0.41399999999999998"/>
    <s v="Performance Stock"/>
    <n v="0.41399999999999998"/>
    <x v="1"/>
    <s v="Profitability"/>
    <x v="14"/>
    <s v="3Y Adjusted EPS Growth "/>
    <n v="0.35"/>
  </r>
  <r>
    <x v="11"/>
    <x v="6"/>
    <x v="10"/>
    <x v="10"/>
    <s v="Aerospace &amp; Defense"/>
    <x v="0"/>
    <s v="BBB+"/>
    <s v="United States"/>
    <x v="0"/>
    <d v="2024-03-11T00:00:00"/>
    <x v="0"/>
    <x v="2"/>
    <x v="1"/>
    <m/>
    <s v="Performance Stock"/>
    <n v="0.41399999999999998"/>
    <x v="1"/>
    <s v="Return"/>
    <x v="26"/>
    <s v="3Y Average Adjusted ROIC "/>
    <n v="0.35"/>
  </r>
  <r>
    <x v="11"/>
    <x v="6"/>
    <x v="10"/>
    <x v="10"/>
    <s v="Aerospace &amp; Defense"/>
    <x v="0"/>
    <s v="BBB+"/>
    <s v="United States"/>
    <x v="0"/>
    <d v="2024-03-11T00:00:00"/>
    <x v="0"/>
    <x v="2"/>
    <x v="1"/>
    <m/>
    <s v="Performance Stock"/>
    <n v="0.41399999999999998"/>
    <x v="3"/>
    <s v="Stock Performance"/>
    <x v="11"/>
    <s v="3Y Relative TSR"/>
    <n v="0.3"/>
  </r>
  <r>
    <x v="11"/>
    <x v="6"/>
    <x v="10"/>
    <x v="10"/>
    <s v="Aerospace &amp; Defense"/>
    <x v="0"/>
    <s v="BBB+"/>
    <s v="United States"/>
    <x v="0"/>
    <d v="2024-03-11T00:00:00"/>
    <x v="0"/>
    <x v="2"/>
    <x v="1"/>
    <m/>
    <s v="Performance Stock"/>
    <n v="0.41399999999999998"/>
    <x v="0"/>
    <s v="Modifier/Threshold"/>
    <x v="12"/>
    <s v="3Y Absolute TSR"/>
    <m/>
  </r>
  <r>
    <x v="11"/>
    <x v="6"/>
    <x v="10"/>
    <x v="10"/>
    <s v="Aerospace &amp; Defense"/>
    <x v="0"/>
    <s v="BBB+"/>
    <s v="United States"/>
    <x v="0"/>
    <d v="2024-03-11T00:00:00"/>
    <x v="0"/>
    <x v="2"/>
    <x v="0"/>
    <n v="0.27599999999999997"/>
    <s v="Stock Appreciation Rights"/>
    <n v="0.27599999999999997"/>
    <x v="0"/>
    <m/>
    <x v="0"/>
    <m/>
    <m/>
  </r>
  <r>
    <x v="11"/>
    <x v="6"/>
    <x v="10"/>
    <x v="10"/>
    <s v="Aerospace &amp; Defense"/>
    <x v="0"/>
    <s v="BBB+"/>
    <s v="United States"/>
    <x v="0"/>
    <d v="2024-03-11T00:00:00"/>
    <x v="1"/>
    <x v="0"/>
    <x v="0"/>
    <n v="0.12"/>
    <s v="Base Salary"/>
    <n v="0.12"/>
    <x v="0"/>
    <m/>
    <x v="0"/>
    <m/>
    <m/>
  </r>
  <r>
    <x v="11"/>
    <x v="6"/>
    <x v="10"/>
    <x v="10"/>
    <s v="Aerospace &amp; Defense"/>
    <x v="0"/>
    <s v="BBB+"/>
    <s v="United States"/>
    <x v="0"/>
    <d v="2024-03-11T00:00:00"/>
    <x v="1"/>
    <x v="1"/>
    <x v="1"/>
    <n v="0.13"/>
    <s v="Cash Incentive"/>
    <n v="0.13"/>
    <x v="1"/>
    <s v="Profitability"/>
    <x v="24"/>
    <s v="Adjusted Net Income"/>
    <n v="0.4"/>
  </r>
  <r>
    <x v="11"/>
    <x v="6"/>
    <x v="10"/>
    <x v="10"/>
    <s v="Aerospace &amp; Defense"/>
    <x v="0"/>
    <s v="BBB+"/>
    <s v="United States"/>
    <x v="0"/>
    <d v="2024-03-11T00:00:00"/>
    <x v="1"/>
    <x v="1"/>
    <x v="1"/>
    <m/>
    <s v="Cash Incentive"/>
    <n v="0.13"/>
    <x v="1"/>
    <s v="Cash Flow"/>
    <x v="25"/>
    <s v="Adjusted Free Cash Flow"/>
    <n v="0.4"/>
  </r>
  <r>
    <x v="11"/>
    <x v="6"/>
    <x v="10"/>
    <x v="10"/>
    <s v="Aerospace &amp; Defense"/>
    <x v="0"/>
    <s v="BBB+"/>
    <s v="United States"/>
    <x v="0"/>
    <d v="2024-03-11T00:00:00"/>
    <x v="1"/>
    <x v="1"/>
    <x v="1"/>
    <m/>
    <s v="Cash Incentive"/>
    <n v="0.13"/>
    <x v="2"/>
    <s v="Strategy &amp; Operations"/>
    <x v="7"/>
    <s v="People &amp; Culture"/>
    <n v="0.1"/>
  </r>
  <r>
    <x v="11"/>
    <x v="6"/>
    <x v="10"/>
    <x v="10"/>
    <s v="Aerospace &amp; Defense"/>
    <x v="0"/>
    <s v="BBB+"/>
    <s v="United States"/>
    <x v="0"/>
    <d v="2024-03-11T00:00:00"/>
    <x v="1"/>
    <x v="1"/>
    <x v="1"/>
    <m/>
    <s v="Cash Incentive"/>
    <n v="0.13"/>
    <x v="2"/>
    <s v="Strategy &amp; Operations"/>
    <x v="7"/>
    <s v="Sustainability Criteria Achievement "/>
    <n v="0.1"/>
  </r>
  <r>
    <x v="11"/>
    <x v="6"/>
    <x v="10"/>
    <x v="10"/>
    <s v="Aerospace &amp; Defense"/>
    <x v="0"/>
    <s v="BBB+"/>
    <s v="United States"/>
    <x v="0"/>
    <d v="2024-03-11T00:00:00"/>
    <x v="1"/>
    <x v="1"/>
    <x v="1"/>
    <m/>
    <s v="Cash Incentive"/>
    <n v="0.13"/>
    <x v="0"/>
    <s v="Modifier/Threshold"/>
    <x v="10"/>
    <s v="Individual Performance Factor"/>
    <m/>
  </r>
  <r>
    <x v="11"/>
    <x v="6"/>
    <x v="10"/>
    <x v="10"/>
    <s v="Aerospace &amp; Defense"/>
    <x v="0"/>
    <s v="BBB+"/>
    <s v="United States"/>
    <x v="0"/>
    <d v="2024-03-11T00:00:00"/>
    <x v="1"/>
    <x v="2"/>
    <x v="1"/>
    <n v="0.44999999999999996"/>
    <s v="Performance Stock"/>
    <n v="0.44999999999999996"/>
    <x v="1"/>
    <s v="Profitability"/>
    <x v="14"/>
    <s v="Adjusted 3Y EPS Growth"/>
    <n v="0.35"/>
  </r>
  <r>
    <x v="11"/>
    <x v="6"/>
    <x v="10"/>
    <x v="10"/>
    <s v="Aerospace &amp; Defense"/>
    <x v="0"/>
    <s v="BBB+"/>
    <s v="United States"/>
    <x v="0"/>
    <d v="2024-03-11T00:00:00"/>
    <x v="1"/>
    <x v="2"/>
    <x v="1"/>
    <m/>
    <s v="Performance Stock"/>
    <n v="0.44999999999999996"/>
    <x v="1"/>
    <s v="Return"/>
    <x v="26"/>
    <s v="3Y Average Adjusted ROIC "/>
    <n v="0.35"/>
  </r>
  <r>
    <x v="11"/>
    <x v="6"/>
    <x v="10"/>
    <x v="10"/>
    <s v="Aerospace &amp; Defense"/>
    <x v="0"/>
    <s v="BBB+"/>
    <s v="United States"/>
    <x v="0"/>
    <d v="2024-03-11T00:00:00"/>
    <x v="1"/>
    <x v="2"/>
    <x v="1"/>
    <m/>
    <s v="Performance Stock"/>
    <n v="0.44999999999999996"/>
    <x v="3"/>
    <s v="Stock Performance"/>
    <x v="11"/>
    <s v="3Y Relative TSR"/>
    <n v="0.3"/>
  </r>
  <r>
    <x v="11"/>
    <x v="6"/>
    <x v="10"/>
    <x v="10"/>
    <s v="Aerospace &amp; Defense"/>
    <x v="0"/>
    <s v="BBB+"/>
    <s v="United States"/>
    <x v="0"/>
    <d v="2024-03-11T00:00:00"/>
    <x v="1"/>
    <x v="2"/>
    <x v="1"/>
    <m/>
    <s v="Performance Stock"/>
    <n v="0.44999999999999996"/>
    <x v="0"/>
    <s v="Modifier/Threshold"/>
    <x v="12"/>
    <s v="3Y Absolute TSR"/>
    <m/>
  </r>
  <r>
    <x v="11"/>
    <x v="6"/>
    <x v="10"/>
    <x v="10"/>
    <s v="Aerospace &amp; Defense"/>
    <x v="0"/>
    <s v="BBB+"/>
    <s v="United States"/>
    <x v="0"/>
    <d v="2024-03-11T00:00:00"/>
    <x v="1"/>
    <x v="2"/>
    <x v="0"/>
    <n v="0.30000000000000004"/>
    <s v="Stock Appreciation Rights"/>
    <n v="0.30000000000000004"/>
    <x v="0"/>
    <m/>
    <x v="0"/>
    <m/>
    <m/>
  </r>
  <r>
    <x v="12"/>
    <x v="3"/>
    <x v="6"/>
    <x v="11"/>
    <s v="Medical Specialties"/>
    <x v="0"/>
    <s v="AA-"/>
    <s v="United States"/>
    <x v="0"/>
    <d v="2024-03-15T00:00:00"/>
    <x v="0"/>
    <x v="0"/>
    <x v="0"/>
    <n v="8.5000000000000006E-2"/>
    <s v="Base Salary"/>
    <n v="8.5000000000000006E-2"/>
    <x v="0"/>
    <m/>
    <x v="0"/>
    <m/>
    <m/>
  </r>
  <r>
    <x v="12"/>
    <x v="3"/>
    <x v="6"/>
    <x v="11"/>
    <s v="Medical Specialties"/>
    <x v="0"/>
    <s v="AA-"/>
    <s v="United States"/>
    <x v="0"/>
    <d v="2024-03-15T00:00:00"/>
    <x v="0"/>
    <x v="1"/>
    <x v="1"/>
    <n v="0.14899999999999999"/>
    <s v="Cash Incentive"/>
    <n v="0.14899999999999999"/>
    <x v="1"/>
    <s v="Growth"/>
    <x v="1"/>
    <s v="Adjusted Revenue"/>
    <n v="0.25"/>
  </r>
  <r>
    <x v="12"/>
    <x v="3"/>
    <x v="6"/>
    <x v="11"/>
    <s v="Medical Specialties"/>
    <x v="0"/>
    <s v="AA-"/>
    <s v="United States"/>
    <x v="0"/>
    <d v="2024-03-15T00:00:00"/>
    <x v="0"/>
    <x v="1"/>
    <x v="1"/>
    <m/>
    <s v="Cash Incentive"/>
    <n v="0.14899999999999999"/>
    <x v="1"/>
    <s v="Profitability"/>
    <x v="14"/>
    <s v="Adjusted Diluted EPS"/>
    <n v="0.25"/>
  </r>
  <r>
    <x v="12"/>
    <x v="3"/>
    <x v="6"/>
    <x v="11"/>
    <s v="Medical Specialties"/>
    <x v="0"/>
    <s v="AA-"/>
    <s v="United States"/>
    <x v="0"/>
    <d v="2024-03-15T00:00:00"/>
    <x v="0"/>
    <x v="1"/>
    <x v="1"/>
    <m/>
    <s v="Cash Incentive"/>
    <n v="0.14899999999999999"/>
    <x v="1"/>
    <s v="Return"/>
    <x v="27"/>
    <s v="Adjusted Return on Assets"/>
    <n v="0.1"/>
  </r>
  <r>
    <x v="12"/>
    <x v="3"/>
    <x v="6"/>
    <x v="11"/>
    <s v="Medical Specialties"/>
    <x v="0"/>
    <s v="AA-"/>
    <s v="United States"/>
    <x v="0"/>
    <d v="2024-03-15T00:00:00"/>
    <x v="0"/>
    <x v="1"/>
    <x v="1"/>
    <m/>
    <s v="Cash Incentive"/>
    <n v="0.14899999999999999"/>
    <x v="1"/>
    <s v="Cash Flow"/>
    <x v="25"/>
    <s v="Free Cash Flow"/>
    <n v="0.1"/>
  </r>
  <r>
    <x v="12"/>
    <x v="3"/>
    <x v="6"/>
    <x v="11"/>
    <s v="Medical Specialties"/>
    <x v="0"/>
    <s v="AA-"/>
    <s v="United States"/>
    <x v="0"/>
    <d v="2024-03-15T00:00:00"/>
    <x v="0"/>
    <x v="1"/>
    <x v="1"/>
    <m/>
    <s v="Cash Incentive"/>
    <n v="0.14899999999999999"/>
    <x v="1"/>
    <s v="Growth"/>
    <x v="1"/>
    <s v="Diabetes Care Sales Growth"/>
    <n v="0.1"/>
  </r>
  <r>
    <x v="12"/>
    <x v="3"/>
    <x v="6"/>
    <x v="11"/>
    <s v="Medical Specialties"/>
    <x v="0"/>
    <s v="AA-"/>
    <s v="United States"/>
    <x v="0"/>
    <d v="2024-03-15T00:00:00"/>
    <x v="0"/>
    <x v="1"/>
    <x v="1"/>
    <m/>
    <s v="Cash Incentive"/>
    <n v="0.14899999999999999"/>
    <x v="1"/>
    <s v="Growth"/>
    <x v="1"/>
    <s v="Key Cardiometabolic Product Sales Growth"/>
    <n v="0.1"/>
  </r>
  <r>
    <x v="12"/>
    <x v="3"/>
    <x v="6"/>
    <x v="11"/>
    <s v="Medical Specialties"/>
    <x v="0"/>
    <s v="AA-"/>
    <s v="United States"/>
    <x v="0"/>
    <d v="2024-03-15T00:00:00"/>
    <x v="0"/>
    <x v="1"/>
    <x v="1"/>
    <m/>
    <s v="Cash Incentive"/>
    <n v="0.14899999999999999"/>
    <x v="2"/>
    <s v="ESG"/>
    <x v="7"/>
    <s v="Human Capital Metrics"/>
    <n v="0.1"/>
  </r>
  <r>
    <x v="12"/>
    <x v="3"/>
    <x v="6"/>
    <x v="11"/>
    <s v="Medical Specialties"/>
    <x v="0"/>
    <s v="AA-"/>
    <s v="United States"/>
    <x v="0"/>
    <d v="2024-03-14T00:00:00"/>
    <x v="0"/>
    <x v="2"/>
    <x v="1"/>
    <n v="0.38299999999999995"/>
    <s v="Performance Stock"/>
    <n v="0.38299999999999995"/>
    <x v="3"/>
    <s v="Stock Performance"/>
    <x v="11"/>
    <s v="Relative TSR"/>
    <n v="1"/>
  </r>
  <r>
    <x v="12"/>
    <x v="3"/>
    <x v="6"/>
    <x v="11"/>
    <s v="Medical Specialties"/>
    <x v="0"/>
    <s v="AA-"/>
    <s v="United States"/>
    <x v="0"/>
    <d v="2024-03-15T00:00:00"/>
    <x v="0"/>
    <x v="2"/>
    <x v="1"/>
    <m/>
    <s v="Performance Stock"/>
    <n v="0.38299999999999995"/>
    <x v="0"/>
    <s v="Modifier/Threshold"/>
    <x v="10"/>
    <s v="Individual Performance Factor"/>
    <m/>
  </r>
  <r>
    <x v="12"/>
    <x v="3"/>
    <x v="6"/>
    <x v="11"/>
    <s v="Medical Specialties"/>
    <x v="0"/>
    <s v="AA-"/>
    <s v="United States"/>
    <x v="0"/>
    <d v="2024-03-15T00:00:00"/>
    <x v="0"/>
    <x v="2"/>
    <x v="1"/>
    <m/>
    <s v="Performance Stock"/>
    <n v="0.38299999999999995"/>
    <x v="0"/>
    <s v="Modifier/Threshold"/>
    <x v="28"/>
    <s v="Adjusted Return on Equity"/>
    <m/>
  </r>
  <r>
    <x v="12"/>
    <x v="3"/>
    <x v="6"/>
    <x v="11"/>
    <s v="Medical Specialties"/>
    <x v="0"/>
    <s v="AA-"/>
    <s v="United States"/>
    <x v="0"/>
    <d v="2024-03-14T00:00:00"/>
    <x v="0"/>
    <x v="2"/>
    <x v="1"/>
    <n v="0.38299999999999995"/>
    <s v="Performance Stock Options"/>
    <n v="0.38299999999999995"/>
    <x v="0"/>
    <m/>
    <x v="0"/>
    <m/>
    <m/>
  </r>
  <r>
    <x v="12"/>
    <x v="3"/>
    <x v="6"/>
    <x v="11"/>
    <s v="Medical Specialties"/>
    <x v="0"/>
    <s v="AA-"/>
    <s v="United States"/>
    <x v="0"/>
    <d v="2024-03-15T00:00:00"/>
    <x v="1"/>
    <x v="0"/>
    <x v="0"/>
    <n v="0.17870472539001056"/>
    <s v="Base Salary"/>
    <n v="0.17870472539001056"/>
    <x v="0"/>
    <m/>
    <x v="0"/>
    <m/>
    <m/>
  </r>
  <r>
    <x v="12"/>
    <x v="3"/>
    <x v="6"/>
    <x v="11"/>
    <s v="Medical Specialties"/>
    <x v="0"/>
    <s v="AA-"/>
    <s v="United States"/>
    <x v="0"/>
    <d v="2024-03-15T00:00:00"/>
    <x v="1"/>
    <x v="1"/>
    <x v="1"/>
    <n v="0.18764195103665657"/>
    <s v="Cash Incentive"/>
    <n v="0.18764195103665657"/>
    <x v="1"/>
    <s v="Growth"/>
    <x v="1"/>
    <s v="Adjusted Revenue"/>
    <n v="0.14000000000000001"/>
  </r>
  <r>
    <x v="12"/>
    <x v="3"/>
    <x v="6"/>
    <x v="11"/>
    <s v="Medical Specialties"/>
    <x v="0"/>
    <s v="AA-"/>
    <s v="United States"/>
    <x v="0"/>
    <d v="2024-03-15T00:00:00"/>
    <x v="1"/>
    <x v="1"/>
    <x v="1"/>
    <m/>
    <s v="Cash Incentive"/>
    <n v="0.18764195103665657"/>
    <x v="1"/>
    <s v="Profitability"/>
    <x v="29"/>
    <s v="Adjusted Gross Margin"/>
    <n v="0.04"/>
  </r>
  <r>
    <x v="12"/>
    <x v="3"/>
    <x v="6"/>
    <x v="11"/>
    <s v="Medical Specialties"/>
    <x v="0"/>
    <s v="AA-"/>
    <s v="United States"/>
    <x v="0"/>
    <d v="2024-03-15T00:00:00"/>
    <x v="1"/>
    <x v="1"/>
    <x v="1"/>
    <m/>
    <s v="Cash Incentive"/>
    <n v="0.18764195103665657"/>
    <x v="1"/>
    <s v="Profitability"/>
    <x v="9"/>
    <s v="Adjusted Operating Margin"/>
    <n v="0.08"/>
  </r>
  <r>
    <x v="12"/>
    <x v="3"/>
    <x v="6"/>
    <x v="11"/>
    <s v="Medical Specialties"/>
    <x v="0"/>
    <s v="AA-"/>
    <s v="United States"/>
    <x v="0"/>
    <d v="2024-03-15T00:00:00"/>
    <x v="1"/>
    <x v="1"/>
    <x v="1"/>
    <m/>
    <s v="Cash Incentive"/>
    <n v="0.18764195103665657"/>
    <x v="1"/>
    <s v="Profitability"/>
    <x v="14"/>
    <s v="Adjusted Diluted EPS"/>
    <n v="0.12"/>
  </r>
  <r>
    <x v="12"/>
    <x v="3"/>
    <x v="6"/>
    <x v="11"/>
    <s v="Medical Specialties"/>
    <x v="0"/>
    <s v="AA-"/>
    <s v="United States"/>
    <x v="0"/>
    <d v="2024-03-15T00:00:00"/>
    <x v="1"/>
    <x v="1"/>
    <x v="1"/>
    <m/>
    <s v="Cash Incentive"/>
    <n v="0.18764195103665657"/>
    <x v="1"/>
    <s v="Strategy &amp; Operations"/>
    <x v="16"/>
    <s v="Market Share"/>
    <n v="0.04"/>
  </r>
  <r>
    <x v="12"/>
    <x v="3"/>
    <x v="6"/>
    <x v="11"/>
    <s v="Medical Specialties"/>
    <x v="0"/>
    <s v="AA-"/>
    <s v="United States"/>
    <x v="0"/>
    <d v="2024-03-15T00:00:00"/>
    <x v="1"/>
    <x v="1"/>
    <x v="1"/>
    <m/>
    <s v="Cash Incentive"/>
    <n v="0.18764195103665657"/>
    <x v="1"/>
    <s v="Cash Flow"/>
    <x v="25"/>
    <s v="Free Cash Flow"/>
    <n v="0.08"/>
  </r>
  <r>
    <x v="12"/>
    <x v="3"/>
    <x v="6"/>
    <x v="11"/>
    <s v="Medical Specialties"/>
    <x v="0"/>
    <s v="AA-"/>
    <s v="United States"/>
    <x v="0"/>
    <d v="2024-03-15T00:00:00"/>
    <x v="1"/>
    <x v="1"/>
    <x v="1"/>
    <m/>
    <s v="Cash Incentive"/>
    <n v="0.18764195103665657"/>
    <x v="1"/>
    <s v="Strategy &amp; Operations"/>
    <x v="3"/>
    <s v="Non-Disclosed Financial Returns"/>
    <n v="0.02"/>
  </r>
  <r>
    <x v="12"/>
    <x v="3"/>
    <x v="6"/>
    <x v="11"/>
    <s v="Medical Specialties"/>
    <x v="0"/>
    <s v="AA-"/>
    <s v="United States"/>
    <x v="0"/>
    <d v="2024-03-15T00:00:00"/>
    <x v="1"/>
    <x v="1"/>
    <x v="1"/>
    <m/>
    <s v="Cash Incentive"/>
    <n v="0.18764195103665657"/>
    <x v="1"/>
    <s v="Cash Flow"/>
    <x v="30"/>
    <s v="Cash Conversion Cycle"/>
    <n v="0.02"/>
  </r>
  <r>
    <x v="12"/>
    <x v="3"/>
    <x v="6"/>
    <x v="11"/>
    <s v="Medical Specialties"/>
    <x v="0"/>
    <s v="AA-"/>
    <s v="United States"/>
    <x v="0"/>
    <d v="2024-03-15T00:00:00"/>
    <x v="1"/>
    <x v="1"/>
    <x v="1"/>
    <m/>
    <s v="Cash Incentive"/>
    <n v="0.18764195103665657"/>
    <x v="2"/>
    <s v="Individual Assessment"/>
    <x v="13"/>
    <s v="Strategic Metrics"/>
    <n v="0.33"/>
  </r>
  <r>
    <x v="12"/>
    <x v="3"/>
    <x v="6"/>
    <x v="11"/>
    <s v="Medical Specialties"/>
    <x v="0"/>
    <s v="AA-"/>
    <s v="United States"/>
    <x v="0"/>
    <d v="2024-03-15T00:00:00"/>
    <x v="1"/>
    <x v="1"/>
    <x v="1"/>
    <m/>
    <s v="Cash Incentive"/>
    <n v="0.18764195103665657"/>
    <x v="2"/>
    <s v="ESG"/>
    <x v="7"/>
    <s v="Human Capital Metrics"/>
    <n v="0.13"/>
  </r>
  <r>
    <x v="12"/>
    <x v="3"/>
    <x v="6"/>
    <x v="11"/>
    <s v="Medical Specialties"/>
    <x v="0"/>
    <s v="AA-"/>
    <s v="United States"/>
    <x v="0"/>
    <d v="2024-03-15T00:00:00"/>
    <x v="1"/>
    <x v="2"/>
    <x v="1"/>
    <n v="0.31682666178666635"/>
    <s v="Performance Stock"/>
    <n v="0.31682666178666635"/>
    <x v="3"/>
    <s v="Stock Performance"/>
    <x v="11"/>
    <s v="Relative TSR"/>
    <n v="1"/>
  </r>
  <r>
    <x v="12"/>
    <x v="3"/>
    <x v="6"/>
    <x v="11"/>
    <s v="Medical Specialties"/>
    <x v="0"/>
    <s v="AA-"/>
    <s v="United States"/>
    <x v="0"/>
    <d v="2024-03-15T00:00:00"/>
    <x v="1"/>
    <x v="2"/>
    <x v="1"/>
    <m/>
    <s v="Performance Stock"/>
    <n v="0.31682666178666635"/>
    <x v="0"/>
    <s v="Modifier/Threshold"/>
    <x v="10"/>
    <s v="Individual Performance Factor"/>
    <m/>
  </r>
  <r>
    <x v="12"/>
    <x v="3"/>
    <x v="6"/>
    <x v="11"/>
    <s v="Medical Specialties"/>
    <x v="0"/>
    <s v="AA-"/>
    <s v="United States"/>
    <x v="0"/>
    <d v="2024-03-15T00:00:00"/>
    <x v="1"/>
    <x v="2"/>
    <x v="1"/>
    <m/>
    <s v="Performance Stock"/>
    <n v="0.31682666178666635"/>
    <x v="0"/>
    <s v="Modifier/Threshold"/>
    <x v="28"/>
    <s v="Adjusted Return on Equity"/>
    <m/>
  </r>
  <r>
    <x v="12"/>
    <x v="3"/>
    <x v="6"/>
    <x v="11"/>
    <s v="Medical Specialties"/>
    <x v="0"/>
    <s v="AA-"/>
    <s v="United States"/>
    <x v="0"/>
    <d v="2024-03-15T00:00:00"/>
    <x v="1"/>
    <x v="2"/>
    <x v="1"/>
    <n v="0.31682666178666635"/>
    <s v="Performance Stock Options"/>
    <n v="0.31682666178666635"/>
    <x v="0"/>
    <m/>
    <x v="0"/>
    <m/>
    <m/>
  </r>
  <r>
    <x v="13"/>
    <x v="6"/>
    <x v="10"/>
    <x v="10"/>
    <s v="Aerospace &amp; Defense"/>
    <x v="1"/>
    <s v="BB-"/>
    <s v="United States"/>
    <x v="0"/>
    <d v="2024-01-26T00:00:00"/>
    <x v="0"/>
    <x v="0"/>
    <x v="0"/>
    <n v="5.7000000000000002E-2"/>
    <s v="Base Salary"/>
    <n v="5.7000000000000002E-2"/>
    <x v="0"/>
    <m/>
    <x v="0"/>
    <m/>
    <m/>
  </r>
  <r>
    <x v="13"/>
    <x v="6"/>
    <x v="10"/>
    <x v="10"/>
    <s v="Aerospace &amp; Defense"/>
    <x v="1"/>
    <s v="BB-"/>
    <s v="United States"/>
    <x v="0"/>
    <d v="2024-01-26T00:00:00"/>
    <x v="0"/>
    <x v="1"/>
    <x v="1"/>
    <n v="9.6000000000000002E-2"/>
    <s v="Cash Incentive"/>
    <n v="9.6000000000000002E-2"/>
    <x v="1"/>
    <s v="Profitability"/>
    <x v="31"/>
    <s v="Adjusted EBITDA Margin"/>
    <n v="0.5"/>
  </r>
  <r>
    <x v="13"/>
    <x v="6"/>
    <x v="10"/>
    <x v="10"/>
    <s v="Aerospace &amp; Defense"/>
    <x v="1"/>
    <s v="BB-"/>
    <s v="United States"/>
    <x v="0"/>
    <d v="2024-01-26T00:00:00"/>
    <x v="0"/>
    <x v="1"/>
    <x v="1"/>
    <m/>
    <s v="Cash Incentive"/>
    <n v="9.6000000000000002E-2"/>
    <x v="1"/>
    <s v="Profitability"/>
    <x v="32"/>
    <s v="Adjusted EBITDA"/>
    <n v="0.5"/>
  </r>
  <r>
    <x v="13"/>
    <x v="6"/>
    <x v="10"/>
    <x v="10"/>
    <s v="Aerospace &amp; Defense"/>
    <x v="1"/>
    <s v="BB-"/>
    <s v="United States"/>
    <x v="0"/>
    <d v="2024-01-26T00:00:00"/>
    <x v="0"/>
    <x v="1"/>
    <x v="1"/>
    <m/>
    <s v="Cash Incentive"/>
    <n v="9.6000000000000002E-2"/>
    <x v="0"/>
    <s v="Modifier/Threshold"/>
    <x v="10"/>
    <s v="Individual Performance Factor"/>
    <m/>
  </r>
  <r>
    <x v="13"/>
    <x v="6"/>
    <x v="10"/>
    <x v="10"/>
    <s v="Aerospace &amp; Defense"/>
    <x v="1"/>
    <s v="BB-"/>
    <s v="United States"/>
    <x v="0"/>
    <d v="2024-01-26T00:00:00"/>
    <x v="0"/>
    <x v="2"/>
    <x v="1"/>
    <n v="0.84699999999999998"/>
    <s v="Performance Stock Options"/>
    <n v="0.84699999999999998"/>
    <x v="1"/>
    <s v="Return"/>
    <x v="3"/>
    <s v="5Y Annual Operating Performance CAGR"/>
    <n v="1"/>
  </r>
  <r>
    <x v="13"/>
    <x v="6"/>
    <x v="10"/>
    <x v="10"/>
    <s v="Aerospace &amp; Defense"/>
    <x v="1"/>
    <s v="BB-"/>
    <s v="United States"/>
    <x v="0"/>
    <d v="2024-01-26T00:00:00"/>
    <x v="1"/>
    <x v="0"/>
    <x v="0"/>
    <n v="0.1"/>
    <s v="Base Salary"/>
    <n v="0.1"/>
    <x v="0"/>
    <m/>
    <x v="0"/>
    <m/>
    <m/>
  </r>
  <r>
    <x v="13"/>
    <x v="6"/>
    <x v="10"/>
    <x v="10"/>
    <s v="Aerospace &amp; Defense"/>
    <x v="1"/>
    <s v="BB-"/>
    <s v="United States"/>
    <x v="0"/>
    <d v="2024-01-26T00:00:00"/>
    <x v="1"/>
    <x v="1"/>
    <x v="1"/>
    <n v="9.2999999999999999E-2"/>
    <s v="Cash Incentive"/>
    <n v="9.2999999999999999E-2"/>
    <x v="1"/>
    <s v="Profitability"/>
    <x v="31"/>
    <s v="Adjusted EBITDA Margin"/>
    <n v="0.5"/>
  </r>
  <r>
    <x v="13"/>
    <x v="6"/>
    <x v="10"/>
    <x v="10"/>
    <s v="Aerospace &amp; Defense"/>
    <x v="1"/>
    <s v="BB-"/>
    <s v="United States"/>
    <x v="0"/>
    <d v="2024-01-26T00:00:00"/>
    <x v="1"/>
    <x v="1"/>
    <x v="1"/>
    <m/>
    <s v="Cash Incentive"/>
    <n v="9.2999999999999999E-2"/>
    <x v="1"/>
    <s v="Profitability"/>
    <x v="32"/>
    <s v="Adjusted EBITDA"/>
    <n v="0.5"/>
  </r>
  <r>
    <x v="13"/>
    <x v="6"/>
    <x v="10"/>
    <x v="10"/>
    <s v="Aerospace &amp; Defense"/>
    <x v="1"/>
    <s v="BB-"/>
    <s v="United States"/>
    <x v="0"/>
    <d v="2024-01-26T00:00:00"/>
    <x v="1"/>
    <x v="1"/>
    <x v="1"/>
    <m/>
    <s v="Cash Incentive"/>
    <n v="9.2999999999999999E-2"/>
    <x v="0"/>
    <s v="Modifier/Threshold"/>
    <x v="10"/>
    <s v="Individual Performance Factor"/>
    <m/>
  </r>
  <r>
    <x v="13"/>
    <x v="6"/>
    <x v="10"/>
    <x v="10"/>
    <s v="Aerospace &amp; Defense"/>
    <x v="1"/>
    <s v="BB-"/>
    <s v="United States"/>
    <x v="0"/>
    <d v="2024-01-26T00:00:00"/>
    <x v="1"/>
    <x v="2"/>
    <x v="1"/>
    <n v="0.80700000000000005"/>
    <s v="Performance Stock Options"/>
    <n v="0.80700000000000005"/>
    <x v="1"/>
    <s v="Return"/>
    <x v="3"/>
    <s v="5Y Annual Operating Performance CAGR"/>
    <n v="1"/>
  </r>
  <r>
    <x v="14"/>
    <x v="6"/>
    <x v="10"/>
    <x v="12"/>
    <s v="Industrial Machinery"/>
    <x v="1"/>
    <s v="BBB"/>
    <s v="United States"/>
    <x v="0"/>
    <d v="2024-03-05T00:00:00"/>
    <x v="0"/>
    <x v="0"/>
    <x v="0"/>
    <n v="0.09"/>
    <s v="Base Salary"/>
    <n v="0.09"/>
    <x v="0"/>
    <m/>
    <x v="0"/>
    <m/>
    <m/>
  </r>
  <r>
    <x v="14"/>
    <x v="6"/>
    <x v="10"/>
    <x v="12"/>
    <s v="Industrial Machinery"/>
    <x v="1"/>
    <s v="BBB"/>
    <s v="United States"/>
    <x v="0"/>
    <d v="2024-03-05T00:00:00"/>
    <x v="0"/>
    <x v="1"/>
    <x v="1"/>
    <n v="0.16"/>
    <s v="Cash Incentive"/>
    <n v="0.16"/>
    <x v="1"/>
    <s v="Growth"/>
    <x v="1"/>
    <s v="Adjusted Revenue"/>
    <n v="0.33333333333333331"/>
  </r>
  <r>
    <x v="14"/>
    <x v="6"/>
    <x v="10"/>
    <x v="12"/>
    <s v="Industrial Machinery"/>
    <x v="1"/>
    <s v="BBB"/>
    <s v="United States"/>
    <x v="0"/>
    <d v="2024-03-05T00:00:00"/>
    <x v="0"/>
    <x v="1"/>
    <x v="1"/>
    <m/>
    <s v="Cash Incentive"/>
    <n v="0.16"/>
    <x v="1"/>
    <s v="Profitability"/>
    <x v="2"/>
    <s v="Adjusted Operating Income"/>
    <n v="0.33333333333333331"/>
  </r>
  <r>
    <x v="14"/>
    <x v="6"/>
    <x v="10"/>
    <x v="12"/>
    <s v="Industrial Machinery"/>
    <x v="1"/>
    <s v="BBB"/>
    <s v="United States"/>
    <x v="0"/>
    <d v="2024-03-05T00:00:00"/>
    <x v="0"/>
    <x v="1"/>
    <x v="1"/>
    <m/>
    <s v="Cash Incentive"/>
    <n v="0.16"/>
    <x v="1"/>
    <s v="Cash Flow"/>
    <x v="25"/>
    <s v="Adjusted Free Cash Flow"/>
    <n v="0.33333333333333331"/>
  </r>
  <r>
    <x v="14"/>
    <x v="6"/>
    <x v="10"/>
    <x v="12"/>
    <s v="Industrial Machinery"/>
    <x v="1"/>
    <s v="BBB"/>
    <s v="United States"/>
    <x v="0"/>
    <d v="2024-03-05T00:00:00"/>
    <x v="0"/>
    <x v="1"/>
    <x v="1"/>
    <m/>
    <s v="Cash Incentive"/>
    <n v="0.16"/>
    <x v="0"/>
    <s v="Modifier/Threshold"/>
    <x v="10"/>
    <s v="Individual Performance Factor"/>
    <m/>
  </r>
  <r>
    <x v="14"/>
    <x v="6"/>
    <x v="10"/>
    <x v="12"/>
    <s v="Industrial Machinery"/>
    <x v="1"/>
    <s v="BBB"/>
    <s v="United States"/>
    <x v="0"/>
    <d v="2024-03-05T00:00:00"/>
    <x v="0"/>
    <x v="2"/>
    <x v="1"/>
    <n v="0.375"/>
    <s v="Performance Stock"/>
    <n v="0.375"/>
    <x v="1"/>
    <s v="Profitability"/>
    <x v="14"/>
    <s v="3Y Adjusted EPS Growth"/>
    <n v="0.5"/>
  </r>
  <r>
    <x v="14"/>
    <x v="6"/>
    <x v="10"/>
    <x v="12"/>
    <s v="Industrial Machinery"/>
    <x v="1"/>
    <s v="BBB"/>
    <s v="United States"/>
    <x v="0"/>
    <d v="2024-03-05T00:00:00"/>
    <x v="0"/>
    <x v="2"/>
    <x v="1"/>
    <m/>
    <s v="Performance Stock"/>
    <n v="0.375"/>
    <x v="3"/>
    <s v="Stock Performance"/>
    <x v="11"/>
    <s v="3Y Relative TSR"/>
    <n v="0.5"/>
  </r>
  <r>
    <x v="14"/>
    <x v="6"/>
    <x v="10"/>
    <x v="12"/>
    <s v="Industrial Machinery"/>
    <x v="1"/>
    <s v="BBB"/>
    <s v="United States"/>
    <x v="0"/>
    <d v="2024-03-05T00:00:00"/>
    <x v="0"/>
    <x v="2"/>
    <x v="0"/>
    <n v="0.375"/>
    <s v="Stock Appreciation Rights"/>
    <n v="0.375"/>
    <x v="0"/>
    <m/>
    <x v="0"/>
    <m/>
    <m/>
  </r>
  <r>
    <x v="14"/>
    <x v="6"/>
    <x v="10"/>
    <x v="12"/>
    <s v="Industrial Machinery"/>
    <x v="1"/>
    <s v="BBB"/>
    <s v="United States"/>
    <x v="0"/>
    <d v="2024-03-05T00:00:00"/>
    <x v="1"/>
    <x v="0"/>
    <x v="0"/>
    <n v="0.2"/>
    <s v="Base Salary"/>
    <n v="0.2"/>
    <x v="0"/>
    <m/>
    <x v="0"/>
    <m/>
    <m/>
  </r>
  <r>
    <x v="14"/>
    <x v="6"/>
    <x v="10"/>
    <x v="12"/>
    <s v="Industrial Machinery"/>
    <x v="1"/>
    <s v="BBB"/>
    <s v="United States"/>
    <x v="0"/>
    <d v="2024-03-05T00:00:00"/>
    <x v="1"/>
    <x v="1"/>
    <x v="1"/>
    <n v="0.19"/>
    <s v="Cash Incentive"/>
    <n v="0.19"/>
    <x v="1"/>
    <s v="Growth"/>
    <x v="1"/>
    <s v="Adjusted Revenue"/>
    <n v="0.33333333333333331"/>
  </r>
  <r>
    <x v="14"/>
    <x v="6"/>
    <x v="10"/>
    <x v="12"/>
    <s v="Industrial Machinery"/>
    <x v="1"/>
    <s v="BBB"/>
    <s v="United States"/>
    <x v="0"/>
    <d v="2024-03-05T00:00:00"/>
    <x v="1"/>
    <x v="1"/>
    <x v="1"/>
    <m/>
    <s v="Cash Incentive"/>
    <n v="0.19"/>
    <x v="1"/>
    <s v="Profitability"/>
    <x v="2"/>
    <s v="Adjusted Operating Income"/>
    <n v="0.33333333333333331"/>
  </r>
  <r>
    <x v="14"/>
    <x v="6"/>
    <x v="10"/>
    <x v="12"/>
    <s v="Industrial Machinery"/>
    <x v="1"/>
    <s v="BBB"/>
    <s v="United States"/>
    <x v="0"/>
    <d v="2024-03-05T00:00:00"/>
    <x v="1"/>
    <x v="1"/>
    <x v="1"/>
    <m/>
    <s v="Cash Incentive"/>
    <n v="0.19"/>
    <x v="1"/>
    <s v="Cash Flow"/>
    <x v="25"/>
    <s v="Adjusted Free Cash Flow"/>
    <n v="0.33333333333333331"/>
  </r>
  <r>
    <x v="14"/>
    <x v="6"/>
    <x v="10"/>
    <x v="12"/>
    <s v="Industrial Machinery"/>
    <x v="1"/>
    <s v="BBB"/>
    <s v="United States"/>
    <x v="0"/>
    <d v="2024-03-05T00:00:00"/>
    <x v="1"/>
    <x v="1"/>
    <x v="1"/>
    <m/>
    <s v="Cash Incentive"/>
    <n v="0.19"/>
    <x v="0"/>
    <s v="Modifier/Threshold"/>
    <x v="10"/>
    <s v="Individual Performance Factor"/>
    <m/>
  </r>
  <r>
    <x v="14"/>
    <x v="6"/>
    <x v="10"/>
    <x v="12"/>
    <s v="Industrial Machinery"/>
    <x v="1"/>
    <s v="BBB"/>
    <s v="United States"/>
    <x v="0"/>
    <d v="2024-03-05T00:00:00"/>
    <x v="1"/>
    <x v="2"/>
    <x v="1"/>
    <n v="0.30499999999999999"/>
    <s v="Performance Stock"/>
    <n v="0.30499999999999999"/>
    <x v="1"/>
    <s v="Profitability"/>
    <x v="14"/>
    <s v="3Y Adjusted EPS Growth"/>
    <n v="0.5"/>
  </r>
  <r>
    <x v="14"/>
    <x v="6"/>
    <x v="10"/>
    <x v="12"/>
    <s v="Industrial Machinery"/>
    <x v="1"/>
    <s v="BBB"/>
    <s v="United States"/>
    <x v="0"/>
    <d v="2024-03-05T00:00:00"/>
    <x v="1"/>
    <x v="2"/>
    <x v="1"/>
    <m/>
    <s v="Performance Stock"/>
    <n v="0.30499999999999999"/>
    <x v="3"/>
    <s v="Stock Performance"/>
    <x v="11"/>
    <s v="3Y Relative TSR"/>
    <n v="0.5"/>
  </r>
  <r>
    <x v="14"/>
    <x v="6"/>
    <x v="10"/>
    <x v="12"/>
    <s v="Industrial Machinery"/>
    <x v="1"/>
    <s v="BBB"/>
    <s v="United States"/>
    <x v="0"/>
    <d v="2024-03-05T00:00:00"/>
    <x v="1"/>
    <x v="2"/>
    <x v="0"/>
    <n v="0.30499999999999999"/>
    <s v="Stock Appreciation Rights"/>
    <n v="0.30499999999999999"/>
    <x v="0"/>
    <m/>
    <x v="0"/>
    <m/>
    <m/>
  </r>
  <r>
    <x v="15"/>
    <x v="1"/>
    <x v="2"/>
    <x v="13"/>
    <s v="Internet Software/Services"/>
    <x v="0"/>
    <s v="BBB+"/>
    <s v="United States"/>
    <x v="0"/>
    <d v="2024-04-18T00:00:00"/>
    <x v="0"/>
    <x v="0"/>
    <x v="0"/>
    <n v="7.4999999999999997E-2"/>
    <s v="Base Salary"/>
    <n v="7.4999999999999997E-2"/>
    <x v="0"/>
    <m/>
    <x v="0"/>
    <m/>
    <m/>
  </r>
  <r>
    <x v="15"/>
    <x v="1"/>
    <x v="2"/>
    <x v="13"/>
    <s v="Internet Software/Services"/>
    <x v="0"/>
    <s v="BBB+"/>
    <s v="United States"/>
    <x v="0"/>
    <d v="2024-04-18T00:00:00"/>
    <x v="0"/>
    <x v="1"/>
    <x v="1"/>
    <n v="0.15"/>
    <s v="Cash Incentive"/>
    <n v="0.15"/>
    <x v="1"/>
    <s v="Profitability"/>
    <x v="9"/>
    <s v="Adjusted Operating Margin"/>
    <n v="0.65"/>
  </r>
  <r>
    <x v="15"/>
    <x v="1"/>
    <x v="2"/>
    <x v="13"/>
    <s v="Internet Software/Services"/>
    <x v="0"/>
    <s v="BBB+"/>
    <s v="United States"/>
    <x v="0"/>
    <d v="2024-04-18T00:00:00"/>
    <x v="0"/>
    <x v="1"/>
    <x v="1"/>
    <m/>
    <s v="Cash Incentive"/>
    <n v="0.15"/>
    <x v="1"/>
    <s v="Growth"/>
    <x v="1"/>
    <s v="Adjusted Revenue"/>
    <n v="0.35"/>
  </r>
  <r>
    <x v="15"/>
    <x v="1"/>
    <x v="2"/>
    <x v="13"/>
    <s v="Internet Software/Services"/>
    <x v="0"/>
    <s v="BBB+"/>
    <s v="United States"/>
    <x v="0"/>
    <d v="2024-04-18T00:00:00"/>
    <x v="0"/>
    <x v="2"/>
    <x v="1"/>
    <n v="0.38750000000000001"/>
    <s v="Performance Stock"/>
    <n v="0.38750000000000001"/>
    <x v="3"/>
    <s v="Stock Performance"/>
    <x v="11"/>
    <s v="3Y Relative TSR"/>
    <n v="1"/>
  </r>
  <r>
    <x v="15"/>
    <x v="1"/>
    <x v="2"/>
    <x v="13"/>
    <s v="Internet Software/Services"/>
    <x v="0"/>
    <s v="BBB+"/>
    <s v="United States"/>
    <x v="0"/>
    <d v="2024-04-18T00:00:00"/>
    <x v="0"/>
    <x v="2"/>
    <x v="0"/>
    <n v="0.38750000000000001"/>
    <s v="Time-Based Stock"/>
    <n v="0.38750000000000001"/>
    <x v="0"/>
    <m/>
    <x v="0"/>
    <m/>
    <m/>
  </r>
  <r>
    <x v="15"/>
    <x v="1"/>
    <x v="2"/>
    <x v="13"/>
    <s v="Internet Software/Services"/>
    <x v="0"/>
    <s v="BBB+"/>
    <s v="United States"/>
    <x v="0"/>
    <d v="2024-04-18T00:00:00"/>
    <x v="1"/>
    <x v="0"/>
    <x v="0"/>
    <n v="0.112"/>
    <s v="Base Salary"/>
    <n v="0.112"/>
    <x v="0"/>
    <m/>
    <x v="0"/>
    <m/>
    <m/>
  </r>
  <r>
    <x v="15"/>
    <x v="1"/>
    <x v="2"/>
    <x v="13"/>
    <s v="Internet Software/Services"/>
    <x v="0"/>
    <s v="BBB+"/>
    <s v="United States"/>
    <x v="0"/>
    <d v="2024-04-18T00:00:00"/>
    <x v="1"/>
    <x v="1"/>
    <x v="1"/>
    <n v="0.224"/>
    <s v="Cash Incentive"/>
    <n v="0.224"/>
    <x v="1"/>
    <s v="Profitability"/>
    <x v="9"/>
    <s v="Adjusted Operating Margin"/>
    <n v="0.65"/>
  </r>
  <r>
    <x v="15"/>
    <x v="1"/>
    <x v="2"/>
    <x v="13"/>
    <s v="Internet Software/Services"/>
    <x v="0"/>
    <s v="BBB+"/>
    <s v="United States"/>
    <x v="0"/>
    <d v="2024-04-18T00:00:00"/>
    <x v="1"/>
    <x v="1"/>
    <x v="1"/>
    <m/>
    <s v="Cash Incentive"/>
    <n v="0.224"/>
    <x v="1"/>
    <s v="Growth"/>
    <x v="1"/>
    <s v="Adjusted Revenue"/>
    <n v="0.35"/>
  </r>
  <r>
    <x v="15"/>
    <x v="1"/>
    <x v="2"/>
    <x v="13"/>
    <s v="Internet Software/Services"/>
    <x v="0"/>
    <s v="BBB+"/>
    <s v="United States"/>
    <x v="0"/>
    <d v="2024-04-18T00:00:00"/>
    <x v="1"/>
    <x v="2"/>
    <x v="1"/>
    <n v="0.33200000000000002"/>
    <s v="Performance Stock"/>
    <n v="0.33200000000000002"/>
    <x v="3"/>
    <s v="Stock Performance"/>
    <x v="11"/>
    <s v="3Y Relative TSR"/>
    <n v="1"/>
  </r>
  <r>
    <x v="15"/>
    <x v="1"/>
    <x v="2"/>
    <x v="13"/>
    <s v="Internet Software/Services"/>
    <x v="0"/>
    <s v="BBB+"/>
    <s v="United States"/>
    <x v="0"/>
    <d v="2024-04-18T00:00:00"/>
    <x v="1"/>
    <x v="2"/>
    <x v="0"/>
    <n v="0.33200000000000002"/>
    <s v="Time-Based Stock"/>
    <n v="0.33200000000000002"/>
    <x v="0"/>
    <m/>
    <x v="0"/>
    <m/>
    <m/>
  </r>
  <r>
    <x v="16"/>
    <x v="3"/>
    <x v="4"/>
    <x v="14"/>
    <s v="Pharmaceuticals"/>
    <x v="0"/>
    <s v="A-"/>
    <s v="United States"/>
    <x v="0"/>
    <d v="2024-03-18T00:00:00"/>
    <x v="0"/>
    <x v="0"/>
    <x v="0"/>
    <n v="7.0000000000000007E-2"/>
    <s v="Base Salary"/>
    <n v="7.0000000000000007E-2"/>
    <x v="0"/>
    <m/>
    <x v="0"/>
    <m/>
    <m/>
  </r>
  <r>
    <x v="16"/>
    <x v="3"/>
    <x v="4"/>
    <x v="14"/>
    <s v="Pharmaceuticals"/>
    <x v="0"/>
    <s v="A-"/>
    <s v="United States"/>
    <x v="0"/>
    <d v="2024-03-17T00:00:00"/>
    <x v="0"/>
    <x v="1"/>
    <x v="1"/>
    <n v="0.16"/>
    <s v="Cash Incentive"/>
    <n v="0.16"/>
    <x v="1"/>
    <s v="Profitability"/>
    <x v="33"/>
    <s v="Adjusted Pre-Tax Income"/>
    <n v="0.2"/>
  </r>
  <r>
    <x v="16"/>
    <x v="3"/>
    <x v="4"/>
    <x v="14"/>
    <s v="Pharmaceuticals"/>
    <x v="0"/>
    <s v="A-"/>
    <s v="United States"/>
    <x v="0"/>
    <d v="2024-03-18T00:00:00"/>
    <x v="0"/>
    <x v="1"/>
    <x v="1"/>
    <m/>
    <s v="Cash Incentive"/>
    <n v="0.16"/>
    <x v="1"/>
    <s v="Growth"/>
    <x v="1"/>
    <s v="Adjusted Revenue"/>
    <n v="0.2"/>
  </r>
  <r>
    <x v="16"/>
    <x v="3"/>
    <x v="4"/>
    <x v="14"/>
    <s v="Pharmaceuticals"/>
    <x v="0"/>
    <s v="A-"/>
    <s v="United States"/>
    <x v="0"/>
    <d v="2024-03-18T00:00:00"/>
    <x v="0"/>
    <x v="1"/>
    <x v="1"/>
    <m/>
    <s v="Cash Incentive"/>
    <n v="0.16"/>
    <x v="1"/>
    <s v="Return"/>
    <x v="27"/>
    <s v="Adjusted Return on Assets"/>
    <n v="0.2"/>
  </r>
  <r>
    <x v="16"/>
    <x v="3"/>
    <x v="4"/>
    <x v="14"/>
    <s v="Pharmaceuticals"/>
    <x v="0"/>
    <s v="A-"/>
    <s v="United States"/>
    <x v="0"/>
    <d v="2024-03-18T00:00:00"/>
    <x v="0"/>
    <x v="1"/>
    <x v="1"/>
    <m/>
    <s v="Cash Incentive"/>
    <n v="0.16"/>
    <x v="1"/>
    <s v="Profitability"/>
    <x v="2"/>
    <s v="Adjusted Operating Income"/>
    <n v="0.2"/>
  </r>
  <r>
    <x v="16"/>
    <x v="3"/>
    <x v="4"/>
    <x v="14"/>
    <s v="Pharmaceuticals"/>
    <x v="0"/>
    <s v="A-"/>
    <s v="United States"/>
    <x v="0"/>
    <d v="2024-03-18T00:00:00"/>
    <x v="0"/>
    <x v="1"/>
    <x v="1"/>
    <m/>
    <s v="Cash Incentive"/>
    <n v="0.16"/>
    <x v="2"/>
    <s v="Strategy &amp; Operations"/>
    <x v="15"/>
    <s v="R&amp;D/Innovation"/>
    <n v="0.1"/>
  </r>
  <r>
    <x v="16"/>
    <x v="3"/>
    <x v="4"/>
    <x v="14"/>
    <s v="Pharmaceuticals"/>
    <x v="0"/>
    <s v="A-"/>
    <s v="United States"/>
    <x v="0"/>
    <d v="2024-03-18T00:00:00"/>
    <x v="0"/>
    <x v="1"/>
    <x v="1"/>
    <m/>
    <s v="Cash Incentive"/>
    <n v="0.16"/>
    <x v="2"/>
    <s v="ESG"/>
    <x v="7"/>
    <s v="ESG "/>
    <n v="0.1"/>
  </r>
  <r>
    <x v="16"/>
    <x v="3"/>
    <x v="4"/>
    <x v="14"/>
    <s v="Pharmaceuticals"/>
    <x v="0"/>
    <s v="A-"/>
    <s v="United States"/>
    <x v="0"/>
    <d v="2024-03-18T00:00:00"/>
    <x v="0"/>
    <x v="1"/>
    <x v="1"/>
    <m/>
    <s v="Cash Incentive"/>
    <n v="0.16"/>
    <x v="0"/>
    <s v="Modifier/Threshold"/>
    <x v="34"/>
    <s v="Discretionary Adjustment"/>
    <m/>
  </r>
  <r>
    <x v="16"/>
    <x v="3"/>
    <x v="4"/>
    <x v="14"/>
    <s v="Pharmaceuticals"/>
    <x v="0"/>
    <s v="A-"/>
    <s v="United States"/>
    <x v="0"/>
    <d v="2024-03-18T00:00:00"/>
    <x v="0"/>
    <x v="2"/>
    <x v="1"/>
    <n v="0.6160000000000001"/>
    <s v="Performance Stock"/>
    <n v="0.6160000000000001"/>
    <x v="1"/>
    <s v="Profitability"/>
    <x v="14"/>
    <s v="Adjusted EPS"/>
    <n v="0.5"/>
  </r>
  <r>
    <x v="16"/>
    <x v="3"/>
    <x v="4"/>
    <x v="14"/>
    <s v="Pharmaceuticals"/>
    <x v="0"/>
    <s v="A-"/>
    <s v="United States"/>
    <x v="0"/>
    <d v="2024-03-18T00:00:00"/>
    <x v="0"/>
    <x v="2"/>
    <x v="1"/>
    <m/>
    <s v="Performance Stock"/>
    <n v="0.6160000000000001"/>
    <x v="1"/>
    <s v="Return"/>
    <x v="26"/>
    <s v="Relative ROIC"/>
    <n v="0.5"/>
  </r>
  <r>
    <x v="16"/>
    <x v="3"/>
    <x v="4"/>
    <x v="14"/>
    <s v="Pharmaceuticals"/>
    <x v="0"/>
    <s v="A-"/>
    <s v="United States"/>
    <x v="0"/>
    <d v="2024-03-18T00:00:00"/>
    <x v="0"/>
    <x v="2"/>
    <x v="1"/>
    <m/>
    <s v="Performance Stock"/>
    <n v="0.6160000000000001"/>
    <x v="0"/>
    <s v="Modifier/Threshold"/>
    <x v="6"/>
    <s v="3Y Relative TSR"/>
    <m/>
  </r>
  <r>
    <x v="16"/>
    <x v="3"/>
    <x v="4"/>
    <x v="14"/>
    <s v="Pharmaceuticals"/>
    <x v="0"/>
    <s v="A-"/>
    <s v="United States"/>
    <x v="0"/>
    <d v="2024-03-18T00:00:00"/>
    <x v="0"/>
    <x v="2"/>
    <x v="0"/>
    <n v="0.15400000000000003"/>
    <s v="Stock Options"/>
    <n v="0.15400000000000003"/>
    <x v="0"/>
    <m/>
    <x v="0"/>
    <m/>
    <m/>
  </r>
  <r>
    <x v="16"/>
    <x v="3"/>
    <x v="4"/>
    <x v="14"/>
    <s v="Pharmaceuticals"/>
    <x v="0"/>
    <s v="A-"/>
    <s v="United States"/>
    <x v="0"/>
    <d v="2024-03-18T00:00:00"/>
    <x v="1"/>
    <x v="0"/>
    <x v="0"/>
    <n v="0.13"/>
    <s v="Base Salary"/>
    <n v="0.13"/>
    <x v="0"/>
    <m/>
    <x v="0"/>
    <m/>
    <m/>
  </r>
  <r>
    <x v="16"/>
    <x v="3"/>
    <x v="4"/>
    <x v="14"/>
    <s v="Pharmaceuticals"/>
    <x v="0"/>
    <s v="A-"/>
    <s v="United States"/>
    <x v="0"/>
    <d v="2024-03-17T00:00:00"/>
    <x v="1"/>
    <x v="1"/>
    <x v="1"/>
    <n v="0.27"/>
    <s v="Cash Incentive"/>
    <n v="0.27"/>
    <x v="1"/>
    <s v="Profitability"/>
    <x v="33"/>
    <s v="Adjusted Pre-Tax Income"/>
    <n v="0.2"/>
  </r>
  <r>
    <x v="16"/>
    <x v="3"/>
    <x v="4"/>
    <x v="14"/>
    <s v="Pharmaceuticals"/>
    <x v="0"/>
    <s v="A-"/>
    <s v="United States"/>
    <x v="0"/>
    <d v="2024-03-18T00:00:00"/>
    <x v="1"/>
    <x v="1"/>
    <x v="1"/>
    <m/>
    <s v="Cash Incentive"/>
    <n v="0.27"/>
    <x v="1"/>
    <s v="Growth"/>
    <x v="1"/>
    <s v="Adjusted Revenue"/>
    <n v="0.15"/>
  </r>
  <r>
    <x v="16"/>
    <x v="3"/>
    <x v="4"/>
    <x v="14"/>
    <s v="Pharmaceuticals"/>
    <x v="0"/>
    <s v="A-"/>
    <s v="United States"/>
    <x v="0"/>
    <d v="2024-03-18T00:00:00"/>
    <x v="1"/>
    <x v="1"/>
    <x v="1"/>
    <m/>
    <s v="Cash Incentive"/>
    <n v="0.27"/>
    <x v="1"/>
    <s v="Profitability"/>
    <x v="27"/>
    <s v="Adjusted Return on Assets"/>
    <n v="0.15"/>
  </r>
  <r>
    <x v="16"/>
    <x v="3"/>
    <x v="4"/>
    <x v="14"/>
    <s v="Pharmaceuticals"/>
    <x v="0"/>
    <s v="A-"/>
    <s v="United States"/>
    <x v="0"/>
    <d v="2024-03-18T00:00:00"/>
    <x v="1"/>
    <x v="1"/>
    <x v="1"/>
    <m/>
    <s v="Cash Incentive"/>
    <n v="0.27"/>
    <x v="1"/>
    <s v="Profitability"/>
    <x v="2"/>
    <s v="Adjusted Operating Income"/>
    <n v="0.15"/>
  </r>
  <r>
    <x v="16"/>
    <x v="3"/>
    <x v="4"/>
    <x v="14"/>
    <s v="Pharmaceuticals"/>
    <x v="0"/>
    <s v="A-"/>
    <s v="United States"/>
    <x v="0"/>
    <d v="2024-03-18T00:00:00"/>
    <x v="1"/>
    <x v="1"/>
    <x v="1"/>
    <m/>
    <s v="Cash Incentive"/>
    <n v="0.27"/>
    <x v="2"/>
    <s v="Strategy &amp; Operations"/>
    <x v="15"/>
    <s v="R&amp;D/Innovation"/>
    <n v="2.5000000000000001E-2"/>
  </r>
  <r>
    <x v="16"/>
    <x v="3"/>
    <x v="4"/>
    <x v="14"/>
    <s v="Pharmaceuticals"/>
    <x v="0"/>
    <s v="A-"/>
    <s v="United States"/>
    <x v="0"/>
    <d v="2024-03-18T00:00:00"/>
    <x v="1"/>
    <x v="1"/>
    <x v="1"/>
    <m/>
    <s v="Cash Incentive"/>
    <n v="0.27"/>
    <x v="2"/>
    <s v="ESG"/>
    <x v="7"/>
    <s v="ESG "/>
    <n v="0.1"/>
  </r>
  <r>
    <x v="16"/>
    <x v="3"/>
    <x v="4"/>
    <x v="14"/>
    <s v="Pharmaceuticals"/>
    <x v="0"/>
    <s v="A-"/>
    <s v="United States"/>
    <x v="0"/>
    <d v="2024-03-18T00:00:00"/>
    <x v="1"/>
    <x v="1"/>
    <x v="1"/>
    <m/>
    <s v="Cash Incentive"/>
    <n v="0.27"/>
    <x v="2"/>
    <s v="Strategy &amp; Operations"/>
    <x v="3"/>
    <s v="Business Development"/>
    <n v="2.5000000000000001E-2"/>
  </r>
  <r>
    <x v="16"/>
    <x v="3"/>
    <x v="4"/>
    <x v="14"/>
    <s v="Pharmaceuticals"/>
    <x v="0"/>
    <s v="A-"/>
    <s v="United States"/>
    <x v="0"/>
    <d v="2024-03-18T00:00:00"/>
    <x v="1"/>
    <x v="1"/>
    <x v="1"/>
    <m/>
    <s v="Cash Incentive"/>
    <n v="0.27"/>
    <x v="2"/>
    <s v="Strategy &amp; Operations"/>
    <x v="15"/>
    <s v="Strategic Initiatives"/>
    <n v="0.2"/>
  </r>
  <r>
    <x v="16"/>
    <x v="3"/>
    <x v="4"/>
    <x v="14"/>
    <s v="Pharmaceuticals"/>
    <x v="0"/>
    <s v="A-"/>
    <s v="United States"/>
    <x v="0"/>
    <d v="2024-03-18T00:00:00"/>
    <x v="1"/>
    <x v="1"/>
    <x v="1"/>
    <m/>
    <s v="Cash Incentive"/>
    <n v="0.27"/>
    <x v="0"/>
    <s v="Modifier/Threshold"/>
    <x v="34"/>
    <s v="Discretionary Adjustment"/>
    <m/>
  </r>
  <r>
    <x v="16"/>
    <x v="3"/>
    <x v="4"/>
    <x v="14"/>
    <s v="Pharmaceuticals"/>
    <x v="0"/>
    <s v="A-"/>
    <s v="United States"/>
    <x v="0"/>
    <d v="2024-03-18T00:00:00"/>
    <x v="1"/>
    <x v="2"/>
    <x v="1"/>
    <n v="0.48"/>
    <s v="Performance Stock"/>
    <n v="0.48"/>
    <x v="1"/>
    <s v="Profitability"/>
    <x v="14"/>
    <s v="Adjusted EPS"/>
    <n v="0.5"/>
  </r>
  <r>
    <x v="16"/>
    <x v="3"/>
    <x v="4"/>
    <x v="14"/>
    <s v="Pharmaceuticals"/>
    <x v="0"/>
    <s v="A-"/>
    <s v="United States"/>
    <x v="0"/>
    <d v="2024-03-18T00:00:00"/>
    <x v="1"/>
    <x v="2"/>
    <x v="1"/>
    <m/>
    <s v="Performance Stock"/>
    <n v="0.48"/>
    <x v="1"/>
    <s v="Return"/>
    <x v="26"/>
    <s v="3Y Relative ROIC"/>
    <n v="0.5"/>
  </r>
  <r>
    <x v="16"/>
    <x v="3"/>
    <x v="4"/>
    <x v="14"/>
    <s v="Pharmaceuticals"/>
    <x v="0"/>
    <s v="A-"/>
    <s v="United States"/>
    <x v="0"/>
    <d v="2024-03-18T00:00:00"/>
    <x v="1"/>
    <x v="2"/>
    <x v="1"/>
    <m/>
    <s v="Performance Stock"/>
    <n v="0.48"/>
    <x v="0"/>
    <s v="Modifier/Threshold"/>
    <x v="6"/>
    <s v="3Y Relative TSR"/>
    <m/>
  </r>
  <r>
    <x v="16"/>
    <x v="3"/>
    <x v="4"/>
    <x v="14"/>
    <s v="Pharmaceuticals"/>
    <x v="0"/>
    <s v="A-"/>
    <s v="United States"/>
    <x v="0"/>
    <d v="2024-03-18T00:00:00"/>
    <x v="1"/>
    <x v="2"/>
    <x v="0"/>
    <n v="0.12"/>
    <s v="Stock Options"/>
    <n v="0.12"/>
    <x v="0"/>
    <m/>
    <x v="0"/>
    <m/>
    <m/>
  </r>
  <r>
    <x v="17"/>
    <x v="2"/>
    <x v="3"/>
    <x v="15"/>
    <s v="Home Improvement Chains"/>
    <x v="0"/>
    <s v="A"/>
    <s v="United States"/>
    <x v="0"/>
    <d v="2024-04-01T00:00:00"/>
    <x v="0"/>
    <x v="0"/>
    <x v="0"/>
    <n v="9.5000000000000001E-2"/>
    <s v="Base Salary"/>
    <n v="9.5000000000000001E-2"/>
    <x v="0"/>
    <m/>
    <x v="0"/>
    <m/>
    <m/>
  </r>
  <r>
    <x v="17"/>
    <x v="2"/>
    <x v="3"/>
    <x v="15"/>
    <s v="Home Improvement Chains"/>
    <x v="0"/>
    <s v="A"/>
    <s v="United States"/>
    <x v="0"/>
    <d v="2024-04-01T00:00:00"/>
    <x v="0"/>
    <x v="1"/>
    <x v="1"/>
    <n v="0.19"/>
    <s v="Cash Incentive"/>
    <n v="0.19"/>
    <x v="1"/>
    <s v="Growth"/>
    <x v="1"/>
    <s v="Adjusted Revenue"/>
    <n v="0.45"/>
  </r>
  <r>
    <x v="17"/>
    <x v="2"/>
    <x v="3"/>
    <x v="15"/>
    <s v="Home Improvement Chains"/>
    <x v="0"/>
    <s v="A"/>
    <s v="United States"/>
    <x v="0"/>
    <d v="2024-04-01T00:00:00"/>
    <x v="0"/>
    <x v="1"/>
    <x v="1"/>
    <m/>
    <s v="Cash Incentive"/>
    <n v="0.19"/>
    <x v="1"/>
    <s v="Growth"/>
    <x v="2"/>
    <s v="Adjusted Operating Income"/>
    <n v="0.45"/>
  </r>
  <r>
    <x v="17"/>
    <x v="2"/>
    <x v="3"/>
    <x v="15"/>
    <s v="Home Improvement Chains"/>
    <x v="0"/>
    <s v="A"/>
    <s v="United States"/>
    <x v="0"/>
    <d v="2024-04-01T00:00:00"/>
    <x v="0"/>
    <x v="1"/>
    <x v="1"/>
    <m/>
    <s v="Cash Incentive"/>
    <n v="0.19"/>
    <x v="1"/>
    <s v="Cash Flow"/>
    <x v="30"/>
    <s v="Inventory Turnover"/>
    <n v="0.1"/>
  </r>
  <r>
    <x v="17"/>
    <x v="2"/>
    <x v="3"/>
    <x v="15"/>
    <s v="Home Improvement Chains"/>
    <x v="0"/>
    <s v="A"/>
    <s v="United States"/>
    <x v="0"/>
    <d v="2024-04-01T00:00:00"/>
    <x v="0"/>
    <x v="2"/>
    <x v="1"/>
    <n v="0.35799999999999998"/>
    <s v="Performance Stock"/>
    <n v="0.35799999999999998"/>
    <x v="1"/>
    <s v="Return"/>
    <x v="26"/>
    <s v="3Y Average Adjusted ROIC"/>
    <n v="0.5"/>
  </r>
  <r>
    <x v="17"/>
    <x v="2"/>
    <x v="3"/>
    <x v="15"/>
    <s v="Home Improvement Chains"/>
    <x v="0"/>
    <s v="A"/>
    <s v="United States"/>
    <x v="0"/>
    <d v="2024-04-01T00:00:00"/>
    <x v="0"/>
    <x v="2"/>
    <x v="1"/>
    <m/>
    <s v="Performance Stock"/>
    <n v="0.35799999999999998"/>
    <x v="1"/>
    <s v="Profitability"/>
    <x v="2"/>
    <s v="3Y Average Adjusted Operating Income"/>
    <n v="0.5"/>
  </r>
  <r>
    <x v="17"/>
    <x v="2"/>
    <x v="3"/>
    <x v="15"/>
    <s v="Home Improvement Chains"/>
    <x v="0"/>
    <s v="A"/>
    <s v="United States"/>
    <x v="0"/>
    <d v="2024-04-01T00:00:00"/>
    <x v="0"/>
    <x v="2"/>
    <x v="1"/>
    <n v="0.214"/>
    <s v="Time-Based Stock"/>
    <n v="0.214"/>
    <x v="0"/>
    <s v="Modifier/Threshold"/>
    <x v="35"/>
    <s v="Adjusted Operating Income"/>
    <m/>
  </r>
  <r>
    <x v="17"/>
    <x v="2"/>
    <x v="3"/>
    <x v="15"/>
    <s v="Home Improvement Chains"/>
    <x v="0"/>
    <s v="A"/>
    <s v="United States"/>
    <x v="0"/>
    <d v="2024-04-01T00:00:00"/>
    <x v="0"/>
    <x v="2"/>
    <x v="0"/>
    <n v="0.14300000000000002"/>
    <s v="Stock Options"/>
    <n v="0.14300000000000002"/>
    <x v="0"/>
    <m/>
    <x v="0"/>
    <m/>
    <m/>
  </r>
  <r>
    <x v="17"/>
    <x v="2"/>
    <x v="3"/>
    <x v="15"/>
    <s v="Home Improvement Chains"/>
    <x v="0"/>
    <s v="A"/>
    <s v="United States"/>
    <x v="0"/>
    <d v="2024-04-01T00:00:00"/>
    <x v="1"/>
    <x v="0"/>
    <x v="0"/>
    <n v="0.20399999999999999"/>
    <s v="Base Salary"/>
    <n v="0.20399999999999999"/>
    <x v="0"/>
    <m/>
    <x v="0"/>
    <m/>
    <m/>
  </r>
  <r>
    <x v="17"/>
    <x v="2"/>
    <x v="3"/>
    <x v="15"/>
    <s v="Home Improvement Chains"/>
    <x v="0"/>
    <s v="A"/>
    <s v="United States"/>
    <x v="0"/>
    <d v="2024-04-01T00:00:00"/>
    <x v="1"/>
    <x v="1"/>
    <x v="1"/>
    <n v="0.21"/>
    <s v="Cash Incentive"/>
    <n v="0.21"/>
    <x v="1"/>
    <s v="Growth"/>
    <x v="1"/>
    <s v="Adjusted Revenue"/>
    <n v="0.45"/>
  </r>
  <r>
    <x v="17"/>
    <x v="2"/>
    <x v="3"/>
    <x v="15"/>
    <s v="Home Improvement Chains"/>
    <x v="0"/>
    <s v="A"/>
    <s v="United States"/>
    <x v="0"/>
    <d v="2024-04-01T00:00:00"/>
    <x v="1"/>
    <x v="1"/>
    <x v="1"/>
    <m/>
    <s v="Cash Incentive"/>
    <n v="0.21"/>
    <x v="1"/>
    <s v="Growth"/>
    <x v="2"/>
    <s v="Adjusted Operating Income"/>
    <n v="0.45"/>
  </r>
  <r>
    <x v="17"/>
    <x v="2"/>
    <x v="3"/>
    <x v="15"/>
    <s v="Home Improvement Chains"/>
    <x v="0"/>
    <s v="A"/>
    <s v="United States"/>
    <x v="0"/>
    <d v="2024-04-01T00:00:00"/>
    <x v="1"/>
    <x v="1"/>
    <x v="1"/>
    <m/>
    <s v="Cash Incentive"/>
    <n v="0.21"/>
    <x v="1"/>
    <s v="Cash Flow"/>
    <x v="30"/>
    <s v="Inventory Turnover"/>
    <n v="0.1"/>
  </r>
  <r>
    <x v="17"/>
    <x v="2"/>
    <x v="3"/>
    <x v="15"/>
    <s v="Home Improvement Chains"/>
    <x v="0"/>
    <s v="A"/>
    <s v="United States"/>
    <x v="0"/>
    <d v="2024-04-01T00:00:00"/>
    <x v="1"/>
    <x v="2"/>
    <x v="1"/>
    <n v="0.29299999999999998"/>
    <s v="Performance Stock"/>
    <n v="0.29299999999999998"/>
    <x v="1"/>
    <s v="Return"/>
    <x v="26"/>
    <s v="3Y Average Adjusted ROIC"/>
    <n v="0.5"/>
  </r>
  <r>
    <x v="17"/>
    <x v="2"/>
    <x v="3"/>
    <x v="15"/>
    <s v="Home Improvement Chains"/>
    <x v="0"/>
    <s v="A"/>
    <s v="United States"/>
    <x v="0"/>
    <d v="2024-04-01T00:00:00"/>
    <x v="1"/>
    <x v="2"/>
    <x v="1"/>
    <m/>
    <s v="Performance Stock"/>
    <n v="0.29299999999999998"/>
    <x v="1"/>
    <s v="Profitability"/>
    <x v="2"/>
    <s v="3Y Average Adjusted Operating Income"/>
    <n v="0.5"/>
  </r>
  <r>
    <x v="17"/>
    <x v="2"/>
    <x v="3"/>
    <x v="15"/>
    <s v="Home Improvement Chains"/>
    <x v="0"/>
    <s v="A"/>
    <s v="United States"/>
    <x v="0"/>
    <d v="2024-04-01T00:00:00"/>
    <x v="1"/>
    <x v="2"/>
    <x v="1"/>
    <n v="0.17599999999999999"/>
    <s v="Time-Based Stock"/>
    <n v="0.17599999999999999"/>
    <x v="0"/>
    <s v="Modifier/Threshold"/>
    <x v="35"/>
    <s v="Adjusted Operating Income"/>
    <m/>
  </r>
  <r>
    <x v="17"/>
    <x v="2"/>
    <x v="3"/>
    <x v="15"/>
    <s v="Home Improvement Chains"/>
    <x v="0"/>
    <s v="A"/>
    <s v="United States"/>
    <x v="0"/>
    <d v="2024-04-01T00:00:00"/>
    <x v="1"/>
    <x v="2"/>
    <x v="0"/>
    <n v="0.11700000000000001"/>
    <s v="Stock Options"/>
    <n v="0.11700000000000001"/>
    <x v="0"/>
    <m/>
    <x v="0"/>
    <m/>
    <m/>
  </r>
  <r>
    <x v="18"/>
    <x v="7"/>
    <x v="11"/>
    <x v="16"/>
    <s v="Chemicals"/>
    <x v="0"/>
    <s v="A"/>
    <s v="United States"/>
    <x v="0"/>
    <d v="2024-04-29T00:00:00"/>
    <x v="0"/>
    <x v="0"/>
    <x v="0"/>
    <n v="0.08"/>
    <s v="Base Salary"/>
    <n v="0.08"/>
    <x v="0"/>
    <m/>
    <x v="0"/>
    <m/>
    <m/>
  </r>
  <r>
    <x v="18"/>
    <x v="7"/>
    <x v="11"/>
    <x v="16"/>
    <s v="Chemicals"/>
    <x v="0"/>
    <s v="A"/>
    <s v="United States"/>
    <x v="0"/>
    <d v="2024-04-29T00:00:00"/>
    <x v="0"/>
    <x v="1"/>
    <x v="1"/>
    <n v="0.19"/>
    <s v="Cash Incentive"/>
    <n v="0.19"/>
    <x v="1"/>
    <s v="Profitability"/>
    <x v="24"/>
    <s v="Adjusted Net Income"/>
    <n v="0.41250000000000003"/>
  </r>
  <r>
    <x v="18"/>
    <x v="7"/>
    <x v="11"/>
    <x v="16"/>
    <s v="Chemicals"/>
    <x v="0"/>
    <s v="A"/>
    <s v="United States"/>
    <x v="0"/>
    <d v="2024-04-29T00:00:00"/>
    <x v="0"/>
    <x v="1"/>
    <x v="1"/>
    <m/>
    <s v="Cash Incentive"/>
    <n v="0.19"/>
    <x v="1"/>
    <s v="Cash Flow"/>
    <x v="18"/>
    <s v="Adjusted Operating Cash Flow"/>
    <n v="0.1875"/>
  </r>
  <r>
    <x v="18"/>
    <x v="7"/>
    <x v="11"/>
    <x v="16"/>
    <s v="Chemicals"/>
    <x v="0"/>
    <s v="A"/>
    <s v="United States"/>
    <x v="0"/>
    <d v="2024-04-29T00:00:00"/>
    <x v="0"/>
    <x v="1"/>
    <x v="1"/>
    <m/>
    <s v="Cash Incentive"/>
    <n v="0.19"/>
    <x v="1"/>
    <s v="Growth"/>
    <x v="1"/>
    <s v="Adjusted Revenue"/>
    <n v="0.15000000000000002"/>
  </r>
  <r>
    <x v="18"/>
    <x v="7"/>
    <x v="11"/>
    <x v="16"/>
    <s v="Chemicals"/>
    <x v="0"/>
    <s v="A"/>
    <s v="United States"/>
    <x v="0"/>
    <d v="2024-04-29T00:00:00"/>
    <x v="0"/>
    <x v="1"/>
    <x v="1"/>
    <m/>
    <s v="Cash Incentive"/>
    <n v="0.19"/>
    <x v="2"/>
    <s v="ESG"/>
    <x v="7"/>
    <s v="Core Values"/>
    <n v="0.15"/>
  </r>
  <r>
    <x v="18"/>
    <x v="7"/>
    <x v="11"/>
    <x v="16"/>
    <s v="Chemicals"/>
    <x v="0"/>
    <s v="A"/>
    <s v="United States"/>
    <x v="0"/>
    <d v="2024-04-29T00:00:00"/>
    <x v="0"/>
    <x v="1"/>
    <x v="1"/>
    <m/>
    <s v="Cash Incentive"/>
    <n v="0.19"/>
    <x v="2"/>
    <s v="ESG"/>
    <x v="7"/>
    <s v="Reducing Greenhouse Gas Emissions"/>
    <n v="0.05"/>
  </r>
  <r>
    <x v="18"/>
    <x v="7"/>
    <x v="11"/>
    <x v="16"/>
    <s v="Chemicals"/>
    <x v="0"/>
    <s v="A"/>
    <s v="United States"/>
    <x v="0"/>
    <d v="2024-04-29T00:00:00"/>
    <x v="0"/>
    <x v="1"/>
    <x v="1"/>
    <m/>
    <s v="Cash Incentive"/>
    <n v="0.19"/>
    <x v="2"/>
    <s v="Strategy &amp; Operations"/>
    <x v="3"/>
    <s v="Relative Performance and Strategic Positioning"/>
    <n v="0.05"/>
  </r>
  <r>
    <x v="18"/>
    <x v="7"/>
    <x v="11"/>
    <x v="16"/>
    <s v="Chemicals"/>
    <x v="0"/>
    <s v="A"/>
    <s v="United States"/>
    <x v="0"/>
    <d v="2024-04-29T00:00:00"/>
    <x v="0"/>
    <x v="1"/>
    <x v="1"/>
    <m/>
    <s v="Cash Incentive"/>
    <n v="0.19"/>
    <x v="0"/>
    <s v="Modifier/Threshold"/>
    <x v="10"/>
    <s v="Individual Performance Factor"/>
    <m/>
  </r>
  <r>
    <x v="18"/>
    <x v="7"/>
    <x v="11"/>
    <x v="16"/>
    <s v="Chemicals"/>
    <x v="0"/>
    <s v="A"/>
    <s v="United States"/>
    <x v="0"/>
    <d v="2024-04-29T00:00:00"/>
    <x v="0"/>
    <x v="2"/>
    <x v="1"/>
    <n v="0.39"/>
    <s v="Performance Stock"/>
    <n v="0.39"/>
    <x v="1"/>
    <s v="Return"/>
    <x v="36"/>
    <s v="3Y Average Adjusted Return on Capital"/>
    <n v="0.6"/>
  </r>
  <r>
    <x v="18"/>
    <x v="7"/>
    <x v="11"/>
    <x v="16"/>
    <s v="Chemicals"/>
    <x v="0"/>
    <s v="A"/>
    <s v="United States"/>
    <x v="0"/>
    <d v="2024-04-29T00:00:00"/>
    <x v="0"/>
    <x v="2"/>
    <x v="1"/>
    <m/>
    <s v="Performance Stock"/>
    <n v="0.39"/>
    <x v="3"/>
    <s v="Stock Performance"/>
    <x v="11"/>
    <s v="3Y Relative TSR "/>
    <n v="0.4"/>
  </r>
  <r>
    <x v="18"/>
    <x v="7"/>
    <x v="11"/>
    <x v="16"/>
    <s v="Chemicals"/>
    <x v="0"/>
    <s v="A"/>
    <s v="United States"/>
    <x v="0"/>
    <d v="2024-04-29T00:00:00"/>
    <x v="0"/>
    <x v="2"/>
    <x v="0"/>
    <n v="0.21"/>
    <s v="Stock Options"/>
    <n v="0.21"/>
    <x v="0"/>
    <m/>
    <x v="0"/>
    <m/>
    <m/>
  </r>
  <r>
    <x v="18"/>
    <x v="7"/>
    <x v="11"/>
    <x v="16"/>
    <s v="Chemicals"/>
    <x v="0"/>
    <s v="A"/>
    <s v="United States"/>
    <x v="0"/>
    <d v="2024-04-29T00:00:00"/>
    <x v="0"/>
    <x v="2"/>
    <x v="0"/>
    <n v="0.13"/>
    <s v="Time-Based Stock"/>
    <n v="0.13"/>
    <x v="0"/>
    <m/>
    <x v="0"/>
    <m/>
    <m/>
  </r>
  <r>
    <x v="18"/>
    <x v="7"/>
    <x v="11"/>
    <x v="16"/>
    <s v="Chemicals"/>
    <x v="0"/>
    <s v="A"/>
    <s v="United States"/>
    <x v="0"/>
    <d v="2024-04-29T00:00:00"/>
    <x v="1"/>
    <x v="0"/>
    <x v="0"/>
    <n v="0.16900860818753316"/>
    <s v="Base Salary"/>
    <n v="0.16900860818753316"/>
    <x v="0"/>
    <m/>
    <x v="0"/>
    <m/>
    <m/>
  </r>
  <r>
    <x v="18"/>
    <x v="7"/>
    <x v="11"/>
    <x v="16"/>
    <s v="Chemicals"/>
    <x v="0"/>
    <s v="A"/>
    <s v="United States"/>
    <x v="0"/>
    <d v="2024-04-29T00:00:00"/>
    <x v="1"/>
    <x v="1"/>
    <x v="1"/>
    <n v="0.18066963013957979"/>
    <s v="Cash Incentive"/>
    <n v="0.18066963013957979"/>
    <x v="1"/>
    <s v="Profitability"/>
    <x v="24"/>
    <s v="Adjusted Net Income"/>
    <n v="0.41250000000000003"/>
  </r>
  <r>
    <x v="18"/>
    <x v="7"/>
    <x v="11"/>
    <x v="16"/>
    <s v="Chemicals"/>
    <x v="0"/>
    <s v="A"/>
    <s v="United States"/>
    <x v="0"/>
    <d v="2024-04-29T00:00:00"/>
    <x v="1"/>
    <x v="1"/>
    <x v="1"/>
    <m/>
    <s v="Cash Incentive"/>
    <n v="0.18066963013957979"/>
    <x v="1"/>
    <s v="Cash Flow"/>
    <x v="18"/>
    <s v="Adjusted Operating Cash Flow"/>
    <n v="0.1875"/>
  </r>
  <r>
    <x v="18"/>
    <x v="7"/>
    <x v="11"/>
    <x v="16"/>
    <s v="Chemicals"/>
    <x v="0"/>
    <s v="A"/>
    <s v="United States"/>
    <x v="0"/>
    <d v="2024-04-29T00:00:00"/>
    <x v="1"/>
    <x v="1"/>
    <x v="1"/>
    <m/>
    <s v="Cash Incentive"/>
    <n v="0.18066963013957979"/>
    <x v="1"/>
    <s v="Growth"/>
    <x v="1"/>
    <s v="Adjusted Revenue"/>
    <n v="0.15000000000000002"/>
  </r>
  <r>
    <x v="18"/>
    <x v="7"/>
    <x v="11"/>
    <x v="16"/>
    <s v="Chemicals"/>
    <x v="0"/>
    <s v="A"/>
    <s v="United States"/>
    <x v="0"/>
    <d v="2024-04-29T00:00:00"/>
    <x v="1"/>
    <x v="1"/>
    <x v="1"/>
    <m/>
    <s v="Cash Incentive"/>
    <n v="0.18066963013957979"/>
    <x v="2"/>
    <s v="ESG"/>
    <x v="7"/>
    <s v="Core Values"/>
    <n v="0.15"/>
  </r>
  <r>
    <x v="18"/>
    <x v="7"/>
    <x v="11"/>
    <x v="16"/>
    <s v="Chemicals"/>
    <x v="0"/>
    <s v="A"/>
    <s v="United States"/>
    <x v="0"/>
    <d v="2024-04-29T00:00:00"/>
    <x v="1"/>
    <x v="1"/>
    <x v="1"/>
    <m/>
    <s v="Cash Incentive"/>
    <n v="0.18066963013957979"/>
    <x v="2"/>
    <s v="ESG"/>
    <x v="7"/>
    <s v="Reducing Greenhouse Gas Emissions"/>
    <n v="0.05"/>
  </r>
  <r>
    <x v="18"/>
    <x v="7"/>
    <x v="11"/>
    <x v="16"/>
    <s v="Chemicals"/>
    <x v="0"/>
    <s v="A"/>
    <s v="United States"/>
    <x v="0"/>
    <d v="2024-04-29T00:00:00"/>
    <x v="1"/>
    <x v="1"/>
    <x v="1"/>
    <m/>
    <s v="Cash Incentive"/>
    <n v="0.18066963013957979"/>
    <x v="2"/>
    <s v="Strategy &amp; Operations"/>
    <x v="3"/>
    <s v="Relative Performance and Strategic Positioning"/>
    <n v="0.05"/>
  </r>
  <r>
    <x v="18"/>
    <x v="7"/>
    <x v="11"/>
    <x v="16"/>
    <s v="Chemicals"/>
    <x v="0"/>
    <s v="A"/>
    <s v="United States"/>
    <x v="0"/>
    <d v="2024-04-29T00:00:00"/>
    <x v="1"/>
    <x v="1"/>
    <x v="1"/>
    <m/>
    <s v="Cash Incentive"/>
    <n v="0.18066963013957979"/>
    <x v="0"/>
    <s v="Modifier/Threshold"/>
    <x v="10"/>
    <s v="Individual Performance Factor"/>
    <m/>
  </r>
  <r>
    <x v="18"/>
    <x v="7"/>
    <x v="11"/>
    <x v="16"/>
    <s v="Chemicals"/>
    <x v="0"/>
    <s v="A"/>
    <s v="United States"/>
    <x v="0"/>
    <d v="2024-04-29T00:00:00"/>
    <x v="1"/>
    <x v="2"/>
    <x v="1"/>
    <n v="0.32516088083644357"/>
    <s v="Performance Stock"/>
    <n v="0.32516088083644357"/>
    <x v="1"/>
    <s v="Return"/>
    <x v="36"/>
    <s v="3Y Average Adjusted Return on Capital"/>
    <n v="0.6"/>
  </r>
  <r>
    <x v="18"/>
    <x v="7"/>
    <x v="11"/>
    <x v="16"/>
    <s v="Chemicals"/>
    <x v="0"/>
    <s v="A"/>
    <s v="United States"/>
    <x v="0"/>
    <d v="2024-04-29T00:00:00"/>
    <x v="1"/>
    <x v="2"/>
    <x v="1"/>
    <m/>
    <s v="Performance Stock"/>
    <n v="0.32516088083644357"/>
    <x v="3"/>
    <s v="Stock Performance"/>
    <x v="11"/>
    <s v="3Y Relative TSR "/>
    <n v="0.4"/>
  </r>
  <r>
    <x v="18"/>
    <x v="7"/>
    <x v="11"/>
    <x v="16"/>
    <s v="Chemicals"/>
    <x v="0"/>
    <s v="A"/>
    <s v="United States"/>
    <x v="0"/>
    <d v="2024-04-29T00:00:00"/>
    <x v="1"/>
    <x v="2"/>
    <x v="0"/>
    <n v="0.1950965285018661"/>
    <s v="Stock Options"/>
    <n v="0.1950965285018661"/>
    <x v="0"/>
    <m/>
    <x v="0"/>
    <m/>
    <m/>
  </r>
  <r>
    <x v="18"/>
    <x v="7"/>
    <x v="11"/>
    <x v="16"/>
    <s v="Chemicals"/>
    <x v="0"/>
    <s v="A"/>
    <s v="United States"/>
    <x v="0"/>
    <d v="2024-04-29T00:00:00"/>
    <x v="1"/>
    <x v="2"/>
    <x v="0"/>
    <n v="0.13006435233457742"/>
    <s v="Time-Based Stock"/>
    <n v="0.13006435233457742"/>
    <x v="0"/>
    <m/>
    <x v="0"/>
    <m/>
    <m/>
  </r>
  <r>
    <x v="19"/>
    <x v="3"/>
    <x v="4"/>
    <x v="14"/>
    <s v="Pharmaceuticals"/>
    <x v="0"/>
    <m/>
    <s v="United States"/>
    <x v="0"/>
    <d v="2024-04-04T00:00:00"/>
    <x v="0"/>
    <x v="0"/>
    <x v="0"/>
    <n v="7.0000000000000007E-2"/>
    <s v="Base Salary"/>
    <n v="7.0000000000000007E-2"/>
    <x v="0"/>
    <m/>
    <x v="0"/>
    <m/>
    <m/>
  </r>
  <r>
    <x v="19"/>
    <x v="3"/>
    <x v="4"/>
    <x v="14"/>
    <s v="Pharmaceuticals"/>
    <x v="0"/>
    <m/>
    <s v="United States"/>
    <x v="0"/>
    <d v="2024-04-04T00:00:00"/>
    <x v="0"/>
    <x v="1"/>
    <x v="1"/>
    <n v="0.17"/>
    <s v="Cash Incentive"/>
    <n v="0.17"/>
    <x v="2"/>
    <s v="Strategy &amp; Operations"/>
    <x v="15"/>
    <s v="Pipeline Growth"/>
    <n v="0.38"/>
  </r>
  <r>
    <x v="19"/>
    <x v="3"/>
    <x v="4"/>
    <x v="14"/>
    <s v="Pharmaceuticals"/>
    <x v="0"/>
    <m/>
    <s v="United States"/>
    <x v="0"/>
    <d v="2024-04-04T00:00:00"/>
    <x v="0"/>
    <x v="1"/>
    <x v="1"/>
    <m/>
    <s v="Cash Incentive"/>
    <n v="0.17"/>
    <x v="2"/>
    <s v="Strategy &amp; Operations"/>
    <x v="15"/>
    <s v="Marketed and Late-Stage Products"/>
    <n v="0.33"/>
  </r>
  <r>
    <x v="19"/>
    <x v="3"/>
    <x v="4"/>
    <x v="14"/>
    <s v="Pharmaceuticals"/>
    <x v="0"/>
    <m/>
    <s v="United States"/>
    <x v="0"/>
    <d v="2024-04-04T00:00:00"/>
    <x v="0"/>
    <x v="1"/>
    <x v="1"/>
    <m/>
    <s v="Cash Incentive"/>
    <n v="0.17"/>
    <x v="2"/>
    <s v="Strategy &amp; Operations"/>
    <x v="3"/>
    <s v="Manufacturing, Innovation, Quality, and Operations"/>
    <n v="0.1"/>
  </r>
  <r>
    <x v="19"/>
    <x v="3"/>
    <x v="4"/>
    <x v="14"/>
    <s v="Pharmaceuticals"/>
    <x v="0"/>
    <m/>
    <s v="United States"/>
    <x v="0"/>
    <d v="2024-04-04T00:00:00"/>
    <x v="0"/>
    <x v="1"/>
    <x v="1"/>
    <m/>
    <s v="Cash Incentive"/>
    <n v="0.17"/>
    <x v="1"/>
    <s v="Profitability"/>
    <x v="3"/>
    <s v="Financial Strength"/>
    <n v="0.1"/>
  </r>
  <r>
    <x v="19"/>
    <x v="3"/>
    <x v="4"/>
    <x v="14"/>
    <s v="Pharmaceuticals"/>
    <x v="0"/>
    <m/>
    <s v="United States"/>
    <x v="0"/>
    <d v="2024-04-04T00:00:00"/>
    <x v="0"/>
    <x v="1"/>
    <x v="1"/>
    <m/>
    <s v="Cash Incentive"/>
    <n v="0.17"/>
    <x v="2"/>
    <s v="Strategy &amp; Operations"/>
    <x v="3"/>
    <s v="Organizational Development and Capability"/>
    <n v="0.09"/>
  </r>
  <r>
    <x v="19"/>
    <x v="3"/>
    <x v="4"/>
    <x v="14"/>
    <s v="Pharmaceuticals"/>
    <x v="0"/>
    <m/>
    <s v="United States"/>
    <x v="0"/>
    <d v="2024-04-04T00:00:00"/>
    <x v="0"/>
    <x v="1"/>
    <x v="1"/>
    <m/>
    <s v="Cash Incentive"/>
    <n v="0.17"/>
    <x v="0"/>
    <s v="Modifier/Threshold"/>
    <x v="34"/>
    <s v="Discretionary Adjustment"/>
    <m/>
  </r>
  <r>
    <x v="19"/>
    <x v="3"/>
    <x v="4"/>
    <x v="14"/>
    <s v="Pharmaceuticals"/>
    <x v="0"/>
    <m/>
    <s v="United States"/>
    <x v="0"/>
    <d v="2024-04-04T00:00:00"/>
    <x v="0"/>
    <x v="1"/>
    <x v="1"/>
    <m/>
    <s v="Cash Incentive"/>
    <n v="0.17"/>
    <x v="0"/>
    <s v="Modifier/Threshold"/>
    <x v="10"/>
    <s v="Individual Performance Factor"/>
    <m/>
  </r>
  <r>
    <x v="19"/>
    <x v="3"/>
    <x v="4"/>
    <x v="14"/>
    <s v="Pharmaceuticals"/>
    <x v="0"/>
    <m/>
    <s v="United States"/>
    <x v="0"/>
    <d v="2024-04-04T00:00:00"/>
    <x v="0"/>
    <x v="2"/>
    <x v="1"/>
    <n v="0.38"/>
    <s v="Performance Stock"/>
    <n v="0.38"/>
    <x v="1"/>
    <s v="Growth"/>
    <x v="1"/>
    <s v="Adjusted Cystic Fibrosis Revenue"/>
    <n v="0.5"/>
  </r>
  <r>
    <x v="19"/>
    <x v="3"/>
    <x v="4"/>
    <x v="14"/>
    <s v="Pharmaceuticals"/>
    <x v="0"/>
    <m/>
    <s v="United States"/>
    <x v="0"/>
    <d v="2024-04-04T00:00:00"/>
    <x v="0"/>
    <x v="2"/>
    <x v="1"/>
    <m/>
    <s v="Performance Stock"/>
    <n v="0.38"/>
    <x v="2"/>
    <s v="Strategy &amp; Operations"/>
    <x v="3"/>
    <s v="3Y Non-Financial Metrics"/>
    <n v="0.5"/>
  </r>
  <r>
    <x v="19"/>
    <x v="3"/>
    <x v="4"/>
    <x v="14"/>
    <s v="Pharmaceuticals"/>
    <x v="0"/>
    <m/>
    <s v="United States"/>
    <x v="0"/>
    <d v="2024-04-04T00:00:00"/>
    <x v="0"/>
    <x v="2"/>
    <x v="1"/>
    <m/>
    <s v="Performance Stock"/>
    <n v="0.38"/>
    <x v="0"/>
    <s v="Modifier/Threshold"/>
    <x v="10"/>
    <s v="Individual Performance Factor"/>
    <m/>
  </r>
  <r>
    <x v="19"/>
    <x v="3"/>
    <x v="4"/>
    <x v="14"/>
    <s v="Pharmaceuticals"/>
    <x v="0"/>
    <m/>
    <s v="United States"/>
    <x v="0"/>
    <d v="2024-04-04T00:00:00"/>
    <x v="0"/>
    <x v="2"/>
    <x v="1"/>
    <n v="0.38"/>
    <s v="Time-Based Stock"/>
    <n v="0.38"/>
    <x v="0"/>
    <m/>
    <x v="0"/>
    <m/>
    <m/>
  </r>
  <r>
    <x v="19"/>
    <x v="3"/>
    <x v="4"/>
    <x v="14"/>
    <s v="Pharmaceuticals"/>
    <x v="0"/>
    <m/>
    <s v="United States"/>
    <x v="0"/>
    <d v="2024-04-04T00:00:00"/>
    <x v="1"/>
    <x v="0"/>
    <x v="0"/>
    <n v="0.1"/>
    <s v="Base Salary"/>
    <n v="0.1"/>
    <x v="0"/>
    <m/>
    <x v="0"/>
    <m/>
    <m/>
  </r>
  <r>
    <x v="19"/>
    <x v="3"/>
    <x v="4"/>
    <x v="14"/>
    <s v="Pharmaceuticals"/>
    <x v="0"/>
    <m/>
    <s v="United States"/>
    <x v="0"/>
    <d v="2024-04-04T00:00:00"/>
    <x v="1"/>
    <x v="1"/>
    <x v="1"/>
    <n v="0.18"/>
    <s v="Cash Incentive"/>
    <n v="0.18"/>
    <x v="2"/>
    <s v="Strategy &amp; Operations"/>
    <x v="15"/>
    <s v="Pipeline Growth"/>
    <n v="0.38"/>
  </r>
  <r>
    <x v="19"/>
    <x v="3"/>
    <x v="4"/>
    <x v="14"/>
    <s v="Pharmaceuticals"/>
    <x v="0"/>
    <m/>
    <s v="United States"/>
    <x v="0"/>
    <d v="2024-04-04T00:00:00"/>
    <x v="1"/>
    <x v="1"/>
    <x v="1"/>
    <m/>
    <s v="Cash Incentive"/>
    <n v="0.18"/>
    <x v="2"/>
    <s v="Strategy &amp; Operations"/>
    <x v="3"/>
    <s v="Marketed and Late-Stage Products"/>
    <n v="0.33"/>
  </r>
  <r>
    <x v="19"/>
    <x v="3"/>
    <x v="4"/>
    <x v="14"/>
    <s v="Pharmaceuticals"/>
    <x v="0"/>
    <m/>
    <s v="United States"/>
    <x v="0"/>
    <d v="2024-04-04T00:00:00"/>
    <x v="1"/>
    <x v="1"/>
    <x v="1"/>
    <m/>
    <s v="Cash Incentive"/>
    <n v="0.18"/>
    <x v="2"/>
    <s v="Strategy &amp; Operations"/>
    <x v="3"/>
    <s v="Manufacturing, Innovation, Quality, and Operations"/>
    <n v="0.1"/>
  </r>
  <r>
    <x v="19"/>
    <x v="3"/>
    <x v="4"/>
    <x v="14"/>
    <s v="Pharmaceuticals"/>
    <x v="0"/>
    <m/>
    <s v="United States"/>
    <x v="0"/>
    <d v="2024-04-04T00:00:00"/>
    <x v="1"/>
    <x v="1"/>
    <x v="1"/>
    <m/>
    <s v="Cash Incentive"/>
    <n v="0.18"/>
    <x v="1"/>
    <s v="Profitability"/>
    <x v="3"/>
    <s v="Financial Strength"/>
    <n v="0.1"/>
  </r>
  <r>
    <x v="19"/>
    <x v="3"/>
    <x v="4"/>
    <x v="14"/>
    <s v="Pharmaceuticals"/>
    <x v="0"/>
    <m/>
    <s v="United States"/>
    <x v="0"/>
    <d v="2024-04-04T00:00:00"/>
    <x v="1"/>
    <x v="1"/>
    <x v="1"/>
    <m/>
    <s v="Cash Incentive"/>
    <n v="0.18"/>
    <x v="2"/>
    <s v="Strategy &amp; Operations"/>
    <x v="3"/>
    <s v="Organizational Development and Capability"/>
    <n v="0.09"/>
  </r>
  <r>
    <x v="19"/>
    <x v="3"/>
    <x v="4"/>
    <x v="14"/>
    <s v="Pharmaceuticals"/>
    <x v="0"/>
    <m/>
    <s v="United States"/>
    <x v="0"/>
    <d v="2024-04-04T00:00:00"/>
    <x v="1"/>
    <x v="1"/>
    <x v="1"/>
    <m/>
    <s v="Cash Incentive"/>
    <n v="0.18"/>
    <x v="0"/>
    <s v="Modifier/Threshold"/>
    <x v="34"/>
    <s v="Discretionary Adjustment"/>
    <m/>
  </r>
  <r>
    <x v="19"/>
    <x v="3"/>
    <x v="4"/>
    <x v="14"/>
    <s v="Pharmaceuticals"/>
    <x v="0"/>
    <m/>
    <s v="United States"/>
    <x v="0"/>
    <d v="2024-04-04T00:00:00"/>
    <x v="1"/>
    <x v="1"/>
    <x v="1"/>
    <m/>
    <s v="Cash Incentive"/>
    <n v="0.18"/>
    <x v="0"/>
    <s v="Modifier/Threshold"/>
    <x v="10"/>
    <s v="Individual Performance Factor"/>
    <m/>
  </r>
  <r>
    <x v="19"/>
    <x v="3"/>
    <x v="4"/>
    <x v="14"/>
    <s v="Pharmaceuticals"/>
    <x v="0"/>
    <m/>
    <s v="United States"/>
    <x v="0"/>
    <d v="2024-04-04T00:00:00"/>
    <x v="1"/>
    <x v="2"/>
    <x v="1"/>
    <n v="0.36"/>
    <s v="Performance Stock"/>
    <n v="0.36"/>
    <x v="1"/>
    <s v="Growth"/>
    <x v="1"/>
    <s v="Adjusted Cystic Fibrosis Revenue"/>
    <n v="0.5"/>
  </r>
  <r>
    <x v="19"/>
    <x v="3"/>
    <x v="4"/>
    <x v="14"/>
    <s v="Pharmaceuticals"/>
    <x v="0"/>
    <m/>
    <s v="United States"/>
    <x v="0"/>
    <d v="2024-04-04T00:00:00"/>
    <x v="1"/>
    <x v="2"/>
    <x v="1"/>
    <m/>
    <s v="Performance Stock"/>
    <n v="0.36"/>
    <x v="2"/>
    <s v="Strategy &amp; Operations"/>
    <x v="3"/>
    <s v="3Y Non-Financial Metrics"/>
    <n v="0.5"/>
  </r>
  <r>
    <x v="19"/>
    <x v="3"/>
    <x v="4"/>
    <x v="14"/>
    <s v="Pharmaceuticals"/>
    <x v="0"/>
    <m/>
    <s v="United States"/>
    <x v="0"/>
    <d v="2024-04-04T00:00:00"/>
    <x v="1"/>
    <x v="2"/>
    <x v="1"/>
    <m/>
    <s v="Performance Stock"/>
    <n v="0.36"/>
    <x v="0"/>
    <s v="Modifier/Threshold"/>
    <x v="10"/>
    <s v="Individual Performance Factor"/>
    <m/>
  </r>
  <r>
    <x v="19"/>
    <x v="3"/>
    <x v="4"/>
    <x v="14"/>
    <s v="Pharmaceuticals"/>
    <x v="0"/>
    <m/>
    <s v="United States"/>
    <x v="0"/>
    <d v="2024-04-04T00:00:00"/>
    <x v="1"/>
    <x v="2"/>
    <x v="1"/>
    <n v="0.36"/>
    <s v="Time-Based Stock"/>
    <n v="0.36"/>
    <x v="0"/>
    <m/>
    <x v="0"/>
    <m/>
    <m/>
  </r>
  <r>
    <x v="20"/>
    <x v="5"/>
    <x v="9"/>
    <x v="9"/>
    <s v="Miscellaneous Commercial Services "/>
    <x v="0"/>
    <s v="AA-"/>
    <s v="United States"/>
    <x v="0"/>
    <d v="2023-12-07T00:00:00"/>
    <x v="0"/>
    <x v="0"/>
    <x v="0"/>
    <n v="7.0000000000000007E-2"/>
    <s v="Base Salary"/>
    <n v="7.0000000000000007E-2"/>
    <x v="0"/>
    <m/>
    <x v="0"/>
    <m/>
    <m/>
  </r>
  <r>
    <x v="20"/>
    <x v="5"/>
    <x v="9"/>
    <x v="9"/>
    <s v="Miscellaneous Commercial Services "/>
    <x v="0"/>
    <s v="AA-"/>
    <s v="United States"/>
    <x v="0"/>
    <d v="2023-12-07T00:00:00"/>
    <x v="0"/>
    <x v="1"/>
    <x v="1"/>
    <n v="0.16"/>
    <s v="Cash Incentive"/>
    <n v="0.16"/>
    <x v="1"/>
    <s v="Strategy &amp; Operations"/>
    <x v="3"/>
    <s v="Financial, Clients, and Foundational Goals"/>
    <n v="0.5"/>
  </r>
  <r>
    <x v="20"/>
    <x v="5"/>
    <x v="9"/>
    <x v="9"/>
    <s v="Miscellaneous Commercial Services "/>
    <x v="0"/>
    <s v="AA-"/>
    <s v="United States"/>
    <x v="0"/>
    <d v="2023-12-07T00:00:00"/>
    <x v="0"/>
    <x v="1"/>
    <x v="1"/>
    <m/>
    <s v="Cash Incentive"/>
    <n v="0.16"/>
    <x v="2"/>
    <s v="Strategy &amp; Operations"/>
    <x v="3"/>
    <s v="Operational Excellence, Talent, and ESG Goals"/>
    <n v="0.5"/>
  </r>
  <r>
    <x v="20"/>
    <x v="5"/>
    <x v="9"/>
    <x v="9"/>
    <s v="Miscellaneous Commercial Services "/>
    <x v="0"/>
    <s v="AA-"/>
    <s v="United States"/>
    <x v="0"/>
    <d v="2023-12-07T00:00:00"/>
    <x v="0"/>
    <x v="1"/>
    <x v="1"/>
    <m/>
    <s v="Cash Incentive"/>
    <n v="0.16"/>
    <x v="0"/>
    <s v="Modifier/Threshold"/>
    <x v="34"/>
    <s v="Discretionary Adjustment"/>
    <m/>
  </r>
  <r>
    <x v="20"/>
    <x v="5"/>
    <x v="9"/>
    <x v="9"/>
    <s v="Miscellaneous Commercial Services "/>
    <x v="0"/>
    <s v="AA-"/>
    <s v="United States"/>
    <x v="0"/>
    <d v="2023-12-07T00:00:00"/>
    <x v="0"/>
    <x v="2"/>
    <x v="1"/>
    <n v="0.39"/>
    <s v="Performance Stock"/>
    <n v="0.39"/>
    <x v="1"/>
    <s v="Profitability"/>
    <x v="14"/>
    <s v="3Y Adjusted EPS "/>
    <n v="1"/>
  </r>
  <r>
    <x v="20"/>
    <x v="5"/>
    <x v="9"/>
    <x v="9"/>
    <s v="Miscellaneous Commercial Services "/>
    <x v="0"/>
    <s v="AA-"/>
    <s v="United States"/>
    <x v="0"/>
    <d v="2023-12-07T00:00:00"/>
    <x v="0"/>
    <x v="2"/>
    <x v="1"/>
    <m/>
    <s v="Performance Stock"/>
    <n v="0.39"/>
    <x v="0"/>
    <s v="Modifier/Threshold"/>
    <x v="6"/>
    <s v="3Y Relative TSR"/>
    <m/>
  </r>
  <r>
    <x v="20"/>
    <x v="5"/>
    <x v="9"/>
    <x v="9"/>
    <s v="Miscellaneous Commercial Services "/>
    <x v="0"/>
    <s v="AA-"/>
    <s v="United States"/>
    <x v="0"/>
    <d v="2023-12-07T00:00:00"/>
    <x v="0"/>
    <x v="2"/>
    <x v="0"/>
    <n v="0.19"/>
    <s v="Time-Based Stock"/>
    <n v="0.19"/>
    <x v="0"/>
    <m/>
    <x v="0"/>
    <m/>
    <m/>
  </r>
  <r>
    <x v="20"/>
    <x v="5"/>
    <x v="9"/>
    <x v="9"/>
    <s v="Miscellaneous Commercial Services "/>
    <x v="0"/>
    <s v="AA-"/>
    <s v="United States"/>
    <x v="0"/>
    <d v="2023-12-07T00:00:00"/>
    <x v="0"/>
    <x v="2"/>
    <x v="0"/>
    <n v="0.19"/>
    <s v="Stock Options"/>
    <n v="0.19"/>
    <x v="0"/>
    <m/>
    <x v="0"/>
    <m/>
    <m/>
  </r>
  <r>
    <x v="20"/>
    <x v="5"/>
    <x v="9"/>
    <x v="9"/>
    <s v="Miscellaneous Commercial Services "/>
    <x v="0"/>
    <s v="AA-"/>
    <s v="United States"/>
    <x v="0"/>
    <d v="2023-12-07T00:00:00"/>
    <x v="1"/>
    <x v="0"/>
    <x v="0"/>
    <n v="0.09"/>
    <s v="Base Salary"/>
    <n v="0.09"/>
    <x v="0"/>
    <m/>
    <x v="0"/>
    <m/>
    <m/>
  </r>
  <r>
    <x v="20"/>
    <x v="5"/>
    <x v="9"/>
    <x v="9"/>
    <s v="Miscellaneous Commercial Services "/>
    <x v="0"/>
    <s v="AA-"/>
    <s v="United States"/>
    <x v="0"/>
    <d v="2023-12-07T00:00:00"/>
    <x v="1"/>
    <x v="1"/>
    <x v="1"/>
    <n v="0.16"/>
    <s v="Cash Incentive"/>
    <n v="0.16"/>
    <x v="1"/>
    <s v="Strategy &amp; Operations"/>
    <x v="3"/>
    <s v="Financial, Clients, and Foundational Goals"/>
    <n v="0.5"/>
  </r>
  <r>
    <x v="20"/>
    <x v="5"/>
    <x v="9"/>
    <x v="9"/>
    <s v="Miscellaneous Commercial Services "/>
    <x v="0"/>
    <s v="AA-"/>
    <s v="United States"/>
    <x v="0"/>
    <d v="2023-12-07T00:00:00"/>
    <x v="1"/>
    <x v="1"/>
    <x v="1"/>
    <m/>
    <s v="Cash Incentive"/>
    <n v="0.16"/>
    <x v="2"/>
    <s v="Strategy &amp; Operations"/>
    <x v="3"/>
    <s v="Operational Excellence, Talent, and ESG Goals"/>
    <n v="0.5"/>
  </r>
  <r>
    <x v="20"/>
    <x v="5"/>
    <x v="9"/>
    <x v="9"/>
    <s v="Miscellaneous Commercial Services "/>
    <x v="0"/>
    <s v="AA-"/>
    <s v="United States"/>
    <x v="0"/>
    <d v="2023-12-07T00:00:00"/>
    <x v="1"/>
    <x v="1"/>
    <x v="1"/>
    <m/>
    <s v="Cash Incentive"/>
    <n v="0.16"/>
    <x v="0"/>
    <s v="Modifier/Threshold"/>
    <x v="34"/>
    <s v="Discretionary Adjustment"/>
    <m/>
  </r>
  <r>
    <x v="20"/>
    <x v="5"/>
    <x v="9"/>
    <x v="9"/>
    <s v="Miscellaneous Commercial Services "/>
    <x v="0"/>
    <s v="AA-"/>
    <s v="United States"/>
    <x v="0"/>
    <d v="2023-12-07T00:00:00"/>
    <x v="1"/>
    <x v="2"/>
    <x v="1"/>
    <n v="0.375"/>
    <s v="Performance Stock"/>
    <n v="0.375"/>
    <x v="1"/>
    <s v="Profitability"/>
    <x v="14"/>
    <s v="3Y Adjusted EPS "/>
    <n v="1"/>
  </r>
  <r>
    <x v="20"/>
    <x v="5"/>
    <x v="9"/>
    <x v="9"/>
    <s v="Miscellaneous Commercial Services "/>
    <x v="0"/>
    <s v="AA-"/>
    <s v="United States"/>
    <x v="0"/>
    <d v="2023-12-07T00:00:00"/>
    <x v="1"/>
    <x v="2"/>
    <x v="1"/>
    <m/>
    <s v="Performance Stock"/>
    <n v="0.375"/>
    <x v="0"/>
    <s v="Modifier/Threshold"/>
    <x v="6"/>
    <s v="3Y Relative TSR"/>
    <m/>
  </r>
  <r>
    <x v="20"/>
    <x v="5"/>
    <x v="9"/>
    <x v="9"/>
    <s v="Miscellaneous Commercial Services "/>
    <x v="0"/>
    <s v="AA-"/>
    <s v="United States"/>
    <x v="0"/>
    <d v="2023-12-07T00:00:00"/>
    <x v="1"/>
    <x v="2"/>
    <x v="0"/>
    <n v="0.1875"/>
    <s v="Time-Based Stock"/>
    <n v="0.1875"/>
    <x v="0"/>
    <m/>
    <x v="0"/>
    <m/>
    <m/>
  </r>
  <r>
    <x v="20"/>
    <x v="5"/>
    <x v="9"/>
    <x v="9"/>
    <s v="Miscellaneous Commercial Services "/>
    <x v="0"/>
    <s v="AA-"/>
    <s v="United States"/>
    <x v="0"/>
    <d v="2023-12-07T00:00:00"/>
    <x v="1"/>
    <x v="2"/>
    <x v="0"/>
    <n v="0.1875"/>
    <s v="Stock Options"/>
    <n v="0.1875"/>
    <x v="0"/>
    <m/>
    <x v="0"/>
    <m/>
    <m/>
  </r>
  <r>
    <x v="21"/>
    <x v="3"/>
    <x v="4"/>
    <x v="17"/>
    <s v="Medical Specialties"/>
    <x v="0"/>
    <s v="A-"/>
    <s v="United States"/>
    <x v="0"/>
    <d v="2024-04-09T00:00:00"/>
    <x v="0"/>
    <x v="0"/>
    <x v="0"/>
    <n v="0.09"/>
    <s v="Base Salary"/>
    <n v="0.09"/>
    <x v="0"/>
    <m/>
    <x v="0"/>
    <m/>
    <m/>
  </r>
  <r>
    <x v="21"/>
    <x v="3"/>
    <x v="4"/>
    <x v="17"/>
    <s v="Medical Specialties"/>
    <x v="0"/>
    <s v="A-"/>
    <s v="United States"/>
    <x v="0"/>
    <d v="2024-04-09T00:00:00"/>
    <x v="0"/>
    <x v="1"/>
    <x v="1"/>
    <n v="0.18"/>
    <s v="Cash Incentive"/>
    <n v="0.18"/>
    <x v="1"/>
    <s v="Growth"/>
    <x v="1"/>
    <s v="Adjusted Revenue Growth"/>
    <n v="0.35"/>
  </r>
  <r>
    <x v="21"/>
    <x v="3"/>
    <x v="4"/>
    <x v="17"/>
    <s v="Medical Specialties"/>
    <x v="0"/>
    <s v="A-"/>
    <s v="United States"/>
    <x v="0"/>
    <d v="2024-04-09T00:00:00"/>
    <x v="0"/>
    <x v="1"/>
    <x v="1"/>
    <m/>
    <s v="Cash Incentive"/>
    <n v="0.18"/>
    <x v="1"/>
    <s v="Profitability"/>
    <x v="24"/>
    <s v="Adjusted Net Income"/>
    <n v="0.3"/>
  </r>
  <r>
    <x v="21"/>
    <x v="3"/>
    <x v="4"/>
    <x v="17"/>
    <s v="Medical Specialties"/>
    <x v="0"/>
    <s v="A-"/>
    <s v="United States"/>
    <x v="0"/>
    <d v="2024-04-09T00:00:00"/>
    <x v="0"/>
    <x v="1"/>
    <x v="1"/>
    <m/>
    <s v="Cash Incentive"/>
    <n v="0.18"/>
    <x v="2"/>
    <s v="Strategy &amp; Operations"/>
    <x v="3"/>
    <s v="Non-Financial Performance "/>
    <n v="0.3"/>
  </r>
  <r>
    <x v="21"/>
    <x v="3"/>
    <x v="4"/>
    <x v="17"/>
    <s v="Medical Specialties"/>
    <x v="0"/>
    <s v="A-"/>
    <s v="United States"/>
    <x v="0"/>
    <d v="2024-04-09T00:00:00"/>
    <x v="0"/>
    <x v="1"/>
    <x v="1"/>
    <m/>
    <s v="Cash Incentive"/>
    <n v="0.18"/>
    <x v="1"/>
    <s v="Cash Flow"/>
    <x v="25"/>
    <s v="Free Cash Flow"/>
    <n v="0.05"/>
  </r>
  <r>
    <x v="21"/>
    <x v="3"/>
    <x v="4"/>
    <x v="17"/>
    <s v="Medical Specialties"/>
    <x v="0"/>
    <s v="A-"/>
    <s v="United States"/>
    <x v="0"/>
    <d v="2024-04-09T00:00:00"/>
    <x v="0"/>
    <x v="2"/>
    <x v="1"/>
    <n v="0.36499999999999999"/>
    <s v="Performance Stock"/>
    <n v="0.36499999999999999"/>
    <x v="1"/>
    <s v="Growth"/>
    <x v="1"/>
    <s v="Adjusted Revenue Growth"/>
    <n v="0.5"/>
  </r>
  <r>
    <x v="21"/>
    <x v="3"/>
    <x v="4"/>
    <x v="17"/>
    <s v="Medical Specialties"/>
    <x v="0"/>
    <s v="A-"/>
    <s v="United States"/>
    <x v="0"/>
    <d v="2024-04-09T00:00:00"/>
    <x v="0"/>
    <x v="2"/>
    <x v="1"/>
    <m/>
    <s v="Performance Stock"/>
    <n v="0.36499999999999999"/>
    <x v="1"/>
    <s v="Profitability"/>
    <x v="14"/>
    <s v="Adjusted EPS"/>
    <n v="0.5"/>
  </r>
  <r>
    <x v="21"/>
    <x v="3"/>
    <x v="4"/>
    <x v="17"/>
    <s v="Medical Specialties"/>
    <x v="0"/>
    <s v="A-"/>
    <s v="United States"/>
    <x v="0"/>
    <d v="2024-04-09T00:00:00"/>
    <x v="0"/>
    <x v="2"/>
    <x v="1"/>
    <m/>
    <s v="Performance Stock"/>
    <n v="0.36499999999999999"/>
    <x v="0"/>
    <s v="Modifier/Threshold"/>
    <x v="6"/>
    <s v="3Y Relative TSR "/>
    <m/>
  </r>
  <r>
    <x v="21"/>
    <x v="3"/>
    <x v="4"/>
    <x v="17"/>
    <s v="Medical Specialties"/>
    <x v="0"/>
    <s v="A-"/>
    <s v="United States"/>
    <x v="0"/>
    <d v="2024-04-09T00:00:00"/>
    <x v="0"/>
    <x v="2"/>
    <x v="0"/>
    <n v="0.36499999999999999"/>
    <s v="Stock Options"/>
    <n v="0.36499999999999999"/>
    <x v="0"/>
    <m/>
    <x v="0"/>
    <m/>
    <m/>
  </r>
  <r>
    <x v="21"/>
    <x v="3"/>
    <x v="4"/>
    <x v="17"/>
    <s v="Medical Specialties"/>
    <x v="0"/>
    <s v="A-"/>
    <s v="United States"/>
    <x v="0"/>
    <d v="2024-04-09T00:00:00"/>
    <x v="1"/>
    <x v="0"/>
    <x v="0"/>
    <n v="0.16"/>
    <s v="Base Salary"/>
    <n v="0.16"/>
    <x v="0"/>
    <m/>
    <x v="0"/>
    <m/>
    <m/>
  </r>
  <r>
    <x v="21"/>
    <x v="3"/>
    <x v="4"/>
    <x v="17"/>
    <s v="Medical Specialties"/>
    <x v="0"/>
    <s v="A-"/>
    <s v="United States"/>
    <x v="0"/>
    <d v="2024-04-09T00:00:00"/>
    <x v="1"/>
    <x v="1"/>
    <x v="1"/>
    <n v="0.16"/>
    <s v="Cash Incentive"/>
    <n v="0.16"/>
    <x v="1"/>
    <s v="Growth"/>
    <x v="1"/>
    <s v="Adjusted Revenue Growth"/>
    <n v="0.35"/>
  </r>
  <r>
    <x v="21"/>
    <x v="3"/>
    <x v="4"/>
    <x v="17"/>
    <s v="Medical Specialties"/>
    <x v="0"/>
    <s v="A-"/>
    <s v="United States"/>
    <x v="0"/>
    <d v="2024-04-09T00:00:00"/>
    <x v="1"/>
    <x v="1"/>
    <x v="1"/>
    <m/>
    <s v="Cash Incentive"/>
    <n v="0.16"/>
    <x v="1"/>
    <s v="Profitability"/>
    <x v="24"/>
    <s v="Adjusted Net Income"/>
    <n v="0.3"/>
  </r>
  <r>
    <x v="21"/>
    <x v="3"/>
    <x v="4"/>
    <x v="17"/>
    <s v="Medical Specialties"/>
    <x v="0"/>
    <s v="A-"/>
    <s v="United States"/>
    <x v="0"/>
    <d v="2024-04-09T00:00:00"/>
    <x v="1"/>
    <x v="1"/>
    <x v="1"/>
    <m/>
    <s v="Cash Incentive"/>
    <n v="0.16"/>
    <x v="2"/>
    <s v="Strategy &amp; Operations"/>
    <x v="3"/>
    <s v="Non-Financial Performance "/>
    <n v="0.3"/>
  </r>
  <r>
    <x v="21"/>
    <x v="3"/>
    <x v="4"/>
    <x v="17"/>
    <s v="Medical Specialties"/>
    <x v="0"/>
    <s v="A-"/>
    <s v="United States"/>
    <x v="0"/>
    <d v="2024-04-09T00:00:00"/>
    <x v="1"/>
    <x v="1"/>
    <x v="1"/>
    <m/>
    <s v="Cash Incentive"/>
    <n v="0.16"/>
    <x v="1"/>
    <s v="Cash Flow"/>
    <x v="25"/>
    <s v="Free Cash Flow"/>
    <n v="0.05"/>
  </r>
  <r>
    <x v="21"/>
    <x v="3"/>
    <x v="4"/>
    <x v="17"/>
    <s v="Medical Specialties"/>
    <x v="0"/>
    <s v="A-"/>
    <s v="United States"/>
    <x v="0"/>
    <d v="2024-04-09T00:00:00"/>
    <x v="1"/>
    <x v="2"/>
    <x v="1"/>
    <n v="0.27"/>
    <s v="Performance Stock"/>
    <n v="0.27"/>
    <x v="1"/>
    <s v="Growth"/>
    <x v="1"/>
    <s v="Adjusted Revenue Growth"/>
    <n v="0.5"/>
  </r>
  <r>
    <x v="21"/>
    <x v="3"/>
    <x v="4"/>
    <x v="17"/>
    <s v="Medical Specialties"/>
    <x v="0"/>
    <s v="A-"/>
    <s v="United States"/>
    <x v="0"/>
    <d v="2024-04-09T00:00:00"/>
    <x v="1"/>
    <x v="2"/>
    <x v="1"/>
    <m/>
    <s v="Performance Stock"/>
    <n v="0.27"/>
    <x v="1"/>
    <s v="Profitability"/>
    <x v="14"/>
    <s v="Adjusted EPS"/>
    <n v="0.5"/>
  </r>
  <r>
    <x v="21"/>
    <x v="3"/>
    <x v="4"/>
    <x v="17"/>
    <s v="Medical Specialties"/>
    <x v="0"/>
    <s v="A-"/>
    <s v="United States"/>
    <x v="0"/>
    <d v="2024-04-09T00:00:00"/>
    <x v="1"/>
    <x v="2"/>
    <x v="1"/>
    <m/>
    <s v="Performance Stock"/>
    <n v="0.27"/>
    <x v="0"/>
    <s v="Modifier/Threshold"/>
    <x v="6"/>
    <s v="3Y Relative TSR "/>
    <m/>
  </r>
  <r>
    <x v="21"/>
    <x v="3"/>
    <x v="4"/>
    <x v="17"/>
    <s v="Medical Specialties"/>
    <x v="0"/>
    <s v="A-"/>
    <s v="United States"/>
    <x v="0"/>
    <d v="2024-04-09T00:00:00"/>
    <x v="1"/>
    <x v="2"/>
    <x v="0"/>
    <n v="0.27"/>
    <s v="Stock Options"/>
    <n v="0.27"/>
    <x v="0"/>
    <m/>
    <x v="0"/>
    <m/>
    <m/>
  </r>
  <r>
    <x v="21"/>
    <x v="3"/>
    <x v="4"/>
    <x v="17"/>
    <s v="Medical Specialties"/>
    <x v="0"/>
    <s v="A-"/>
    <s v="United States"/>
    <x v="0"/>
    <d v="2024-04-09T00:00:00"/>
    <x v="1"/>
    <x v="2"/>
    <x v="0"/>
    <n v="0.14000000000000001"/>
    <s v="Time-Based Stock"/>
    <n v="0.14000000000000001"/>
    <x v="0"/>
    <m/>
    <x v="0"/>
    <m/>
    <m/>
  </r>
  <r>
    <x v="22"/>
    <x v="1"/>
    <x v="2"/>
    <x v="18"/>
    <s v="Cable/Satellite TV"/>
    <x v="0"/>
    <s v="A-"/>
    <s v="United States"/>
    <x v="0"/>
    <d v="2024-04-26T00:00:00"/>
    <x v="0"/>
    <x v="0"/>
    <x v="0"/>
    <n v="7.0000000000000007E-2"/>
    <s v="Base Salary"/>
    <n v="7.0000000000000007E-2"/>
    <x v="0"/>
    <m/>
    <x v="0"/>
    <m/>
    <m/>
  </r>
  <r>
    <x v="22"/>
    <x v="1"/>
    <x v="2"/>
    <x v="18"/>
    <s v="Cable/Satellite TV"/>
    <x v="0"/>
    <s v="A-"/>
    <s v="United States"/>
    <x v="0"/>
    <d v="2024-04-26T00:00:00"/>
    <x v="0"/>
    <x v="1"/>
    <x v="1"/>
    <n v="0.24"/>
    <s v="Cash Incentive"/>
    <n v="0.24"/>
    <x v="1"/>
    <s v="Profitability"/>
    <x v="32"/>
    <s v="Adjusted EBITDA"/>
    <n v="0.35"/>
  </r>
  <r>
    <x v="22"/>
    <x v="1"/>
    <x v="2"/>
    <x v="18"/>
    <s v="Cable/Satellite TV"/>
    <x v="0"/>
    <s v="A-"/>
    <s v="United States"/>
    <x v="0"/>
    <d v="2024-04-26T00:00:00"/>
    <x v="0"/>
    <x v="1"/>
    <x v="1"/>
    <m/>
    <s v="Cash Incentive"/>
    <n v="0.24"/>
    <x v="1"/>
    <s v="Cash Flow"/>
    <x v="25"/>
    <s v="Free Cash Flow"/>
    <n v="0.28000000000000003"/>
  </r>
  <r>
    <x v="22"/>
    <x v="1"/>
    <x v="2"/>
    <x v="18"/>
    <s v="Cable/Satellite TV"/>
    <x v="0"/>
    <s v="A-"/>
    <s v="United States"/>
    <x v="0"/>
    <d v="2024-04-26T00:00:00"/>
    <x v="0"/>
    <x v="1"/>
    <x v="1"/>
    <m/>
    <s v="Cash Incentive"/>
    <n v="0.24"/>
    <x v="2"/>
    <s v="Strategy &amp; Operations"/>
    <x v="3"/>
    <s v="Operating Performance"/>
    <n v="0.15"/>
  </r>
  <r>
    <x v="22"/>
    <x v="1"/>
    <x v="2"/>
    <x v="18"/>
    <s v="Cable/Satellite TV"/>
    <x v="0"/>
    <s v="A-"/>
    <s v="United States"/>
    <x v="0"/>
    <d v="2024-04-26T00:00:00"/>
    <x v="0"/>
    <x v="1"/>
    <x v="1"/>
    <m/>
    <s v="Cash Incentive"/>
    <n v="0.24"/>
    <x v="2"/>
    <s v="ESG"/>
    <x v="7"/>
    <s v="Stakeholder and Sustainability Initiatives"/>
    <n v="0.15"/>
  </r>
  <r>
    <x v="22"/>
    <x v="1"/>
    <x v="2"/>
    <x v="18"/>
    <s v="Cable/Satellite TV"/>
    <x v="0"/>
    <s v="A-"/>
    <s v="United States"/>
    <x v="0"/>
    <d v="2024-04-26T00:00:00"/>
    <x v="0"/>
    <x v="1"/>
    <x v="1"/>
    <m/>
    <s v="Cash Incentive"/>
    <n v="0.24"/>
    <x v="1"/>
    <s v="Growth"/>
    <x v="1"/>
    <s v="Revenue "/>
    <n v="7.0000000000000007E-2"/>
  </r>
  <r>
    <x v="22"/>
    <x v="1"/>
    <x v="2"/>
    <x v="18"/>
    <s v="Cable/Satellite TV"/>
    <x v="0"/>
    <s v="A-"/>
    <s v="United States"/>
    <x v="0"/>
    <d v="2024-04-26T00:00:00"/>
    <x v="0"/>
    <x v="2"/>
    <x v="1"/>
    <n v="0.52"/>
    <s v="Performance Stock"/>
    <n v="0.52"/>
    <x v="1"/>
    <s v="Return"/>
    <x v="26"/>
    <s v="3Y Average ROIC"/>
    <n v="0.5"/>
  </r>
  <r>
    <x v="22"/>
    <x v="1"/>
    <x v="2"/>
    <x v="18"/>
    <s v="Cable/Satellite TV"/>
    <x v="0"/>
    <s v="A-"/>
    <s v="United States"/>
    <x v="0"/>
    <d v="2024-04-26T00:00:00"/>
    <x v="0"/>
    <x v="2"/>
    <x v="1"/>
    <m/>
    <s v="Performance Stock"/>
    <n v="0.52"/>
    <x v="1"/>
    <s v="Profitability"/>
    <x v="14"/>
    <s v="3Y Relative Adjusted EPS Growth"/>
    <n v="0.5"/>
  </r>
  <r>
    <x v="22"/>
    <x v="1"/>
    <x v="2"/>
    <x v="18"/>
    <s v="Cable/Satellite TV"/>
    <x v="0"/>
    <s v="A-"/>
    <s v="United States"/>
    <x v="0"/>
    <d v="2024-04-26T00:00:00"/>
    <x v="0"/>
    <x v="2"/>
    <x v="1"/>
    <m/>
    <s v="Performance Stock"/>
    <n v="0.52"/>
    <x v="0"/>
    <s v="Modifier/Threshold"/>
    <x v="6"/>
    <s v="3Y Relative TSR "/>
    <m/>
  </r>
  <r>
    <x v="22"/>
    <x v="1"/>
    <x v="2"/>
    <x v="18"/>
    <s v="Cable/Satellite TV"/>
    <x v="0"/>
    <s v="A-"/>
    <s v="United States"/>
    <x v="0"/>
    <d v="2024-04-26T00:00:00"/>
    <x v="0"/>
    <x v="2"/>
    <x v="1"/>
    <m/>
    <s v="Performance Stock"/>
    <n v="0.52"/>
    <x v="0"/>
    <s v="Modifier/Threshold"/>
    <x v="12"/>
    <s v="3Y Absolute TSR"/>
    <m/>
  </r>
  <r>
    <x v="22"/>
    <x v="1"/>
    <x v="2"/>
    <x v="18"/>
    <s v="Cable/Satellite TV"/>
    <x v="0"/>
    <s v="A-"/>
    <s v="United States"/>
    <x v="0"/>
    <d v="2024-04-26T00:00:00"/>
    <x v="0"/>
    <x v="2"/>
    <x v="0"/>
    <n v="0.17"/>
    <s v="Stock Options"/>
    <n v="0.17"/>
    <x v="0"/>
    <m/>
    <x v="0"/>
    <m/>
    <m/>
  </r>
  <r>
    <x v="22"/>
    <x v="1"/>
    <x v="2"/>
    <x v="18"/>
    <s v="Cable/Satellite TV"/>
    <x v="0"/>
    <s v="A-"/>
    <s v="United States"/>
    <x v="0"/>
    <d v="2024-04-26T00:00:00"/>
    <x v="1"/>
    <x v="0"/>
    <x v="0"/>
    <n v="0.13"/>
    <s v="Base Salary"/>
    <n v="0.13"/>
    <x v="0"/>
    <m/>
    <x v="0"/>
    <m/>
    <m/>
  </r>
  <r>
    <x v="22"/>
    <x v="1"/>
    <x v="2"/>
    <x v="18"/>
    <s v="Cable/Satellite TV"/>
    <x v="0"/>
    <s v="A-"/>
    <s v="United States"/>
    <x v="0"/>
    <d v="2024-04-26T00:00:00"/>
    <x v="1"/>
    <x v="1"/>
    <x v="1"/>
    <n v="0.34"/>
    <s v="Cash Incentive"/>
    <n v="0.34"/>
    <x v="1"/>
    <s v="Profitability"/>
    <x v="32"/>
    <s v="Adjusted EBITDA"/>
    <n v="0.35"/>
  </r>
  <r>
    <x v="22"/>
    <x v="1"/>
    <x v="2"/>
    <x v="18"/>
    <s v="Cable/Satellite TV"/>
    <x v="0"/>
    <s v="A-"/>
    <s v="United States"/>
    <x v="0"/>
    <d v="2024-04-26T00:00:00"/>
    <x v="1"/>
    <x v="1"/>
    <x v="1"/>
    <m/>
    <s v="Cash Incentive"/>
    <n v="0.34"/>
    <x v="1"/>
    <s v="Cash Flow"/>
    <x v="25"/>
    <s v="Free Cash Flow"/>
    <n v="0.28000000000000003"/>
  </r>
  <r>
    <x v="22"/>
    <x v="1"/>
    <x v="2"/>
    <x v="18"/>
    <s v="Cable/Satellite TV"/>
    <x v="0"/>
    <s v="A-"/>
    <s v="United States"/>
    <x v="0"/>
    <d v="2024-04-26T00:00:00"/>
    <x v="1"/>
    <x v="1"/>
    <x v="1"/>
    <m/>
    <s v="Cash Incentive"/>
    <n v="0.34"/>
    <x v="2"/>
    <s v="Strategy &amp; Operations"/>
    <x v="3"/>
    <s v="Operating Performance"/>
    <n v="0.15"/>
  </r>
  <r>
    <x v="22"/>
    <x v="1"/>
    <x v="2"/>
    <x v="18"/>
    <s v="Cable/Satellite TV"/>
    <x v="0"/>
    <s v="A-"/>
    <s v="United States"/>
    <x v="0"/>
    <d v="2024-04-26T00:00:00"/>
    <x v="1"/>
    <x v="1"/>
    <x v="1"/>
    <m/>
    <s v="Cash Incentive"/>
    <n v="0.34"/>
    <x v="2"/>
    <s v="ESG"/>
    <x v="7"/>
    <s v="Stakeholder and Sustainability Initiatives"/>
    <n v="0.15"/>
  </r>
  <r>
    <x v="22"/>
    <x v="1"/>
    <x v="2"/>
    <x v="18"/>
    <s v="Cable/Satellite TV"/>
    <x v="0"/>
    <s v="A-"/>
    <s v="United States"/>
    <x v="0"/>
    <d v="2024-04-26T00:00:00"/>
    <x v="1"/>
    <x v="1"/>
    <x v="1"/>
    <m/>
    <s v="Cash Incentive"/>
    <n v="0.34"/>
    <x v="1"/>
    <s v="Growth"/>
    <x v="1"/>
    <s v="Revenue "/>
    <n v="7.0000000000000007E-2"/>
  </r>
  <r>
    <x v="22"/>
    <x v="1"/>
    <x v="2"/>
    <x v="18"/>
    <s v="Cable/Satellite TV"/>
    <x v="0"/>
    <s v="A-"/>
    <s v="United States"/>
    <x v="0"/>
    <d v="2024-04-26T00:00:00"/>
    <x v="1"/>
    <x v="2"/>
    <x v="1"/>
    <n v="0.4"/>
    <s v="Performance Stock"/>
    <n v="0.4"/>
    <x v="1"/>
    <s v="Return"/>
    <x v="26"/>
    <s v="3Y Average ROIC"/>
    <n v="0.5"/>
  </r>
  <r>
    <x v="22"/>
    <x v="1"/>
    <x v="2"/>
    <x v="18"/>
    <s v="Cable/Satellite TV"/>
    <x v="0"/>
    <s v="A-"/>
    <s v="United States"/>
    <x v="0"/>
    <d v="2024-04-26T00:00:00"/>
    <x v="1"/>
    <x v="2"/>
    <x v="1"/>
    <m/>
    <s v="Performance Stock"/>
    <n v="0.4"/>
    <x v="1"/>
    <s v="Profitability"/>
    <x v="14"/>
    <s v="3Y Relative Adjusted EPS Growth"/>
    <n v="0.5"/>
  </r>
  <r>
    <x v="22"/>
    <x v="1"/>
    <x v="2"/>
    <x v="18"/>
    <s v="Cable/Satellite TV"/>
    <x v="0"/>
    <s v="A-"/>
    <s v="United States"/>
    <x v="0"/>
    <d v="2024-04-26T00:00:00"/>
    <x v="1"/>
    <x v="2"/>
    <x v="1"/>
    <m/>
    <s v="Performance Stock"/>
    <n v="0.4"/>
    <x v="0"/>
    <s v="Modifier/Threshold"/>
    <x v="6"/>
    <s v="3Y Relative TSR "/>
    <m/>
  </r>
  <r>
    <x v="22"/>
    <x v="1"/>
    <x v="2"/>
    <x v="18"/>
    <s v="Cable/Satellite TV"/>
    <x v="0"/>
    <s v="A-"/>
    <s v="United States"/>
    <x v="0"/>
    <d v="2024-04-26T00:00:00"/>
    <x v="1"/>
    <x v="2"/>
    <x v="1"/>
    <m/>
    <s v="Performance Stock"/>
    <n v="0.4"/>
    <x v="0"/>
    <s v="Modifier/Threshold"/>
    <x v="12"/>
    <s v="3Y Absolute TSR"/>
    <m/>
  </r>
  <r>
    <x v="22"/>
    <x v="1"/>
    <x v="2"/>
    <x v="18"/>
    <s v="Cable/Satellite TV"/>
    <x v="0"/>
    <s v="A-"/>
    <s v="United States"/>
    <x v="0"/>
    <d v="2024-04-26T00:00:00"/>
    <x v="1"/>
    <x v="2"/>
    <x v="0"/>
    <n v="0.13"/>
    <s v="Stock Options"/>
    <n v="0.13"/>
    <x v="0"/>
    <m/>
    <x v="0"/>
    <m/>
    <m/>
  </r>
  <r>
    <x v="23"/>
    <x v="6"/>
    <x v="10"/>
    <x v="19"/>
    <s v="Industrial Machinery"/>
    <x v="0"/>
    <s v="A"/>
    <s v="United States"/>
    <x v="0"/>
    <d v="2024-04-29T00:00:00"/>
    <x v="0"/>
    <x v="0"/>
    <x v="0"/>
    <n v="0.09"/>
    <s v="Base Salary"/>
    <n v="0.09"/>
    <x v="0"/>
    <m/>
    <x v="0"/>
    <m/>
    <m/>
  </r>
  <r>
    <x v="23"/>
    <x v="6"/>
    <x v="10"/>
    <x v="19"/>
    <s v="Industrial Machinery"/>
    <x v="0"/>
    <s v="A"/>
    <s v="United States"/>
    <x v="0"/>
    <d v="2024-04-29T00:00:00"/>
    <x v="0"/>
    <x v="1"/>
    <x v="1"/>
    <n v="0.16"/>
    <s v="Cash Incentive"/>
    <n v="0.16"/>
    <x v="1"/>
    <s v="Profitability"/>
    <x v="2"/>
    <s v="Adjusted Operating Income"/>
    <n v="0.33"/>
  </r>
  <r>
    <x v="23"/>
    <x v="6"/>
    <x v="10"/>
    <x v="19"/>
    <s v="Industrial Machinery"/>
    <x v="0"/>
    <s v="A"/>
    <s v="United States"/>
    <x v="0"/>
    <d v="2024-04-29T00:00:00"/>
    <x v="0"/>
    <x v="1"/>
    <x v="1"/>
    <m/>
    <s v="Cash Incentive"/>
    <n v="0.16"/>
    <x v="1"/>
    <s v="Profitability"/>
    <x v="2"/>
    <s v="Adjusted Operating Income after Capital Charge "/>
    <n v="0.33"/>
  </r>
  <r>
    <x v="23"/>
    <x v="6"/>
    <x v="10"/>
    <x v="19"/>
    <s v="Industrial Machinery"/>
    <x v="0"/>
    <s v="A"/>
    <s v="United States"/>
    <x v="0"/>
    <d v="2024-04-29T00:00:00"/>
    <x v="0"/>
    <x v="1"/>
    <x v="1"/>
    <m/>
    <s v="Cash Incentive"/>
    <n v="0.16"/>
    <x v="1"/>
    <s v="Growth"/>
    <x v="1"/>
    <s v="Adjusted Services Revenues"/>
    <n v="0.34"/>
  </r>
  <r>
    <x v="23"/>
    <x v="6"/>
    <x v="10"/>
    <x v="19"/>
    <s v="Industrial Machinery"/>
    <x v="0"/>
    <s v="A"/>
    <s v="United States"/>
    <x v="0"/>
    <d v="2024-04-29T00:00:00"/>
    <x v="0"/>
    <x v="1"/>
    <x v="1"/>
    <m/>
    <s v="Cash Incentive"/>
    <n v="0.16"/>
    <x v="0"/>
    <s v="Modifier/Threshold"/>
    <x v="10"/>
    <s v="Individual Performance Factor"/>
    <m/>
  </r>
  <r>
    <x v="23"/>
    <x v="6"/>
    <x v="10"/>
    <x v="19"/>
    <s v="Industrial Machinery"/>
    <x v="0"/>
    <s v="A"/>
    <s v="United States"/>
    <x v="0"/>
    <d v="2024-04-29T00:00:00"/>
    <x v="0"/>
    <x v="1"/>
    <x v="1"/>
    <m/>
    <s v="Cash Incentive"/>
    <n v="0.16"/>
    <x v="0"/>
    <s v="Modifier/Threshold"/>
    <x v="37"/>
    <s v="Forecasted Adjusted Operating Income  "/>
    <m/>
  </r>
  <r>
    <x v="23"/>
    <x v="6"/>
    <x v="10"/>
    <x v="19"/>
    <s v="Industrial Machinery"/>
    <x v="0"/>
    <s v="A"/>
    <s v="United States"/>
    <x v="0"/>
    <d v="2024-04-29T00:00:00"/>
    <x v="0"/>
    <x v="2"/>
    <x v="1"/>
    <n v="0.375"/>
    <s v="Performance Stock"/>
    <n v="0.375"/>
    <x v="1"/>
    <s v="Return"/>
    <x v="21"/>
    <s v="3Y Average Adjusted Return on Equity"/>
    <n v="1"/>
  </r>
  <r>
    <x v="23"/>
    <x v="6"/>
    <x v="10"/>
    <x v="19"/>
    <s v="Industrial Machinery"/>
    <x v="0"/>
    <s v="A"/>
    <s v="United States"/>
    <x v="0"/>
    <d v="2024-04-29T00:00:00"/>
    <x v="0"/>
    <x v="2"/>
    <x v="1"/>
    <m/>
    <s v="Performance Stock"/>
    <n v="0.375"/>
    <x v="0"/>
    <s v="Modifier/Threshold"/>
    <x v="6"/>
    <s v="Relative TSR"/>
    <m/>
  </r>
  <r>
    <x v="23"/>
    <x v="6"/>
    <x v="10"/>
    <x v="19"/>
    <s v="Industrial Machinery"/>
    <x v="0"/>
    <s v="A"/>
    <s v="United States"/>
    <x v="0"/>
    <d v="2024-04-29T00:00:00"/>
    <x v="0"/>
    <x v="2"/>
    <x v="1"/>
    <m/>
    <s v="Performance Stock"/>
    <n v="0.375"/>
    <x v="0"/>
    <s v="Modifier/Threshold"/>
    <x v="34"/>
    <s v="Discretionary Adjustment"/>
    <m/>
  </r>
  <r>
    <x v="23"/>
    <x v="6"/>
    <x v="10"/>
    <x v="19"/>
    <s v="Industrial Machinery"/>
    <x v="0"/>
    <s v="A"/>
    <s v="United States"/>
    <x v="0"/>
    <d v="2024-04-29T00:00:00"/>
    <x v="0"/>
    <x v="2"/>
    <x v="0"/>
    <n v="0.375"/>
    <s v="Stock Options"/>
    <n v="0.375"/>
    <x v="0"/>
    <m/>
    <x v="0"/>
    <m/>
    <m/>
  </r>
  <r>
    <x v="23"/>
    <x v="6"/>
    <x v="10"/>
    <x v="19"/>
    <s v="Industrial Machinery"/>
    <x v="0"/>
    <s v="A"/>
    <s v="United States"/>
    <x v="0"/>
    <d v="2024-04-29T00:00:00"/>
    <x v="1"/>
    <x v="0"/>
    <x v="0"/>
    <n v="0.16"/>
    <s v="Base Salary"/>
    <n v="0.16"/>
    <x v="0"/>
    <m/>
    <x v="0"/>
    <m/>
    <m/>
  </r>
  <r>
    <x v="23"/>
    <x v="6"/>
    <x v="10"/>
    <x v="19"/>
    <s v="Industrial Machinery"/>
    <x v="0"/>
    <s v="A"/>
    <s v="United States"/>
    <x v="0"/>
    <d v="2024-04-29T00:00:00"/>
    <x v="1"/>
    <x v="1"/>
    <x v="1"/>
    <n v="0.17"/>
    <s v="Cash Incentive"/>
    <n v="0.17"/>
    <x v="1"/>
    <s v="Profitability"/>
    <x v="2"/>
    <s v="Adjusted Operating Income"/>
    <n v="0.3"/>
  </r>
  <r>
    <x v="23"/>
    <x v="6"/>
    <x v="10"/>
    <x v="19"/>
    <s v="Industrial Machinery"/>
    <x v="0"/>
    <s v="A"/>
    <s v="United States"/>
    <x v="0"/>
    <d v="2024-04-29T00:00:00"/>
    <x v="1"/>
    <x v="1"/>
    <x v="1"/>
    <m/>
    <s v="Cash Incentive"/>
    <n v="0.17"/>
    <x v="1"/>
    <s v="Profitability"/>
    <x v="2"/>
    <s v="Adjusted Operating Income after Capital Charge "/>
    <n v="0.36"/>
  </r>
  <r>
    <x v="23"/>
    <x v="6"/>
    <x v="10"/>
    <x v="19"/>
    <s v="Industrial Machinery"/>
    <x v="0"/>
    <s v="A"/>
    <s v="United States"/>
    <x v="0"/>
    <d v="2024-04-29T00:00:00"/>
    <x v="1"/>
    <x v="1"/>
    <x v="1"/>
    <m/>
    <s v="Cash Incentive"/>
    <n v="0.17"/>
    <x v="1"/>
    <s v="Profitability"/>
    <x v="1"/>
    <s v="Adjusted Services Revenues"/>
    <n v="0.34"/>
  </r>
  <r>
    <x v="23"/>
    <x v="6"/>
    <x v="10"/>
    <x v="19"/>
    <s v="Industrial Machinery"/>
    <x v="0"/>
    <s v="A"/>
    <s v="United States"/>
    <x v="0"/>
    <d v="2024-04-29T00:00:00"/>
    <x v="1"/>
    <x v="1"/>
    <x v="1"/>
    <m/>
    <s v="Cash Incentive"/>
    <n v="0.16"/>
    <x v="0"/>
    <s v="Modifier/Threshold"/>
    <x v="10"/>
    <s v="Individual Performance"/>
    <m/>
  </r>
  <r>
    <x v="23"/>
    <x v="6"/>
    <x v="10"/>
    <x v="19"/>
    <s v="Industrial Machinery"/>
    <x v="0"/>
    <s v="A"/>
    <s v="United States"/>
    <x v="0"/>
    <d v="2024-04-29T00:00:00"/>
    <x v="0"/>
    <x v="1"/>
    <x v="1"/>
    <m/>
    <s v="Cash Incentive"/>
    <n v="0.16"/>
    <x v="0"/>
    <s v="Modifier/Threshold"/>
    <x v="37"/>
    <s v="Forecasted Adjusted Operating Income  "/>
    <m/>
  </r>
  <r>
    <x v="23"/>
    <x v="6"/>
    <x v="10"/>
    <x v="19"/>
    <s v="Industrial Machinery"/>
    <x v="0"/>
    <s v="A"/>
    <s v="United States"/>
    <x v="0"/>
    <d v="2024-04-29T00:00:00"/>
    <x v="1"/>
    <x v="2"/>
    <x v="1"/>
    <n v="0.33500000000000002"/>
    <s v="Performance Stock"/>
    <n v="0.33500000000000002"/>
    <x v="1"/>
    <s v="Return"/>
    <x v="21"/>
    <s v="3Y Average Adjusted Return on Equity"/>
    <n v="1"/>
  </r>
  <r>
    <x v="23"/>
    <x v="6"/>
    <x v="10"/>
    <x v="19"/>
    <s v="Industrial Machinery"/>
    <x v="0"/>
    <s v="A"/>
    <s v="United States"/>
    <x v="0"/>
    <d v="2024-04-29T00:00:00"/>
    <x v="1"/>
    <x v="2"/>
    <x v="1"/>
    <m/>
    <s v="Performance Stock"/>
    <n v="0.33500000000000002"/>
    <x v="0"/>
    <s v="Modifier/Threshold"/>
    <x v="6"/>
    <s v="Relative TSR"/>
    <m/>
  </r>
  <r>
    <x v="23"/>
    <x v="6"/>
    <x v="10"/>
    <x v="19"/>
    <s v="Industrial Machinery"/>
    <x v="0"/>
    <s v="A"/>
    <s v="United States"/>
    <x v="0"/>
    <d v="2024-04-29T00:00:00"/>
    <x v="1"/>
    <x v="2"/>
    <x v="1"/>
    <m/>
    <s v="Performance Stock"/>
    <n v="0.33500000000000002"/>
    <x v="0"/>
    <s v="Modifier/Threshold"/>
    <x v="34"/>
    <s v="Discretionary Adjustment"/>
    <m/>
  </r>
  <r>
    <x v="23"/>
    <x v="6"/>
    <x v="10"/>
    <x v="19"/>
    <s v="Industrial Machinery"/>
    <x v="0"/>
    <s v="A"/>
    <s v="United States"/>
    <x v="0"/>
    <d v="2024-04-29T00:00:00"/>
    <x v="1"/>
    <x v="2"/>
    <x v="0"/>
    <n v="0.33500000000000002"/>
    <s v="Stock Options"/>
    <n v="0.33500000000000002"/>
    <x v="0"/>
    <m/>
    <x v="0"/>
    <m/>
    <m/>
  </r>
  <r>
    <x v="24"/>
    <x v="2"/>
    <x v="12"/>
    <x v="20"/>
    <s v="Motor Vehicles"/>
    <x v="0"/>
    <s v="BBB"/>
    <s v="United States"/>
    <x v="0"/>
    <d v="2024-04-29T00:00:00"/>
    <x v="0"/>
    <x v="3"/>
    <x v="1"/>
    <n v="1"/>
    <s v="Performance Stock Options"/>
    <n v="1"/>
    <x v="1"/>
    <s v="Profitability"/>
    <x v="32"/>
    <s v="Adjusted EBITDA"/>
    <m/>
  </r>
  <r>
    <x v="24"/>
    <x v="2"/>
    <x v="12"/>
    <x v="20"/>
    <s v="Motor Vehicles"/>
    <x v="0"/>
    <s v="BBB"/>
    <s v="United States"/>
    <x v="0"/>
    <d v="2024-04-29T00:00:00"/>
    <x v="0"/>
    <x v="3"/>
    <x v="1"/>
    <m/>
    <s v="Performance Stock Options"/>
    <n v="1"/>
    <x v="3"/>
    <s v="Stock Performance"/>
    <x v="38"/>
    <s v="Market capitalization"/>
    <m/>
  </r>
  <r>
    <x v="24"/>
    <x v="2"/>
    <x v="12"/>
    <x v="20"/>
    <s v="Motor Vehicles"/>
    <x v="0"/>
    <s v="BBB"/>
    <s v="United States"/>
    <x v="0"/>
    <d v="2024-04-29T00:00:00"/>
    <x v="0"/>
    <x v="3"/>
    <x v="1"/>
    <m/>
    <s v="Performance Stock Options"/>
    <n v="1"/>
    <x v="1"/>
    <s v="Growth"/>
    <x v="1"/>
    <s v="Revenue "/>
    <m/>
  </r>
  <r>
    <x v="24"/>
    <x v="2"/>
    <x v="12"/>
    <x v="20"/>
    <s v="Motor Vehicles"/>
    <x v="0"/>
    <s v="BBB"/>
    <s v="United States"/>
    <x v="0"/>
    <d v="2024-04-29T00:00:00"/>
    <x v="1"/>
    <x v="0"/>
    <x v="0"/>
    <m/>
    <s v="Base Salary"/>
    <m/>
    <x v="0"/>
    <m/>
    <x v="0"/>
    <m/>
    <m/>
  </r>
  <r>
    <x v="24"/>
    <x v="2"/>
    <x v="12"/>
    <x v="20"/>
    <s v="Motor Vehicles"/>
    <x v="0"/>
    <s v="BBB"/>
    <s v="United States"/>
    <x v="0"/>
    <d v="2024-04-29T00:00:00"/>
    <x v="1"/>
    <x v="2"/>
    <x v="0"/>
    <m/>
    <s v="Time-Based Stock"/>
    <m/>
    <x v="0"/>
    <m/>
    <x v="0"/>
    <m/>
    <m/>
  </r>
  <r>
    <x v="24"/>
    <x v="2"/>
    <x v="12"/>
    <x v="20"/>
    <s v="Motor Vehicles"/>
    <x v="0"/>
    <s v="BBB"/>
    <s v="United States"/>
    <x v="0"/>
    <d v="2024-04-29T00:00:00"/>
    <x v="1"/>
    <x v="2"/>
    <x v="1"/>
    <m/>
    <s v="Performance Stock Options"/>
    <m/>
    <x v="0"/>
    <m/>
    <x v="0"/>
    <m/>
    <m/>
  </r>
  <r>
    <x v="25"/>
    <x v="8"/>
    <x v="13"/>
    <x v="21"/>
    <s v="Oil &amp; Gas"/>
    <x v="1"/>
    <s v="A-"/>
    <s v="United States"/>
    <x v="0"/>
    <d v="2024-03-28T00:00:00"/>
    <x v="0"/>
    <x v="0"/>
    <x v="0"/>
    <n v="0.09"/>
    <s v="Base Salary"/>
    <n v="0.09"/>
    <x v="0"/>
    <m/>
    <x v="0"/>
    <m/>
    <m/>
  </r>
  <r>
    <x v="25"/>
    <x v="8"/>
    <x v="13"/>
    <x v="21"/>
    <s v="Oil &amp; Gas"/>
    <x v="1"/>
    <s v="A-"/>
    <s v="United States"/>
    <x v="0"/>
    <d v="2024-03-27T00:00:00"/>
    <x v="0"/>
    <x v="1"/>
    <x v="1"/>
    <n v="0.14000000000000001"/>
    <s v="Cash Incentive"/>
    <n v="0.14000000000000001"/>
    <x v="2"/>
    <s v="Strategy &amp; Operations"/>
    <x v="3"/>
    <s v="Operational and Organizational Execution"/>
    <n v="0.3"/>
  </r>
  <r>
    <x v="25"/>
    <x v="8"/>
    <x v="13"/>
    <x v="21"/>
    <s v="Oil &amp; Gas"/>
    <x v="1"/>
    <s v="A-"/>
    <s v="United States"/>
    <x v="0"/>
    <d v="2024-03-28T00:00:00"/>
    <x v="0"/>
    <x v="1"/>
    <x v="1"/>
    <m/>
    <s v="Cash Incentive"/>
    <n v="0.14000000000000001"/>
    <x v="1"/>
    <s v="Return"/>
    <x v="3"/>
    <s v="Adjusted All-In After-Tax Rate of Return on Total Capital Expenditures"/>
    <n v="0.15"/>
  </r>
  <r>
    <x v="25"/>
    <x v="8"/>
    <x v="13"/>
    <x v="21"/>
    <s v="Oil &amp; Gas"/>
    <x v="1"/>
    <s v="A-"/>
    <s v="United States"/>
    <x v="0"/>
    <d v="2024-03-28T00:00:00"/>
    <x v="0"/>
    <x v="1"/>
    <x v="1"/>
    <m/>
    <s v="Cash Incentive"/>
    <n v="0.14000000000000001"/>
    <x v="1"/>
    <s v="Return"/>
    <x v="39"/>
    <s v="Adjusted Return on Capital Employed"/>
    <n v="0.15"/>
  </r>
  <r>
    <x v="25"/>
    <x v="8"/>
    <x v="13"/>
    <x v="21"/>
    <s v="Oil &amp; Gas"/>
    <x v="1"/>
    <s v="A-"/>
    <s v="United States"/>
    <x v="0"/>
    <d v="2024-03-28T00:00:00"/>
    <x v="0"/>
    <x v="1"/>
    <x v="1"/>
    <m/>
    <s v="Cash Incentive"/>
    <n v="0.14000000000000001"/>
    <x v="1"/>
    <s v="Cash Flow"/>
    <x v="25"/>
    <s v="Adjusted Free Cash Flow"/>
    <n v="0.15"/>
  </r>
  <r>
    <x v="25"/>
    <x v="8"/>
    <x v="13"/>
    <x v="21"/>
    <s v="Oil &amp; Gas"/>
    <x v="1"/>
    <s v="A-"/>
    <s v="United States"/>
    <x v="0"/>
    <d v="2024-03-28T00:00:00"/>
    <x v="0"/>
    <x v="1"/>
    <x v="1"/>
    <m/>
    <s v="Cash Incentive"/>
    <n v="0.14000000000000001"/>
    <x v="2"/>
    <s v="ESG"/>
    <x v="40"/>
    <s v="Total Recordable Incident Rate"/>
    <n v="7.4999999999999997E-2"/>
  </r>
  <r>
    <x v="25"/>
    <x v="8"/>
    <x v="13"/>
    <x v="21"/>
    <s v="Oil &amp; Gas"/>
    <x v="1"/>
    <s v="A-"/>
    <s v="United States"/>
    <x v="0"/>
    <d v="2024-03-28T00:00:00"/>
    <x v="0"/>
    <x v="1"/>
    <x v="1"/>
    <m/>
    <s v="Cash Incentive"/>
    <n v="0.14000000000000001"/>
    <x v="2"/>
    <s v="ESG"/>
    <x v="7"/>
    <s v="Continued Commitment to Strong Environmental Record "/>
    <n v="7.4999999999999997E-2"/>
  </r>
  <r>
    <x v="25"/>
    <x v="8"/>
    <x v="13"/>
    <x v="21"/>
    <s v="Oil &amp; Gas"/>
    <x v="1"/>
    <s v="A-"/>
    <s v="United States"/>
    <x v="0"/>
    <d v="2024-03-28T00:00:00"/>
    <x v="0"/>
    <x v="1"/>
    <x v="1"/>
    <m/>
    <s v="Cash Incentive"/>
    <n v="0.14000000000000001"/>
    <x v="3"/>
    <s v="Stock Performance"/>
    <x v="11"/>
    <s v="Relative TSR and Relative Forward-Year Cash Flow Multiple"/>
    <n v="0.05"/>
  </r>
  <r>
    <x v="25"/>
    <x v="8"/>
    <x v="13"/>
    <x v="21"/>
    <s v="Oil &amp; Gas"/>
    <x v="1"/>
    <s v="A-"/>
    <s v="United States"/>
    <x v="0"/>
    <d v="2024-03-28T00:00:00"/>
    <x v="0"/>
    <x v="1"/>
    <x v="1"/>
    <m/>
    <s v="Cash Incentive"/>
    <n v="0.14000000000000001"/>
    <x v="1"/>
    <s v="Profitability"/>
    <x v="3"/>
    <s v="Unit Cost Targets"/>
    <n v="0.05"/>
  </r>
  <r>
    <x v="25"/>
    <x v="8"/>
    <x v="13"/>
    <x v="21"/>
    <s v="Oil &amp; Gas"/>
    <x v="1"/>
    <s v="A-"/>
    <s v="United States"/>
    <x v="0"/>
    <d v="2024-03-28T00:00:00"/>
    <x v="0"/>
    <x v="1"/>
    <x v="1"/>
    <m/>
    <s v="Cash Incentive"/>
    <n v="0.14000000000000001"/>
    <x v="0"/>
    <s v="Modifier/Threshold"/>
    <x v="10"/>
    <s v="Individual Performance Factor"/>
    <m/>
  </r>
  <r>
    <x v="25"/>
    <x v="8"/>
    <x v="13"/>
    <x v="21"/>
    <s v="Oil &amp; Gas"/>
    <x v="1"/>
    <s v="A-"/>
    <s v="United States"/>
    <x v="0"/>
    <d v="2024-03-28T00:00:00"/>
    <x v="0"/>
    <x v="2"/>
    <x v="1"/>
    <n v="0.46"/>
    <s v="Performance Stock"/>
    <n v="0.46"/>
    <x v="3"/>
    <s v="Stock Performance"/>
    <x v="11"/>
    <s v="3Y Relative TSR"/>
    <n v="1"/>
  </r>
  <r>
    <x v="25"/>
    <x v="8"/>
    <x v="13"/>
    <x v="21"/>
    <s v="Oil &amp; Gas"/>
    <x v="1"/>
    <s v="A-"/>
    <s v="United States"/>
    <x v="0"/>
    <d v="2024-03-28T00:00:00"/>
    <x v="0"/>
    <x v="2"/>
    <x v="1"/>
    <m/>
    <s v="Performance Stock"/>
    <n v="0.46"/>
    <x v="0"/>
    <s v="Modifier/Threshold"/>
    <x v="39"/>
    <s v="3Y Average Adjusted Return on Capital Employed"/>
    <m/>
  </r>
  <r>
    <x v="25"/>
    <x v="8"/>
    <x v="13"/>
    <x v="21"/>
    <s v="Oil &amp; Gas"/>
    <x v="1"/>
    <s v="A-"/>
    <s v="United States"/>
    <x v="0"/>
    <d v="2024-03-28T00:00:00"/>
    <x v="0"/>
    <x v="2"/>
    <x v="1"/>
    <m/>
    <s v="Performance Stock"/>
    <n v="0.46"/>
    <x v="0"/>
    <s v="Modifier/Threshold"/>
    <x v="12"/>
    <s v="3Y Absolute TSR"/>
    <m/>
  </r>
  <r>
    <x v="25"/>
    <x v="8"/>
    <x v="13"/>
    <x v="21"/>
    <s v="Oil &amp; Gas"/>
    <x v="1"/>
    <s v="A-"/>
    <s v="United States"/>
    <x v="0"/>
    <d v="2024-03-28T00:00:00"/>
    <x v="0"/>
    <x v="2"/>
    <x v="0"/>
    <n v="0.31"/>
    <s v="Time-Based Stock"/>
    <n v="0.31"/>
    <x v="0"/>
    <m/>
    <x v="0"/>
    <m/>
    <m/>
  </r>
  <r>
    <x v="25"/>
    <x v="8"/>
    <x v="13"/>
    <x v="21"/>
    <s v="Oil &amp; Gas"/>
    <x v="1"/>
    <s v="A-"/>
    <s v="United States"/>
    <x v="0"/>
    <d v="2024-03-28T00:00:00"/>
    <x v="1"/>
    <x v="0"/>
    <x v="0"/>
    <n v="0.15"/>
    <s v="Base Salary"/>
    <n v="0.15"/>
    <x v="0"/>
    <m/>
    <x v="0"/>
    <m/>
    <m/>
  </r>
  <r>
    <x v="25"/>
    <x v="8"/>
    <x v="13"/>
    <x v="21"/>
    <s v="Oil &amp; Gas"/>
    <x v="1"/>
    <s v="A-"/>
    <s v="United States"/>
    <x v="0"/>
    <d v="2024-03-27T00:00:00"/>
    <x v="1"/>
    <x v="1"/>
    <x v="1"/>
    <n v="0.14000000000000001"/>
    <s v="Cash Incentive"/>
    <n v="0.14000000000000001"/>
    <x v="2"/>
    <s v="Strategy &amp; Operations"/>
    <x v="3"/>
    <s v="Operational and Organizational Execution"/>
    <n v="0.3"/>
  </r>
  <r>
    <x v="25"/>
    <x v="8"/>
    <x v="13"/>
    <x v="21"/>
    <s v="Oil &amp; Gas"/>
    <x v="1"/>
    <s v="A-"/>
    <s v="United States"/>
    <x v="0"/>
    <d v="2024-03-28T00:00:00"/>
    <x v="1"/>
    <x v="1"/>
    <x v="1"/>
    <m/>
    <s v="Cash Incentive"/>
    <n v="0.14000000000000001"/>
    <x v="1"/>
    <s v="Return"/>
    <x v="3"/>
    <s v="Adjusted All-In After Tax Rate of Return on Total Capital Expenditures"/>
    <n v="0.15"/>
  </r>
  <r>
    <x v="25"/>
    <x v="8"/>
    <x v="13"/>
    <x v="21"/>
    <s v="Oil &amp; Gas"/>
    <x v="1"/>
    <s v="A-"/>
    <s v="United States"/>
    <x v="0"/>
    <d v="2024-03-28T00:00:00"/>
    <x v="1"/>
    <x v="1"/>
    <x v="1"/>
    <m/>
    <s v="Cash Incentive"/>
    <n v="0.14000000000000001"/>
    <x v="1"/>
    <s v="Return"/>
    <x v="39"/>
    <s v="Adjusted Return on Capital Employed"/>
    <n v="0.15"/>
  </r>
  <r>
    <x v="25"/>
    <x v="8"/>
    <x v="13"/>
    <x v="21"/>
    <s v="Oil &amp; Gas"/>
    <x v="1"/>
    <s v="A-"/>
    <s v="United States"/>
    <x v="0"/>
    <d v="2024-03-28T00:00:00"/>
    <x v="1"/>
    <x v="1"/>
    <x v="1"/>
    <m/>
    <s v="Cash Incentive"/>
    <n v="0.14000000000000001"/>
    <x v="1"/>
    <s v="Cash Flow"/>
    <x v="25"/>
    <s v="Adjusted Free Cash Flow"/>
    <n v="0.15"/>
  </r>
  <r>
    <x v="25"/>
    <x v="8"/>
    <x v="13"/>
    <x v="21"/>
    <s v="Oil &amp; Gas"/>
    <x v="1"/>
    <s v="A-"/>
    <s v="United States"/>
    <x v="0"/>
    <d v="2024-03-28T00:00:00"/>
    <x v="1"/>
    <x v="1"/>
    <x v="1"/>
    <m/>
    <s v="Cash Incentive"/>
    <n v="0.14000000000000001"/>
    <x v="2"/>
    <s v="Strategy &amp; Operations"/>
    <x v="40"/>
    <s v="Total Recordable Incident Rate"/>
    <n v="7.4999999999999997E-2"/>
  </r>
  <r>
    <x v="25"/>
    <x v="8"/>
    <x v="13"/>
    <x v="21"/>
    <s v="Oil &amp; Gas"/>
    <x v="1"/>
    <s v="A-"/>
    <s v="United States"/>
    <x v="0"/>
    <d v="2024-03-28T00:00:00"/>
    <x v="1"/>
    <x v="1"/>
    <x v="1"/>
    <m/>
    <s v="Cash Incentive"/>
    <n v="0.14000000000000001"/>
    <x v="2"/>
    <s v="ESG"/>
    <x v="7"/>
    <s v="Continued Commitment to Strong Environmental Record "/>
    <n v="7.4999999999999997E-2"/>
  </r>
  <r>
    <x v="25"/>
    <x v="8"/>
    <x v="13"/>
    <x v="21"/>
    <s v="Oil &amp; Gas"/>
    <x v="1"/>
    <s v="A-"/>
    <s v="United States"/>
    <x v="0"/>
    <d v="2024-03-28T00:00:00"/>
    <x v="1"/>
    <x v="1"/>
    <x v="1"/>
    <m/>
    <s v="Cash Incentive"/>
    <n v="0.14000000000000001"/>
    <x v="3"/>
    <s v="Stock Performance"/>
    <x v="11"/>
    <s v="Relative TSR and Relative Forward-Year Cash Flow Multiple"/>
    <n v="0.05"/>
  </r>
  <r>
    <x v="25"/>
    <x v="8"/>
    <x v="13"/>
    <x v="21"/>
    <s v="Oil &amp; Gas"/>
    <x v="1"/>
    <s v="A-"/>
    <s v="United States"/>
    <x v="0"/>
    <d v="2024-03-28T00:00:00"/>
    <x v="1"/>
    <x v="1"/>
    <x v="1"/>
    <m/>
    <s v="Cash Incentive"/>
    <n v="0.14000000000000001"/>
    <x v="1"/>
    <s v="Profitability"/>
    <x v="3"/>
    <s v="Unit Cost Targets"/>
    <n v="0.05"/>
  </r>
  <r>
    <x v="25"/>
    <x v="8"/>
    <x v="13"/>
    <x v="21"/>
    <s v="Oil &amp; Gas"/>
    <x v="1"/>
    <s v="A-"/>
    <s v="United States"/>
    <x v="0"/>
    <d v="2024-03-28T00:00:00"/>
    <x v="1"/>
    <x v="1"/>
    <x v="1"/>
    <m/>
    <s v="Cash Incentive"/>
    <n v="0.14000000000000001"/>
    <x v="0"/>
    <s v="Modifier/Threshold"/>
    <x v="10"/>
    <s v="Individual Performance Factor"/>
    <m/>
  </r>
  <r>
    <x v="25"/>
    <x v="8"/>
    <x v="13"/>
    <x v="21"/>
    <s v="Oil &amp; Gas"/>
    <x v="1"/>
    <s v="A-"/>
    <s v="United States"/>
    <x v="0"/>
    <d v="2024-03-28T00:00:00"/>
    <x v="1"/>
    <x v="2"/>
    <x v="1"/>
    <n v="0.43"/>
    <s v="Performance Stock"/>
    <n v="0.43"/>
    <x v="3"/>
    <s v="Stock Performance"/>
    <x v="11"/>
    <s v="3Y Relative TSR"/>
    <n v="1"/>
  </r>
  <r>
    <x v="25"/>
    <x v="8"/>
    <x v="13"/>
    <x v="21"/>
    <s v="Oil &amp; Gas"/>
    <x v="1"/>
    <s v="A-"/>
    <s v="United States"/>
    <x v="0"/>
    <d v="2024-03-28T00:00:00"/>
    <x v="1"/>
    <x v="2"/>
    <x v="1"/>
    <m/>
    <s v="Performance Stock"/>
    <n v="0.43"/>
    <x v="0"/>
    <s v="Modifier/Threshold"/>
    <x v="39"/>
    <s v="3Y Average Adjusted Return on Capital Employed"/>
    <m/>
  </r>
  <r>
    <x v="25"/>
    <x v="8"/>
    <x v="13"/>
    <x v="21"/>
    <s v="Oil &amp; Gas"/>
    <x v="1"/>
    <s v="A-"/>
    <s v="United States"/>
    <x v="0"/>
    <d v="2024-03-28T00:00:00"/>
    <x v="1"/>
    <x v="2"/>
    <x v="1"/>
    <m/>
    <s v="Performance Stock"/>
    <n v="0.43"/>
    <x v="0"/>
    <s v="Modifier/Threshold"/>
    <x v="12"/>
    <s v="3Y Absolute TSR"/>
    <m/>
  </r>
  <r>
    <x v="25"/>
    <x v="8"/>
    <x v="13"/>
    <x v="21"/>
    <s v="Oil &amp; Gas"/>
    <x v="1"/>
    <s v="A-"/>
    <s v="United States"/>
    <x v="0"/>
    <d v="2024-03-28T00:00:00"/>
    <x v="1"/>
    <x v="2"/>
    <x v="0"/>
    <n v="0.28000000000000003"/>
    <s v="Time-Based Stock"/>
    <n v="0.28000000000000003"/>
    <x v="0"/>
    <m/>
    <x v="0"/>
    <m/>
    <m/>
  </r>
  <r>
    <x v="26"/>
    <x v="2"/>
    <x v="14"/>
    <x v="22"/>
    <s v="Hotels/Resorts/Cruiselines"/>
    <x v="2"/>
    <s v="BB+"/>
    <s v="United States"/>
    <x v="0"/>
    <d v="2024-04-17T00:00:00"/>
    <x v="0"/>
    <x v="0"/>
    <x v="0"/>
    <n v="8.2000000000000003E-2"/>
    <s v="Base Salary"/>
    <n v="8.2000000000000003E-2"/>
    <x v="0"/>
    <m/>
    <x v="0"/>
    <m/>
    <m/>
  </r>
  <r>
    <x v="26"/>
    <x v="2"/>
    <x v="14"/>
    <x v="22"/>
    <s v="Hotels/Resorts/Cruiselines"/>
    <x v="2"/>
    <s v="BB+"/>
    <s v="United States"/>
    <x v="0"/>
    <d v="2024-04-17T00:00:00"/>
    <x v="0"/>
    <x v="1"/>
    <x v="1"/>
    <n v="0.16400000000000001"/>
    <s v="Cash Incentive"/>
    <n v="0.16400000000000001"/>
    <x v="1"/>
    <s v="Profitability"/>
    <x v="14"/>
    <s v="Adjusted EPS"/>
    <n v="0.65"/>
  </r>
  <r>
    <x v="26"/>
    <x v="2"/>
    <x v="14"/>
    <x v="22"/>
    <s v="Hotels/Resorts/Cruiselines"/>
    <x v="2"/>
    <s v="BB+"/>
    <s v="United States"/>
    <x v="0"/>
    <d v="2024-04-17T00:00:00"/>
    <x v="0"/>
    <x v="1"/>
    <x v="1"/>
    <m/>
    <s v="Cash Incentive"/>
    <n v="0.16400000000000001"/>
    <x v="1"/>
    <s v="Profitability"/>
    <x v="29"/>
    <s v="Net Yield"/>
    <n v="0.06"/>
  </r>
  <r>
    <x v="26"/>
    <x v="2"/>
    <x v="14"/>
    <x v="22"/>
    <s v="Hotels/Resorts/Cruiselines"/>
    <x v="2"/>
    <s v="BB+"/>
    <s v="United States"/>
    <x v="0"/>
    <d v="2024-04-17T00:00:00"/>
    <x v="0"/>
    <x v="1"/>
    <x v="1"/>
    <m/>
    <s v="Cash Incentive"/>
    <n v="0.16400000000000001"/>
    <x v="1"/>
    <s v="Profitability"/>
    <x v="3"/>
    <s v="Net Cruise Costs, excluding Fuel"/>
    <n v="0.06"/>
  </r>
  <r>
    <x v="26"/>
    <x v="2"/>
    <x v="14"/>
    <x v="22"/>
    <s v="Hotels/Resorts/Cruiselines"/>
    <x v="2"/>
    <s v="BB+"/>
    <s v="United States"/>
    <x v="0"/>
    <d v="2024-04-17T00:00:00"/>
    <x v="0"/>
    <x v="1"/>
    <x v="1"/>
    <m/>
    <s v="Cash Incentive"/>
    <n v="0.16400000000000001"/>
    <x v="2"/>
    <s v="Strategy &amp; Operations"/>
    <x v="4"/>
    <s v="Net Promoter Score/Guest Satisfaction"/>
    <n v="0.06"/>
  </r>
  <r>
    <x v="26"/>
    <x v="2"/>
    <x v="14"/>
    <x v="22"/>
    <s v="Hotels/Resorts/Cruiselines"/>
    <x v="2"/>
    <s v="BB+"/>
    <s v="United States"/>
    <x v="0"/>
    <d v="2024-04-17T00:00:00"/>
    <x v="0"/>
    <x v="1"/>
    <x v="1"/>
    <m/>
    <s v="Cash Incentive"/>
    <n v="0.16400000000000001"/>
    <x v="2"/>
    <s v="ESG"/>
    <x v="7"/>
    <s v="Safety, Envrionment, Security, and Health"/>
    <n v="0.06"/>
  </r>
  <r>
    <x v="26"/>
    <x v="2"/>
    <x v="14"/>
    <x v="22"/>
    <s v="Hotels/Resorts/Cruiselines"/>
    <x v="2"/>
    <s v="BB+"/>
    <s v="United States"/>
    <x v="0"/>
    <d v="2024-04-17T00:00:00"/>
    <x v="0"/>
    <x v="1"/>
    <x v="1"/>
    <m/>
    <s v="Cash Incentive"/>
    <n v="0.16400000000000001"/>
    <x v="2"/>
    <s v="ESG"/>
    <x v="7"/>
    <s v="Employee Engagement"/>
    <n v="0.06"/>
  </r>
  <r>
    <x v="26"/>
    <x v="2"/>
    <x v="14"/>
    <x v="22"/>
    <s v="Hotels/Resorts/Cruiselines"/>
    <x v="2"/>
    <s v="BB+"/>
    <s v="United States"/>
    <x v="0"/>
    <d v="2024-04-17T00:00:00"/>
    <x v="0"/>
    <x v="1"/>
    <x v="1"/>
    <m/>
    <s v="Cash Incentive"/>
    <n v="0.16400000000000001"/>
    <x v="2"/>
    <s v="ESG"/>
    <x v="7"/>
    <s v="ESG Composite Index"/>
    <n v="0.05"/>
  </r>
  <r>
    <x v="26"/>
    <x v="2"/>
    <x v="14"/>
    <x v="22"/>
    <s v="Hotels/Resorts/Cruiselines"/>
    <x v="2"/>
    <s v="BB+"/>
    <s v="United States"/>
    <x v="0"/>
    <d v="2024-04-17T00:00:00"/>
    <x v="0"/>
    <x v="2"/>
    <x v="1"/>
    <n v="0.45200000000000001"/>
    <s v="Performance Stock"/>
    <n v="0.45200000000000001"/>
    <x v="1"/>
    <s v="Profitability"/>
    <x v="32"/>
    <s v="Adjusted EBITDA per APCD"/>
    <n v="0.3"/>
  </r>
  <r>
    <x v="26"/>
    <x v="2"/>
    <x v="14"/>
    <x v="22"/>
    <s v="Hotels/Resorts/Cruiselines"/>
    <x v="2"/>
    <s v="BB+"/>
    <s v="United States"/>
    <x v="0"/>
    <d v="2024-04-17T00:00:00"/>
    <x v="0"/>
    <x v="2"/>
    <x v="1"/>
    <m/>
    <s v="Performance Stock"/>
    <n v="0.45200000000000001"/>
    <x v="1"/>
    <s v="Profitability"/>
    <x v="14"/>
    <s v="Adjusted EPS"/>
    <n v="0.3"/>
  </r>
  <r>
    <x v="26"/>
    <x v="2"/>
    <x v="14"/>
    <x v="22"/>
    <s v="Hotels/Resorts/Cruiselines"/>
    <x v="2"/>
    <s v="BB+"/>
    <s v="United States"/>
    <x v="0"/>
    <d v="2024-04-17T00:00:00"/>
    <x v="0"/>
    <x v="2"/>
    <x v="1"/>
    <m/>
    <s v="Performance Stock"/>
    <n v="0.45200000000000001"/>
    <x v="1"/>
    <s v="Return"/>
    <x v="26"/>
    <s v="Adjusted ROIC"/>
    <n v="0.3"/>
  </r>
  <r>
    <x v="26"/>
    <x v="2"/>
    <x v="14"/>
    <x v="22"/>
    <s v="Hotels/Resorts/Cruiselines"/>
    <x v="2"/>
    <s v="BB+"/>
    <s v="United States"/>
    <x v="0"/>
    <d v="2024-04-17T00:00:00"/>
    <x v="0"/>
    <x v="2"/>
    <x v="1"/>
    <m/>
    <s v="Performance Stock"/>
    <n v="0.45200000000000001"/>
    <x v="2"/>
    <s v="ESG"/>
    <x v="7"/>
    <s v="Carbon Intensity Reduction"/>
    <n v="0.1"/>
  </r>
  <r>
    <x v="26"/>
    <x v="2"/>
    <x v="14"/>
    <x v="22"/>
    <s v="Hotels/Resorts/Cruiselines"/>
    <x v="2"/>
    <s v="BB+"/>
    <s v="United States"/>
    <x v="0"/>
    <d v="2024-04-17T00:00:00"/>
    <x v="0"/>
    <x v="2"/>
    <x v="0"/>
    <n v="0.30199999999999999"/>
    <s v="Time-Based Stock"/>
    <n v="0.30199999999999999"/>
    <x v="0"/>
    <m/>
    <x v="0"/>
    <m/>
    <m/>
  </r>
  <r>
    <x v="26"/>
    <x v="2"/>
    <x v="14"/>
    <x v="22"/>
    <s v="Hotels/Resorts/Cruiselines"/>
    <x v="2"/>
    <s v="BB+"/>
    <s v="United States"/>
    <x v="0"/>
    <d v="2024-04-17T00:00:00"/>
    <x v="1"/>
    <x v="0"/>
    <x v="0"/>
    <n v="0.17199999999999999"/>
    <s v="Base Salary"/>
    <n v="0.17199999999999999"/>
    <x v="0"/>
    <m/>
    <x v="0"/>
    <m/>
    <m/>
  </r>
  <r>
    <x v="26"/>
    <x v="2"/>
    <x v="14"/>
    <x v="22"/>
    <s v="Hotels/Resorts/Cruiselines"/>
    <x v="2"/>
    <s v="BB+"/>
    <s v="United States"/>
    <x v="0"/>
    <d v="2024-04-17T00:00:00"/>
    <x v="1"/>
    <x v="1"/>
    <x v="1"/>
    <n v="0.20300000000000001"/>
    <s v="Cash Incentive"/>
    <n v="0.20300000000000001"/>
    <x v="1"/>
    <s v="Profitability"/>
    <x v="14"/>
    <s v="Adjusted EPS"/>
    <n v="0.33"/>
  </r>
  <r>
    <x v="26"/>
    <x v="2"/>
    <x v="14"/>
    <x v="22"/>
    <s v="Hotels/Resorts/Cruiselines"/>
    <x v="2"/>
    <s v="BB+"/>
    <s v="United States"/>
    <x v="0"/>
    <d v="2024-04-17T00:00:00"/>
    <x v="1"/>
    <x v="1"/>
    <x v="1"/>
    <m/>
    <s v="Cash Incentive"/>
    <n v="0.20300000000000001"/>
    <x v="2"/>
    <s v="Individual Assessment"/>
    <x v="13"/>
    <s v="Individual Performance Assessment"/>
    <n v="0.33"/>
  </r>
  <r>
    <x v="26"/>
    <x v="2"/>
    <x v="14"/>
    <x v="22"/>
    <s v="Hotels/Resorts/Cruiselines"/>
    <x v="2"/>
    <s v="BB+"/>
    <s v="United States"/>
    <x v="0"/>
    <d v="2024-04-17T00:00:00"/>
    <x v="1"/>
    <x v="1"/>
    <x v="1"/>
    <m/>
    <s v="Cash Incentive"/>
    <n v="0.20300000000000001"/>
    <x v="1"/>
    <s v="Profitability"/>
    <x v="29"/>
    <s v="Net Yield"/>
    <n v="0.04"/>
  </r>
  <r>
    <x v="26"/>
    <x v="2"/>
    <x v="14"/>
    <x v="22"/>
    <s v="Hotels/Resorts/Cruiselines"/>
    <x v="2"/>
    <s v="BB+"/>
    <s v="United States"/>
    <x v="0"/>
    <d v="2024-04-17T00:00:00"/>
    <x v="1"/>
    <x v="1"/>
    <x v="1"/>
    <m/>
    <s v="Cash Incentive"/>
    <n v="0.20300000000000001"/>
    <x v="1"/>
    <s v="Profitability"/>
    <x v="3"/>
    <s v="Net Cruise Costs, excluding Fuel"/>
    <n v="0.04"/>
  </r>
  <r>
    <x v="26"/>
    <x v="2"/>
    <x v="14"/>
    <x v="22"/>
    <s v="Hotels/Resorts/Cruiselines"/>
    <x v="2"/>
    <s v="BB+"/>
    <s v="United States"/>
    <x v="0"/>
    <d v="2024-04-17T00:00:00"/>
    <x v="1"/>
    <x v="1"/>
    <x v="1"/>
    <m/>
    <s v="Cash Incentive"/>
    <n v="0.20300000000000001"/>
    <x v="2"/>
    <s v="Strategy &amp; Operations"/>
    <x v="4"/>
    <s v="Net Promoter Score/Guest Satisfaction"/>
    <n v="0.04"/>
  </r>
  <r>
    <x v="26"/>
    <x v="2"/>
    <x v="14"/>
    <x v="22"/>
    <s v="Hotels/Resorts/Cruiselines"/>
    <x v="2"/>
    <s v="BB+"/>
    <s v="United States"/>
    <x v="0"/>
    <d v="2024-04-17T00:00:00"/>
    <x v="1"/>
    <x v="1"/>
    <x v="1"/>
    <m/>
    <s v="Cash Incentive"/>
    <n v="0.20300000000000001"/>
    <x v="2"/>
    <s v="ESG"/>
    <x v="7"/>
    <s v="Safety, Envrionment, Security, and Health"/>
    <n v="0.04"/>
  </r>
  <r>
    <x v="26"/>
    <x v="2"/>
    <x v="14"/>
    <x v="22"/>
    <s v="Hotels/Resorts/Cruiselines"/>
    <x v="2"/>
    <s v="BB+"/>
    <s v="United States"/>
    <x v="0"/>
    <d v="2024-04-17T00:00:00"/>
    <x v="1"/>
    <x v="1"/>
    <x v="1"/>
    <m/>
    <s v="Cash Incentive"/>
    <n v="0.20300000000000001"/>
    <x v="2"/>
    <s v="ESG"/>
    <x v="7"/>
    <s v="Employee Engagement"/>
    <n v="0.04"/>
  </r>
  <r>
    <x v="26"/>
    <x v="2"/>
    <x v="14"/>
    <x v="22"/>
    <s v="Hotels/Resorts/Cruiselines"/>
    <x v="2"/>
    <s v="BB+"/>
    <s v="United States"/>
    <x v="0"/>
    <d v="2024-04-17T00:00:00"/>
    <x v="1"/>
    <x v="1"/>
    <x v="1"/>
    <m/>
    <s v="Cash Incentive"/>
    <n v="0.20300000000000001"/>
    <x v="2"/>
    <s v="ESG"/>
    <x v="7"/>
    <s v="ESG Composite Index"/>
    <n v="0.03"/>
  </r>
  <r>
    <x v="26"/>
    <x v="2"/>
    <x v="14"/>
    <x v="22"/>
    <s v="Hotels/Resorts/Cruiselines"/>
    <x v="2"/>
    <s v="BB+"/>
    <s v="United States"/>
    <x v="0"/>
    <d v="2024-04-17T00:00:00"/>
    <x v="1"/>
    <x v="1"/>
    <x v="1"/>
    <m/>
    <s v="Cash Incentive"/>
    <n v="0.20300000000000001"/>
    <x v="1"/>
    <s v="Profitability"/>
    <x v="2"/>
    <s v="Brand Adjusted Operating Income"/>
    <n v="0.11"/>
  </r>
  <r>
    <x v="26"/>
    <x v="2"/>
    <x v="14"/>
    <x v="22"/>
    <s v="Hotels/Resorts/Cruiselines"/>
    <x v="2"/>
    <s v="BB+"/>
    <s v="United States"/>
    <x v="0"/>
    <d v="2024-04-17T00:00:00"/>
    <x v="1"/>
    <x v="2"/>
    <x v="1"/>
    <n v="0.375"/>
    <s v="Performance Stock"/>
    <n v="0.375"/>
    <x v="1"/>
    <s v="Profitability"/>
    <x v="32"/>
    <s v="Adjusted EBITDA per APCD"/>
    <n v="0.3"/>
  </r>
  <r>
    <x v="26"/>
    <x v="2"/>
    <x v="14"/>
    <x v="22"/>
    <s v="Hotels/Resorts/Cruiselines"/>
    <x v="2"/>
    <s v="BB+"/>
    <s v="United States"/>
    <x v="0"/>
    <d v="2024-04-17T00:00:00"/>
    <x v="1"/>
    <x v="2"/>
    <x v="1"/>
    <m/>
    <s v="Performance Stock"/>
    <n v="0.375"/>
    <x v="1"/>
    <s v="Profitability"/>
    <x v="14"/>
    <s v="Adjusted EPS"/>
    <n v="0.3"/>
  </r>
  <r>
    <x v="26"/>
    <x v="2"/>
    <x v="14"/>
    <x v="22"/>
    <s v="Hotels/Resorts/Cruiselines"/>
    <x v="2"/>
    <s v="BB+"/>
    <s v="United States"/>
    <x v="0"/>
    <d v="2024-04-17T00:00:00"/>
    <x v="1"/>
    <x v="2"/>
    <x v="1"/>
    <m/>
    <s v="Performance Stock"/>
    <n v="0.375"/>
    <x v="1"/>
    <s v="Return"/>
    <x v="26"/>
    <s v="Adjusted ROIC"/>
    <n v="0.3"/>
  </r>
  <r>
    <x v="26"/>
    <x v="2"/>
    <x v="14"/>
    <x v="22"/>
    <s v="Hotels/Resorts/Cruiselines"/>
    <x v="2"/>
    <s v="BB+"/>
    <s v="United States"/>
    <x v="0"/>
    <d v="2024-04-17T00:00:00"/>
    <x v="1"/>
    <x v="2"/>
    <x v="1"/>
    <m/>
    <s v="Performance Stock"/>
    <n v="0.375"/>
    <x v="2"/>
    <s v="ESG"/>
    <x v="7"/>
    <s v="Carbon Intensity Reduction"/>
    <n v="0.1"/>
  </r>
  <r>
    <x v="26"/>
    <x v="2"/>
    <x v="14"/>
    <x v="22"/>
    <s v="Hotels/Resorts/Cruiselines"/>
    <x v="2"/>
    <s v="BB+"/>
    <s v="United States"/>
    <x v="0"/>
    <d v="2024-04-17T00:00:00"/>
    <x v="1"/>
    <x v="2"/>
    <x v="0"/>
    <n v="0.25"/>
    <s v="Time-Based Stock"/>
    <n v="0.25"/>
    <x v="0"/>
    <m/>
    <x v="0"/>
    <m/>
    <m/>
  </r>
  <r>
    <x v="27"/>
    <x v="6"/>
    <x v="10"/>
    <x v="10"/>
    <s v="Industrial Machinery"/>
    <x v="0"/>
    <s v="BBB+"/>
    <s v="United States"/>
    <x v="0"/>
    <d v="2024-03-14T00:00:00"/>
    <x v="0"/>
    <x v="0"/>
    <x v="0"/>
    <n v="0.12"/>
    <s v="Base Salary"/>
    <n v="0.12"/>
    <x v="0"/>
    <m/>
    <x v="0"/>
    <m/>
    <m/>
  </r>
  <r>
    <x v="27"/>
    <x v="6"/>
    <x v="10"/>
    <x v="10"/>
    <s v="Industrial Machinery"/>
    <x v="0"/>
    <s v="BBB+"/>
    <s v="United States"/>
    <x v="0"/>
    <d v="2024-03-14T00:00:00"/>
    <x v="0"/>
    <x v="1"/>
    <x v="1"/>
    <n v="0.18"/>
    <s v="Cash Incentive"/>
    <n v="0.18"/>
    <x v="1"/>
    <s v="Profitability"/>
    <x v="24"/>
    <s v="Adjusted Net Income"/>
    <n v="0.4"/>
  </r>
  <r>
    <x v="27"/>
    <x v="6"/>
    <x v="10"/>
    <x v="10"/>
    <s v="Industrial Machinery"/>
    <x v="0"/>
    <s v="BBB+"/>
    <s v="United States"/>
    <x v="0"/>
    <d v="2024-03-14T00:00:00"/>
    <x v="0"/>
    <x v="1"/>
    <x v="1"/>
    <m/>
    <s v="Cash Incentive"/>
    <n v="0.18"/>
    <x v="1"/>
    <s v="Cash Flow"/>
    <x v="25"/>
    <s v="Adjusted Free Cash Flow"/>
    <n v="0.4"/>
  </r>
  <r>
    <x v="27"/>
    <x v="6"/>
    <x v="10"/>
    <x v="10"/>
    <s v="Industrial Machinery"/>
    <x v="0"/>
    <s v="BBB+"/>
    <s v="United States"/>
    <x v="0"/>
    <d v="2024-03-14T00:00:00"/>
    <x v="0"/>
    <x v="1"/>
    <x v="1"/>
    <m/>
    <s v="Cash Incentive"/>
    <n v="0.18"/>
    <x v="1"/>
    <s v="Growth"/>
    <x v="1"/>
    <s v="Adjusted Revenue Growth"/>
    <n v="0.2"/>
  </r>
  <r>
    <x v="27"/>
    <x v="6"/>
    <x v="10"/>
    <x v="10"/>
    <s v="Industrial Machinery"/>
    <x v="0"/>
    <s v="BBB+"/>
    <s v="United States"/>
    <x v="0"/>
    <d v="2024-03-14T00:00:00"/>
    <x v="0"/>
    <x v="1"/>
    <x v="1"/>
    <m/>
    <s v="Cash Incentive"/>
    <n v="0.18"/>
    <x v="0"/>
    <s v="Modifier/Threshold"/>
    <x v="41"/>
    <s v="Safety Performance"/>
    <m/>
  </r>
  <r>
    <x v="27"/>
    <x v="6"/>
    <x v="10"/>
    <x v="10"/>
    <s v="Industrial Machinery"/>
    <x v="0"/>
    <s v="BBB+"/>
    <s v="United States"/>
    <x v="0"/>
    <d v="2024-03-14T00:00:00"/>
    <x v="0"/>
    <x v="2"/>
    <x v="1"/>
    <n v="0.7"/>
    <s v="Performance Stock"/>
    <n v="0.7"/>
    <x v="1"/>
    <s v="Profitability"/>
    <x v="14"/>
    <s v="Adjusted EPS"/>
    <n v="0.5"/>
  </r>
  <r>
    <x v="27"/>
    <x v="6"/>
    <x v="10"/>
    <x v="10"/>
    <s v="Industrial Machinery"/>
    <x v="0"/>
    <s v="BBB+"/>
    <s v="United States"/>
    <x v="0"/>
    <d v="2024-03-14T00:00:00"/>
    <x v="0"/>
    <x v="2"/>
    <x v="1"/>
    <m/>
    <s v="Performance Stock"/>
    <n v="0.7"/>
    <x v="1"/>
    <s v="Cash Flow"/>
    <x v="25"/>
    <s v="Adjusted Free Cash Flow"/>
    <n v="0.5"/>
  </r>
  <r>
    <x v="27"/>
    <x v="6"/>
    <x v="10"/>
    <x v="10"/>
    <s v="Industrial Machinery"/>
    <x v="0"/>
    <s v="BBB+"/>
    <s v="United States"/>
    <x v="0"/>
    <d v="2024-03-14T00:00:00"/>
    <x v="0"/>
    <x v="2"/>
    <x v="1"/>
    <m/>
    <s v="Performance Stock"/>
    <n v="0.7"/>
    <x v="0"/>
    <s v="Modifier/Threshold"/>
    <x v="6"/>
    <s v="3Y Relative TSR"/>
    <m/>
  </r>
  <r>
    <x v="27"/>
    <x v="6"/>
    <x v="10"/>
    <x v="10"/>
    <s v="Industrial Machinery"/>
    <x v="0"/>
    <s v="BBB+"/>
    <s v="United States"/>
    <x v="0"/>
    <d v="2024-03-14T00:00:00"/>
    <x v="1"/>
    <x v="0"/>
    <x v="0"/>
    <n v="0.17"/>
    <s v="Base Salary"/>
    <n v="0.17"/>
    <x v="0"/>
    <m/>
    <x v="0"/>
    <m/>
    <m/>
  </r>
  <r>
    <x v="27"/>
    <x v="6"/>
    <x v="10"/>
    <x v="10"/>
    <s v="Industrial Machinery"/>
    <x v="0"/>
    <s v="BBB+"/>
    <s v="United States"/>
    <x v="0"/>
    <d v="2024-03-14T00:00:00"/>
    <x v="1"/>
    <x v="1"/>
    <x v="1"/>
    <n v="0.23"/>
    <s v="Cash Incentive"/>
    <n v="0.23"/>
    <x v="1"/>
    <s v="Profitability"/>
    <x v="24"/>
    <s v="Adjusted Net Income"/>
    <n v="0.4"/>
  </r>
  <r>
    <x v="27"/>
    <x v="6"/>
    <x v="10"/>
    <x v="10"/>
    <s v="Industrial Machinery"/>
    <x v="0"/>
    <s v="BBB+"/>
    <s v="United States"/>
    <x v="0"/>
    <d v="2024-03-14T00:00:00"/>
    <x v="1"/>
    <x v="1"/>
    <x v="1"/>
    <m/>
    <s v="Cash Incentive"/>
    <n v="0.23"/>
    <x v="1"/>
    <s v="Cash Flow"/>
    <x v="25"/>
    <s v="Adjusted Free Cash Flow"/>
    <n v="0.4"/>
  </r>
  <r>
    <x v="27"/>
    <x v="6"/>
    <x v="10"/>
    <x v="10"/>
    <s v="Industrial Machinery"/>
    <x v="0"/>
    <s v="BBB+"/>
    <s v="United States"/>
    <x v="0"/>
    <d v="2024-03-14T00:00:00"/>
    <x v="1"/>
    <x v="1"/>
    <x v="1"/>
    <m/>
    <s v="Cash Incentive"/>
    <n v="0.23"/>
    <x v="1"/>
    <s v="Growth"/>
    <x v="1"/>
    <s v="Adjusted Revenue Growth"/>
    <n v="0.2"/>
  </r>
  <r>
    <x v="27"/>
    <x v="6"/>
    <x v="10"/>
    <x v="10"/>
    <s v="Industrial Machinery"/>
    <x v="0"/>
    <s v="BBB+"/>
    <s v="United States"/>
    <x v="0"/>
    <d v="2024-03-14T00:00:00"/>
    <x v="1"/>
    <x v="1"/>
    <x v="1"/>
    <m/>
    <s v="Cash Incentive"/>
    <n v="0.23"/>
    <x v="0"/>
    <s v="Modifier/Threshold"/>
    <x v="41"/>
    <s v="Safety Performance"/>
    <m/>
  </r>
  <r>
    <x v="27"/>
    <x v="6"/>
    <x v="10"/>
    <x v="10"/>
    <s v="Industrial Machinery"/>
    <x v="0"/>
    <s v="BBB+"/>
    <s v="United States"/>
    <x v="0"/>
    <d v="2024-03-14T00:00:00"/>
    <x v="1"/>
    <x v="2"/>
    <x v="1"/>
    <n v="0.3"/>
    <s v="Performance Stock"/>
    <n v="0.3"/>
    <x v="1"/>
    <s v="Profitability"/>
    <x v="14"/>
    <s v="Adjusted EPS"/>
    <n v="0.5"/>
  </r>
  <r>
    <x v="27"/>
    <x v="6"/>
    <x v="10"/>
    <x v="10"/>
    <s v="Industrial Machinery"/>
    <x v="0"/>
    <s v="BBB+"/>
    <s v="United States"/>
    <x v="0"/>
    <d v="2024-03-14T00:00:00"/>
    <x v="1"/>
    <x v="2"/>
    <x v="1"/>
    <m/>
    <s v="Performance Stock"/>
    <n v="0.3"/>
    <x v="1"/>
    <s v="Cash Flow"/>
    <x v="25"/>
    <s v="Adjusted Free Cash Flow"/>
    <n v="0.5"/>
  </r>
  <r>
    <x v="27"/>
    <x v="6"/>
    <x v="10"/>
    <x v="10"/>
    <s v="Industrial Machinery"/>
    <x v="0"/>
    <s v="BBB+"/>
    <s v="United States"/>
    <x v="0"/>
    <d v="2024-03-14T00:00:00"/>
    <x v="1"/>
    <x v="2"/>
    <x v="1"/>
    <m/>
    <s v="Performance Stock"/>
    <n v="0.3"/>
    <x v="0"/>
    <s v="Modifier/Threshold"/>
    <x v="6"/>
    <s v="3Y Relative TSR"/>
    <m/>
  </r>
  <r>
    <x v="27"/>
    <x v="6"/>
    <x v="10"/>
    <x v="10"/>
    <s v="Industrial Machinery"/>
    <x v="0"/>
    <s v="BBB+"/>
    <s v="United States"/>
    <x v="0"/>
    <d v="2024-03-14T00:00:00"/>
    <x v="1"/>
    <x v="2"/>
    <x v="0"/>
    <n v="0.18"/>
    <s v="Stock Options"/>
    <n v="0.18"/>
    <x v="0"/>
    <m/>
    <x v="0"/>
    <m/>
    <m/>
  </r>
  <r>
    <x v="27"/>
    <x v="6"/>
    <x v="10"/>
    <x v="10"/>
    <s v="Industrial Machinery"/>
    <x v="0"/>
    <s v="BBB+"/>
    <s v="United States"/>
    <x v="0"/>
    <d v="2024-03-14T00:00:00"/>
    <x v="1"/>
    <x v="2"/>
    <x v="0"/>
    <n v="0.12"/>
    <s v="Time-Based Stock"/>
    <n v="0.12"/>
    <x v="0"/>
    <m/>
    <x v="0"/>
    <m/>
    <m/>
  </r>
  <r>
    <x v="28"/>
    <x v="3"/>
    <x v="4"/>
    <x v="14"/>
    <s v="Pharmaceuticals"/>
    <x v="1"/>
    <s v="BBB+"/>
    <s v="United States"/>
    <x v="0"/>
    <d v="2024-03-28T00:00:00"/>
    <x v="0"/>
    <x v="0"/>
    <x v="0"/>
    <n v="0.09"/>
    <s v="Base Salary"/>
    <n v="0.09"/>
    <x v="0"/>
    <m/>
    <x v="0"/>
    <m/>
    <m/>
  </r>
  <r>
    <x v="28"/>
    <x v="3"/>
    <x v="4"/>
    <x v="14"/>
    <s v="Pharmaceuticals"/>
    <x v="1"/>
    <s v="BBB+"/>
    <s v="United States"/>
    <x v="0"/>
    <d v="2024-03-28T00:00:00"/>
    <x v="0"/>
    <x v="1"/>
    <x v="1"/>
    <n v="0.14000000000000001"/>
    <s v="Cash Incentive"/>
    <n v="0.14000000000000001"/>
    <x v="1"/>
    <s v="Growth"/>
    <x v="1"/>
    <s v="Adjusted Revenue"/>
    <n v="0.3"/>
  </r>
  <r>
    <x v="28"/>
    <x v="3"/>
    <x v="4"/>
    <x v="14"/>
    <s v="Pharmaceuticals"/>
    <x v="1"/>
    <s v="BBB+"/>
    <s v="United States"/>
    <x v="0"/>
    <d v="2024-03-28T00:00:00"/>
    <x v="0"/>
    <x v="1"/>
    <x v="1"/>
    <m/>
    <s v="Cash Incentive"/>
    <n v="0.14000000000000001"/>
    <x v="2"/>
    <s v="Strategy &amp; Operations"/>
    <x v="15"/>
    <s v="Pipeline"/>
    <n v="0.25"/>
  </r>
  <r>
    <x v="28"/>
    <x v="3"/>
    <x v="4"/>
    <x v="14"/>
    <s v="Pharmaceuticals"/>
    <x v="1"/>
    <s v="BBB+"/>
    <s v="United States"/>
    <x v="0"/>
    <d v="2024-03-28T00:00:00"/>
    <x v="0"/>
    <x v="1"/>
    <x v="1"/>
    <m/>
    <s v="Cash Incentive"/>
    <n v="0.14000000000000001"/>
    <x v="1"/>
    <s v="Profitability"/>
    <x v="2"/>
    <s v="Adjusted Operating Income"/>
    <n v="0.2"/>
  </r>
  <r>
    <x v="28"/>
    <x v="3"/>
    <x v="4"/>
    <x v="14"/>
    <s v="Pharmaceuticals"/>
    <x v="1"/>
    <s v="BBB+"/>
    <s v="United States"/>
    <x v="0"/>
    <d v="2024-03-28T00:00:00"/>
    <x v="0"/>
    <x v="1"/>
    <x v="1"/>
    <m/>
    <s v="Cash Incentive"/>
    <n v="0.14000000000000001"/>
    <x v="2"/>
    <s v="Strategy &amp; Operations"/>
    <x v="3"/>
    <s v="Product"/>
    <n v="0.15"/>
  </r>
  <r>
    <x v="28"/>
    <x v="3"/>
    <x v="4"/>
    <x v="14"/>
    <s v="Pharmaceuticals"/>
    <x v="1"/>
    <s v="BBB+"/>
    <s v="United States"/>
    <x v="0"/>
    <d v="2024-03-28T00:00:00"/>
    <x v="0"/>
    <x v="1"/>
    <x v="1"/>
    <m/>
    <s v="Cash Incentive"/>
    <n v="0.14000000000000001"/>
    <x v="2"/>
    <s v="ESG"/>
    <x v="7"/>
    <s v="People"/>
    <n v="0.1"/>
  </r>
  <r>
    <x v="28"/>
    <x v="3"/>
    <x v="4"/>
    <x v="14"/>
    <s v="Pharmaceuticals"/>
    <x v="1"/>
    <s v="BBB+"/>
    <s v="United States"/>
    <x v="0"/>
    <d v="2024-03-28T00:00:00"/>
    <x v="0"/>
    <x v="2"/>
    <x v="1"/>
    <n v="0.38500000000000001"/>
    <s v="Performance Stock"/>
    <n v="0.38500000000000001"/>
    <x v="3"/>
    <s v="Stock Performance"/>
    <x v="11"/>
    <s v="3Y Relative TSR"/>
    <n v="0.5"/>
  </r>
  <r>
    <x v="28"/>
    <x v="3"/>
    <x v="4"/>
    <x v="14"/>
    <s v="Pharmaceuticals"/>
    <x v="1"/>
    <s v="BBB+"/>
    <s v="United States"/>
    <x v="0"/>
    <d v="2024-03-28T00:00:00"/>
    <x v="0"/>
    <x v="2"/>
    <x v="1"/>
    <m/>
    <s v="Performance Stock"/>
    <n v="0.38500000000000001"/>
    <x v="1"/>
    <s v="Growth"/>
    <x v="1"/>
    <s v="Revenue "/>
    <n v="0.5"/>
  </r>
  <r>
    <x v="28"/>
    <x v="3"/>
    <x v="4"/>
    <x v="14"/>
    <s v="Pharmaceuticals"/>
    <x v="1"/>
    <s v="BBB+"/>
    <s v="United States"/>
    <x v="0"/>
    <d v="2024-03-28T00:00:00"/>
    <x v="0"/>
    <x v="2"/>
    <x v="1"/>
    <m/>
    <s v="Performance Stock"/>
    <n v="0.38500000000000001"/>
    <x v="0"/>
    <s v="Modifier/Threshold"/>
    <x v="12"/>
    <s v="3Y Absolute TSR"/>
    <m/>
  </r>
  <r>
    <x v="28"/>
    <x v="3"/>
    <x v="4"/>
    <x v="14"/>
    <s v="Pharmaceuticals"/>
    <x v="1"/>
    <s v="BBB+"/>
    <s v="United States"/>
    <x v="0"/>
    <d v="2024-03-28T00:00:00"/>
    <x v="0"/>
    <x v="2"/>
    <x v="0"/>
    <n v="0.1925"/>
    <s v="Time-Based Stock"/>
    <n v="0.1925"/>
    <x v="0"/>
    <m/>
    <x v="0"/>
    <m/>
    <m/>
  </r>
  <r>
    <x v="28"/>
    <x v="3"/>
    <x v="4"/>
    <x v="14"/>
    <s v="Pharmaceuticals"/>
    <x v="1"/>
    <s v="BBB+"/>
    <s v="United States"/>
    <x v="0"/>
    <d v="2024-03-28T00:00:00"/>
    <x v="0"/>
    <x v="2"/>
    <x v="0"/>
    <n v="0.1925"/>
    <s v="Stock Options"/>
    <n v="0.1925"/>
    <x v="0"/>
    <m/>
    <x v="0"/>
    <m/>
    <m/>
  </r>
  <r>
    <x v="28"/>
    <x v="3"/>
    <x v="4"/>
    <x v="14"/>
    <s v="Pharmaceuticals"/>
    <x v="1"/>
    <s v="BBB+"/>
    <s v="United States"/>
    <x v="0"/>
    <d v="2024-03-28T00:00:00"/>
    <x v="1"/>
    <x v="0"/>
    <x v="0"/>
    <n v="0.16"/>
    <s v="Base Salary"/>
    <n v="0.16"/>
    <x v="0"/>
    <m/>
    <x v="0"/>
    <m/>
    <m/>
  </r>
  <r>
    <x v="28"/>
    <x v="3"/>
    <x v="4"/>
    <x v="14"/>
    <s v="Pharmaceuticals"/>
    <x v="1"/>
    <s v="BBB+"/>
    <s v="United States"/>
    <x v="0"/>
    <d v="2024-03-28T00:00:00"/>
    <x v="1"/>
    <x v="1"/>
    <x v="1"/>
    <n v="0.16"/>
    <s v="Cash Incentive"/>
    <n v="0.16"/>
    <x v="1"/>
    <s v="Growth"/>
    <x v="1"/>
    <s v="Adjusted Revenue"/>
    <n v="0.3"/>
  </r>
  <r>
    <x v="28"/>
    <x v="3"/>
    <x v="4"/>
    <x v="14"/>
    <s v="Pharmaceuticals"/>
    <x v="1"/>
    <s v="BBB+"/>
    <s v="United States"/>
    <x v="0"/>
    <d v="2024-03-28T00:00:00"/>
    <x v="1"/>
    <x v="1"/>
    <x v="1"/>
    <m/>
    <s v="Cash Incentive"/>
    <n v="0.16"/>
    <x v="2"/>
    <s v="Strategy &amp; Operations"/>
    <x v="15"/>
    <s v="Pipeline"/>
    <n v="0.25"/>
  </r>
  <r>
    <x v="28"/>
    <x v="3"/>
    <x v="4"/>
    <x v="14"/>
    <s v="Pharmaceuticals"/>
    <x v="1"/>
    <s v="BBB+"/>
    <s v="United States"/>
    <x v="0"/>
    <d v="2024-03-28T00:00:00"/>
    <x v="1"/>
    <x v="1"/>
    <x v="1"/>
    <m/>
    <s v="Cash Incentive"/>
    <n v="0.16"/>
    <x v="1"/>
    <s v="Profitability"/>
    <x v="2"/>
    <s v="Adjusted Operating Income"/>
    <n v="0.2"/>
  </r>
  <r>
    <x v="28"/>
    <x v="3"/>
    <x v="4"/>
    <x v="14"/>
    <s v="Pharmaceuticals"/>
    <x v="1"/>
    <s v="BBB+"/>
    <s v="United States"/>
    <x v="0"/>
    <d v="2024-03-28T00:00:00"/>
    <x v="1"/>
    <x v="1"/>
    <x v="1"/>
    <m/>
    <s v="Cash Incentive"/>
    <n v="0.16"/>
    <x v="2"/>
    <s v="Strategy &amp; Operations"/>
    <x v="3"/>
    <s v="Product"/>
    <n v="0.15"/>
  </r>
  <r>
    <x v="28"/>
    <x v="3"/>
    <x v="4"/>
    <x v="14"/>
    <s v="Pharmaceuticals"/>
    <x v="1"/>
    <s v="BBB+"/>
    <s v="United States"/>
    <x v="0"/>
    <d v="2024-03-28T00:00:00"/>
    <x v="1"/>
    <x v="1"/>
    <x v="1"/>
    <m/>
    <s v="Cash Incentive"/>
    <n v="0.16"/>
    <x v="2"/>
    <s v="Strategy &amp; Operations"/>
    <x v="7"/>
    <s v="People"/>
    <n v="0.1"/>
  </r>
  <r>
    <x v="28"/>
    <x v="3"/>
    <x v="4"/>
    <x v="14"/>
    <s v="Pharmaceuticals"/>
    <x v="1"/>
    <s v="BBB+"/>
    <s v="United States"/>
    <x v="0"/>
    <d v="2024-03-28T00:00:00"/>
    <x v="1"/>
    <x v="1"/>
    <x v="1"/>
    <m/>
    <s v="Cash Incentive"/>
    <n v="0.16"/>
    <x v="0"/>
    <s v="Modifier/Threshold"/>
    <x v="10"/>
    <s v="Individual Performance Factor"/>
    <m/>
  </r>
  <r>
    <x v="28"/>
    <x v="3"/>
    <x v="4"/>
    <x v="14"/>
    <s v="Pharmaceuticals"/>
    <x v="1"/>
    <s v="BBB+"/>
    <s v="United States"/>
    <x v="0"/>
    <d v="2024-03-28T00:00:00"/>
    <x v="1"/>
    <x v="2"/>
    <x v="1"/>
    <n v="0.34"/>
    <s v="Performance Stock"/>
    <n v="0.34"/>
    <x v="3"/>
    <s v="Stock Performance"/>
    <x v="11"/>
    <s v="3Y Relative TSR"/>
    <n v="0.5"/>
  </r>
  <r>
    <x v="28"/>
    <x v="3"/>
    <x v="4"/>
    <x v="14"/>
    <s v="Pharmaceuticals"/>
    <x v="1"/>
    <s v="BBB+"/>
    <s v="United States"/>
    <x v="0"/>
    <d v="2024-03-28T00:00:00"/>
    <x v="1"/>
    <x v="2"/>
    <x v="1"/>
    <m/>
    <s v="Performance Stock"/>
    <n v="0.34"/>
    <x v="1"/>
    <s v="Growth"/>
    <x v="1"/>
    <s v="Revenue "/>
    <n v="0.5"/>
  </r>
  <r>
    <x v="28"/>
    <x v="3"/>
    <x v="4"/>
    <x v="14"/>
    <s v="Pharmaceuticals"/>
    <x v="1"/>
    <s v="BBB+"/>
    <s v="United States"/>
    <x v="0"/>
    <d v="2024-03-28T00:00:00"/>
    <x v="1"/>
    <x v="2"/>
    <x v="1"/>
    <m/>
    <s v="Performance Stock"/>
    <n v="0.34"/>
    <x v="0"/>
    <s v="Modifier/Threshold"/>
    <x v="12"/>
    <s v="3Y Absolute TSR"/>
    <m/>
  </r>
  <r>
    <x v="28"/>
    <x v="3"/>
    <x v="4"/>
    <x v="14"/>
    <s v="Pharmaceuticals"/>
    <x v="1"/>
    <s v="BBB+"/>
    <s v="United States"/>
    <x v="0"/>
    <d v="2024-03-28T00:00:00"/>
    <x v="1"/>
    <x v="2"/>
    <x v="0"/>
    <n v="0.17"/>
    <s v="Time-Based Stock"/>
    <n v="0.17"/>
    <x v="0"/>
    <m/>
    <x v="0"/>
    <m/>
    <m/>
  </r>
  <r>
    <x v="28"/>
    <x v="3"/>
    <x v="4"/>
    <x v="14"/>
    <s v="Pharmaceuticals"/>
    <x v="1"/>
    <s v="BBB+"/>
    <s v="United States"/>
    <x v="0"/>
    <d v="2024-03-28T00:00:00"/>
    <x v="1"/>
    <x v="2"/>
    <x v="0"/>
    <n v="0.17"/>
    <s v="Stock Options"/>
    <n v="0.17"/>
    <x v="0"/>
    <m/>
    <x v="0"/>
    <m/>
    <m/>
  </r>
  <r>
    <x v="29"/>
    <x v="0"/>
    <x v="1"/>
    <x v="1"/>
    <s v="Industrial Machinery"/>
    <x v="0"/>
    <s v="A"/>
    <s v="United States"/>
    <x v="0"/>
    <d v="2024-01-24T00:00:00"/>
    <x v="0"/>
    <x v="0"/>
    <x v="0"/>
    <n v="0.04"/>
    <s v="Base Salary"/>
    <n v="0.04"/>
    <x v="0"/>
    <m/>
    <x v="0"/>
    <m/>
    <m/>
  </r>
  <r>
    <x v="29"/>
    <x v="0"/>
    <x v="1"/>
    <x v="1"/>
    <s v="Industrial Machinery"/>
    <x v="0"/>
    <s v="A"/>
    <s v="United States"/>
    <x v="0"/>
    <d v="2024-01-24T00:00:00"/>
    <x v="0"/>
    <x v="1"/>
    <x v="1"/>
    <n v="7.0000000000000007E-2"/>
    <s v="Cash Incentive"/>
    <n v="7.0000000000000007E-2"/>
    <x v="2"/>
    <s v="Strategy &amp; Operations"/>
    <x v="3"/>
    <s v="Products and Growth "/>
    <n v="0.3"/>
  </r>
  <r>
    <x v="29"/>
    <x v="0"/>
    <x v="1"/>
    <x v="1"/>
    <s v="Industrial Machinery"/>
    <x v="0"/>
    <s v="A"/>
    <s v="United States"/>
    <x v="0"/>
    <d v="2024-01-24T00:00:00"/>
    <x v="0"/>
    <x v="1"/>
    <x v="1"/>
    <m/>
    <s v="Cash Incentive"/>
    <n v="7.0000000000000007E-2"/>
    <x v="2"/>
    <s v="Strategy &amp; Operations"/>
    <x v="3"/>
    <s v="Services and Subscription"/>
    <n v="0.1"/>
  </r>
  <r>
    <x v="29"/>
    <x v="0"/>
    <x v="1"/>
    <x v="1"/>
    <s v="Industrial Machinery"/>
    <x v="0"/>
    <s v="A"/>
    <s v="United States"/>
    <x v="0"/>
    <d v="2024-01-24T00:00:00"/>
    <x v="0"/>
    <x v="1"/>
    <x v="1"/>
    <m/>
    <s v="Cash Incentive"/>
    <n v="7.0000000000000007E-2"/>
    <x v="1"/>
    <s v="Growth"/>
    <x v="16"/>
    <s v="Wafer Fabrication Equipment Market Share"/>
    <n v="0.1"/>
  </r>
  <r>
    <x v="29"/>
    <x v="0"/>
    <x v="1"/>
    <x v="1"/>
    <s v="Industrial Machinery"/>
    <x v="0"/>
    <s v="A"/>
    <s v="United States"/>
    <x v="0"/>
    <d v="2024-01-24T00:00:00"/>
    <x v="0"/>
    <x v="1"/>
    <x v="1"/>
    <m/>
    <s v="Cash Incentive"/>
    <n v="7.0000000000000007E-2"/>
    <x v="1"/>
    <s v="Profitability"/>
    <x v="29"/>
    <s v="Adjusted Gross Margin and Related Initiatives"/>
    <n v="0.1"/>
  </r>
  <r>
    <x v="29"/>
    <x v="0"/>
    <x v="1"/>
    <x v="1"/>
    <s v="Industrial Machinery"/>
    <x v="0"/>
    <s v="A"/>
    <s v="United States"/>
    <x v="0"/>
    <d v="2024-01-24T00:00:00"/>
    <x v="0"/>
    <x v="1"/>
    <x v="1"/>
    <m/>
    <s v="Cash Incentive"/>
    <n v="7.0000000000000007E-2"/>
    <x v="1"/>
    <s v="Profitability"/>
    <x v="9"/>
    <s v="Adjusted Operating Margin and Days Inventory Outstanding "/>
    <n v="0.1"/>
  </r>
  <r>
    <x v="29"/>
    <x v="0"/>
    <x v="1"/>
    <x v="1"/>
    <s v="Industrial Machinery"/>
    <x v="0"/>
    <s v="A"/>
    <s v="United States"/>
    <x v="0"/>
    <d v="2024-01-24T00:00:00"/>
    <x v="0"/>
    <x v="1"/>
    <x v="1"/>
    <m/>
    <s v="Cash Incentive"/>
    <n v="7.0000000000000007E-2"/>
    <x v="3"/>
    <s v="Stock Performance"/>
    <x v="11"/>
    <s v="Relative TSR"/>
    <n v="0.08"/>
  </r>
  <r>
    <x v="29"/>
    <x v="0"/>
    <x v="1"/>
    <x v="1"/>
    <s v="Industrial Machinery"/>
    <x v="0"/>
    <s v="A"/>
    <s v="United States"/>
    <x v="0"/>
    <d v="2024-01-24T00:00:00"/>
    <x v="0"/>
    <x v="1"/>
    <x v="1"/>
    <m/>
    <s v="Cash Incentive"/>
    <n v="7.0000000000000007E-2"/>
    <x v="2"/>
    <s v="Strategy &amp; Operations"/>
    <x v="40"/>
    <s v="Improving Operational, Quality, and Employee Health and Safety "/>
    <n v="7.4999999999999997E-2"/>
  </r>
  <r>
    <x v="29"/>
    <x v="0"/>
    <x v="1"/>
    <x v="1"/>
    <s v="Industrial Machinery"/>
    <x v="0"/>
    <s v="A"/>
    <s v="United States"/>
    <x v="0"/>
    <d v="2024-01-24T00:00:00"/>
    <x v="0"/>
    <x v="1"/>
    <x v="1"/>
    <m/>
    <s v="Cash Incentive"/>
    <n v="7.0000000000000007E-2"/>
    <x v="2"/>
    <s v="Strategy &amp; Operations"/>
    <x v="4"/>
    <s v="Customers and Markets"/>
    <n v="0.05"/>
  </r>
  <r>
    <x v="29"/>
    <x v="0"/>
    <x v="1"/>
    <x v="1"/>
    <s v="Industrial Machinery"/>
    <x v="0"/>
    <s v="A"/>
    <s v="United States"/>
    <x v="0"/>
    <d v="2024-01-24T00:00:00"/>
    <x v="0"/>
    <x v="1"/>
    <x v="1"/>
    <m/>
    <s v="Cash Incentive"/>
    <n v="7.0000000000000007E-2"/>
    <x v="2"/>
    <s v="ESG"/>
    <x v="7"/>
    <s v="People and Organization"/>
    <n v="0.05"/>
  </r>
  <r>
    <x v="29"/>
    <x v="0"/>
    <x v="1"/>
    <x v="1"/>
    <s v="Industrial Machinery"/>
    <x v="0"/>
    <s v="A"/>
    <s v="United States"/>
    <x v="0"/>
    <d v="2024-01-24T00:00:00"/>
    <x v="0"/>
    <x v="1"/>
    <x v="1"/>
    <m/>
    <s v="Cash Incentive"/>
    <n v="7.0000000000000007E-2"/>
    <x v="2"/>
    <s v="ESG"/>
    <x v="7"/>
    <s v="Talent, Productivity, and Employee Engagement "/>
    <n v="2.5000000000000001E-2"/>
  </r>
  <r>
    <x v="29"/>
    <x v="0"/>
    <x v="1"/>
    <x v="1"/>
    <s v="Industrial Machinery"/>
    <x v="0"/>
    <s v="A"/>
    <s v="United States"/>
    <x v="0"/>
    <d v="2024-01-24T00:00:00"/>
    <x v="0"/>
    <x v="1"/>
    <x v="1"/>
    <m/>
    <s v="Cash Incentive"/>
    <n v="7.0000000000000007E-2"/>
    <x v="1"/>
    <s v="Growth"/>
    <x v="1"/>
    <s v="Service Core Revenue Growth"/>
    <n v="0.02"/>
  </r>
  <r>
    <x v="29"/>
    <x v="0"/>
    <x v="1"/>
    <x v="1"/>
    <s v="Industrial Machinery"/>
    <x v="0"/>
    <s v="A"/>
    <s v="United States"/>
    <x v="0"/>
    <d v="2024-01-24T00:00:00"/>
    <x v="0"/>
    <x v="1"/>
    <x v="1"/>
    <m/>
    <s v="Cash Incentive"/>
    <n v="7.0000000000000007E-2"/>
    <x v="0"/>
    <s v="Modifier/Threshold"/>
    <x v="14"/>
    <s v="Adjusted EPS"/>
    <m/>
  </r>
  <r>
    <x v="29"/>
    <x v="0"/>
    <x v="1"/>
    <x v="1"/>
    <s v="Industrial Machinery"/>
    <x v="0"/>
    <s v="A"/>
    <s v="United States"/>
    <x v="0"/>
    <d v="2024-01-24T00:00:00"/>
    <x v="0"/>
    <x v="1"/>
    <x v="1"/>
    <m/>
    <s v="Cash Incentive"/>
    <n v="7.0000000000000007E-2"/>
    <x v="0"/>
    <s v="Modifier/Threshold"/>
    <x v="10"/>
    <s v="Individual Performance Factor"/>
    <m/>
  </r>
  <r>
    <x v="29"/>
    <x v="0"/>
    <x v="1"/>
    <x v="1"/>
    <s v="Industrial Machinery"/>
    <x v="0"/>
    <s v="A"/>
    <s v="United States"/>
    <x v="0"/>
    <d v="2024-01-24T00:00:00"/>
    <x v="0"/>
    <x v="2"/>
    <x v="1"/>
    <n v="0.67"/>
    <s v="Performance Stock"/>
    <n v="0.67"/>
    <x v="3"/>
    <s v="Stock Performance"/>
    <x v="11"/>
    <s v="3Y Relative TSR"/>
    <n v="0.5"/>
  </r>
  <r>
    <x v="29"/>
    <x v="0"/>
    <x v="1"/>
    <x v="1"/>
    <s v="Industrial Machinery"/>
    <x v="0"/>
    <s v="A"/>
    <s v="United States"/>
    <x v="0"/>
    <d v="2024-01-24T00:00:00"/>
    <x v="0"/>
    <x v="2"/>
    <x v="1"/>
    <m/>
    <s v="Performance Stock"/>
    <n v="0.67"/>
    <x v="1"/>
    <s v="Profitability"/>
    <x v="9"/>
    <s v="3Y Average Adjusted Operating Margin"/>
    <n v="0.5"/>
  </r>
  <r>
    <x v="29"/>
    <x v="0"/>
    <x v="1"/>
    <x v="1"/>
    <s v="Industrial Machinery"/>
    <x v="0"/>
    <s v="A"/>
    <s v="United States"/>
    <x v="0"/>
    <d v="2024-01-24T00:00:00"/>
    <x v="0"/>
    <x v="2"/>
    <x v="0"/>
    <n v="0.22"/>
    <s v="Time-Based Stock"/>
    <n v="0.22"/>
    <x v="0"/>
    <m/>
    <x v="0"/>
    <m/>
    <m/>
  </r>
  <r>
    <x v="29"/>
    <x v="0"/>
    <x v="1"/>
    <x v="1"/>
    <s v="Industrial Machinery"/>
    <x v="0"/>
    <s v="A"/>
    <s v="United States"/>
    <x v="0"/>
    <d v="2024-01-24T00:00:00"/>
    <x v="1"/>
    <x v="0"/>
    <x v="0"/>
    <n v="0.1185951582635054"/>
    <s v="Base Salary"/>
    <n v="0.1185951582635054"/>
    <x v="0"/>
    <m/>
    <x v="0"/>
    <m/>
    <m/>
  </r>
  <r>
    <x v="29"/>
    <x v="0"/>
    <x v="1"/>
    <x v="1"/>
    <s v="Industrial Machinery"/>
    <x v="0"/>
    <s v="A"/>
    <s v="United States"/>
    <x v="0"/>
    <d v="2024-01-24T00:00:00"/>
    <x v="1"/>
    <x v="1"/>
    <x v="1"/>
    <n v="0.14995107541417829"/>
    <s v="Cash Incentive"/>
    <n v="0.14995107541417829"/>
    <x v="2"/>
    <s v="Strategy &amp; Operations"/>
    <x v="3"/>
    <s v="Products and Growth "/>
    <n v="0.3"/>
  </r>
  <r>
    <x v="29"/>
    <x v="0"/>
    <x v="1"/>
    <x v="1"/>
    <s v="Industrial Machinery"/>
    <x v="0"/>
    <s v="A"/>
    <s v="United States"/>
    <x v="0"/>
    <d v="2024-01-24T00:00:00"/>
    <x v="1"/>
    <x v="1"/>
    <x v="1"/>
    <m/>
    <s v="Cash Incentive"/>
    <n v="0.14995107541417829"/>
    <x v="2"/>
    <s v="Strategy &amp; Operations"/>
    <x v="3"/>
    <s v="Services and Subscription"/>
    <n v="0.113"/>
  </r>
  <r>
    <x v="29"/>
    <x v="0"/>
    <x v="1"/>
    <x v="1"/>
    <s v="Industrial Machinery"/>
    <x v="0"/>
    <s v="A"/>
    <s v="United States"/>
    <x v="0"/>
    <d v="2024-01-24T00:00:00"/>
    <x v="1"/>
    <x v="1"/>
    <x v="1"/>
    <m/>
    <s v="Cash Incentive"/>
    <n v="0.14995107541417829"/>
    <x v="1"/>
    <s v="Profitability"/>
    <x v="29"/>
    <s v="Adjusted Gross Margin and Related Initiatives"/>
    <n v="0.1"/>
  </r>
  <r>
    <x v="29"/>
    <x v="0"/>
    <x v="1"/>
    <x v="1"/>
    <s v="Industrial Machinery"/>
    <x v="0"/>
    <s v="A"/>
    <s v="United States"/>
    <x v="0"/>
    <d v="2024-01-24T00:00:00"/>
    <x v="1"/>
    <x v="1"/>
    <x v="1"/>
    <m/>
    <s v="Cash Incentive"/>
    <n v="0.14995107541417829"/>
    <x v="1"/>
    <s v="Profitability"/>
    <x v="9"/>
    <s v="Adjusted Operating Margin and Days Inventory Outstanding "/>
    <n v="0.1"/>
  </r>
  <r>
    <x v="29"/>
    <x v="0"/>
    <x v="1"/>
    <x v="1"/>
    <s v="Industrial Machinery"/>
    <x v="0"/>
    <s v="A"/>
    <s v="United States"/>
    <x v="0"/>
    <d v="2024-01-24T00:00:00"/>
    <x v="1"/>
    <x v="1"/>
    <x v="1"/>
    <m/>
    <s v="Cash Incentive"/>
    <n v="0.14995107541417829"/>
    <x v="1"/>
    <s v="Growth"/>
    <x v="16"/>
    <s v="Wafer Fabrication Equipment Market Share"/>
    <n v="9.2999999999999999E-2"/>
  </r>
  <r>
    <x v="29"/>
    <x v="0"/>
    <x v="1"/>
    <x v="1"/>
    <s v="Industrial Machinery"/>
    <x v="0"/>
    <s v="A"/>
    <s v="United States"/>
    <x v="0"/>
    <d v="2024-01-24T00:00:00"/>
    <x v="1"/>
    <x v="1"/>
    <x v="1"/>
    <m/>
    <s v="Cash Incentive"/>
    <n v="0.14995107541417829"/>
    <x v="3"/>
    <s v="Stock Performance"/>
    <x v="11"/>
    <s v="Relative TSR"/>
    <n v="0.08"/>
  </r>
  <r>
    <x v="29"/>
    <x v="0"/>
    <x v="1"/>
    <x v="1"/>
    <s v="Industrial Machinery"/>
    <x v="0"/>
    <s v="A"/>
    <s v="United States"/>
    <x v="0"/>
    <d v="2024-01-24T00:00:00"/>
    <x v="1"/>
    <x v="1"/>
    <x v="1"/>
    <m/>
    <s v="Cash Incentive"/>
    <n v="0.14995107541417829"/>
    <x v="2"/>
    <s v="Strategy &amp; Operations"/>
    <x v="40"/>
    <s v="Improving Operational, Quality, and Employee Health and Safety "/>
    <n v="7.4999999999999997E-2"/>
  </r>
  <r>
    <x v="29"/>
    <x v="0"/>
    <x v="1"/>
    <x v="1"/>
    <s v="Industrial Machinery"/>
    <x v="0"/>
    <s v="A"/>
    <s v="United States"/>
    <x v="0"/>
    <d v="2024-01-24T00:00:00"/>
    <x v="1"/>
    <x v="1"/>
    <x v="1"/>
    <m/>
    <s v="Cash Incentive"/>
    <n v="0.14995107541417829"/>
    <x v="2"/>
    <s v="ESG"/>
    <x v="3"/>
    <s v="People and Organization"/>
    <n v="0.05"/>
  </r>
  <r>
    <x v="29"/>
    <x v="0"/>
    <x v="1"/>
    <x v="1"/>
    <s v="Industrial Machinery"/>
    <x v="0"/>
    <s v="A"/>
    <s v="United States"/>
    <x v="0"/>
    <d v="2024-01-24T00:00:00"/>
    <x v="1"/>
    <x v="1"/>
    <x v="1"/>
    <m/>
    <s v="Cash Incentive"/>
    <n v="0.14995107541417829"/>
    <x v="2"/>
    <s v="Strategy &amp; Operations"/>
    <x v="4"/>
    <s v="Customers and Markets"/>
    <n v="3.7999999999999999E-2"/>
  </r>
  <r>
    <x v="29"/>
    <x v="0"/>
    <x v="1"/>
    <x v="1"/>
    <s v="Industrial Machinery"/>
    <x v="0"/>
    <s v="A"/>
    <s v="United States"/>
    <x v="0"/>
    <d v="2024-01-24T00:00:00"/>
    <x v="1"/>
    <x v="1"/>
    <x v="1"/>
    <m/>
    <s v="Cash Incentive"/>
    <n v="0.14995107541417829"/>
    <x v="2"/>
    <s v="ESG"/>
    <x v="7"/>
    <s v="Talent, Productivity, and Employee Engagement "/>
    <n v="2.5000000000000001E-2"/>
  </r>
  <r>
    <x v="29"/>
    <x v="0"/>
    <x v="1"/>
    <x v="1"/>
    <s v="Industrial Machinery"/>
    <x v="0"/>
    <s v="A"/>
    <s v="United States"/>
    <x v="0"/>
    <d v="2024-01-24T00:00:00"/>
    <x v="1"/>
    <x v="1"/>
    <x v="1"/>
    <m/>
    <s v="Cash Incentive"/>
    <n v="0.14995107541417829"/>
    <x v="1"/>
    <s v="Growth"/>
    <x v="1"/>
    <s v="Service Core Revenue Growth"/>
    <n v="2.8000000000000001E-2"/>
  </r>
  <r>
    <x v="29"/>
    <x v="0"/>
    <x v="1"/>
    <x v="1"/>
    <s v="Industrial Machinery"/>
    <x v="0"/>
    <s v="A"/>
    <s v="United States"/>
    <x v="0"/>
    <d v="2024-01-24T00:00:00"/>
    <x v="1"/>
    <x v="1"/>
    <x v="1"/>
    <m/>
    <s v="Cash Incentive"/>
    <n v="0.14995107541417829"/>
    <x v="0"/>
    <s v="Modifier/Threshold"/>
    <x v="14"/>
    <s v="Adjusted EPS"/>
    <m/>
  </r>
  <r>
    <x v="29"/>
    <x v="0"/>
    <x v="1"/>
    <x v="1"/>
    <s v="Industrial Machinery"/>
    <x v="0"/>
    <s v="A"/>
    <s v="United States"/>
    <x v="0"/>
    <d v="2024-01-24T00:00:00"/>
    <x v="1"/>
    <x v="1"/>
    <x v="1"/>
    <m/>
    <s v="Cash Incentive"/>
    <n v="0.14995107541417829"/>
    <x v="0"/>
    <s v="Modifier/Threshold"/>
    <x v="10"/>
    <s v="Individual Performance Factor"/>
    <m/>
  </r>
  <r>
    <x v="29"/>
    <x v="0"/>
    <x v="1"/>
    <x v="1"/>
    <s v="Industrial Machinery"/>
    <x v="0"/>
    <s v="A"/>
    <s v="United States"/>
    <x v="0"/>
    <d v="2024-01-24T00:00:00"/>
    <x v="1"/>
    <x v="2"/>
    <x v="1"/>
    <n v="0.3657268831611582"/>
    <s v="Performance Stock"/>
    <n v="0.3657268831611582"/>
    <x v="3"/>
    <s v="Stock Performance"/>
    <x v="11"/>
    <s v="3Y Relative TSR"/>
    <n v="0.5"/>
  </r>
  <r>
    <x v="29"/>
    <x v="0"/>
    <x v="1"/>
    <x v="1"/>
    <s v="Industrial Machinery"/>
    <x v="0"/>
    <s v="A"/>
    <s v="United States"/>
    <x v="0"/>
    <d v="2024-01-24T00:00:00"/>
    <x v="1"/>
    <x v="2"/>
    <x v="1"/>
    <m/>
    <s v="Performance Stock"/>
    <n v="0.3657268831611582"/>
    <x v="1"/>
    <s v="Profitability"/>
    <x v="9"/>
    <s v="3Y Average Adjusted Operating Margin"/>
    <n v="0.5"/>
  </r>
  <r>
    <x v="29"/>
    <x v="0"/>
    <x v="1"/>
    <x v="1"/>
    <s v="Industrial Machinery"/>
    <x v="0"/>
    <s v="A"/>
    <s v="United States"/>
    <x v="0"/>
    <d v="2024-01-24T00:00:00"/>
    <x v="1"/>
    <x v="2"/>
    <x v="0"/>
    <n v="0.3657268831611582"/>
    <s v="Time-Based Stock"/>
    <n v="0.3657268831611582"/>
    <x v="0"/>
    <m/>
    <x v="0"/>
    <m/>
    <m/>
  </r>
  <r>
    <x v="30"/>
    <x v="8"/>
    <x v="13"/>
    <x v="21"/>
    <s v="Oil &amp; Gas"/>
    <x v="0"/>
    <s v="AA-"/>
    <s v="United States"/>
    <x v="0"/>
    <d v="2024-04-11T00:00:00"/>
    <x v="0"/>
    <x v="0"/>
    <x v="0"/>
    <n v="0.06"/>
    <s v="Base Salary"/>
    <n v="0.06"/>
    <x v="0"/>
    <m/>
    <x v="0"/>
    <m/>
    <m/>
  </r>
  <r>
    <x v="30"/>
    <x v="8"/>
    <x v="13"/>
    <x v="21"/>
    <s v="Oil &amp; Gas"/>
    <x v="0"/>
    <s v="AA-"/>
    <s v="United States"/>
    <x v="0"/>
    <d v="2024-04-11T00:00:00"/>
    <x v="0"/>
    <x v="1"/>
    <x v="1"/>
    <n v="0.16"/>
    <s v="Cash Incentive"/>
    <n v="0.16"/>
    <x v="1"/>
    <s v="Profitability"/>
    <x v="24"/>
    <s v="Net Income "/>
    <m/>
  </r>
  <r>
    <x v="30"/>
    <x v="8"/>
    <x v="13"/>
    <x v="21"/>
    <s v="Oil &amp; Gas"/>
    <x v="0"/>
    <s v="AA-"/>
    <s v="United States"/>
    <x v="0"/>
    <d v="2024-04-11T00:00:00"/>
    <x v="0"/>
    <x v="1"/>
    <x v="1"/>
    <m/>
    <s v="Cash Incentive"/>
    <n v="0.16"/>
    <x v="2"/>
    <s v="Strategy &amp; Operations"/>
    <x v="13"/>
    <s v="Individual Performance Assessment"/>
    <m/>
  </r>
  <r>
    <x v="30"/>
    <x v="8"/>
    <x v="13"/>
    <x v="21"/>
    <s v="Oil &amp; Gas"/>
    <x v="0"/>
    <s v="AA-"/>
    <s v="United States"/>
    <x v="0"/>
    <d v="2024-04-11T00:00:00"/>
    <x v="0"/>
    <x v="2"/>
    <x v="1"/>
    <n v="0.78"/>
    <s v="Performance Stock"/>
    <n v="0.78"/>
    <x v="2"/>
    <s v="Strategy &amp; Operations"/>
    <x v="13"/>
    <s v="Individual Performance Assessment"/>
    <n v="1"/>
  </r>
  <r>
    <x v="30"/>
    <x v="8"/>
    <x v="13"/>
    <x v="21"/>
    <s v="Oil &amp; Gas"/>
    <x v="0"/>
    <s v="AA-"/>
    <s v="United States"/>
    <x v="0"/>
    <d v="2024-04-11T00:00:00"/>
    <x v="1"/>
    <x v="0"/>
    <x v="0"/>
    <n v="7.0000000000000007E-2"/>
    <s v="Base Salary"/>
    <n v="7.0000000000000007E-2"/>
    <x v="0"/>
    <m/>
    <x v="0"/>
    <m/>
    <m/>
  </r>
  <r>
    <x v="30"/>
    <x v="8"/>
    <x v="13"/>
    <x v="21"/>
    <s v="Oil &amp; Gas"/>
    <x v="0"/>
    <s v="AA-"/>
    <s v="United States"/>
    <x v="0"/>
    <d v="2024-04-11T00:00:00"/>
    <x v="1"/>
    <x v="1"/>
    <x v="1"/>
    <n v="0.19"/>
    <s v="Cash Incentive"/>
    <n v="0.19"/>
    <x v="1"/>
    <s v="Profitability"/>
    <x v="24"/>
    <s v="Net Income "/>
    <m/>
  </r>
  <r>
    <x v="30"/>
    <x v="8"/>
    <x v="13"/>
    <x v="21"/>
    <s v="Oil &amp; Gas"/>
    <x v="0"/>
    <s v="AA-"/>
    <s v="United States"/>
    <x v="0"/>
    <d v="2024-04-11T00:00:00"/>
    <x v="1"/>
    <x v="1"/>
    <x v="1"/>
    <m/>
    <s v="Cash Incentive"/>
    <n v="0.19"/>
    <x v="2"/>
    <s v="Strategy &amp; Operations"/>
    <x v="13"/>
    <s v="Individual Performance Assessment"/>
    <m/>
  </r>
  <r>
    <x v="30"/>
    <x v="8"/>
    <x v="13"/>
    <x v="21"/>
    <s v="Oil &amp; Gas"/>
    <x v="0"/>
    <s v="AA-"/>
    <s v="United States"/>
    <x v="0"/>
    <d v="2024-04-11T00:00:00"/>
    <x v="1"/>
    <x v="2"/>
    <x v="1"/>
    <n v="0.74"/>
    <s v="Performance Stock"/>
    <n v="0.74"/>
    <x v="2"/>
    <s v="Strategy &amp; Operations"/>
    <x v="13"/>
    <s v="Individual Performance Assessment"/>
    <n v="1"/>
  </r>
  <r>
    <x v="31"/>
    <x v="0"/>
    <x v="1"/>
    <x v="1"/>
    <s v="Semiconductors"/>
    <x v="0"/>
    <s v="BBB-"/>
    <s v="United States"/>
    <x v="0"/>
    <d v="2023-11-29T00:00:00"/>
    <x v="0"/>
    <x v="0"/>
    <x v="0"/>
    <n v="0.05"/>
    <s v="Base Salary"/>
    <n v="0.05"/>
    <x v="0"/>
    <m/>
    <x v="0"/>
    <m/>
    <m/>
  </r>
  <r>
    <x v="31"/>
    <x v="0"/>
    <x v="1"/>
    <x v="1"/>
    <s v="Semiconductors"/>
    <x v="0"/>
    <s v="BBB-"/>
    <s v="United States"/>
    <x v="0"/>
    <d v="2023-11-29T00:00:00"/>
    <x v="0"/>
    <x v="1"/>
    <x v="1"/>
    <n v="0.11"/>
    <s v="Cash Incentive"/>
    <n v="0.11"/>
    <x v="1"/>
    <s v="Profitability"/>
    <x v="24"/>
    <s v="Adjusted Net Income"/>
    <n v="0.25"/>
  </r>
  <r>
    <x v="31"/>
    <x v="0"/>
    <x v="1"/>
    <x v="1"/>
    <s v="Semiconductors"/>
    <x v="0"/>
    <s v="BBB-"/>
    <s v="United States"/>
    <x v="0"/>
    <d v="2023-11-29T00:00:00"/>
    <x v="0"/>
    <x v="1"/>
    <x v="1"/>
    <m/>
    <s v="Cash Incentive"/>
    <n v="0.11"/>
    <x v="1"/>
    <s v="Profitability"/>
    <x v="9"/>
    <s v="Adjusted Operating Margin"/>
    <n v="0.25"/>
  </r>
  <r>
    <x v="31"/>
    <x v="0"/>
    <x v="1"/>
    <x v="1"/>
    <s v="Semiconductors"/>
    <x v="0"/>
    <s v="BBB-"/>
    <s v="United States"/>
    <x v="0"/>
    <d v="2023-11-29T00:00:00"/>
    <x v="0"/>
    <x v="1"/>
    <x v="1"/>
    <m/>
    <s v="Cash Incentive"/>
    <n v="0.11"/>
    <x v="2"/>
    <s v="Strategy &amp; Operations"/>
    <x v="3"/>
    <s v="Technology &amp; Products"/>
    <n v="0.1"/>
  </r>
  <r>
    <x v="31"/>
    <x v="0"/>
    <x v="1"/>
    <x v="1"/>
    <s v="Semiconductors"/>
    <x v="0"/>
    <s v="BBB-"/>
    <s v="United States"/>
    <x v="0"/>
    <d v="2023-11-29T00:00:00"/>
    <x v="0"/>
    <x v="1"/>
    <x v="1"/>
    <m/>
    <s v="Cash Incentive"/>
    <n v="0.11"/>
    <x v="2"/>
    <s v="Profitability"/>
    <x v="3"/>
    <s v="Cost &amp; Efficiency"/>
    <n v="0.1"/>
  </r>
  <r>
    <x v="31"/>
    <x v="0"/>
    <x v="1"/>
    <x v="1"/>
    <s v="Semiconductors"/>
    <x v="0"/>
    <s v="BBB-"/>
    <s v="United States"/>
    <x v="0"/>
    <d v="2023-11-29T00:00:00"/>
    <x v="0"/>
    <x v="1"/>
    <x v="1"/>
    <m/>
    <s v="Cash Incentive"/>
    <n v="0.11"/>
    <x v="2"/>
    <s v="Strategy &amp; Operations"/>
    <x v="4"/>
    <s v="Customers"/>
    <n v="0.1"/>
  </r>
  <r>
    <x v="31"/>
    <x v="0"/>
    <x v="1"/>
    <x v="1"/>
    <s v="Semiconductors"/>
    <x v="0"/>
    <s v="BBB-"/>
    <s v="United States"/>
    <x v="0"/>
    <d v="2023-11-29T00:00:00"/>
    <x v="0"/>
    <x v="1"/>
    <x v="1"/>
    <m/>
    <s v="Cash Incentive"/>
    <n v="0.11"/>
    <x v="2"/>
    <s v="Strategy &amp; Operations"/>
    <x v="3"/>
    <s v="Business"/>
    <n v="0.1"/>
  </r>
  <r>
    <x v="31"/>
    <x v="0"/>
    <x v="1"/>
    <x v="1"/>
    <s v="Semiconductors"/>
    <x v="0"/>
    <s v="BBB-"/>
    <s v="United States"/>
    <x v="0"/>
    <d v="2023-11-29T00:00:00"/>
    <x v="0"/>
    <x v="1"/>
    <x v="1"/>
    <m/>
    <s v="Cash Incentive"/>
    <n v="0.11"/>
    <x v="2"/>
    <s v="ESG"/>
    <x v="7"/>
    <s v="ESG"/>
    <n v="0.1"/>
  </r>
  <r>
    <x v="31"/>
    <x v="0"/>
    <x v="1"/>
    <x v="1"/>
    <s v="Semiconductors"/>
    <x v="0"/>
    <s v="BBB-"/>
    <s v="United States"/>
    <x v="0"/>
    <d v="2023-11-29T00:00:00"/>
    <x v="0"/>
    <x v="1"/>
    <x v="1"/>
    <m/>
    <s v="Cash Incentive"/>
    <n v="0.11"/>
    <x v="0"/>
    <s v="Modifier/Threshold"/>
    <x v="10"/>
    <s v="Individual Performance Factor"/>
    <m/>
  </r>
  <r>
    <x v="31"/>
    <x v="0"/>
    <x v="1"/>
    <x v="1"/>
    <s v="Semiconductors"/>
    <x v="0"/>
    <s v="BBB-"/>
    <s v="United States"/>
    <x v="0"/>
    <d v="2023-11-29T00:00:00"/>
    <x v="0"/>
    <x v="1"/>
    <x v="1"/>
    <m/>
    <s v="Cash Incentive"/>
    <n v="0.11"/>
    <x v="0"/>
    <s v="Modifier/Threshold"/>
    <x v="42"/>
    <s v="Adjusted Net Income"/>
    <m/>
  </r>
  <r>
    <x v="31"/>
    <x v="0"/>
    <x v="1"/>
    <x v="1"/>
    <s v="Semiconductors"/>
    <x v="0"/>
    <s v="BBB-"/>
    <s v="United States"/>
    <x v="0"/>
    <d v="2023-11-29T00:00:00"/>
    <x v="0"/>
    <x v="1"/>
    <x v="1"/>
    <m/>
    <s v="Cash Incentive"/>
    <n v="0.11"/>
    <x v="0"/>
    <s v="Modifier/Threshold"/>
    <x v="43"/>
    <s v="Adjusted Operating Margin"/>
    <m/>
  </r>
  <r>
    <x v="31"/>
    <x v="0"/>
    <x v="1"/>
    <x v="1"/>
    <s v="Semiconductors"/>
    <x v="0"/>
    <s v="BBB-"/>
    <s v="United States"/>
    <x v="0"/>
    <d v="2023-11-29T00:00:00"/>
    <x v="0"/>
    <x v="2"/>
    <x v="1"/>
    <n v="0.54600000000000004"/>
    <s v="Performance Stock"/>
    <n v="0.54600000000000004"/>
    <x v="3"/>
    <s v="Stock Performance"/>
    <x v="11"/>
    <s v="3Y Relative TSR CAGR"/>
    <n v="0.5"/>
  </r>
  <r>
    <x v="31"/>
    <x v="0"/>
    <x v="1"/>
    <x v="1"/>
    <s v="Semiconductors"/>
    <x v="0"/>
    <s v="BBB-"/>
    <s v="United States"/>
    <x v="0"/>
    <d v="2023-11-29T00:00:00"/>
    <x v="0"/>
    <x v="2"/>
    <x v="1"/>
    <m/>
    <s v="Performance Stock"/>
    <n v="0.54600000000000004"/>
    <x v="1"/>
    <s v="Strategy &amp; Operations"/>
    <x v="1"/>
    <s v="DRAM Revenue from High-Growth, Stable Segments"/>
    <n v="0.25"/>
  </r>
  <r>
    <x v="31"/>
    <x v="0"/>
    <x v="1"/>
    <x v="1"/>
    <s v="Semiconductors"/>
    <x v="0"/>
    <s v="BBB-"/>
    <s v="United States"/>
    <x v="0"/>
    <d v="2023-11-29T00:00:00"/>
    <x v="0"/>
    <x v="2"/>
    <x v="1"/>
    <m/>
    <s v="Performance Stock"/>
    <n v="0.54600000000000004"/>
    <x v="1"/>
    <s v="Strategy &amp; Operations"/>
    <x v="17"/>
    <s v="NAND Bits Shipped into Data Center Segment "/>
    <n v="0.25"/>
  </r>
  <r>
    <x v="31"/>
    <x v="0"/>
    <x v="1"/>
    <x v="1"/>
    <s v="Semiconductors"/>
    <x v="0"/>
    <s v="BBB-"/>
    <s v="United States"/>
    <x v="0"/>
    <d v="2023-11-29T00:00:00"/>
    <x v="0"/>
    <x v="2"/>
    <x v="1"/>
    <m/>
    <s v="Performance Stock"/>
    <n v="0.54600000000000004"/>
    <x v="0"/>
    <s v="Modifier/Threshold"/>
    <x v="44"/>
    <s v="High Bandwidth Memory Products and Associated Revenue"/>
    <m/>
  </r>
  <r>
    <x v="31"/>
    <x v="0"/>
    <x v="1"/>
    <x v="1"/>
    <s v="Semiconductors"/>
    <x v="0"/>
    <s v="BBB-"/>
    <s v="United States"/>
    <x v="0"/>
    <d v="2023-11-29T00:00:00"/>
    <x v="0"/>
    <x v="2"/>
    <x v="1"/>
    <m/>
    <s v="Performance Stock"/>
    <n v="0.54600000000000004"/>
    <x v="0"/>
    <s v="Modifier/Threshold"/>
    <x v="45"/>
    <s v="Compute Express Link-Related Products"/>
    <m/>
  </r>
  <r>
    <x v="31"/>
    <x v="0"/>
    <x v="1"/>
    <x v="1"/>
    <s v="Semiconductors"/>
    <x v="0"/>
    <s v="BBB-"/>
    <s v="United States"/>
    <x v="0"/>
    <d v="2023-11-29T00:00:00"/>
    <x v="0"/>
    <x v="2"/>
    <x v="0"/>
    <n v="0.29399999999999998"/>
    <s v="Time-Based Stock"/>
    <n v="0.29399999999999998"/>
    <x v="0"/>
    <m/>
    <x v="0"/>
    <m/>
    <m/>
  </r>
  <r>
    <x v="31"/>
    <x v="0"/>
    <x v="1"/>
    <x v="1"/>
    <s v="Semiconductors"/>
    <x v="0"/>
    <s v="BBB-"/>
    <s v="United States"/>
    <x v="0"/>
    <d v="2023-11-29T00:00:00"/>
    <x v="1"/>
    <x v="0"/>
    <x v="0"/>
    <n v="0.08"/>
    <s v="Base Salary"/>
    <n v="0.08"/>
    <x v="0"/>
    <m/>
    <x v="0"/>
    <m/>
    <m/>
  </r>
  <r>
    <x v="31"/>
    <x v="0"/>
    <x v="1"/>
    <x v="1"/>
    <s v="Semiconductors"/>
    <x v="0"/>
    <s v="BBB-"/>
    <s v="United States"/>
    <x v="0"/>
    <d v="2023-11-29T00:00:00"/>
    <x v="1"/>
    <x v="1"/>
    <x v="1"/>
    <n v="0.09"/>
    <s v="Cash Incentive"/>
    <n v="0.09"/>
    <x v="1"/>
    <s v="Profitability"/>
    <x v="24"/>
    <s v="Adjusted Net Income"/>
    <n v="0.25"/>
  </r>
  <r>
    <x v="31"/>
    <x v="0"/>
    <x v="1"/>
    <x v="1"/>
    <s v="Semiconductors"/>
    <x v="0"/>
    <s v="BBB-"/>
    <s v="United States"/>
    <x v="0"/>
    <d v="2023-11-29T00:00:00"/>
    <x v="1"/>
    <x v="1"/>
    <x v="1"/>
    <m/>
    <s v="Cash Incentive"/>
    <n v="0.09"/>
    <x v="1"/>
    <s v="Profitability"/>
    <x v="9"/>
    <s v="Adjusted Operating Margin"/>
    <n v="0.25"/>
  </r>
  <r>
    <x v="31"/>
    <x v="0"/>
    <x v="1"/>
    <x v="1"/>
    <s v="Semiconductors"/>
    <x v="0"/>
    <s v="BBB-"/>
    <s v="United States"/>
    <x v="0"/>
    <d v="2023-11-29T00:00:00"/>
    <x v="1"/>
    <x v="1"/>
    <x v="1"/>
    <m/>
    <s v="Cash Incentive"/>
    <n v="0.09"/>
    <x v="2"/>
    <s v="Strategy &amp; Operations"/>
    <x v="3"/>
    <s v="Technology &amp; Products"/>
    <n v="0.1"/>
  </r>
  <r>
    <x v="31"/>
    <x v="0"/>
    <x v="1"/>
    <x v="1"/>
    <s v="Semiconductors"/>
    <x v="0"/>
    <s v="BBB-"/>
    <s v="United States"/>
    <x v="0"/>
    <d v="2023-11-29T00:00:00"/>
    <x v="1"/>
    <x v="1"/>
    <x v="1"/>
    <m/>
    <s v="Cash Incentive"/>
    <n v="0.09"/>
    <x v="2"/>
    <s v="Profitability"/>
    <x v="3"/>
    <s v="Cost &amp; Efficiency"/>
    <n v="0.1"/>
  </r>
  <r>
    <x v="31"/>
    <x v="0"/>
    <x v="1"/>
    <x v="1"/>
    <s v="Semiconductors"/>
    <x v="0"/>
    <s v="BBB-"/>
    <s v="United States"/>
    <x v="0"/>
    <d v="2023-11-29T00:00:00"/>
    <x v="1"/>
    <x v="1"/>
    <x v="1"/>
    <m/>
    <s v="Cash Incentive"/>
    <n v="0.09"/>
    <x v="2"/>
    <s v="Strategy &amp; Operations"/>
    <x v="4"/>
    <s v="Customers"/>
    <n v="0.1"/>
  </r>
  <r>
    <x v="31"/>
    <x v="0"/>
    <x v="1"/>
    <x v="1"/>
    <s v="Semiconductors"/>
    <x v="0"/>
    <s v="BBB-"/>
    <s v="United States"/>
    <x v="0"/>
    <d v="2023-11-29T00:00:00"/>
    <x v="1"/>
    <x v="1"/>
    <x v="1"/>
    <m/>
    <s v="Cash Incentive"/>
    <n v="0.09"/>
    <x v="2"/>
    <s v="Strategy &amp; Operations"/>
    <x v="3"/>
    <s v="Business"/>
    <n v="0.1"/>
  </r>
  <r>
    <x v="31"/>
    <x v="0"/>
    <x v="1"/>
    <x v="1"/>
    <s v="Semiconductors"/>
    <x v="0"/>
    <s v="BBB-"/>
    <s v="United States"/>
    <x v="0"/>
    <d v="2023-11-29T00:00:00"/>
    <x v="1"/>
    <x v="1"/>
    <x v="1"/>
    <m/>
    <s v="Cash Incentive"/>
    <n v="0.09"/>
    <x v="2"/>
    <s v="ESG"/>
    <x v="7"/>
    <s v="ESG"/>
    <n v="0.1"/>
  </r>
  <r>
    <x v="31"/>
    <x v="0"/>
    <x v="1"/>
    <x v="1"/>
    <s v="Semiconductors"/>
    <x v="0"/>
    <s v="BBB-"/>
    <s v="United States"/>
    <x v="0"/>
    <d v="2023-11-29T00:00:00"/>
    <x v="1"/>
    <x v="1"/>
    <x v="1"/>
    <m/>
    <s v="Cash Incentive"/>
    <n v="0.09"/>
    <x v="0"/>
    <s v="Modifier/Threshold"/>
    <x v="10"/>
    <s v="Individual Performance Factor"/>
    <m/>
  </r>
  <r>
    <x v="31"/>
    <x v="0"/>
    <x v="1"/>
    <x v="1"/>
    <s v="Semiconductors"/>
    <x v="0"/>
    <s v="BBB-"/>
    <s v="United States"/>
    <x v="0"/>
    <d v="2023-11-29T00:00:00"/>
    <x v="1"/>
    <x v="1"/>
    <x v="1"/>
    <m/>
    <s v="Cash Incentive"/>
    <n v="0.09"/>
    <x v="0"/>
    <s v="Modifier/Threshold"/>
    <x v="42"/>
    <s v="Adjusted Net Income"/>
    <m/>
  </r>
  <r>
    <x v="31"/>
    <x v="0"/>
    <x v="1"/>
    <x v="1"/>
    <s v="Semiconductors"/>
    <x v="0"/>
    <s v="BBB-"/>
    <s v="United States"/>
    <x v="0"/>
    <d v="2023-11-29T00:00:00"/>
    <x v="1"/>
    <x v="1"/>
    <x v="1"/>
    <m/>
    <s v="Cash Incentive"/>
    <n v="0.09"/>
    <x v="0"/>
    <s v="Modifier/Threshold"/>
    <x v="43"/>
    <s v="Adjusted Operating Margin"/>
    <m/>
  </r>
  <r>
    <x v="31"/>
    <x v="0"/>
    <x v="1"/>
    <x v="1"/>
    <s v="Semiconductors"/>
    <x v="0"/>
    <s v="BBB-"/>
    <s v="United States"/>
    <x v="0"/>
    <d v="2023-11-29T00:00:00"/>
    <x v="1"/>
    <x v="2"/>
    <x v="1"/>
    <n v="0.41499999999999998"/>
    <s v="Performance Stock"/>
    <n v="0.41499999999999998"/>
    <x v="3"/>
    <s v="Stock Performance"/>
    <x v="11"/>
    <s v="3Y Relative TSR CAGR"/>
    <n v="0.5"/>
  </r>
  <r>
    <x v="31"/>
    <x v="0"/>
    <x v="1"/>
    <x v="1"/>
    <s v="Semiconductors"/>
    <x v="0"/>
    <s v="BBB-"/>
    <s v="United States"/>
    <x v="0"/>
    <d v="2023-11-29T00:00:00"/>
    <x v="1"/>
    <x v="2"/>
    <x v="1"/>
    <m/>
    <s v="Performance Stock"/>
    <n v="0.41499999999999998"/>
    <x v="1"/>
    <s v="Strategy &amp; Operations"/>
    <x v="1"/>
    <s v="DRAM Revenue from High-Growth Stable Segments"/>
    <n v="0.25"/>
  </r>
  <r>
    <x v="31"/>
    <x v="0"/>
    <x v="1"/>
    <x v="1"/>
    <s v="Semiconductors"/>
    <x v="0"/>
    <s v="BBB-"/>
    <s v="United States"/>
    <x v="0"/>
    <d v="2023-11-29T00:00:00"/>
    <x v="1"/>
    <x v="2"/>
    <x v="1"/>
    <m/>
    <s v="Performance Stock"/>
    <n v="0.41499999999999998"/>
    <x v="1"/>
    <s v="Strategy &amp; Operations"/>
    <x v="17"/>
    <s v="NAND Bits Shipped into Data Center Segment "/>
    <n v="0.25"/>
  </r>
  <r>
    <x v="31"/>
    <x v="0"/>
    <x v="1"/>
    <x v="1"/>
    <s v="Semiconductors"/>
    <x v="0"/>
    <s v="BBB-"/>
    <s v="United States"/>
    <x v="0"/>
    <d v="2023-11-29T00:00:00"/>
    <x v="1"/>
    <x v="2"/>
    <x v="1"/>
    <m/>
    <s v="Performance Stock"/>
    <n v="0.41499999999999998"/>
    <x v="0"/>
    <s v="Modifier/Threshold"/>
    <x v="44"/>
    <s v="High Bandwidth Memory Products and Associated Revenue"/>
    <m/>
  </r>
  <r>
    <x v="31"/>
    <x v="0"/>
    <x v="1"/>
    <x v="1"/>
    <s v="Semiconductors"/>
    <x v="0"/>
    <s v="BBB-"/>
    <s v="United States"/>
    <x v="0"/>
    <d v="2023-11-29T00:00:00"/>
    <x v="1"/>
    <x v="2"/>
    <x v="1"/>
    <m/>
    <s v="Performance Stock"/>
    <n v="0.41499999999999998"/>
    <x v="0"/>
    <s v="Modifier/Threshold"/>
    <x v="45"/>
    <s v="Compute Express Link-Related Products"/>
    <m/>
  </r>
  <r>
    <x v="31"/>
    <x v="0"/>
    <x v="1"/>
    <x v="1"/>
    <s v="Semiconductors"/>
    <x v="0"/>
    <s v="BBB-"/>
    <s v="United States"/>
    <x v="0"/>
    <d v="2023-11-29T00:00:00"/>
    <x v="1"/>
    <x v="2"/>
    <x v="0"/>
    <n v="0.41499999999999998"/>
    <s v="Time-Based Stock"/>
    <n v="0.41499999999999998"/>
    <x v="0"/>
    <m/>
    <x v="0"/>
    <m/>
    <m/>
  </r>
  <r>
    <x v="32"/>
    <x v="5"/>
    <x v="15"/>
    <x v="23"/>
    <s v="Professional Services"/>
    <x v="0"/>
    <s v="A-"/>
    <s v="United States"/>
    <x v="0"/>
    <d v="2024-03-29T00:00:00"/>
    <x v="0"/>
    <x v="0"/>
    <x v="0"/>
    <n v="0.08"/>
    <s v="Base Salary"/>
    <n v="0.08"/>
    <x v="0"/>
    <m/>
    <x v="0"/>
    <m/>
    <m/>
  </r>
  <r>
    <x v="32"/>
    <x v="5"/>
    <x v="15"/>
    <x v="23"/>
    <s v="Professional Services"/>
    <x v="0"/>
    <s v="A-"/>
    <s v="United States"/>
    <x v="0"/>
    <d v="2024-03-29T00:00:00"/>
    <x v="0"/>
    <x v="1"/>
    <x v="1"/>
    <n v="0.19"/>
    <s v="Cash Incentive"/>
    <n v="0.19"/>
    <x v="1"/>
    <s v="Profitability"/>
    <x v="2"/>
    <s v="Adjusted Operating Income"/>
    <n v="0.8"/>
  </r>
  <r>
    <x v="32"/>
    <x v="5"/>
    <x v="15"/>
    <x v="23"/>
    <s v="Professional Services"/>
    <x v="0"/>
    <s v="A-"/>
    <s v="United States"/>
    <x v="0"/>
    <d v="2024-03-29T00:00:00"/>
    <x v="0"/>
    <x v="1"/>
    <x v="1"/>
    <m/>
    <s v="Cash Incentive"/>
    <n v="0.19"/>
    <x v="2"/>
    <s v="Individual Assessment"/>
    <x v="13"/>
    <s v="Individual Performance Assessment"/>
    <n v="0.2"/>
  </r>
  <r>
    <x v="32"/>
    <x v="5"/>
    <x v="15"/>
    <x v="23"/>
    <s v="Professional Services"/>
    <x v="0"/>
    <s v="A-"/>
    <s v="United States"/>
    <x v="0"/>
    <d v="2024-03-29T00:00:00"/>
    <x v="0"/>
    <x v="1"/>
    <x v="1"/>
    <m/>
    <s v="Cash Incentive"/>
    <n v="0.19"/>
    <x v="0"/>
    <s v="Modifier/Threshold"/>
    <x v="46"/>
    <s v="Adjusted EPS Growth"/>
    <m/>
  </r>
  <r>
    <x v="32"/>
    <x v="5"/>
    <x v="15"/>
    <x v="23"/>
    <s v="Professional Services"/>
    <x v="0"/>
    <s v="A-"/>
    <s v="United States"/>
    <x v="0"/>
    <d v="2024-03-29T00:00:00"/>
    <x v="0"/>
    <x v="1"/>
    <x v="1"/>
    <m/>
    <s v="Cash Incentive"/>
    <n v="0.19"/>
    <x v="0"/>
    <s v="Modifier/Threshold"/>
    <x v="34"/>
    <s v="Discretionary Adjustment"/>
    <m/>
  </r>
  <r>
    <x v="32"/>
    <x v="5"/>
    <x v="15"/>
    <x v="23"/>
    <s v="Professional Services"/>
    <x v="0"/>
    <s v="A-"/>
    <s v="United States"/>
    <x v="0"/>
    <d v="2024-03-29T00:00:00"/>
    <x v="0"/>
    <x v="2"/>
    <x v="1"/>
    <n v="0.36499999999999999"/>
    <s v="Performance Stock"/>
    <n v="0.36499999999999999"/>
    <x v="1"/>
    <s v="Profitability"/>
    <x v="14"/>
    <s v="3Y Adjusted EPS CAGR"/>
    <n v="1"/>
  </r>
  <r>
    <x v="32"/>
    <x v="5"/>
    <x v="15"/>
    <x v="23"/>
    <s v="Professional Services"/>
    <x v="0"/>
    <s v="A-"/>
    <s v="United States"/>
    <x v="0"/>
    <d v="2024-03-29T00:00:00"/>
    <x v="0"/>
    <x v="2"/>
    <x v="1"/>
    <m/>
    <s v="Performance Stock"/>
    <n v="0.36499999999999999"/>
    <x v="0"/>
    <s v="Modifier/Threshold"/>
    <x v="6"/>
    <s v="3Y Relative TSR"/>
    <m/>
  </r>
  <r>
    <x v="32"/>
    <x v="5"/>
    <x v="15"/>
    <x v="23"/>
    <s v="Professional Services"/>
    <x v="0"/>
    <s v="A-"/>
    <s v="United States"/>
    <x v="0"/>
    <d v="2024-03-29T00:00:00"/>
    <x v="0"/>
    <x v="2"/>
    <x v="1"/>
    <m/>
    <s v="Performance Stock"/>
    <n v="0.36499999999999999"/>
    <x v="0"/>
    <s v="Modifier/Threshold"/>
    <x v="12"/>
    <s v="3Y Absolute TSR"/>
    <m/>
  </r>
  <r>
    <x v="32"/>
    <x v="5"/>
    <x v="15"/>
    <x v="23"/>
    <s v="Professional Services"/>
    <x v="0"/>
    <s v="A-"/>
    <s v="United States"/>
    <x v="0"/>
    <d v="2024-03-29T00:00:00"/>
    <x v="0"/>
    <x v="2"/>
    <x v="0"/>
    <n v="0.36499999999999999"/>
    <s v="Stock Options"/>
    <n v="0.36499999999999999"/>
    <x v="0"/>
    <m/>
    <x v="0"/>
    <m/>
    <m/>
  </r>
  <r>
    <x v="32"/>
    <x v="5"/>
    <x v="15"/>
    <x v="23"/>
    <s v="Professional Services"/>
    <x v="0"/>
    <s v="A-"/>
    <s v="United States"/>
    <x v="0"/>
    <d v="2024-03-29T00:00:00"/>
    <x v="1"/>
    <x v="0"/>
    <x v="0"/>
    <n v="0.17"/>
    <s v="Base Salary"/>
    <n v="0.17"/>
    <x v="0"/>
    <m/>
    <x v="0"/>
    <m/>
    <m/>
  </r>
  <r>
    <x v="32"/>
    <x v="5"/>
    <x v="15"/>
    <x v="23"/>
    <s v="Professional Services"/>
    <x v="0"/>
    <s v="A-"/>
    <s v="United States"/>
    <x v="0"/>
    <d v="2024-03-29T00:00:00"/>
    <x v="1"/>
    <x v="1"/>
    <x v="1"/>
    <n v="0.37"/>
    <s v="Cash Incentive"/>
    <n v="0.37"/>
    <x v="1"/>
    <s v="Profitability"/>
    <x v="2"/>
    <s v="Adjusted Operating Income"/>
    <n v="0.77499999999999991"/>
  </r>
  <r>
    <x v="32"/>
    <x v="5"/>
    <x v="15"/>
    <x v="23"/>
    <s v="Professional Services"/>
    <x v="0"/>
    <s v="A-"/>
    <s v="United States"/>
    <x v="0"/>
    <d v="2024-03-29T00:00:00"/>
    <x v="1"/>
    <x v="1"/>
    <x v="1"/>
    <m/>
    <s v="Cash Incentive"/>
    <n v="0.37"/>
    <x v="2"/>
    <s v="Individual Assessment"/>
    <x v="13"/>
    <s v="Individual Performance Assessment"/>
    <n v="0.22499999999999998"/>
  </r>
  <r>
    <x v="32"/>
    <x v="5"/>
    <x v="15"/>
    <x v="23"/>
    <s v="Professional Services"/>
    <x v="0"/>
    <s v="A-"/>
    <s v="United States"/>
    <x v="0"/>
    <d v="2024-03-29T00:00:00"/>
    <x v="1"/>
    <x v="1"/>
    <x v="1"/>
    <m/>
    <s v="Cash Incentive"/>
    <n v="0.37"/>
    <x v="0"/>
    <s v="Modifier/Threshold"/>
    <x v="46"/>
    <s v="Adjusted EPS Growth"/>
    <m/>
  </r>
  <r>
    <x v="32"/>
    <x v="5"/>
    <x v="15"/>
    <x v="23"/>
    <s v="Professional Services"/>
    <x v="0"/>
    <s v="A-"/>
    <s v="United States"/>
    <x v="0"/>
    <d v="2024-03-29T00:00:00"/>
    <x v="1"/>
    <x v="1"/>
    <x v="1"/>
    <m/>
    <s v="Cash Incentive"/>
    <n v="0.37"/>
    <x v="0"/>
    <s v="Modifier/Threshold"/>
    <x v="34"/>
    <s v="Discretionary Adjustment"/>
    <m/>
  </r>
  <r>
    <x v="32"/>
    <x v="5"/>
    <x v="15"/>
    <x v="23"/>
    <s v="Professional Services"/>
    <x v="0"/>
    <s v="A-"/>
    <s v="United States"/>
    <x v="0"/>
    <d v="2024-03-29T00:00:00"/>
    <x v="1"/>
    <x v="2"/>
    <x v="1"/>
    <n v="0.23"/>
    <s v="Performance Stock"/>
    <n v="0.23"/>
    <x v="1"/>
    <s v="Profitability"/>
    <x v="14"/>
    <s v="3Y Adjusted EPS CAGR"/>
    <n v="1"/>
  </r>
  <r>
    <x v="32"/>
    <x v="5"/>
    <x v="15"/>
    <x v="23"/>
    <s v="Professional Services"/>
    <x v="0"/>
    <s v="A-"/>
    <s v="United States"/>
    <x v="0"/>
    <d v="2024-03-29T00:00:00"/>
    <x v="1"/>
    <x v="2"/>
    <x v="1"/>
    <m/>
    <s v="Performance Stock"/>
    <n v="0.23"/>
    <x v="0"/>
    <s v="Modifier/Threshold"/>
    <x v="6"/>
    <s v="3Y Relative TSR"/>
    <m/>
  </r>
  <r>
    <x v="32"/>
    <x v="5"/>
    <x v="15"/>
    <x v="23"/>
    <s v="Professional Services"/>
    <x v="0"/>
    <s v="A-"/>
    <s v="United States"/>
    <x v="0"/>
    <d v="2024-03-29T00:00:00"/>
    <x v="1"/>
    <x v="2"/>
    <x v="1"/>
    <m/>
    <s v="Performance Stock"/>
    <n v="0.23"/>
    <x v="0"/>
    <s v="Modifier/Threshold"/>
    <x v="12"/>
    <s v="3Y Absolute TSR"/>
    <m/>
  </r>
  <r>
    <x v="32"/>
    <x v="5"/>
    <x v="15"/>
    <x v="23"/>
    <s v="Professional Services"/>
    <x v="0"/>
    <s v="A-"/>
    <s v="United States"/>
    <x v="0"/>
    <d v="2024-03-29T00:00:00"/>
    <x v="1"/>
    <x v="2"/>
    <x v="0"/>
    <n v="0.23"/>
    <s v="Stock Options"/>
    <n v="0.23"/>
    <x v="0"/>
    <m/>
    <x v="0"/>
    <m/>
    <m/>
  </r>
  <r>
    <x v="33"/>
    <x v="3"/>
    <x v="4"/>
    <x v="14"/>
    <s v="Pharmaceuticals"/>
    <x v="0"/>
    <s v="BBB+"/>
    <s v="United States"/>
    <x v="0"/>
    <d v="2024-04-25T00:00:00"/>
    <x v="0"/>
    <x v="0"/>
    <x v="0"/>
    <n v="0.06"/>
    <s v="Base Salary"/>
    <n v="0.06"/>
    <x v="0"/>
    <m/>
    <x v="0"/>
    <m/>
    <m/>
  </r>
  <r>
    <x v="33"/>
    <x v="3"/>
    <x v="4"/>
    <x v="14"/>
    <s v="Pharmaceuticals"/>
    <x v="0"/>
    <s v="BBB+"/>
    <s v="United States"/>
    <x v="0"/>
    <d v="2024-04-25T00:00:00"/>
    <x v="0"/>
    <x v="1"/>
    <x v="1"/>
    <n v="0.13"/>
    <s v="Cash Incentive"/>
    <n v="0.13"/>
    <x v="2"/>
    <s v="Strategy &amp; Operations"/>
    <x v="3"/>
    <s v="Corporate Performance"/>
    <n v="1"/>
  </r>
  <r>
    <x v="33"/>
    <x v="3"/>
    <x v="4"/>
    <x v="14"/>
    <s v="Pharmaceuticals"/>
    <x v="0"/>
    <s v="BBB+"/>
    <s v="United States"/>
    <x v="0"/>
    <d v="2024-04-25T00:00:00"/>
    <x v="0"/>
    <x v="1"/>
    <x v="1"/>
    <m/>
    <s v="Cash Incentive"/>
    <n v="0.13"/>
    <x v="0"/>
    <s v="Modifier/Threshold"/>
    <x v="34"/>
    <s v="Discretionary Adjustment"/>
    <m/>
  </r>
  <r>
    <x v="33"/>
    <x v="3"/>
    <x v="4"/>
    <x v="14"/>
    <s v="Pharmaceuticals"/>
    <x v="0"/>
    <s v="BBB+"/>
    <s v="United States"/>
    <x v="0"/>
    <d v="2024-04-25T00:00:00"/>
    <x v="0"/>
    <x v="2"/>
    <x v="1"/>
    <n v="0.81"/>
    <s v="Performance Stock"/>
    <n v="0.81"/>
    <x v="3"/>
    <s v="Stock Performance"/>
    <x v="8"/>
    <s v="Absolute TSR"/>
    <n v="1"/>
  </r>
  <r>
    <x v="33"/>
    <x v="3"/>
    <x v="4"/>
    <x v="14"/>
    <s v="Pharmaceuticals"/>
    <x v="0"/>
    <s v="BBB+"/>
    <s v="United States"/>
    <x v="0"/>
    <d v="2024-04-25T00:00:00"/>
    <x v="1"/>
    <x v="0"/>
    <x v="0"/>
    <n v="8.9688090903488907E-2"/>
    <s v="Base Salary"/>
    <n v="8.9688090903488907E-2"/>
    <x v="0"/>
    <m/>
    <x v="0"/>
    <m/>
    <m/>
  </r>
  <r>
    <x v="33"/>
    <x v="3"/>
    <x v="4"/>
    <x v="14"/>
    <s v="Pharmaceuticals"/>
    <x v="0"/>
    <s v="BBB+"/>
    <s v="United States"/>
    <x v="0"/>
    <d v="2024-04-25T00:00:00"/>
    <x v="1"/>
    <x v="1"/>
    <x v="1"/>
    <n v="8.8630592420601118E-2"/>
    <s v="Cash Incentive"/>
    <n v="8.8630592420601118E-2"/>
    <x v="2"/>
    <s v="Strategy &amp; Operations"/>
    <x v="3"/>
    <s v="Corporate Performance"/>
    <n v="0.73"/>
  </r>
  <r>
    <x v="33"/>
    <x v="3"/>
    <x v="4"/>
    <x v="14"/>
    <s v="Pharmaceuticals"/>
    <x v="0"/>
    <s v="BBB+"/>
    <s v="United States"/>
    <x v="0"/>
    <d v="2024-04-25T00:00:00"/>
    <x v="1"/>
    <x v="1"/>
    <x v="1"/>
    <m/>
    <s v="Cash Incentive"/>
    <n v="8.8630592420601118E-2"/>
    <x v="2"/>
    <s v="Strategy &amp; Operations"/>
    <x v="13"/>
    <s v="Individual Performance Assessment"/>
    <n v="0.27"/>
  </r>
  <r>
    <x v="33"/>
    <x v="3"/>
    <x v="4"/>
    <x v="14"/>
    <s v="Pharmaceuticals"/>
    <x v="0"/>
    <s v="BBB+"/>
    <s v="United States"/>
    <x v="0"/>
    <d v="2024-04-25T00:00:00"/>
    <x v="1"/>
    <x v="1"/>
    <x v="1"/>
    <m/>
    <s v="Cash Incentive"/>
    <n v="8.8630592420601118E-2"/>
    <x v="0"/>
    <s v="Modifier/Threshold"/>
    <x v="34"/>
    <s v="Discretionary Adjustment"/>
    <m/>
  </r>
  <r>
    <x v="33"/>
    <x v="3"/>
    <x v="4"/>
    <x v="14"/>
    <s v="Pharmaceuticals"/>
    <x v="0"/>
    <s v="BBB+"/>
    <s v="United States"/>
    <x v="0"/>
    <d v="2024-04-25T00:00:00"/>
    <x v="1"/>
    <x v="2"/>
    <x v="1"/>
    <n v="0.27"/>
    <s v="Performance Stock"/>
    <n v="0.27"/>
    <x v="3"/>
    <s v="Stock Performance"/>
    <x v="8"/>
    <s v="Absolute TSR"/>
    <n v="1"/>
  </r>
  <r>
    <x v="33"/>
    <x v="3"/>
    <x v="4"/>
    <x v="14"/>
    <s v="Pharmaceuticals"/>
    <x v="0"/>
    <s v="BBB+"/>
    <s v="United States"/>
    <x v="0"/>
    <d v="2024-04-25T00:00:00"/>
    <x v="1"/>
    <x v="2"/>
    <x v="0"/>
    <n v="0.33100879000554601"/>
    <s v="Stock Options"/>
    <n v="0.33100879000554601"/>
    <x v="0"/>
    <m/>
    <x v="0"/>
    <m/>
    <m/>
  </r>
  <r>
    <x v="33"/>
    <x v="3"/>
    <x v="4"/>
    <x v="14"/>
    <s v="Pharmaceuticals"/>
    <x v="0"/>
    <s v="BBB+"/>
    <s v="United States"/>
    <x v="0"/>
    <d v="2024-04-25T00:00:00"/>
    <x v="1"/>
    <x v="2"/>
    <x v="0"/>
    <n v="0.22067252667036397"/>
    <s v="Time-Based Stock"/>
    <n v="0.22067252667036397"/>
    <x v="0"/>
    <m/>
    <x v="0"/>
    <m/>
    <m/>
  </r>
  <r>
    <x v="34"/>
    <x v="0"/>
    <x v="1"/>
    <x v="1"/>
    <s v="Semiconductors"/>
    <x v="0"/>
    <s v="AA-"/>
    <s v="United States"/>
    <x v="0"/>
    <d v="2024-05-14T00:00:00"/>
    <x v="0"/>
    <x v="0"/>
    <x v="0"/>
    <n v="0.04"/>
    <s v="Base Salary"/>
    <n v="0.04"/>
    <x v="0"/>
    <m/>
    <x v="0"/>
    <m/>
    <m/>
  </r>
  <r>
    <x v="34"/>
    <x v="0"/>
    <x v="1"/>
    <x v="1"/>
    <s v="Semiconductors"/>
    <x v="0"/>
    <s v="AA-"/>
    <s v="United States"/>
    <x v="0"/>
    <d v="2024-05-14T00:00:00"/>
    <x v="0"/>
    <x v="1"/>
    <x v="1"/>
    <n v="0.08"/>
    <s v="Cash Incentive"/>
    <n v="0.08"/>
    <x v="1"/>
    <s v="Growth"/>
    <x v="1"/>
    <s v="Revenue "/>
    <n v="1"/>
  </r>
  <r>
    <x v="34"/>
    <x v="0"/>
    <x v="1"/>
    <x v="1"/>
    <s v="Semiconductors"/>
    <x v="0"/>
    <s v="AA-"/>
    <s v="United States"/>
    <x v="0"/>
    <d v="2024-05-14T00:00:00"/>
    <x v="0"/>
    <x v="2"/>
    <x v="1"/>
    <n v="0.88"/>
    <s v="Performance Stock"/>
    <n v="0.88"/>
    <x v="1"/>
    <s v="Profitability"/>
    <x v="2"/>
    <s v="Adjusted Operating Income"/>
    <n v="0.5"/>
  </r>
  <r>
    <x v="34"/>
    <x v="0"/>
    <x v="1"/>
    <x v="1"/>
    <s v="Semiconductors"/>
    <x v="0"/>
    <s v="AA-"/>
    <s v="United States"/>
    <x v="0"/>
    <d v="2024-05-14T00:00:00"/>
    <x v="0"/>
    <x v="2"/>
    <x v="1"/>
    <m/>
    <s v="Performance Stock"/>
    <n v="0.88"/>
    <x v="3"/>
    <s v="Stock Performance"/>
    <x v="11"/>
    <s v="3Y Relative TSR"/>
    <n v="0.5"/>
  </r>
  <r>
    <x v="34"/>
    <x v="0"/>
    <x v="1"/>
    <x v="1"/>
    <s v="Semiconductors"/>
    <x v="0"/>
    <s v="AA-"/>
    <s v="United States"/>
    <x v="0"/>
    <d v="2024-05-14T00:00:00"/>
    <x v="0"/>
    <x v="2"/>
    <x v="1"/>
    <m/>
    <s v="Performance Stock"/>
    <n v="0.88"/>
    <x v="0"/>
    <s v="Modifier/Threshold"/>
    <x v="47"/>
    <s v="Adjusted Gross Margin"/>
    <m/>
  </r>
  <r>
    <x v="34"/>
    <x v="0"/>
    <x v="1"/>
    <x v="1"/>
    <s v="Semiconductors"/>
    <x v="0"/>
    <s v="AA-"/>
    <s v="United States"/>
    <x v="0"/>
    <d v="2024-05-14T00:00:00"/>
    <x v="1"/>
    <x v="0"/>
    <x v="0"/>
    <n v="8.1044580163014149E-2"/>
    <s v="Base Salary"/>
    <n v="8.1044580163014149E-2"/>
    <x v="0"/>
    <m/>
    <x v="0"/>
    <m/>
    <m/>
  </r>
  <r>
    <x v="34"/>
    <x v="0"/>
    <x v="1"/>
    <x v="1"/>
    <s v="Semiconductors"/>
    <x v="0"/>
    <s v="AA-"/>
    <s v="United States"/>
    <x v="0"/>
    <d v="2024-05-14T00:00:00"/>
    <x v="1"/>
    <x v="1"/>
    <x v="1"/>
    <n v="3.2292829991850125E-2"/>
    <s v="Cash Incentive"/>
    <n v="3.2292829991850125E-2"/>
    <x v="1"/>
    <s v="Growth"/>
    <x v="1"/>
    <s v="Revenue "/>
    <n v="1"/>
  </r>
  <r>
    <x v="34"/>
    <x v="0"/>
    <x v="1"/>
    <x v="1"/>
    <s v="Semiconductors"/>
    <x v="0"/>
    <s v="AA-"/>
    <s v="United States"/>
    <x v="0"/>
    <d v="2024-05-14T00:00:00"/>
    <x v="1"/>
    <x v="2"/>
    <x v="1"/>
    <n v="0.53199664138845426"/>
    <s v="Performance Stock"/>
    <n v="0.53199664138845426"/>
    <x v="1"/>
    <s v="Profitability"/>
    <x v="2"/>
    <s v="Adjusted Operating Income"/>
    <n v="0.92"/>
  </r>
  <r>
    <x v="34"/>
    <x v="0"/>
    <x v="1"/>
    <x v="1"/>
    <s v="Semiconductors"/>
    <x v="0"/>
    <s v="AA-"/>
    <s v="United States"/>
    <x v="0"/>
    <d v="2024-05-14T00:00:00"/>
    <x v="1"/>
    <x v="2"/>
    <x v="1"/>
    <m/>
    <s v="Performance Stock"/>
    <n v="0.53199664138845426"/>
    <x v="3"/>
    <s v="Stock Performance"/>
    <x v="11"/>
    <s v="3Y Relative TSR"/>
    <n v="0.08"/>
  </r>
  <r>
    <x v="34"/>
    <x v="0"/>
    <x v="1"/>
    <x v="1"/>
    <s v="Semiconductors"/>
    <x v="0"/>
    <s v="AA-"/>
    <s v="United States"/>
    <x v="0"/>
    <d v="2024-05-14T00:00:00"/>
    <x v="1"/>
    <x v="2"/>
    <x v="1"/>
    <m/>
    <s v="Performance Stock"/>
    <n v="0.53199664138845426"/>
    <x v="0"/>
    <s v="Modifier/Threshold"/>
    <x v="47"/>
    <s v="Adjusted Gross Margin"/>
    <m/>
  </r>
  <r>
    <x v="34"/>
    <x v="0"/>
    <x v="1"/>
    <x v="1"/>
    <s v="Semiconductors"/>
    <x v="0"/>
    <s v="AA-"/>
    <s v="United States"/>
    <x v="0"/>
    <d v="2024-05-14T00:00:00"/>
    <x v="1"/>
    <x v="2"/>
    <x v="0"/>
    <n v="0.35466594845668137"/>
    <s v="Time-Based Stock"/>
    <n v="0.35466594845668137"/>
    <x v="0"/>
    <m/>
    <x v="0"/>
    <m/>
    <m/>
  </r>
  <r>
    <x v="35"/>
    <x v="0"/>
    <x v="0"/>
    <x v="0"/>
    <s v="Packaged Software"/>
    <x v="0"/>
    <s v="A+"/>
    <s v="United States"/>
    <x v="0"/>
    <d v="2024-05-16T00:00:00"/>
    <x v="0"/>
    <x v="0"/>
    <x v="0"/>
    <n v="0.03"/>
    <s v="Base Salary"/>
    <n v="0.03"/>
    <x v="0"/>
    <m/>
    <x v="0"/>
    <m/>
    <m/>
  </r>
  <r>
    <x v="35"/>
    <x v="0"/>
    <x v="0"/>
    <x v="0"/>
    <s v="Packaged Software"/>
    <x v="0"/>
    <s v="A+"/>
    <s v="United States"/>
    <x v="0"/>
    <d v="2024-05-16T00:00:00"/>
    <x v="0"/>
    <x v="1"/>
    <x v="1"/>
    <n v="7.0000000000000007E-2"/>
    <s v="Cash Incentive"/>
    <n v="7.0000000000000007E-2"/>
    <x v="1"/>
    <s v="Growth"/>
    <x v="1"/>
    <s v="Adjusted Revenue"/>
    <n v="0.3"/>
  </r>
  <r>
    <x v="35"/>
    <x v="0"/>
    <x v="0"/>
    <x v="0"/>
    <s v="Packaged Software"/>
    <x v="0"/>
    <s v="A+"/>
    <s v="United States"/>
    <x v="0"/>
    <d v="2024-05-16T00:00:00"/>
    <x v="0"/>
    <x v="1"/>
    <x v="1"/>
    <m/>
    <s v="Cash Incentive"/>
    <n v="7.0000000000000007E-2"/>
    <x v="1"/>
    <s v="Cash Flow"/>
    <x v="18"/>
    <s v="Operating Cash Flow"/>
    <n v="0.3"/>
  </r>
  <r>
    <x v="35"/>
    <x v="0"/>
    <x v="0"/>
    <x v="0"/>
    <s v="Packaged Software"/>
    <x v="0"/>
    <s v="A+"/>
    <s v="United States"/>
    <x v="0"/>
    <d v="2024-05-16T00:00:00"/>
    <x v="0"/>
    <x v="1"/>
    <x v="1"/>
    <m/>
    <s v="Cash Incentive"/>
    <n v="7.0000000000000007E-2"/>
    <x v="1"/>
    <s v="Profitability"/>
    <x v="2"/>
    <s v="Adjusted Operating Income"/>
    <n v="0.3"/>
  </r>
  <r>
    <x v="35"/>
    <x v="0"/>
    <x v="0"/>
    <x v="0"/>
    <s v="Packaged Software"/>
    <x v="0"/>
    <s v="A+"/>
    <s v="United States"/>
    <x v="0"/>
    <d v="2024-05-16T00:00:00"/>
    <x v="0"/>
    <x v="1"/>
    <x v="1"/>
    <m/>
    <s v="Cash Incentive"/>
    <n v="7.0000000000000007E-2"/>
    <x v="2"/>
    <s v="ESG"/>
    <x v="7"/>
    <s v="Equality"/>
    <n v="0.05"/>
  </r>
  <r>
    <x v="35"/>
    <x v="0"/>
    <x v="0"/>
    <x v="0"/>
    <s v="Packaged Software"/>
    <x v="0"/>
    <s v="A+"/>
    <s v="United States"/>
    <x v="0"/>
    <d v="2024-05-16T00:00:00"/>
    <x v="0"/>
    <x v="1"/>
    <x v="1"/>
    <m/>
    <s v="Cash Incentive"/>
    <n v="7.0000000000000007E-2"/>
    <x v="2"/>
    <s v="ESG"/>
    <x v="7"/>
    <s v="Sustainability"/>
    <n v="0.05"/>
  </r>
  <r>
    <x v="35"/>
    <x v="0"/>
    <x v="0"/>
    <x v="0"/>
    <s v="Packaged Software"/>
    <x v="0"/>
    <s v="A+"/>
    <s v="United States"/>
    <x v="0"/>
    <d v="2024-05-16T00:00:00"/>
    <x v="0"/>
    <x v="1"/>
    <x v="1"/>
    <m/>
    <s v="Cash Incentive"/>
    <n v="7.0000000000000007E-2"/>
    <x v="0"/>
    <s v="Modifier/Threshold"/>
    <x v="10"/>
    <s v="Individual Performance Factor"/>
    <m/>
  </r>
  <r>
    <x v="35"/>
    <x v="0"/>
    <x v="0"/>
    <x v="0"/>
    <s v="Packaged Software"/>
    <x v="0"/>
    <s v="A+"/>
    <s v="United States"/>
    <x v="0"/>
    <d v="2024-05-16T00:00:00"/>
    <x v="0"/>
    <x v="2"/>
    <x v="1"/>
    <n v="0.54"/>
    <s v="Performance Stock"/>
    <n v="0.54"/>
    <x v="1"/>
    <s v="Profitability"/>
    <x v="9"/>
    <s v="Adjusted Operating Margin"/>
    <n v="0.5"/>
  </r>
  <r>
    <x v="35"/>
    <x v="0"/>
    <x v="0"/>
    <x v="0"/>
    <s v="Packaged Software"/>
    <x v="0"/>
    <s v="A+"/>
    <s v="United States"/>
    <x v="0"/>
    <d v="2024-05-16T00:00:00"/>
    <x v="0"/>
    <x v="2"/>
    <x v="1"/>
    <m/>
    <s v="Performance Stock"/>
    <n v="0.54"/>
    <x v="3"/>
    <s v="Stock Performance"/>
    <x v="11"/>
    <s v="3Y Relative TSR"/>
    <n v="0.5"/>
  </r>
  <r>
    <x v="35"/>
    <x v="0"/>
    <x v="0"/>
    <x v="0"/>
    <s v="Packaged Software"/>
    <x v="0"/>
    <s v="A+"/>
    <s v="United States"/>
    <x v="0"/>
    <d v="2024-05-16T00:00:00"/>
    <x v="0"/>
    <x v="2"/>
    <x v="1"/>
    <m/>
    <s v="Performance Stock"/>
    <n v="0.54"/>
    <x v="0"/>
    <s v="Modifier/Threshold"/>
    <x v="12"/>
    <s v="3Y Absolute TSR"/>
    <m/>
  </r>
  <r>
    <x v="35"/>
    <x v="0"/>
    <x v="0"/>
    <x v="0"/>
    <s v="Packaged Software"/>
    <x v="0"/>
    <s v="A+"/>
    <s v="United States"/>
    <x v="0"/>
    <d v="2024-05-16T00:00:00"/>
    <x v="0"/>
    <x v="2"/>
    <x v="0"/>
    <n v="0.36"/>
    <s v="Stock Options"/>
    <n v="0.36"/>
    <x v="0"/>
    <m/>
    <x v="0"/>
    <m/>
    <m/>
  </r>
  <r>
    <x v="35"/>
    <x v="0"/>
    <x v="0"/>
    <x v="0"/>
    <s v="Packaged Software"/>
    <x v="0"/>
    <s v="A+"/>
    <s v="United States"/>
    <x v="0"/>
    <d v="2024-05-16T00:00:00"/>
    <x v="1"/>
    <x v="0"/>
    <x v="0"/>
    <n v="6.5490350018009597E-2"/>
    <s v="Base Salary"/>
    <n v="6.5490350018009597E-2"/>
    <x v="0"/>
    <m/>
    <x v="0"/>
    <m/>
    <m/>
  </r>
  <r>
    <x v="35"/>
    <x v="0"/>
    <x v="0"/>
    <x v="0"/>
    <s v="Packaged Software"/>
    <x v="0"/>
    <s v="A+"/>
    <s v="United States"/>
    <x v="0"/>
    <d v="2024-05-16T00:00:00"/>
    <x v="1"/>
    <x v="1"/>
    <x v="1"/>
    <n v="9.7957770349259718E-2"/>
    <s v="Cash Incentive"/>
    <n v="9.7957770349259718E-2"/>
    <x v="1"/>
    <s v="Growth"/>
    <x v="1"/>
    <s v="Adjusted Revenue"/>
    <n v="0.3"/>
  </r>
  <r>
    <x v="35"/>
    <x v="0"/>
    <x v="0"/>
    <x v="0"/>
    <s v="Packaged Software"/>
    <x v="0"/>
    <s v="A+"/>
    <s v="United States"/>
    <x v="0"/>
    <d v="2024-05-16T00:00:00"/>
    <x v="1"/>
    <x v="1"/>
    <x v="1"/>
    <m/>
    <s v="Cash Incentive"/>
    <n v="9.7957770349259718E-2"/>
    <x v="1"/>
    <s v="Cash Flow"/>
    <x v="18"/>
    <s v="Operating Cash Flow"/>
    <n v="0.3"/>
  </r>
  <r>
    <x v="35"/>
    <x v="0"/>
    <x v="0"/>
    <x v="0"/>
    <s v="Packaged Software"/>
    <x v="0"/>
    <s v="A+"/>
    <s v="United States"/>
    <x v="0"/>
    <d v="2024-05-16T00:00:00"/>
    <x v="1"/>
    <x v="1"/>
    <x v="1"/>
    <m/>
    <s v="Cash Incentive"/>
    <n v="9.7957770349259718E-2"/>
    <x v="1"/>
    <s v="Profitability"/>
    <x v="2"/>
    <s v="Adjusted Operating Income"/>
    <n v="0.3"/>
  </r>
  <r>
    <x v="35"/>
    <x v="0"/>
    <x v="0"/>
    <x v="0"/>
    <s v="Packaged Software"/>
    <x v="0"/>
    <s v="A+"/>
    <s v="United States"/>
    <x v="0"/>
    <d v="2024-05-16T00:00:00"/>
    <x v="1"/>
    <x v="1"/>
    <x v="1"/>
    <m/>
    <s v="Cash Incentive"/>
    <n v="9.7957770349259718E-2"/>
    <x v="2"/>
    <s v="ESG"/>
    <x v="7"/>
    <s v="Equality"/>
    <n v="0.05"/>
  </r>
  <r>
    <x v="35"/>
    <x v="0"/>
    <x v="0"/>
    <x v="0"/>
    <s v="Packaged Software"/>
    <x v="0"/>
    <s v="A+"/>
    <s v="United States"/>
    <x v="0"/>
    <d v="2024-05-16T00:00:00"/>
    <x v="1"/>
    <x v="1"/>
    <x v="1"/>
    <m/>
    <s v="Cash Incentive"/>
    <n v="9.7957770349259718E-2"/>
    <x v="2"/>
    <s v="ESG"/>
    <x v="7"/>
    <s v="Sustainability"/>
    <n v="0.05"/>
  </r>
  <r>
    <x v="35"/>
    <x v="0"/>
    <x v="0"/>
    <x v="0"/>
    <s v="Packaged Software"/>
    <x v="0"/>
    <s v="A+"/>
    <s v="United States"/>
    <x v="0"/>
    <d v="2024-05-16T00:00:00"/>
    <x v="1"/>
    <x v="1"/>
    <x v="1"/>
    <m/>
    <s v="Cash Incentive"/>
    <n v="9.7957770349259718E-2"/>
    <x v="0"/>
    <s v="Modifier/Threshold"/>
    <x v="10"/>
    <s v="Individual Performance Factor"/>
    <m/>
  </r>
  <r>
    <x v="35"/>
    <x v="0"/>
    <x v="0"/>
    <x v="0"/>
    <s v="Packaged Software"/>
    <x v="0"/>
    <s v="A+"/>
    <s v="United States"/>
    <x v="0"/>
    <d v="2024-05-16T00:00:00"/>
    <x v="1"/>
    <x v="2"/>
    <x v="1"/>
    <n v="0.41347593981636532"/>
    <s v="Performance Stock"/>
    <n v="0.41347593981636532"/>
    <x v="1"/>
    <s v="Profitability"/>
    <x v="9"/>
    <s v="Adjusted Operating Margin"/>
    <n v="0.5"/>
  </r>
  <r>
    <x v="35"/>
    <x v="0"/>
    <x v="0"/>
    <x v="0"/>
    <s v="Packaged Software"/>
    <x v="0"/>
    <s v="A+"/>
    <s v="United States"/>
    <x v="0"/>
    <d v="2024-05-16T00:00:00"/>
    <x v="1"/>
    <x v="2"/>
    <x v="1"/>
    <m/>
    <s v="Performance Stock"/>
    <n v="0.41347593981636532"/>
    <x v="3"/>
    <s v="Stock Performance"/>
    <x v="11"/>
    <s v="3Y Relative TSR"/>
    <n v="0.5"/>
  </r>
  <r>
    <x v="35"/>
    <x v="0"/>
    <x v="0"/>
    <x v="0"/>
    <s v="Packaged Software"/>
    <x v="0"/>
    <s v="A+"/>
    <s v="United States"/>
    <x v="0"/>
    <d v="2024-05-16T00:00:00"/>
    <x v="1"/>
    <x v="2"/>
    <x v="1"/>
    <m/>
    <s v="Performance Stock"/>
    <n v="0.41347593981636532"/>
    <x v="0"/>
    <s v="Modifier/Threshold"/>
    <x v="12"/>
    <s v="3Y Absolute TSR"/>
    <m/>
  </r>
  <r>
    <x v="35"/>
    <x v="0"/>
    <x v="0"/>
    <x v="0"/>
    <s v="Packaged Software"/>
    <x v="0"/>
    <s v="A+"/>
    <s v="United States"/>
    <x v="0"/>
    <d v="2024-05-16T00:00:00"/>
    <x v="1"/>
    <x v="2"/>
    <x v="0"/>
    <n v="0.32707593981636535"/>
    <s v="Time-Based Stock"/>
    <n v="0.32707593981636535"/>
    <x v="0"/>
    <m/>
    <x v="0"/>
    <m/>
    <m/>
  </r>
  <r>
    <x v="35"/>
    <x v="0"/>
    <x v="0"/>
    <x v="0"/>
    <s v="Packaged Software"/>
    <x v="0"/>
    <s v="A+"/>
    <s v="United States"/>
    <x v="0"/>
    <d v="2024-05-16T00:00:00"/>
    <x v="1"/>
    <x v="2"/>
    <x v="0"/>
    <n v="9.6000000000000002E-2"/>
    <s v="Stock Options"/>
    <n v="9.6000000000000002E-2"/>
    <x v="0"/>
    <m/>
    <x v="0"/>
    <m/>
    <m/>
  </r>
  <r>
    <x v="36"/>
    <x v="5"/>
    <x v="9"/>
    <x v="24"/>
    <s v="Asset Management"/>
    <x v="0"/>
    <s v="AA-"/>
    <s v="United States"/>
    <x v="0"/>
    <d v="2024-04-24T00:00:00"/>
    <x v="0"/>
    <x v="0"/>
    <x v="0"/>
    <n v="0.05"/>
    <s v="Base Salary"/>
    <n v="0.05"/>
    <x v="0"/>
    <m/>
    <x v="0"/>
    <m/>
    <m/>
  </r>
  <r>
    <x v="36"/>
    <x v="5"/>
    <x v="9"/>
    <x v="24"/>
    <s v="Asset Management"/>
    <x v="0"/>
    <s v="AA-"/>
    <s v="United States"/>
    <x v="0"/>
    <d v="2024-04-24T00:00:00"/>
    <x v="0"/>
    <x v="1"/>
    <x v="1"/>
    <n v="0.28999999999999998"/>
    <s v="Cash Incentive"/>
    <n v="0.28999999999999998"/>
    <x v="2"/>
    <s v="Strategy &amp; Operations"/>
    <x v="13"/>
    <s v="Financial Performance"/>
    <n v="0.5"/>
  </r>
  <r>
    <x v="36"/>
    <x v="5"/>
    <x v="9"/>
    <x v="24"/>
    <s v="Asset Management"/>
    <x v="0"/>
    <s v="AA-"/>
    <s v="United States"/>
    <x v="0"/>
    <d v="2024-04-24T00:00:00"/>
    <x v="0"/>
    <x v="1"/>
    <x v="1"/>
    <m/>
    <s v="Cash Incentive"/>
    <n v="0.28999999999999998"/>
    <x v="2"/>
    <s v="Strategy &amp; Operations"/>
    <x v="13"/>
    <s v="Business Strength"/>
    <n v="0.25"/>
  </r>
  <r>
    <x v="36"/>
    <x v="5"/>
    <x v="9"/>
    <x v="24"/>
    <s v="Asset Management"/>
    <x v="0"/>
    <s v="AA-"/>
    <s v="United States"/>
    <x v="0"/>
    <d v="2024-04-24T00:00:00"/>
    <x v="0"/>
    <x v="1"/>
    <x v="1"/>
    <m/>
    <s v="Cash Incentive"/>
    <n v="0.28999999999999998"/>
    <x v="2"/>
    <s v="Strategy &amp; Operations"/>
    <x v="3"/>
    <s v="Organizational Strength"/>
    <n v="0.25"/>
  </r>
  <r>
    <x v="36"/>
    <x v="5"/>
    <x v="9"/>
    <x v="24"/>
    <s v="Asset Management"/>
    <x v="0"/>
    <s v="AA-"/>
    <s v="United States"/>
    <x v="0"/>
    <d v="2024-04-24T00:00:00"/>
    <x v="0"/>
    <x v="1"/>
    <x v="1"/>
    <n v="0.18"/>
    <s v="Deferred Equity Grant"/>
    <n v="0.18"/>
    <x v="0"/>
    <m/>
    <x v="0"/>
    <m/>
    <m/>
  </r>
  <r>
    <x v="36"/>
    <x v="5"/>
    <x v="9"/>
    <x v="24"/>
    <s v="Asset Management"/>
    <x v="0"/>
    <s v="AA-"/>
    <s v="United States"/>
    <x v="0"/>
    <d v="2024-04-24T00:00:00"/>
    <x v="0"/>
    <x v="2"/>
    <x v="1"/>
    <n v="0.48"/>
    <s v="Performance Stock"/>
    <n v="0.48"/>
    <x v="1"/>
    <s v="Growth"/>
    <x v="1"/>
    <s v="3Y Average Adjusted Revenue Growth"/>
    <n v="0.5"/>
  </r>
  <r>
    <x v="36"/>
    <x v="5"/>
    <x v="9"/>
    <x v="24"/>
    <s v="Asset Management"/>
    <x v="0"/>
    <s v="AA-"/>
    <s v="United States"/>
    <x v="0"/>
    <d v="2024-04-24T00:00:00"/>
    <x v="0"/>
    <x v="2"/>
    <x v="1"/>
    <m/>
    <s v="Performance Stock"/>
    <n v="0.48"/>
    <x v="1"/>
    <s v="Profitability"/>
    <x v="9"/>
    <s v="3Y Average Adjusted Operating Margin"/>
    <n v="0.5"/>
  </r>
  <r>
    <x v="36"/>
    <x v="5"/>
    <x v="9"/>
    <x v="24"/>
    <s v="Asset Management"/>
    <x v="0"/>
    <s v="AA-"/>
    <s v="United States"/>
    <x v="0"/>
    <d v="2024-04-24T00:00:00"/>
    <x v="1"/>
    <x v="0"/>
    <x v="0"/>
    <n v="0.05"/>
    <s v="Base Salary"/>
    <n v="0.05"/>
    <x v="0"/>
    <m/>
    <x v="0"/>
    <m/>
    <m/>
  </r>
  <r>
    <x v="36"/>
    <x v="5"/>
    <x v="9"/>
    <x v="24"/>
    <s v="Asset Management"/>
    <x v="0"/>
    <s v="AA-"/>
    <s v="United States"/>
    <x v="0"/>
    <d v="2024-04-24T00:00:00"/>
    <x v="1"/>
    <x v="1"/>
    <x v="1"/>
    <n v="0.28000000000000003"/>
    <s v="Cash Incentive"/>
    <n v="0.28000000000000003"/>
    <x v="2"/>
    <s v="Strategy &amp; Operations"/>
    <x v="13"/>
    <s v="Financial Performance"/>
    <n v="0.5"/>
  </r>
  <r>
    <x v="36"/>
    <x v="5"/>
    <x v="9"/>
    <x v="24"/>
    <s v="Asset Management"/>
    <x v="0"/>
    <s v="AA-"/>
    <s v="United States"/>
    <x v="0"/>
    <d v="2024-04-24T00:00:00"/>
    <x v="1"/>
    <x v="1"/>
    <x v="1"/>
    <m/>
    <s v="Cash Incentive"/>
    <n v="0.28000000000000003"/>
    <x v="2"/>
    <s v="Strategy &amp; Operations"/>
    <x v="13"/>
    <s v="Business Strength"/>
    <n v="0.25"/>
  </r>
  <r>
    <x v="36"/>
    <x v="5"/>
    <x v="9"/>
    <x v="24"/>
    <s v="Asset Management"/>
    <x v="0"/>
    <s v="AA-"/>
    <s v="United States"/>
    <x v="0"/>
    <d v="2024-04-24T00:00:00"/>
    <x v="1"/>
    <x v="1"/>
    <x v="1"/>
    <m/>
    <s v="Cash Incentive"/>
    <n v="0.28000000000000003"/>
    <x v="2"/>
    <s v="Strategy &amp; Operations"/>
    <x v="3"/>
    <s v="Organizational Strength"/>
    <n v="0.25"/>
  </r>
  <r>
    <x v="36"/>
    <x v="5"/>
    <x v="9"/>
    <x v="24"/>
    <s v="Asset Management"/>
    <x v="0"/>
    <s v="AA-"/>
    <s v="United States"/>
    <x v="0"/>
    <d v="2024-04-24T00:00:00"/>
    <x v="1"/>
    <x v="1"/>
    <x v="1"/>
    <n v="0.18"/>
    <s v="Deferred Equity Grant"/>
    <n v="0.18"/>
    <x v="0"/>
    <m/>
    <x v="0"/>
    <m/>
    <m/>
  </r>
  <r>
    <x v="36"/>
    <x v="5"/>
    <x v="9"/>
    <x v="24"/>
    <s v="Asset Management"/>
    <x v="0"/>
    <s v="AA-"/>
    <s v="United States"/>
    <x v="0"/>
    <d v="2024-04-24T00:00:00"/>
    <x v="1"/>
    <x v="2"/>
    <x v="1"/>
    <n v="0.49"/>
    <s v="Performance Stock"/>
    <n v="0.49"/>
    <x v="1"/>
    <s v="Growth"/>
    <x v="1"/>
    <s v="3Y Average Adjusted Revenue Growth"/>
    <n v="0.5"/>
  </r>
  <r>
    <x v="36"/>
    <x v="5"/>
    <x v="9"/>
    <x v="24"/>
    <s v="Asset Management"/>
    <x v="0"/>
    <s v="AA-"/>
    <s v="United States"/>
    <x v="0"/>
    <d v="2024-04-24T00:00:00"/>
    <x v="1"/>
    <x v="2"/>
    <x v="1"/>
    <m/>
    <s v="Performance Stock"/>
    <n v="0.49"/>
    <x v="1"/>
    <s v="Profitability"/>
    <x v="9"/>
    <s v="3Y Average Adjusted Operating Margin"/>
    <n v="0.5"/>
  </r>
  <r>
    <x v="36"/>
    <x v="5"/>
    <x v="9"/>
    <x v="24"/>
    <s v="Asset Management"/>
    <x v="0"/>
    <s v="AA-"/>
    <s v="United States"/>
    <x v="0"/>
    <d v="2024-04-24T00:00:00"/>
    <x v="1"/>
    <x v="3"/>
    <x v="1"/>
    <m/>
    <s v="Performance Stock Options"/>
    <m/>
    <x v="3"/>
    <s v="Stock Performance"/>
    <x v="48"/>
    <s v="4Y Absolute Stock Price Appreciation"/>
    <m/>
  </r>
  <r>
    <x v="36"/>
    <x v="5"/>
    <x v="9"/>
    <x v="24"/>
    <s v="Asset Management"/>
    <x v="0"/>
    <s v="AA-"/>
    <s v="United States"/>
    <x v="0"/>
    <d v="2024-04-24T00:00:00"/>
    <x v="1"/>
    <x v="3"/>
    <x v="1"/>
    <m/>
    <s v="Performance Stock Options"/>
    <m/>
    <x v="1"/>
    <s v="Growth"/>
    <x v="1"/>
    <s v="3Y Adjusted Revenue Growth"/>
    <m/>
  </r>
  <r>
    <x v="37"/>
    <x v="9"/>
    <x v="16"/>
    <x v="25"/>
    <s v="Utilities"/>
    <x v="1"/>
    <s v="BBB+"/>
    <s v="United States"/>
    <x v="0"/>
    <d v="2024-03-20T00:00:00"/>
    <x v="0"/>
    <x v="0"/>
    <x v="0"/>
    <n v="0.09"/>
    <s v="Base Salary"/>
    <n v="0.09"/>
    <x v="0"/>
    <m/>
    <x v="0"/>
    <m/>
    <m/>
  </r>
  <r>
    <x v="37"/>
    <x v="9"/>
    <x v="16"/>
    <x v="25"/>
    <s v="Utilities"/>
    <x v="1"/>
    <s v="BBB+"/>
    <s v="United States"/>
    <x v="0"/>
    <d v="2024-03-20T00:00:00"/>
    <x v="0"/>
    <x v="1"/>
    <x v="1"/>
    <n v="0.14000000000000001"/>
    <s v="Cash Incentive"/>
    <n v="0.14000000000000001"/>
    <x v="1"/>
    <s v="Profitability"/>
    <x v="2"/>
    <s v="Adjusted Operating Income"/>
    <n v="0.7"/>
  </r>
  <r>
    <x v="37"/>
    <x v="9"/>
    <x v="16"/>
    <x v="25"/>
    <s v="Utilities"/>
    <x v="1"/>
    <s v="BBB+"/>
    <s v="United States"/>
    <x v="0"/>
    <d v="2024-03-20T00:00:00"/>
    <x v="0"/>
    <x v="1"/>
    <x v="1"/>
    <m/>
    <s v="Cash Incentive"/>
    <n v="0.14000000000000001"/>
    <x v="1"/>
    <s v="Strategy &amp; Operations"/>
    <x v="3"/>
    <s v="Nuclear Fleetwide Capacity Factor"/>
    <n v="0.1"/>
  </r>
  <r>
    <x v="37"/>
    <x v="9"/>
    <x v="16"/>
    <x v="25"/>
    <s v="Utilities"/>
    <x v="1"/>
    <s v="BBB+"/>
    <s v="United States"/>
    <x v="0"/>
    <d v="2024-03-20T00:00:00"/>
    <x v="0"/>
    <x v="1"/>
    <x v="1"/>
    <m/>
    <s v="Cash Incentive"/>
    <n v="0.14000000000000001"/>
    <x v="2"/>
    <s v="Strategy &amp; Operations"/>
    <x v="4"/>
    <s v="Power Customer Satisfaction"/>
    <n v="0.1"/>
  </r>
  <r>
    <x v="37"/>
    <x v="9"/>
    <x v="16"/>
    <x v="25"/>
    <s v="Utilities"/>
    <x v="1"/>
    <s v="BBB+"/>
    <s v="United States"/>
    <x v="0"/>
    <d v="2024-03-20T00:00:00"/>
    <x v="0"/>
    <x v="1"/>
    <x v="1"/>
    <m/>
    <s v="Cash Incentive"/>
    <n v="0.14000000000000001"/>
    <x v="2"/>
    <s v="Strategy &amp; Operations"/>
    <x v="3"/>
    <s v="Power Dispatch Match"/>
    <n v="7.0000000000000007E-2"/>
  </r>
  <r>
    <x v="37"/>
    <x v="9"/>
    <x v="16"/>
    <x v="25"/>
    <s v="Utilities"/>
    <x v="1"/>
    <s v="BBB+"/>
    <s v="United States"/>
    <x v="0"/>
    <d v="2024-03-20T00:00:00"/>
    <x v="0"/>
    <x v="1"/>
    <x v="1"/>
    <m/>
    <s v="Cash Incentive"/>
    <n v="0.14000000000000001"/>
    <x v="2"/>
    <s v="Strategy &amp; Operations"/>
    <x v="3"/>
    <s v="Renewable Energy Capture"/>
    <n v="0.03"/>
  </r>
  <r>
    <x v="37"/>
    <x v="9"/>
    <x v="16"/>
    <x v="25"/>
    <s v="Utilities"/>
    <x v="1"/>
    <s v="BBB+"/>
    <s v="United States"/>
    <x v="0"/>
    <d v="2024-03-20T00:00:00"/>
    <x v="0"/>
    <x v="2"/>
    <x v="1"/>
    <n v="0.52"/>
    <s v="Performance Stock"/>
    <n v="0.52"/>
    <x v="1"/>
    <s v="Cash Flow"/>
    <x v="25"/>
    <s v="Adjusted Free Cash Flow before Growth"/>
    <n v="0.67"/>
  </r>
  <r>
    <x v="37"/>
    <x v="9"/>
    <x v="16"/>
    <x v="25"/>
    <s v="Utilities"/>
    <x v="1"/>
    <s v="BBB+"/>
    <s v="United States"/>
    <x v="0"/>
    <d v="2024-03-20T00:00:00"/>
    <x v="0"/>
    <x v="2"/>
    <x v="1"/>
    <m/>
    <s v="Performance Stock"/>
    <n v="0.52"/>
    <x v="3"/>
    <s v="Stock Performance"/>
    <x v="11"/>
    <s v="3Y Relative TSR "/>
    <n v="0.33"/>
  </r>
  <r>
    <x v="37"/>
    <x v="9"/>
    <x v="16"/>
    <x v="25"/>
    <s v="Utilities"/>
    <x v="1"/>
    <s v="BBB+"/>
    <s v="United States"/>
    <x v="0"/>
    <d v="2024-03-20T00:00:00"/>
    <x v="0"/>
    <x v="2"/>
    <x v="1"/>
    <m/>
    <s v="Performance Stock"/>
    <n v="0.52"/>
    <x v="0"/>
    <s v="Modifier/Threshold"/>
    <x v="49"/>
    <s v="Credit Rating"/>
    <m/>
  </r>
  <r>
    <x v="37"/>
    <x v="9"/>
    <x v="16"/>
    <x v="25"/>
    <s v="Utilities"/>
    <x v="1"/>
    <s v="BBB+"/>
    <s v="United States"/>
    <x v="0"/>
    <d v="2024-03-20T00:00:00"/>
    <x v="0"/>
    <x v="2"/>
    <x v="0"/>
    <n v="0.25"/>
    <s v="Time-Based Stock"/>
    <n v="0.25"/>
    <x v="0"/>
    <m/>
    <x v="0"/>
    <m/>
    <m/>
  </r>
  <r>
    <x v="37"/>
    <x v="9"/>
    <x v="16"/>
    <x v="25"/>
    <s v="Utilities"/>
    <x v="1"/>
    <s v="BBB+"/>
    <s v="United States"/>
    <x v="0"/>
    <d v="2024-03-20T00:00:00"/>
    <x v="1"/>
    <x v="0"/>
    <x v="0"/>
    <n v="0.21"/>
    <s v="Base Salary"/>
    <n v="0.21"/>
    <x v="0"/>
    <m/>
    <x v="0"/>
    <m/>
    <m/>
  </r>
  <r>
    <x v="37"/>
    <x v="9"/>
    <x v="16"/>
    <x v="25"/>
    <s v="Utilities"/>
    <x v="1"/>
    <s v="BBB+"/>
    <s v="United States"/>
    <x v="0"/>
    <d v="2024-03-20T00:00:00"/>
    <x v="1"/>
    <x v="1"/>
    <x v="1"/>
    <n v="0.19"/>
    <s v="Cash Incentive"/>
    <n v="0.19"/>
    <x v="1"/>
    <s v="Profitability"/>
    <x v="2"/>
    <s v="Adjusted Operating Income"/>
    <n v="0.7"/>
  </r>
  <r>
    <x v="37"/>
    <x v="9"/>
    <x v="16"/>
    <x v="25"/>
    <s v="Utilities"/>
    <x v="1"/>
    <s v="BBB+"/>
    <s v="United States"/>
    <x v="0"/>
    <d v="2024-03-20T00:00:00"/>
    <x v="1"/>
    <x v="1"/>
    <x v="1"/>
    <m/>
    <s v="Cash Incentive"/>
    <n v="0.19"/>
    <x v="1"/>
    <s v="Strategy &amp; Operations"/>
    <x v="3"/>
    <s v="Nuclear Fleetwide Capacity Factor"/>
    <n v="0.1"/>
  </r>
  <r>
    <x v="37"/>
    <x v="9"/>
    <x v="16"/>
    <x v="25"/>
    <s v="Utilities"/>
    <x v="1"/>
    <s v="BBB+"/>
    <s v="United States"/>
    <x v="0"/>
    <d v="2024-03-20T00:00:00"/>
    <x v="1"/>
    <x v="1"/>
    <x v="1"/>
    <m/>
    <s v="Cash Incentive"/>
    <n v="0.19"/>
    <x v="2"/>
    <s v="Strategy &amp; Operations"/>
    <x v="4"/>
    <s v="Power Customer Satisfaction"/>
    <n v="0.1"/>
  </r>
  <r>
    <x v="37"/>
    <x v="9"/>
    <x v="16"/>
    <x v="25"/>
    <s v="Utilities"/>
    <x v="1"/>
    <s v="BBB+"/>
    <s v="United States"/>
    <x v="0"/>
    <d v="2024-03-20T00:00:00"/>
    <x v="1"/>
    <x v="1"/>
    <x v="1"/>
    <m/>
    <s v="Cash Incentive"/>
    <n v="0.19"/>
    <x v="2"/>
    <s v="Strategy &amp; Operations"/>
    <x v="3"/>
    <s v="Power Dispatch Match"/>
    <n v="7.0000000000000007E-2"/>
  </r>
  <r>
    <x v="37"/>
    <x v="9"/>
    <x v="16"/>
    <x v="25"/>
    <s v="Utilities"/>
    <x v="1"/>
    <s v="BBB+"/>
    <s v="United States"/>
    <x v="0"/>
    <d v="2024-03-20T00:00:00"/>
    <x v="1"/>
    <x v="1"/>
    <x v="1"/>
    <m/>
    <s v="Cash Incentive"/>
    <n v="0.19"/>
    <x v="2"/>
    <s v="Strategy &amp; Operations"/>
    <x v="3"/>
    <s v="Renewable Energy Capture"/>
    <n v="0.03"/>
  </r>
  <r>
    <x v="37"/>
    <x v="9"/>
    <x v="16"/>
    <x v="25"/>
    <s v="Utilities"/>
    <x v="1"/>
    <s v="BBB+"/>
    <s v="United States"/>
    <x v="0"/>
    <d v="2024-03-20T00:00:00"/>
    <x v="1"/>
    <x v="2"/>
    <x v="1"/>
    <n v="0.4"/>
    <s v="Performance Stock"/>
    <n v="0.4"/>
    <x v="1"/>
    <s v="Cash Flow"/>
    <x v="25"/>
    <s v="Free Cash Flow before Growth"/>
    <n v="0.67"/>
  </r>
  <r>
    <x v="37"/>
    <x v="9"/>
    <x v="16"/>
    <x v="25"/>
    <s v="Utilities"/>
    <x v="1"/>
    <s v="BBB+"/>
    <s v="United States"/>
    <x v="0"/>
    <d v="2024-03-20T00:00:00"/>
    <x v="1"/>
    <x v="2"/>
    <x v="1"/>
    <m/>
    <s v="Performance Stock"/>
    <n v="0.4"/>
    <x v="3"/>
    <s v="Stock Performance"/>
    <x v="11"/>
    <s v="3Y Relative TSR "/>
    <n v="0.33"/>
  </r>
  <r>
    <x v="37"/>
    <x v="9"/>
    <x v="16"/>
    <x v="25"/>
    <s v="Utilities"/>
    <x v="1"/>
    <s v="BBB+"/>
    <s v="United States"/>
    <x v="0"/>
    <d v="2024-03-20T00:00:00"/>
    <x v="1"/>
    <x v="2"/>
    <x v="1"/>
    <m/>
    <s v="Performance Stock"/>
    <n v="0.4"/>
    <x v="0"/>
    <s v="Modifier/Threshold"/>
    <x v="49"/>
    <s v="Credit Rating"/>
    <m/>
  </r>
  <r>
    <x v="37"/>
    <x v="9"/>
    <x v="16"/>
    <x v="25"/>
    <s v="Utilities"/>
    <x v="1"/>
    <s v="BBB+"/>
    <s v="United States"/>
    <x v="0"/>
    <d v="2024-03-20T00:00:00"/>
    <x v="1"/>
    <x v="2"/>
    <x v="0"/>
    <n v="0.2"/>
    <s v="Time-Based Stock"/>
    <n v="0.2"/>
    <x v="0"/>
    <m/>
    <x v="0"/>
    <m/>
    <m/>
  </r>
  <r>
    <x v="38"/>
    <x v="6"/>
    <x v="10"/>
    <x v="10"/>
    <s v="Aerospace &amp; Defense"/>
    <x v="1"/>
    <s v="BBB+"/>
    <s v="United States"/>
    <x v="0"/>
    <d v="2024-04-03T00:00:00"/>
    <x v="0"/>
    <x v="0"/>
    <x v="0"/>
    <n v="0.08"/>
    <s v="Base Salary"/>
    <n v="0.08"/>
    <x v="0"/>
    <m/>
    <x v="0"/>
    <m/>
    <m/>
  </r>
  <r>
    <x v="38"/>
    <x v="6"/>
    <x v="10"/>
    <x v="10"/>
    <s v="Aerospace &amp; Defense"/>
    <x v="1"/>
    <s v="BBB+"/>
    <s v="United States"/>
    <x v="0"/>
    <d v="2024-04-03T00:00:00"/>
    <x v="0"/>
    <x v="1"/>
    <x v="1"/>
    <n v="0.16"/>
    <s v="Cash Incentive"/>
    <n v="0.16"/>
    <x v="1"/>
    <s v="Cash Flow"/>
    <x v="18"/>
    <s v="Adjusted Operating Cash Flow"/>
    <n v="0.35"/>
  </r>
  <r>
    <x v="38"/>
    <x v="6"/>
    <x v="10"/>
    <x v="10"/>
    <s v="Aerospace &amp; Defense"/>
    <x v="1"/>
    <s v="BBB+"/>
    <s v="United States"/>
    <x v="0"/>
    <d v="2024-04-03T00:00:00"/>
    <x v="0"/>
    <x v="1"/>
    <x v="1"/>
    <m/>
    <s v="Cash Incentive"/>
    <n v="0.16"/>
    <x v="1"/>
    <s v="Profitability"/>
    <x v="2"/>
    <s v="Adjusted Operating Income"/>
    <n v="0.35"/>
  </r>
  <r>
    <x v="38"/>
    <x v="6"/>
    <x v="10"/>
    <x v="10"/>
    <s v="Aerospace &amp; Defense"/>
    <x v="1"/>
    <s v="BBB+"/>
    <s v="United States"/>
    <x v="0"/>
    <d v="2024-04-03T00:00:00"/>
    <x v="0"/>
    <x v="1"/>
    <x v="1"/>
    <m/>
    <s v="Cash Incentive"/>
    <n v="0.16"/>
    <x v="1"/>
    <s v="Profitability"/>
    <x v="9"/>
    <s v="Adjusted Operating Margin"/>
    <n v="0.2"/>
  </r>
  <r>
    <x v="38"/>
    <x v="6"/>
    <x v="10"/>
    <x v="10"/>
    <s v="Aerospace &amp; Defense"/>
    <x v="1"/>
    <s v="BBB+"/>
    <s v="United States"/>
    <x v="0"/>
    <d v="2024-04-03T00:00:00"/>
    <x v="0"/>
    <x v="1"/>
    <x v="1"/>
    <m/>
    <s v="Cash Incentive"/>
    <n v="0.16"/>
    <x v="2"/>
    <s v="ESG"/>
    <x v="7"/>
    <s v="Non-Financial Metrics"/>
    <n v="0.1"/>
  </r>
  <r>
    <x v="38"/>
    <x v="6"/>
    <x v="10"/>
    <x v="10"/>
    <s v="Aerospace &amp; Defense"/>
    <x v="1"/>
    <s v="BBB+"/>
    <s v="United States"/>
    <x v="0"/>
    <d v="2024-04-03T00:00:00"/>
    <x v="0"/>
    <x v="2"/>
    <x v="1"/>
    <n v="0.53"/>
    <s v="Performance Stock Appreciation Rights"/>
    <n v="0.53"/>
    <x v="3"/>
    <s v="Stock Performance"/>
    <x v="11"/>
    <s v="3Y Relative TSR"/>
    <n v="0.33333333333333331"/>
  </r>
  <r>
    <x v="38"/>
    <x v="6"/>
    <x v="10"/>
    <x v="10"/>
    <s v="Aerospace &amp; Defense"/>
    <x v="1"/>
    <s v="BBB+"/>
    <s v="United States"/>
    <x v="0"/>
    <d v="2024-04-03T00:00:00"/>
    <x v="0"/>
    <x v="2"/>
    <x v="1"/>
    <m/>
    <s v="Performance Stock Appreciation Rights"/>
    <n v="0.53"/>
    <x v="1"/>
    <s v="Cash Flow"/>
    <x v="25"/>
    <s v="3Y Adjusted Free Cash Flow"/>
    <n v="0.33333333333333331"/>
  </r>
  <r>
    <x v="38"/>
    <x v="6"/>
    <x v="10"/>
    <x v="10"/>
    <s v="Aerospace &amp; Defense"/>
    <x v="1"/>
    <s v="BBB+"/>
    <s v="United States"/>
    <x v="0"/>
    <d v="2024-04-03T00:00:00"/>
    <x v="0"/>
    <x v="2"/>
    <x v="1"/>
    <m/>
    <s v="Performance Stock Appreciation Rights"/>
    <n v="0.53"/>
    <x v="1"/>
    <s v="Return"/>
    <x v="26"/>
    <s v="3Y Average Adjusted ROIC "/>
    <n v="0.33333333333333331"/>
  </r>
  <r>
    <x v="38"/>
    <x v="6"/>
    <x v="10"/>
    <x v="10"/>
    <s v="Aerospace &amp; Defense"/>
    <x v="1"/>
    <s v="BBB+"/>
    <s v="United States"/>
    <x v="0"/>
    <d v="2024-04-03T00:00:00"/>
    <x v="0"/>
    <x v="2"/>
    <x v="1"/>
    <m/>
    <s v="Performance Stock Appreciation Rights"/>
    <n v="0.53"/>
    <x v="0"/>
    <s v="Modifier/Threshold"/>
    <x v="12"/>
    <s v="3Y Absolute TSR"/>
    <m/>
  </r>
  <r>
    <x v="38"/>
    <x v="6"/>
    <x v="10"/>
    <x v="10"/>
    <s v="Aerospace &amp; Defense"/>
    <x v="1"/>
    <s v="BBB+"/>
    <s v="United States"/>
    <x v="0"/>
    <d v="2024-04-03T00:00:00"/>
    <x v="0"/>
    <x v="2"/>
    <x v="0"/>
    <n v="0.23"/>
    <s v="Stock Appreciation Rights"/>
    <n v="0.23"/>
    <x v="0"/>
    <m/>
    <x v="0"/>
    <m/>
    <m/>
  </r>
  <r>
    <x v="38"/>
    <x v="6"/>
    <x v="10"/>
    <x v="10"/>
    <s v="Aerospace &amp; Defense"/>
    <x v="1"/>
    <s v="BBB+"/>
    <s v="United States"/>
    <x v="0"/>
    <d v="2024-04-03T00:00:00"/>
    <x v="1"/>
    <x v="0"/>
    <x v="0"/>
    <n v="0.17"/>
    <s v="Base Salary"/>
    <n v="0.17"/>
    <x v="0"/>
    <m/>
    <x v="0"/>
    <m/>
    <m/>
  </r>
  <r>
    <x v="38"/>
    <x v="6"/>
    <x v="10"/>
    <x v="10"/>
    <s v="Aerospace &amp; Defense"/>
    <x v="1"/>
    <s v="BBB+"/>
    <s v="United States"/>
    <x v="0"/>
    <d v="2024-04-03T00:00:00"/>
    <x v="1"/>
    <x v="1"/>
    <x v="1"/>
    <n v="0.17"/>
    <s v="Cash Incentive"/>
    <n v="0.17"/>
    <x v="1"/>
    <s v="Cash Flow"/>
    <x v="18"/>
    <s v="Adjusted Operating Cash Flow"/>
    <n v="0.35"/>
  </r>
  <r>
    <x v="38"/>
    <x v="6"/>
    <x v="10"/>
    <x v="10"/>
    <s v="Aerospace &amp; Defense"/>
    <x v="1"/>
    <s v="BBB+"/>
    <s v="United States"/>
    <x v="0"/>
    <d v="2024-04-03T00:00:00"/>
    <x v="1"/>
    <x v="1"/>
    <x v="1"/>
    <m/>
    <s v="Cash Incentive"/>
    <n v="0.17"/>
    <x v="1"/>
    <s v="Profitability"/>
    <x v="2"/>
    <s v="Adjusted Operating Income"/>
    <n v="0.35"/>
  </r>
  <r>
    <x v="38"/>
    <x v="6"/>
    <x v="10"/>
    <x v="10"/>
    <s v="Aerospace &amp; Defense"/>
    <x v="1"/>
    <s v="BBB+"/>
    <s v="United States"/>
    <x v="0"/>
    <d v="2024-04-03T00:00:00"/>
    <x v="1"/>
    <x v="1"/>
    <x v="1"/>
    <m/>
    <s v="Cash Incentive"/>
    <n v="0.17"/>
    <x v="1"/>
    <s v="Profitability"/>
    <x v="9"/>
    <s v="Adjusted Operating Margin"/>
    <n v="0.2"/>
  </r>
  <r>
    <x v="38"/>
    <x v="6"/>
    <x v="10"/>
    <x v="10"/>
    <s v="Aerospace &amp; Defense"/>
    <x v="1"/>
    <s v="BBB+"/>
    <s v="United States"/>
    <x v="0"/>
    <d v="2024-04-03T00:00:00"/>
    <x v="1"/>
    <x v="1"/>
    <x v="1"/>
    <m/>
    <s v="Cash Incentive"/>
    <n v="0.17"/>
    <x v="2"/>
    <s v="ESG"/>
    <x v="7"/>
    <s v="Non-Financial Metrics"/>
    <n v="0.1"/>
  </r>
  <r>
    <x v="38"/>
    <x v="6"/>
    <x v="10"/>
    <x v="10"/>
    <s v="Aerospace &amp; Defense"/>
    <x v="1"/>
    <s v="BBB+"/>
    <s v="United States"/>
    <x v="0"/>
    <d v="2024-04-03T00:00:00"/>
    <x v="1"/>
    <x v="2"/>
    <x v="1"/>
    <n v="0.46"/>
    <s v="Performance Stock Appreciation Rights"/>
    <n v="0.46"/>
    <x v="3"/>
    <s v="Stock Performance"/>
    <x v="11"/>
    <s v="3Y Relative TSR"/>
    <n v="0.33333333333333331"/>
  </r>
  <r>
    <x v="38"/>
    <x v="6"/>
    <x v="10"/>
    <x v="10"/>
    <s v="Aerospace &amp; Defense"/>
    <x v="1"/>
    <s v="BBB+"/>
    <s v="United States"/>
    <x v="0"/>
    <d v="2024-04-03T00:00:00"/>
    <x v="1"/>
    <x v="2"/>
    <x v="1"/>
    <m/>
    <s v="Performance Stock Appreciation Rights"/>
    <n v="0.46"/>
    <x v="1"/>
    <s v="Cash Flow"/>
    <x v="25"/>
    <s v="3Y Adjusted Free Cash Flow"/>
    <n v="0.33333333333333331"/>
  </r>
  <r>
    <x v="38"/>
    <x v="6"/>
    <x v="10"/>
    <x v="10"/>
    <s v="Aerospace &amp; Defense"/>
    <x v="1"/>
    <s v="BBB+"/>
    <s v="United States"/>
    <x v="0"/>
    <d v="2024-04-03T00:00:00"/>
    <x v="1"/>
    <x v="2"/>
    <x v="1"/>
    <m/>
    <s v="Performance Stock Appreciation Rights"/>
    <n v="0.46"/>
    <x v="1"/>
    <s v="Return"/>
    <x v="26"/>
    <s v="3Y Average Adjusted ROIC "/>
    <n v="0.33333333333333331"/>
  </r>
  <r>
    <x v="38"/>
    <x v="6"/>
    <x v="10"/>
    <x v="10"/>
    <s v="Aerospace &amp; Defense"/>
    <x v="1"/>
    <s v="BBB+"/>
    <s v="United States"/>
    <x v="0"/>
    <d v="2024-04-03T00:00:00"/>
    <x v="1"/>
    <x v="2"/>
    <x v="1"/>
    <m/>
    <s v="Performance Stock Appreciation Rights"/>
    <n v="0.53"/>
    <x v="0"/>
    <s v="Modifier/Threshold"/>
    <x v="12"/>
    <s v="3Y Absolute TSR"/>
    <m/>
  </r>
  <r>
    <x v="38"/>
    <x v="6"/>
    <x v="10"/>
    <x v="10"/>
    <s v="Aerospace &amp; Defense"/>
    <x v="1"/>
    <s v="BBB+"/>
    <s v="United States"/>
    <x v="0"/>
    <d v="2024-04-03T00:00:00"/>
    <x v="1"/>
    <x v="2"/>
    <x v="0"/>
    <n v="0.2"/>
    <s v="Stock Appreciation Rights"/>
    <n v="0.2"/>
    <x v="0"/>
    <m/>
    <x v="0"/>
    <m/>
    <m/>
  </r>
  <r>
    <x v="39"/>
    <x v="3"/>
    <x v="4"/>
    <x v="17"/>
    <s v="Diversified Industrials"/>
    <x v="0"/>
    <s v="A-"/>
    <s v="United States"/>
    <x v="0"/>
    <d v="2024-03-27T00:00:00"/>
    <x v="0"/>
    <x v="0"/>
    <x v="0"/>
    <n v="0.06"/>
    <s v="Base Salary"/>
    <n v="0.06"/>
    <x v="0"/>
    <m/>
    <x v="0"/>
    <m/>
    <m/>
  </r>
  <r>
    <x v="39"/>
    <x v="3"/>
    <x v="4"/>
    <x v="17"/>
    <s v="Diversified Industrials"/>
    <x v="0"/>
    <s v="A-"/>
    <s v="United States"/>
    <x v="0"/>
    <d v="2024-03-27T00:00:00"/>
    <x v="0"/>
    <x v="1"/>
    <x v="1"/>
    <n v="0.17"/>
    <s v="Cash Incentive"/>
    <n v="0.17"/>
    <x v="2"/>
    <s v="Individual Assessment"/>
    <x v="13"/>
    <s v="Individual Performance Assessment"/>
    <n v="0.4"/>
  </r>
  <r>
    <x v="39"/>
    <x v="3"/>
    <x v="4"/>
    <x v="17"/>
    <s v="Diversified Industrials"/>
    <x v="0"/>
    <s v="A-"/>
    <s v="United States"/>
    <x v="0"/>
    <d v="2024-03-27T00:00:00"/>
    <x v="0"/>
    <x v="1"/>
    <x v="1"/>
    <m/>
    <s v="Cash Incentive"/>
    <n v="0.17"/>
    <x v="1"/>
    <s v="Profitability"/>
    <x v="14"/>
    <s v="Adjusted EPS"/>
    <n v="0.36"/>
  </r>
  <r>
    <x v="39"/>
    <x v="3"/>
    <x v="4"/>
    <x v="17"/>
    <s v="Diversified Industrials"/>
    <x v="0"/>
    <s v="A-"/>
    <s v="United States"/>
    <x v="0"/>
    <d v="2024-03-27T00:00:00"/>
    <x v="0"/>
    <x v="1"/>
    <x v="1"/>
    <m/>
    <s v="Cash Incentive"/>
    <n v="0.17"/>
    <x v="1"/>
    <s v="Cash Flow"/>
    <x v="50"/>
    <s v="Adjusted Free Cash Flow to Net Income Ratio"/>
    <n v="0.12"/>
  </r>
  <r>
    <x v="39"/>
    <x v="3"/>
    <x v="4"/>
    <x v="17"/>
    <s v="Diversified Industrials"/>
    <x v="0"/>
    <s v="A-"/>
    <s v="United States"/>
    <x v="0"/>
    <d v="2024-03-27T00:00:00"/>
    <x v="0"/>
    <x v="1"/>
    <x v="1"/>
    <m/>
    <s v="Cash Incentive"/>
    <n v="0.17"/>
    <x v="1"/>
    <s v="Growth"/>
    <x v="1"/>
    <s v="Adjusted Revenue Growth"/>
    <n v="0.12"/>
  </r>
  <r>
    <x v="39"/>
    <x v="3"/>
    <x v="4"/>
    <x v="17"/>
    <s v="Diversified Industrials"/>
    <x v="0"/>
    <s v="A-"/>
    <s v="United States"/>
    <x v="0"/>
    <d v="2024-03-27T00:00:00"/>
    <x v="0"/>
    <x v="2"/>
    <x v="1"/>
    <n v="0.4"/>
    <s v="Performance Stock"/>
    <n v="0.4"/>
    <x v="3"/>
    <s v="Stock Performance"/>
    <x v="11"/>
    <s v="3Y Relative TSR"/>
    <n v="1"/>
  </r>
  <r>
    <x v="39"/>
    <x v="3"/>
    <x v="4"/>
    <x v="17"/>
    <s v="Diversified Industrials"/>
    <x v="0"/>
    <s v="A-"/>
    <s v="United States"/>
    <x v="0"/>
    <d v="2024-03-27T00:00:00"/>
    <x v="0"/>
    <x v="2"/>
    <x v="1"/>
    <m/>
    <s v="Performance Stock"/>
    <n v="0.4"/>
    <x v="0"/>
    <s v="Modifier/Threshold"/>
    <x v="51"/>
    <s v="3Y Average ROIC Compared to Base Year"/>
    <m/>
  </r>
  <r>
    <x v="39"/>
    <x v="3"/>
    <x v="4"/>
    <x v="17"/>
    <s v="Diversified Industrials"/>
    <x v="0"/>
    <s v="A-"/>
    <s v="United States"/>
    <x v="0"/>
    <d v="2024-03-27T00:00:00"/>
    <x v="0"/>
    <x v="2"/>
    <x v="1"/>
    <m/>
    <s v="Performance Stock"/>
    <n v="0.4"/>
    <x v="0"/>
    <s v="Modifier/Threshold"/>
    <x v="12"/>
    <s v="3Y Absolute TSR"/>
    <m/>
  </r>
  <r>
    <x v="39"/>
    <x v="3"/>
    <x v="4"/>
    <x v="17"/>
    <s v="Diversified Industrials"/>
    <x v="0"/>
    <s v="A-"/>
    <s v="United States"/>
    <x v="0"/>
    <d v="2024-03-27T00:00:00"/>
    <x v="0"/>
    <x v="2"/>
    <x v="0"/>
    <n v="0.37"/>
    <s v="Stock Options"/>
    <n v="0.37"/>
    <x v="0"/>
    <m/>
    <x v="0"/>
    <m/>
    <m/>
  </r>
  <r>
    <x v="39"/>
    <x v="3"/>
    <x v="4"/>
    <x v="17"/>
    <s v="Diversified Industrials"/>
    <x v="0"/>
    <s v="A-"/>
    <s v="United States"/>
    <x v="0"/>
    <d v="2024-03-27T00:00:00"/>
    <x v="1"/>
    <x v="0"/>
    <x v="0"/>
    <n v="0.12700281209968226"/>
    <s v="Base Salary"/>
    <n v="0.12700281209968226"/>
    <x v="0"/>
    <m/>
    <x v="0"/>
    <m/>
    <m/>
  </r>
  <r>
    <x v="39"/>
    <x v="3"/>
    <x v="4"/>
    <x v="17"/>
    <s v="Diversified Industrials"/>
    <x v="0"/>
    <s v="A-"/>
    <s v="United States"/>
    <x v="0"/>
    <d v="2024-03-27T00:00:00"/>
    <x v="1"/>
    <x v="1"/>
    <x v="1"/>
    <n v="0.19614969020834633"/>
    <s v="Cash Incentive"/>
    <n v="0.19614969020834633"/>
    <x v="2"/>
    <s v="Individual Assessment"/>
    <x v="13"/>
    <s v="Individual Performance Assessment"/>
    <n v="0.4"/>
  </r>
  <r>
    <x v="39"/>
    <x v="3"/>
    <x v="4"/>
    <x v="17"/>
    <s v="Diversified Industrials"/>
    <x v="0"/>
    <s v="A-"/>
    <s v="United States"/>
    <x v="0"/>
    <d v="2024-03-27T00:00:00"/>
    <x v="1"/>
    <x v="1"/>
    <x v="1"/>
    <m/>
    <s v="Cash Incentive"/>
    <n v="0.19614969020834633"/>
    <x v="1"/>
    <s v="Profitability"/>
    <x v="14"/>
    <s v="Adjusted EPS"/>
    <n v="0.36"/>
  </r>
  <r>
    <x v="39"/>
    <x v="3"/>
    <x v="4"/>
    <x v="17"/>
    <s v="Diversified Industrials"/>
    <x v="0"/>
    <s v="A-"/>
    <s v="United States"/>
    <x v="0"/>
    <d v="2024-03-27T00:00:00"/>
    <x v="1"/>
    <x v="1"/>
    <x v="1"/>
    <m/>
    <s v="Cash Incentive"/>
    <n v="0.19614969020834633"/>
    <x v="1"/>
    <s v="Cash Flow"/>
    <x v="50"/>
    <s v="Adjusted Free Cash Flow to Net Income Ratio"/>
    <n v="0.12"/>
  </r>
  <r>
    <x v="39"/>
    <x v="3"/>
    <x v="4"/>
    <x v="17"/>
    <s v="Diversified Industrials"/>
    <x v="0"/>
    <s v="A-"/>
    <s v="United States"/>
    <x v="0"/>
    <d v="2024-03-27T00:00:00"/>
    <x v="1"/>
    <x v="1"/>
    <x v="1"/>
    <m/>
    <s v="Cash Incentive"/>
    <n v="0.19614969020834633"/>
    <x v="1"/>
    <s v="Growth"/>
    <x v="1"/>
    <s v="Adjusted Revenue Growth"/>
    <n v="0.12"/>
  </r>
  <r>
    <x v="39"/>
    <x v="3"/>
    <x v="4"/>
    <x v="17"/>
    <s v="Diversified Industrials"/>
    <x v="0"/>
    <s v="A-"/>
    <s v="United States"/>
    <x v="0"/>
    <d v="2024-03-27T00:00:00"/>
    <x v="1"/>
    <x v="2"/>
    <x v="1"/>
    <n v="0.35058878811477151"/>
    <s v="Performance Stock"/>
    <n v="0.35058878811477151"/>
    <x v="3"/>
    <s v="Stock Performance"/>
    <x v="11"/>
    <s v="3Y Relative TSR"/>
    <n v="1"/>
  </r>
  <r>
    <x v="39"/>
    <x v="3"/>
    <x v="4"/>
    <x v="17"/>
    <s v="Diversified Industrials"/>
    <x v="0"/>
    <s v="A-"/>
    <s v="United States"/>
    <x v="0"/>
    <d v="2024-03-27T00:00:00"/>
    <x v="1"/>
    <x v="2"/>
    <x v="1"/>
    <m/>
    <s v="Performance Stock"/>
    <n v="0.35058878811477151"/>
    <x v="0"/>
    <s v="Modifier/Threshold"/>
    <x v="51"/>
    <s v="3Y Average ROIC Compared to Base Year"/>
    <m/>
  </r>
  <r>
    <x v="39"/>
    <x v="3"/>
    <x v="4"/>
    <x v="17"/>
    <s v="Diversified Industrials"/>
    <x v="0"/>
    <s v="A-"/>
    <s v="United States"/>
    <x v="0"/>
    <d v="2024-03-27T00:00:00"/>
    <x v="1"/>
    <x v="2"/>
    <x v="1"/>
    <m/>
    <s v="Performance Stock"/>
    <n v="0.35058878811477151"/>
    <x v="0"/>
    <s v="Modifier/Threshold"/>
    <x v="12"/>
    <s v="3Y Absolute TSR"/>
    <m/>
  </r>
  <r>
    <x v="39"/>
    <x v="3"/>
    <x v="4"/>
    <x v="17"/>
    <s v="Diversified Industrials"/>
    <x v="0"/>
    <s v="A-"/>
    <s v="United States"/>
    <x v="0"/>
    <d v="2024-03-27T00:00:00"/>
    <x v="1"/>
    <x v="2"/>
    <x v="0"/>
    <n v="0.32625870957719993"/>
    <s v="Stock Options"/>
    <n v="0.32625870957719993"/>
    <x v="0"/>
    <m/>
    <x v="0"/>
    <m/>
    <m/>
  </r>
  <r>
    <x v="40"/>
    <x v="5"/>
    <x v="9"/>
    <x v="24"/>
    <s v="Financial Services"/>
    <x v="1"/>
    <s v="AA-"/>
    <s v="United States"/>
    <x v="0"/>
    <d v="2024-03-18T00:00:00"/>
    <x v="0"/>
    <x v="0"/>
    <x v="0"/>
    <n v="0.1111111111111111"/>
    <s v="Base Salary"/>
    <n v="0.1111111111111111"/>
    <x v="0"/>
    <m/>
    <x v="0"/>
    <m/>
    <m/>
  </r>
  <r>
    <x v="40"/>
    <x v="5"/>
    <x v="9"/>
    <x v="24"/>
    <s v="Financial Services"/>
    <x v="1"/>
    <s v="AA-"/>
    <s v="United States"/>
    <x v="0"/>
    <d v="2024-03-18T00:00:00"/>
    <x v="0"/>
    <x v="1"/>
    <x v="1"/>
    <n v="0.22222222222222221"/>
    <s v="Cash Incentive"/>
    <n v="0.22222222222222221"/>
    <x v="1"/>
    <s v="Cash Flow"/>
    <x v="25"/>
    <s v="Adjusted Cash Earnings"/>
    <n v="1"/>
  </r>
  <r>
    <x v="40"/>
    <x v="5"/>
    <x v="9"/>
    <x v="24"/>
    <s v="Financial Services"/>
    <x v="1"/>
    <s v="AA-"/>
    <s v="United States"/>
    <x v="0"/>
    <d v="2024-03-18T00:00:00"/>
    <x v="0"/>
    <x v="1"/>
    <x v="1"/>
    <m/>
    <s v="Cash Incentive"/>
    <n v="0.22222222222222221"/>
    <x v="0"/>
    <s v="Modifier/Threshold"/>
    <x v="34"/>
    <s v="Discretionary Adjustment"/>
    <m/>
  </r>
  <r>
    <x v="40"/>
    <x v="5"/>
    <x v="9"/>
    <x v="24"/>
    <s v="Financial Services"/>
    <x v="1"/>
    <s v="AA-"/>
    <s v="United States"/>
    <x v="0"/>
    <d v="2024-03-18T00:00:00"/>
    <x v="0"/>
    <x v="2"/>
    <x v="1"/>
    <n v="0.33333333333333331"/>
    <s v="Performance Stock"/>
    <n v="0.33333333333333331"/>
    <x v="3"/>
    <s v="Stock Performance"/>
    <x v="11"/>
    <s v="3Y Relative TSR"/>
    <n v="0.5"/>
  </r>
  <r>
    <x v="40"/>
    <x v="5"/>
    <x v="9"/>
    <x v="24"/>
    <s v="Financial Services"/>
    <x v="1"/>
    <s v="AA-"/>
    <s v="United States"/>
    <x v="0"/>
    <d v="2024-03-18T00:00:00"/>
    <x v="0"/>
    <x v="2"/>
    <x v="1"/>
    <m/>
    <s v="Performance Stock"/>
    <n v="0.33333333333333331"/>
    <x v="1"/>
    <s v="Profitability"/>
    <x v="52"/>
    <s v="3Y Adjusted Net Profit Margin"/>
    <n v="0.5"/>
  </r>
  <r>
    <x v="40"/>
    <x v="5"/>
    <x v="9"/>
    <x v="24"/>
    <s v="Financial Services"/>
    <x v="1"/>
    <s v="AA-"/>
    <s v="United States"/>
    <x v="0"/>
    <d v="2024-03-18T00:00:00"/>
    <x v="0"/>
    <x v="2"/>
    <x v="1"/>
    <m/>
    <s v="Performance Stock"/>
    <n v="0.33333333333333331"/>
    <x v="0"/>
    <s v="Modifier/Threshold"/>
    <x v="12"/>
    <s v="3Y Absolute TSR"/>
    <m/>
  </r>
  <r>
    <x v="40"/>
    <x v="5"/>
    <x v="9"/>
    <x v="24"/>
    <s v="Financial Services"/>
    <x v="1"/>
    <s v="AA-"/>
    <s v="United States"/>
    <x v="0"/>
    <d v="2024-03-18T00:00:00"/>
    <x v="0"/>
    <x v="2"/>
    <x v="0"/>
    <n v="0.33333333333333331"/>
    <s v="Time-Based Stock"/>
    <n v="0.33333333333333331"/>
    <x v="0"/>
    <m/>
    <x v="0"/>
    <m/>
    <m/>
  </r>
  <r>
    <x v="40"/>
    <x v="5"/>
    <x v="9"/>
    <x v="24"/>
    <s v="Financial Services"/>
    <x v="1"/>
    <s v="AA-"/>
    <s v="United States"/>
    <x v="0"/>
    <d v="2024-03-18T00:00:00"/>
    <x v="1"/>
    <x v="0"/>
    <x v="0"/>
    <n v="0.2"/>
    <s v="Base Salary"/>
    <n v="0.2"/>
    <x v="0"/>
    <m/>
    <x v="0"/>
    <m/>
    <m/>
  </r>
  <r>
    <x v="40"/>
    <x v="5"/>
    <x v="9"/>
    <x v="24"/>
    <s v="Financial Services"/>
    <x v="1"/>
    <s v="AA-"/>
    <s v="United States"/>
    <x v="0"/>
    <d v="2024-03-18T00:00:00"/>
    <x v="1"/>
    <x v="1"/>
    <x v="1"/>
    <n v="0.2"/>
    <s v="Cash Incentive"/>
    <n v="0.2"/>
    <x v="1"/>
    <s v="Cash Flow"/>
    <x v="25"/>
    <s v="Adjusted Cash Earnings"/>
    <n v="1"/>
  </r>
  <r>
    <x v="40"/>
    <x v="5"/>
    <x v="9"/>
    <x v="24"/>
    <s v="Financial Services"/>
    <x v="1"/>
    <s v="AA-"/>
    <s v="United States"/>
    <x v="0"/>
    <d v="2024-03-18T00:00:00"/>
    <x v="1"/>
    <x v="1"/>
    <x v="1"/>
    <m/>
    <s v="Cash Incentive"/>
    <n v="0.2"/>
    <x v="0"/>
    <s v="Modifier/Threshold"/>
    <x v="34"/>
    <s v="Discretionary Adjustment"/>
    <m/>
  </r>
  <r>
    <x v="40"/>
    <x v="5"/>
    <x v="9"/>
    <x v="24"/>
    <s v="Financial Services"/>
    <x v="1"/>
    <s v="AA-"/>
    <s v="United States"/>
    <x v="0"/>
    <d v="2024-03-18T00:00:00"/>
    <x v="1"/>
    <x v="2"/>
    <x v="1"/>
    <n v="0.3"/>
    <s v="Performance Stock"/>
    <n v="0.3"/>
    <x v="3"/>
    <s v="Stock Performance"/>
    <x v="11"/>
    <s v="3Y Relative TSR"/>
    <n v="0.5"/>
  </r>
  <r>
    <x v="40"/>
    <x v="5"/>
    <x v="9"/>
    <x v="24"/>
    <s v="Financial Services"/>
    <x v="1"/>
    <s v="AA-"/>
    <s v="United States"/>
    <x v="0"/>
    <d v="2024-03-18T00:00:00"/>
    <x v="1"/>
    <x v="2"/>
    <x v="1"/>
    <m/>
    <s v="Performance Stock"/>
    <n v="0.3"/>
    <x v="1"/>
    <s v="Profitability"/>
    <x v="52"/>
    <s v="3Y Adjusted Net Profit Margin"/>
    <n v="0.5"/>
  </r>
  <r>
    <x v="40"/>
    <x v="5"/>
    <x v="9"/>
    <x v="24"/>
    <s v="Financial Services"/>
    <x v="1"/>
    <s v="AA-"/>
    <s v="United States"/>
    <x v="0"/>
    <d v="2024-03-18T00:00:00"/>
    <x v="1"/>
    <x v="2"/>
    <x v="1"/>
    <m/>
    <s v="Performance Stock"/>
    <n v="0.3"/>
    <x v="0"/>
    <s v="Modifier/Threshold"/>
    <x v="12"/>
    <s v="3Y Absolute TSR"/>
    <m/>
  </r>
  <r>
    <x v="40"/>
    <x v="5"/>
    <x v="9"/>
    <x v="24"/>
    <s v="Financial Services"/>
    <x v="1"/>
    <s v="AA-"/>
    <s v="United States"/>
    <x v="0"/>
    <d v="2024-03-18T00:00:00"/>
    <x v="1"/>
    <x v="2"/>
    <x v="0"/>
    <n v="0.3"/>
    <s v="Time-Based Stock"/>
    <n v="0.3"/>
    <x v="0"/>
    <m/>
    <x v="0"/>
    <m/>
    <m/>
  </r>
  <r>
    <x v="41"/>
    <x v="2"/>
    <x v="3"/>
    <x v="3"/>
    <s v="Internet Retail "/>
    <x v="1"/>
    <s v="BB+"/>
    <s v="United States"/>
    <x v="0"/>
    <d v="2024-04-25T00:00:00"/>
    <x v="0"/>
    <x v="0"/>
    <x v="0"/>
    <n v="0.05"/>
    <s v="Base Salary"/>
    <n v="0.05"/>
    <x v="0"/>
    <m/>
    <x v="0"/>
    <m/>
    <m/>
  </r>
  <r>
    <x v="41"/>
    <x v="2"/>
    <x v="3"/>
    <x v="3"/>
    <s v="Internet Retail "/>
    <x v="1"/>
    <s v="BB+"/>
    <s v="United States"/>
    <x v="0"/>
    <d v="2024-04-25T00:00:00"/>
    <x v="0"/>
    <x v="1"/>
    <x v="1"/>
    <n v="0.01"/>
    <s v="Cash Incentive"/>
    <n v="0.01"/>
    <x v="1"/>
    <s v="Growth"/>
    <x v="1"/>
    <s v="Adjusted Revenue "/>
    <n v="0.4"/>
  </r>
  <r>
    <x v="41"/>
    <x v="2"/>
    <x v="3"/>
    <x v="3"/>
    <s v="Internet Retail "/>
    <x v="1"/>
    <s v="BB+"/>
    <s v="United States"/>
    <x v="0"/>
    <d v="2024-04-25T00:00:00"/>
    <x v="0"/>
    <x v="1"/>
    <x v="1"/>
    <m/>
    <s v="Cash Incentive"/>
    <n v="0.01"/>
    <x v="1"/>
    <s v="Profitability"/>
    <x v="2"/>
    <s v="Adjusted Operating Income"/>
    <n v="0.35"/>
  </r>
  <r>
    <x v="41"/>
    <x v="2"/>
    <x v="3"/>
    <x v="3"/>
    <s v="Internet Retail "/>
    <x v="1"/>
    <s v="BB+"/>
    <s v="United States"/>
    <x v="0"/>
    <d v="2024-04-25T00:00:00"/>
    <x v="0"/>
    <x v="1"/>
    <x v="1"/>
    <m/>
    <s v="Cash Incentive"/>
    <n v="0.01"/>
    <x v="2"/>
    <s v="Strategy &amp; Operations"/>
    <x v="4"/>
    <s v="Competitive Net Promoter Score"/>
    <n v="0.15"/>
  </r>
  <r>
    <x v="41"/>
    <x v="2"/>
    <x v="3"/>
    <x v="3"/>
    <s v="Internet Retail "/>
    <x v="1"/>
    <s v="BB+"/>
    <s v="United States"/>
    <x v="0"/>
    <d v="2024-04-25T00:00:00"/>
    <x v="0"/>
    <x v="1"/>
    <x v="1"/>
    <m/>
    <s v="Cash Incentive"/>
    <n v="0.01"/>
    <x v="1"/>
    <s v="Growth"/>
    <x v="17"/>
    <s v="Adjusted Total Payment Volume"/>
    <n v="0.1"/>
  </r>
  <r>
    <x v="41"/>
    <x v="2"/>
    <x v="3"/>
    <x v="3"/>
    <s v="Internet Retail "/>
    <x v="1"/>
    <s v="BB+"/>
    <s v="United States"/>
    <x v="0"/>
    <d v="2024-04-25T00:00:00"/>
    <x v="0"/>
    <x v="1"/>
    <x v="1"/>
    <m/>
    <s v="Cash Incentive"/>
    <n v="0.01"/>
    <x v="0"/>
    <s v="Modifier/Threshold"/>
    <x v="10"/>
    <s v="Individual Performance Factor"/>
    <m/>
  </r>
  <r>
    <x v="41"/>
    <x v="2"/>
    <x v="3"/>
    <x v="3"/>
    <s v="Internet Retail "/>
    <x v="1"/>
    <s v="BB+"/>
    <s v="United States"/>
    <x v="0"/>
    <d v="2024-04-25T00:00:00"/>
    <x v="0"/>
    <x v="2"/>
    <x v="1"/>
    <n v="0.47"/>
    <s v="Long-Term Cash Incentive"/>
    <n v="0.47"/>
    <x v="3"/>
    <s v="Stock Performance"/>
    <x v="48"/>
    <s v="Stock Price"/>
    <n v="1"/>
  </r>
  <r>
    <x v="41"/>
    <x v="2"/>
    <x v="3"/>
    <x v="3"/>
    <s v="Internet Retail "/>
    <x v="1"/>
    <s v="BB+"/>
    <s v="United States"/>
    <x v="0"/>
    <d v="2024-04-25T00:00:00"/>
    <x v="0"/>
    <x v="2"/>
    <x v="0"/>
    <n v="0.47"/>
    <s v="Long-Term Cash Grant"/>
    <n v="0.47"/>
    <x v="2"/>
    <m/>
    <x v="0"/>
    <m/>
    <m/>
  </r>
  <r>
    <x v="41"/>
    <x v="2"/>
    <x v="3"/>
    <x v="3"/>
    <s v="Internet Retail "/>
    <x v="1"/>
    <s v="BB+"/>
    <s v="United States"/>
    <x v="0"/>
    <d v="2024-04-25T00:00:00"/>
    <x v="1"/>
    <x v="0"/>
    <x v="0"/>
    <n v="0.15651139863894731"/>
    <s v="Base Salary"/>
    <n v="0.15651139863894731"/>
    <x v="0"/>
    <m/>
    <x v="0"/>
    <m/>
    <m/>
  </r>
  <r>
    <x v="41"/>
    <x v="2"/>
    <x v="3"/>
    <x v="3"/>
    <s v="Internet Retail "/>
    <x v="1"/>
    <s v="BB+"/>
    <s v="United States"/>
    <x v="0"/>
    <d v="2024-04-25T00:00:00"/>
    <x v="1"/>
    <x v="1"/>
    <x v="1"/>
    <n v="3.7676850608329565E-2"/>
    <s v="Cash Incentive"/>
    <n v="3.7676850608329565E-2"/>
    <x v="1"/>
    <s v="Growth"/>
    <x v="1"/>
    <s v="Adjusted Revenue "/>
    <n v="0.4"/>
  </r>
  <r>
    <x v="41"/>
    <x v="2"/>
    <x v="3"/>
    <x v="3"/>
    <s v="Internet Retail "/>
    <x v="1"/>
    <s v="BB+"/>
    <s v="United States"/>
    <x v="0"/>
    <d v="2024-04-25T00:00:00"/>
    <x v="1"/>
    <x v="1"/>
    <x v="1"/>
    <m/>
    <s v="Cash Incentive"/>
    <n v="3.7676850608329565E-2"/>
    <x v="1"/>
    <s v="Profitability"/>
    <x v="2"/>
    <s v="Adjusted Operating Income"/>
    <n v="0.35"/>
  </r>
  <r>
    <x v="41"/>
    <x v="2"/>
    <x v="3"/>
    <x v="3"/>
    <s v="Internet Retail "/>
    <x v="1"/>
    <s v="BB+"/>
    <s v="United States"/>
    <x v="0"/>
    <d v="2024-04-25T00:00:00"/>
    <x v="1"/>
    <x v="1"/>
    <x v="1"/>
    <m/>
    <s v="Cash Incentive"/>
    <n v="3.7676850608329565E-2"/>
    <x v="2"/>
    <s v="Strategy &amp; Operations"/>
    <x v="4"/>
    <s v="Competitive Net Promoter Score"/>
    <n v="0.15"/>
  </r>
  <r>
    <x v="41"/>
    <x v="2"/>
    <x v="3"/>
    <x v="3"/>
    <s v="Internet Retail "/>
    <x v="1"/>
    <s v="BB+"/>
    <s v="United States"/>
    <x v="0"/>
    <d v="2024-04-25T00:00:00"/>
    <x v="1"/>
    <x v="1"/>
    <x v="1"/>
    <m/>
    <s v="Cash Incentive"/>
    <n v="3.7676850608329565E-2"/>
    <x v="1"/>
    <s v="Growth"/>
    <x v="17"/>
    <s v="Adjusted Total Payment Volume"/>
    <n v="0.1"/>
  </r>
  <r>
    <x v="41"/>
    <x v="2"/>
    <x v="3"/>
    <x v="3"/>
    <s v="Internet Retail "/>
    <x v="1"/>
    <s v="BB+"/>
    <s v="United States"/>
    <x v="0"/>
    <d v="2024-04-25T00:00:00"/>
    <x v="1"/>
    <x v="1"/>
    <x v="1"/>
    <m/>
    <s v="Cash Incentive"/>
    <n v="3.7676850608329565E-2"/>
    <x v="0"/>
    <s v="Modifier/Threshold"/>
    <x v="10"/>
    <s v="Individual Performance Factor"/>
    <m/>
  </r>
  <r>
    <x v="41"/>
    <x v="2"/>
    <x v="3"/>
    <x v="3"/>
    <s v="Internet Retail "/>
    <x v="1"/>
    <s v="BB+"/>
    <s v="United States"/>
    <x v="0"/>
    <d v="2024-04-25T00:00:00"/>
    <x v="1"/>
    <x v="2"/>
    <x v="1"/>
    <n v="0.40290587537636147"/>
    <s v="Long-Term Cash Incentive"/>
    <n v="0.40290587537636147"/>
    <x v="3"/>
    <s v="Stock Performance"/>
    <x v="48"/>
    <s v="Stock Price"/>
    <n v="1"/>
  </r>
  <r>
    <x v="41"/>
    <x v="2"/>
    <x v="3"/>
    <x v="3"/>
    <s v="Internet Retail "/>
    <x v="1"/>
    <s v="BB+"/>
    <s v="United States"/>
    <x v="0"/>
    <d v="2024-04-25T00:00:00"/>
    <x v="1"/>
    <x v="2"/>
    <x v="0"/>
    <n v="0.40290587537636147"/>
    <s v="Long-Term Cash Grant"/>
    <n v="0.40290587537636147"/>
    <x v="0"/>
    <m/>
    <x v="0"/>
    <m/>
    <m/>
  </r>
  <r>
    <x v="42"/>
    <x v="5"/>
    <x v="15"/>
    <x v="23"/>
    <s v="Insurance"/>
    <x v="0"/>
    <s v="A"/>
    <s v="United States"/>
    <x v="0"/>
    <d v="2024-04-01T00:00:00"/>
    <x v="0"/>
    <x v="0"/>
    <x v="0"/>
    <n v="0.06"/>
    <s v="Base Salary"/>
    <n v="0.06"/>
    <x v="0"/>
    <m/>
    <x v="0"/>
    <m/>
    <m/>
  </r>
  <r>
    <x v="42"/>
    <x v="5"/>
    <x v="15"/>
    <x v="23"/>
    <s v="Insurance"/>
    <x v="0"/>
    <s v="A"/>
    <s v="United States"/>
    <x v="0"/>
    <d v="2024-04-01T00:00:00"/>
    <x v="0"/>
    <x v="1"/>
    <x v="1"/>
    <n v="0.32"/>
    <s v="Cash Incentive"/>
    <n v="0.32"/>
    <x v="2"/>
    <s v="Strategy &amp; Operations"/>
    <x v="3"/>
    <s v="Financial Results"/>
    <n v="0.75"/>
  </r>
  <r>
    <x v="42"/>
    <x v="5"/>
    <x v="15"/>
    <x v="23"/>
    <s v="Insurance"/>
    <x v="0"/>
    <s v="A"/>
    <s v="United States"/>
    <x v="0"/>
    <d v="2024-04-01T00:00:00"/>
    <x v="0"/>
    <x v="1"/>
    <x v="1"/>
    <m/>
    <s v="Cash Incentive"/>
    <n v="0.32"/>
    <x v="2"/>
    <s v="Strategy &amp; Operations"/>
    <x v="3"/>
    <s v="Operational and Strategic Goals"/>
    <n v="0.25"/>
  </r>
  <r>
    <x v="42"/>
    <x v="5"/>
    <x v="15"/>
    <x v="23"/>
    <s v="Insurance"/>
    <x v="0"/>
    <s v="A"/>
    <s v="United States"/>
    <x v="0"/>
    <d v="2024-04-01T00:00:00"/>
    <x v="0"/>
    <x v="1"/>
    <x v="1"/>
    <m/>
    <s v="Cash Incentive"/>
    <n v="0.32"/>
    <x v="0"/>
    <s v="Modifier/Threshold"/>
    <x v="53"/>
    <s v="1Y and 3Y Absolute TSR"/>
    <m/>
  </r>
  <r>
    <x v="42"/>
    <x v="5"/>
    <x v="15"/>
    <x v="23"/>
    <s v="Insurance"/>
    <x v="0"/>
    <s v="A"/>
    <s v="United States"/>
    <x v="0"/>
    <d v="2024-04-01T00:00:00"/>
    <x v="0"/>
    <x v="2"/>
    <x v="1"/>
    <n v="0.62"/>
    <s v="Performance Stock"/>
    <n v="0.62"/>
    <x v="1"/>
    <s v="Profitability"/>
    <x v="3"/>
    <s v="3Y Tangible Book Value Per Share Growth"/>
    <n v="0.75"/>
  </r>
  <r>
    <x v="42"/>
    <x v="5"/>
    <x v="15"/>
    <x v="23"/>
    <s v="Insurance"/>
    <x v="0"/>
    <s v="A"/>
    <s v="United States"/>
    <x v="0"/>
    <d v="2024-04-01T00:00:00"/>
    <x v="0"/>
    <x v="2"/>
    <x v="1"/>
    <m/>
    <s v="Performance Stock"/>
    <n v="0.62"/>
    <x v="1"/>
    <s v="Profitability"/>
    <x v="3"/>
    <s v="3Y Property &amp; Casualty Combined Ratio"/>
    <n v="0.25"/>
  </r>
  <r>
    <x v="42"/>
    <x v="5"/>
    <x v="15"/>
    <x v="23"/>
    <s v="Insurance"/>
    <x v="0"/>
    <s v="A"/>
    <s v="United States"/>
    <x v="0"/>
    <d v="2024-04-01T00:00:00"/>
    <x v="0"/>
    <x v="2"/>
    <x v="1"/>
    <m/>
    <s v="Performance Stock"/>
    <n v="0.62"/>
    <x v="0"/>
    <s v="Modifier/Threshold"/>
    <x v="6"/>
    <s v="3Y Relative TSR "/>
    <m/>
  </r>
  <r>
    <x v="42"/>
    <x v="5"/>
    <x v="15"/>
    <x v="23"/>
    <s v="Insurance"/>
    <x v="0"/>
    <s v="A"/>
    <s v="United States"/>
    <x v="0"/>
    <d v="2024-04-01T00:00:00"/>
    <x v="1"/>
    <x v="0"/>
    <x v="0"/>
    <n v="0.13"/>
    <s v="Base Salary"/>
    <n v="0.13"/>
    <x v="0"/>
    <m/>
    <x v="0"/>
    <m/>
    <m/>
  </r>
  <r>
    <x v="42"/>
    <x v="5"/>
    <x v="15"/>
    <x v="23"/>
    <s v="Insurance"/>
    <x v="0"/>
    <s v="A"/>
    <s v="United States"/>
    <x v="0"/>
    <d v="2024-04-01T00:00:00"/>
    <x v="1"/>
    <x v="1"/>
    <x v="1"/>
    <n v="0.3"/>
    <s v="Cash Incentive"/>
    <n v="0.3"/>
    <x v="2"/>
    <s v="Individual Assessment"/>
    <x v="13"/>
    <s v="Company and Operating Unit Performance Assessment"/>
    <n v="1"/>
  </r>
  <r>
    <x v="42"/>
    <x v="5"/>
    <x v="15"/>
    <x v="23"/>
    <s v="Insurance"/>
    <x v="0"/>
    <s v="A"/>
    <s v="United States"/>
    <x v="0"/>
    <d v="2024-04-01T00:00:00"/>
    <x v="1"/>
    <x v="1"/>
    <x v="1"/>
    <m/>
    <s v="Cash Incentive"/>
    <n v="0.3"/>
    <x v="2"/>
    <s v="Strategy &amp; Operations"/>
    <x v="3"/>
    <s v="Company and Operating Unit Performance Assessment"/>
    <m/>
  </r>
  <r>
    <x v="42"/>
    <x v="5"/>
    <x v="15"/>
    <x v="23"/>
    <s v="Insurance"/>
    <x v="0"/>
    <s v="A"/>
    <s v="United States"/>
    <x v="0"/>
    <d v="2024-04-01T00:00:00"/>
    <x v="1"/>
    <x v="1"/>
    <x v="1"/>
    <m/>
    <s v="Cash Incentive"/>
    <n v="0.3"/>
    <x v="0"/>
    <s v="Modifier/Threshold"/>
    <x v="53"/>
    <s v="1Y and 3Y Absolute TSR"/>
    <m/>
  </r>
  <r>
    <x v="42"/>
    <x v="5"/>
    <x v="15"/>
    <x v="23"/>
    <s v="Insurance"/>
    <x v="0"/>
    <s v="A"/>
    <s v="United States"/>
    <x v="0"/>
    <d v="2024-04-01T00:00:00"/>
    <x v="1"/>
    <x v="2"/>
    <x v="1"/>
    <n v="0.51300000000000001"/>
    <s v="Performance Stock"/>
    <n v="0.51300000000000001"/>
    <x v="1"/>
    <s v="Profitability"/>
    <x v="3"/>
    <s v="3Y Tangible Book Value Per Share Growth"/>
    <n v="0.75"/>
  </r>
  <r>
    <x v="42"/>
    <x v="5"/>
    <x v="15"/>
    <x v="23"/>
    <s v="Insurance"/>
    <x v="0"/>
    <s v="A"/>
    <s v="United States"/>
    <x v="0"/>
    <d v="2024-04-01T00:00:00"/>
    <x v="1"/>
    <x v="2"/>
    <x v="1"/>
    <m/>
    <s v="Performance Stock"/>
    <n v="0.51300000000000001"/>
    <x v="1"/>
    <s v="Profitability"/>
    <x v="3"/>
    <s v="3Y Property &amp; Casualty Combined Ratio"/>
    <n v="0.25"/>
  </r>
  <r>
    <x v="42"/>
    <x v="5"/>
    <x v="15"/>
    <x v="23"/>
    <s v="Insurance"/>
    <x v="0"/>
    <s v="A"/>
    <s v="United States"/>
    <x v="0"/>
    <d v="2024-04-01T00:00:00"/>
    <x v="1"/>
    <x v="2"/>
    <x v="1"/>
    <m/>
    <s v="Performance Stock"/>
    <n v="0.51300000000000001"/>
    <x v="0"/>
    <s v="Modifier/Threshold"/>
    <x v="6"/>
    <s v="3Y Relative TSR "/>
    <m/>
  </r>
  <r>
    <x v="42"/>
    <x v="5"/>
    <x v="15"/>
    <x v="23"/>
    <s v="Insurance"/>
    <x v="0"/>
    <s v="A"/>
    <s v="United States"/>
    <x v="0"/>
    <d v="2024-04-01T00:00:00"/>
    <x v="1"/>
    <x v="2"/>
    <x v="1"/>
    <n v="3.4199999999999994E-2"/>
    <s v="Stock Options"/>
    <n v="3.4199999999999994E-2"/>
    <x v="0"/>
    <m/>
    <x v="0"/>
    <m/>
    <m/>
  </r>
  <r>
    <x v="42"/>
    <x v="5"/>
    <x v="15"/>
    <x v="23"/>
    <s v="Insurance"/>
    <x v="0"/>
    <s v="A"/>
    <s v="United States"/>
    <x v="0"/>
    <d v="2024-04-01T00:00:00"/>
    <x v="1"/>
    <x v="2"/>
    <x v="1"/>
    <n v="2.2799999999999997E-2"/>
    <s v="Time-Based Stock"/>
    <n v="2.2799999999999997E-2"/>
    <x v="0"/>
    <m/>
    <x v="0"/>
    <m/>
    <m/>
  </r>
  <r>
    <x v="43"/>
    <x v="0"/>
    <x v="1"/>
    <x v="1"/>
    <s v="Semiconductors"/>
    <x v="0"/>
    <s v="A+"/>
    <s v="United States"/>
    <x v="0"/>
    <d v="2024-03-12T00:00:00"/>
    <x v="0"/>
    <x v="0"/>
    <x v="0"/>
    <n v="0.05"/>
    <s v="Base Salary"/>
    <n v="0.05"/>
    <x v="0"/>
    <m/>
    <x v="0"/>
    <m/>
    <m/>
  </r>
  <r>
    <x v="43"/>
    <x v="0"/>
    <x v="1"/>
    <x v="1"/>
    <s v="Semiconductors"/>
    <x v="0"/>
    <s v="A+"/>
    <s v="United States"/>
    <x v="0"/>
    <d v="2024-03-12T00:00:00"/>
    <x v="0"/>
    <x v="1"/>
    <x v="1"/>
    <n v="0.12"/>
    <s v="Cash Incentive"/>
    <n v="0.12"/>
    <x v="2"/>
    <s v="Strategy &amp; Operations"/>
    <x v="3"/>
    <s v="Corporate Assessment"/>
    <n v="1"/>
  </r>
  <r>
    <x v="43"/>
    <x v="0"/>
    <x v="1"/>
    <x v="1"/>
    <s v="Semiconductors"/>
    <x v="0"/>
    <s v="A+"/>
    <s v="United States"/>
    <x v="0"/>
    <d v="2024-03-12T00:00:00"/>
    <x v="0"/>
    <x v="1"/>
    <x v="1"/>
    <m/>
    <s v="Cash Incentive"/>
    <n v="0.12"/>
    <x v="0"/>
    <s v="Modifier/Threshold"/>
    <x v="10"/>
    <s v="Individual Performance Factor"/>
    <m/>
  </r>
  <r>
    <x v="43"/>
    <x v="0"/>
    <x v="1"/>
    <x v="1"/>
    <s v="Semiconductors"/>
    <x v="0"/>
    <s v="A+"/>
    <s v="United States"/>
    <x v="0"/>
    <d v="2024-03-12T00:00:00"/>
    <x v="0"/>
    <x v="4"/>
    <x v="1"/>
    <n v="0.01"/>
    <s v="Profit Sharing"/>
    <n v="0.01"/>
    <x v="1"/>
    <s v="Profitability"/>
    <x v="9"/>
    <s v="Operating Margin"/>
    <n v="1"/>
  </r>
  <r>
    <x v="43"/>
    <x v="0"/>
    <x v="1"/>
    <x v="1"/>
    <s v="Semiconductors"/>
    <x v="0"/>
    <s v="A+"/>
    <s v="United States"/>
    <x v="0"/>
    <d v="2024-03-12T00:00:00"/>
    <x v="0"/>
    <x v="2"/>
    <x v="0"/>
    <n v="0.41"/>
    <s v="Stock Options"/>
    <n v="0.41"/>
    <x v="0"/>
    <m/>
    <x v="0"/>
    <m/>
    <m/>
  </r>
  <r>
    <x v="43"/>
    <x v="0"/>
    <x v="1"/>
    <x v="1"/>
    <s v="Semiconductors"/>
    <x v="0"/>
    <s v="A+"/>
    <s v="United States"/>
    <x v="0"/>
    <d v="2024-03-12T00:00:00"/>
    <x v="0"/>
    <x v="2"/>
    <x v="0"/>
    <n v="0.41"/>
    <s v="Time-Based Stock"/>
    <n v="0.41"/>
    <x v="0"/>
    <m/>
    <x v="0"/>
    <m/>
    <m/>
  </r>
  <r>
    <x v="43"/>
    <x v="0"/>
    <x v="1"/>
    <x v="1"/>
    <s v="Semiconductors"/>
    <x v="0"/>
    <s v="A+"/>
    <s v="United States"/>
    <x v="0"/>
    <d v="2024-03-12T00:00:00"/>
    <x v="1"/>
    <x v="0"/>
    <x v="0"/>
    <n v="0.11"/>
    <s v="Base Salary"/>
    <n v="0.11"/>
    <x v="0"/>
    <m/>
    <x v="0"/>
    <m/>
    <m/>
  </r>
  <r>
    <x v="43"/>
    <x v="0"/>
    <x v="1"/>
    <x v="1"/>
    <s v="Semiconductors"/>
    <x v="0"/>
    <s v="A+"/>
    <s v="United States"/>
    <x v="0"/>
    <d v="2024-03-12T00:00:00"/>
    <x v="1"/>
    <x v="1"/>
    <x v="1"/>
    <n v="0.18"/>
    <s v="Cash Incentive"/>
    <n v="0.18"/>
    <x v="2"/>
    <s v="Strategy &amp; Operations"/>
    <x v="3"/>
    <s v="Corporate Assessment"/>
    <n v="1"/>
  </r>
  <r>
    <x v="43"/>
    <x v="0"/>
    <x v="1"/>
    <x v="1"/>
    <s v="Semiconductors"/>
    <x v="0"/>
    <s v="A+"/>
    <s v="United States"/>
    <x v="0"/>
    <d v="2024-03-12T00:00:00"/>
    <x v="1"/>
    <x v="1"/>
    <x v="1"/>
    <m/>
    <s v="Cash Incentive"/>
    <n v="0.18"/>
    <x v="0"/>
    <s v="Modifier/Threshold"/>
    <x v="10"/>
    <s v="Individual Performance Factor"/>
    <m/>
  </r>
  <r>
    <x v="43"/>
    <x v="0"/>
    <x v="1"/>
    <x v="1"/>
    <s v="Semiconductors"/>
    <x v="0"/>
    <s v="A+"/>
    <s v="United States"/>
    <x v="0"/>
    <d v="2024-03-12T00:00:00"/>
    <x v="1"/>
    <x v="4"/>
    <x v="1"/>
    <n v="0.02"/>
    <s v="Profit Sharing"/>
    <n v="0.02"/>
    <x v="1"/>
    <s v="Profitability"/>
    <x v="9"/>
    <s v="Operating Margin"/>
    <n v="1"/>
  </r>
  <r>
    <x v="43"/>
    <x v="0"/>
    <x v="1"/>
    <x v="1"/>
    <s v="Semiconductors"/>
    <x v="0"/>
    <s v="A+"/>
    <s v="United States"/>
    <x v="0"/>
    <d v="2024-03-12T00:00:00"/>
    <x v="1"/>
    <x v="2"/>
    <x v="0"/>
    <n v="0.34499999999999997"/>
    <s v="Stock Options"/>
    <n v="0.34499999999999997"/>
    <x v="0"/>
    <m/>
    <x v="0"/>
    <m/>
    <m/>
  </r>
  <r>
    <x v="43"/>
    <x v="0"/>
    <x v="1"/>
    <x v="1"/>
    <s v="Semiconductors"/>
    <x v="0"/>
    <s v="A+"/>
    <s v="United States"/>
    <x v="0"/>
    <d v="2024-03-12T00:00:00"/>
    <x v="1"/>
    <x v="2"/>
    <x v="0"/>
    <n v="0.34499999999999997"/>
    <s v="Time-Based Stock"/>
    <n v="0.34499999999999997"/>
    <x v="0"/>
    <m/>
    <x v="0"/>
    <m/>
    <m/>
  </r>
  <r>
    <x v="44"/>
    <x v="6"/>
    <x v="10"/>
    <x v="26"/>
    <s v="Equipment Rental"/>
    <x v="2"/>
    <s v="BB+"/>
    <s v="United States"/>
    <x v="0"/>
    <d v="2024-03-27T00:00:00"/>
    <x v="0"/>
    <x v="0"/>
    <x v="0"/>
    <n v="0.11"/>
    <s v="Base Salary"/>
    <n v="0.11"/>
    <x v="0"/>
    <m/>
    <x v="0"/>
    <m/>
    <m/>
  </r>
  <r>
    <x v="44"/>
    <x v="6"/>
    <x v="10"/>
    <x v="26"/>
    <s v="Equipment Rental"/>
    <x v="2"/>
    <s v="BB+"/>
    <s v="United States"/>
    <x v="0"/>
    <d v="2024-03-27T00:00:00"/>
    <x v="0"/>
    <x v="1"/>
    <x v="1"/>
    <n v="9.69E-2"/>
    <s v="Cash Incentive"/>
    <n v="9.69E-2"/>
    <x v="1"/>
    <s v="Profitability"/>
    <x v="32"/>
    <s v="Adjusted EBITDA"/>
    <n v="0.5"/>
  </r>
  <r>
    <x v="44"/>
    <x v="6"/>
    <x v="10"/>
    <x v="26"/>
    <s v="Equipment Rental"/>
    <x v="2"/>
    <s v="BB+"/>
    <s v="United States"/>
    <x v="0"/>
    <d v="2024-03-27T00:00:00"/>
    <x v="0"/>
    <x v="1"/>
    <x v="1"/>
    <m/>
    <s v="Cash Incentive"/>
    <n v="9.69E-2"/>
    <x v="1"/>
    <s v="Return"/>
    <x v="26"/>
    <s v="Adjusted Economic Profit Improvement"/>
    <n v="0.5"/>
  </r>
  <r>
    <x v="44"/>
    <x v="6"/>
    <x v="10"/>
    <x v="26"/>
    <s v="Equipment Rental"/>
    <x v="2"/>
    <s v="BB+"/>
    <s v="United States"/>
    <x v="0"/>
    <d v="2024-03-27T00:00:00"/>
    <x v="0"/>
    <x v="1"/>
    <x v="1"/>
    <m/>
    <s v="Cash Incentive"/>
    <n v="9.69E-2"/>
    <x v="0"/>
    <s v="Modifier/Threshold"/>
    <x v="20"/>
    <s v="Strategic Factors Modifier"/>
    <m/>
  </r>
  <r>
    <x v="44"/>
    <x v="6"/>
    <x v="10"/>
    <x v="26"/>
    <s v="Equipment Rental"/>
    <x v="2"/>
    <s v="BB+"/>
    <s v="United States"/>
    <x v="0"/>
    <d v="2024-03-27T00:00:00"/>
    <x v="0"/>
    <x v="1"/>
    <x v="1"/>
    <n v="7.3099999999999998E-2"/>
    <s v="Annual Equity Grant"/>
    <n v="7.3099999999999998E-2"/>
    <x v="0"/>
    <m/>
    <x v="0"/>
    <m/>
    <m/>
  </r>
  <r>
    <x v="44"/>
    <x v="6"/>
    <x v="10"/>
    <x v="26"/>
    <s v="Equipment Rental"/>
    <x v="2"/>
    <s v="BB+"/>
    <s v="United States"/>
    <x v="0"/>
    <d v="2024-03-27T00:00:00"/>
    <x v="0"/>
    <x v="2"/>
    <x v="1"/>
    <n v="0.57999999999999996"/>
    <s v="Performance Stock"/>
    <n v="0.57999999999999996"/>
    <x v="1"/>
    <s v="Growth"/>
    <x v="1"/>
    <s v="Adjusted Revenue "/>
    <n v="0.5"/>
  </r>
  <r>
    <x v="44"/>
    <x v="6"/>
    <x v="10"/>
    <x v="26"/>
    <s v="Equipment Rental"/>
    <x v="2"/>
    <s v="BB+"/>
    <s v="United States"/>
    <x v="0"/>
    <d v="2024-03-27T00:00:00"/>
    <x v="0"/>
    <x v="2"/>
    <x v="1"/>
    <m/>
    <s v="Performance Stock"/>
    <n v="0.57999999999999996"/>
    <x v="1"/>
    <s v="Return"/>
    <x v="26"/>
    <s v="Adjusted ROIC"/>
    <n v="0.5"/>
  </r>
  <r>
    <x v="44"/>
    <x v="6"/>
    <x v="10"/>
    <x v="26"/>
    <s v="Equipment Rental"/>
    <x v="2"/>
    <s v="BB+"/>
    <s v="United States"/>
    <x v="0"/>
    <d v="2024-03-27T00:00:00"/>
    <x v="0"/>
    <x v="2"/>
    <x v="0"/>
    <n v="0.14000000000000001"/>
    <s v="Time-Based Stock"/>
    <n v="0.14000000000000001"/>
    <x v="0"/>
    <m/>
    <x v="0"/>
    <m/>
    <m/>
  </r>
  <r>
    <x v="44"/>
    <x v="6"/>
    <x v="10"/>
    <x v="26"/>
    <s v="Equipment Rental"/>
    <x v="2"/>
    <s v="BB+"/>
    <s v="United States"/>
    <x v="0"/>
    <d v="2024-03-27T00:00:00"/>
    <x v="1"/>
    <x v="0"/>
    <x v="0"/>
    <n v="0.23"/>
    <s v="Base Salary"/>
    <n v="0.23"/>
    <x v="0"/>
    <m/>
    <x v="0"/>
    <m/>
    <m/>
  </r>
  <r>
    <x v="44"/>
    <x v="6"/>
    <x v="10"/>
    <x v="26"/>
    <s v="Equipment Rental"/>
    <x v="2"/>
    <s v="BB+"/>
    <s v="United States"/>
    <x v="0"/>
    <d v="2024-03-27T00:00:00"/>
    <x v="1"/>
    <x v="1"/>
    <x v="1"/>
    <n v="0.11399999999999999"/>
    <s v="Cash Incentive"/>
    <n v="0.11399999999999999"/>
    <x v="1"/>
    <s v="Profitability"/>
    <x v="32"/>
    <s v="Adjusted EBITDA"/>
    <n v="0.5"/>
  </r>
  <r>
    <x v="44"/>
    <x v="6"/>
    <x v="10"/>
    <x v="26"/>
    <s v="Equipment Rental"/>
    <x v="2"/>
    <s v="BB+"/>
    <s v="United States"/>
    <x v="0"/>
    <d v="2024-03-27T00:00:00"/>
    <x v="1"/>
    <x v="1"/>
    <x v="1"/>
    <m/>
    <s v="Cash Incentive"/>
    <n v="0.11399999999999999"/>
    <x v="1"/>
    <s v="Return"/>
    <x v="26"/>
    <s v="Adjusted Economic Profit Improvement"/>
    <n v="0.5"/>
  </r>
  <r>
    <x v="44"/>
    <x v="6"/>
    <x v="10"/>
    <x v="26"/>
    <s v="Equipment Rental"/>
    <x v="2"/>
    <s v="BB+"/>
    <s v="United States"/>
    <x v="0"/>
    <d v="2024-03-27T00:00:00"/>
    <x v="1"/>
    <x v="1"/>
    <x v="1"/>
    <m/>
    <s v="Cash Incentive"/>
    <n v="0.11399999999999999"/>
    <x v="0"/>
    <s v="Modifier/Threshold"/>
    <x v="20"/>
    <s v="Strategic Factors Modifier"/>
    <m/>
  </r>
  <r>
    <x v="44"/>
    <x v="6"/>
    <x v="10"/>
    <x v="26"/>
    <s v="Equipment Rental"/>
    <x v="2"/>
    <s v="BB+"/>
    <s v="United States"/>
    <x v="0"/>
    <d v="2024-03-27T00:00:00"/>
    <x v="1"/>
    <x v="1"/>
    <x v="1"/>
    <n v="8.6000000000000007E-2"/>
    <s v="Annual Equity Grant"/>
    <n v="8.6000000000000007E-2"/>
    <x v="0"/>
    <m/>
    <x v="0"/>
    <m/>
    <m/>
  </r>
  <r>
    <x v="44"/>
    <x v="6"/>
    <x v="10"/>
    <x v="26"/>
    <s v="Equipment Rental"/>
    <x v="2"/>
    <s v="BB+"/>
    <s v="United States"/>
    <x v="0"/>
    <d v="2024-03-27T00:00:00"/>
    <x v="1"/>
    <x v="2"/>
    <x v="1"/>
    <n v="0.4"/>
    <s v="Performance Stock"/>
    <n v="0.4"/>
    <x v="1"/>
    <s v="Growth"/>
    <x v="1"/>
    <s v="Adjusted Revenue "/>
    <n v="0.5"/>
  </r>
  <r>
    <x v="44"/>
    <x v="6"/>
    <x v="10"/>
    <x v="26"/>
    <s v="Equipment Rental"/>
    <x v="2"/>
    <s v="BB+"/>
    <s v="United States"/>
    <x v="0"/>
    <d v="2024-03-27T00:00:00"/>
    <x v="1"/>
    <x v="2"/>
    <x v="1"/>
    <m/>
    <s v="Performance Stock"/>
    <n v="0.4"/>
    <x v="1"/>
    <s v="Return"/>
    <x v="26"/>
    <s v="Adjusted ROIC"/>
    <n v="0.5"/>
  </r>
  <r>
    <x v="44"/>
    <x v="6"/>
    <x v="10"/>
    <x v="26"/>
    <s v="Equipment Rental"/>
    <x v="2"/>
    <s v="BB+"/>
    <s v="United States"/>
    <x v="0"/>
    <d v="2024-03-27T00:00:00"/>
    <x v="1"/>
    <x v="2"/>
    <x v="0"/>
    <n v="0.17"/>
    <s v="Time-Based Stock"/>
    <n v="0.17"/>
    <x v="0"/>
    <m/>
    <x v="0"/>
    <m/>
    <m/>
  </r>
  <r>
    <x v="45"/>
    <x v="8"/>
    <x v="13"/>
    <x v="21"/>
    <s v="Oil &amp; Gas"/>
    <x v="0"/>
    <s v="AA-"/>
    <s v="United States"/>
    <x v="0"/>
    <d v="2024-04-10T00:00:00"/>
    <x v="0"/>
    <x v="0"/>
    <x v="0"/>
    <n v="0.08"/>
    <s v="Base Salary"/>
    <n v="0.08"/>
    <x v="0"/>
    <m/>
    <x v="0"/>
    <m/>
    <m/>
  </r>
  <r>
    <x v="45"/>
    <x v="8"/>
    <x v="13"/>
    <x v="21"/>
    <s v="Oil &amp; Gas"/>
    <x v="0"/>
    <s v="AA-"/>
    <s v="United States"/>
    <x v="0"/>
    <d v="2024-04-10T00:00:00"/>
    <x v="0"/>
    <x v="1"/>
    <x v="1"/>
    <n v="0.14000000000000001"/>
    <s v="Cash Incentive"/>
    <n v="0.14000000000000001"/>
    <x v="1"/>
    <s v="Strategy &amp; Operations"/>
    <x v="3"/>
    <s v="Financial Results"/>
    <n v="0.35"/>
  </r>
  <r>
    <x v="45"/>
    <x v="8"/>
    <x v="13"/>
    <x v="21"/>
    <s v="Oil &amp; Gas"/>
    <x v="0"/>
    <s v="AA-"/>
    <s v="United States"/>
    <x v="0"/>
    <d v="2024-04-10T00:00:00"/>
    <x v="0"/>
    <x v="1"/>
    <x v="1"/>
    <m/>
    <s v="Cash Incentive"/>
    <n v="0.14000000000000001"/>
    <x v="1"/>
    <s v="Strategy &amp; Operations"/>
    <x v="3"/>
    <s v="Capital &amp; Cost Management"/>
    <n v="0.3"/>
  </r>
  <r>
    <x v="45"/>
    <x v="8"/>
    <x v="13"/>
    <x v="21"/>
    <s v="Oil &amp; Gas"/>
    <x v="0"/>
    <s v="AA-"/>
    <s v="United States"/>
    <x v="0"/>
    <d v="2024-04-10T00:00:00"/>
    <x v="0"/>
    <x v="1"/>
    <x v="1"/>
    <m/>
    <s v="Cash Incentive"/>
    <n v="0.14000000000000001"/>
    <x v="2"/>
    <s v="Strategy &amp; Operations"/>
    <x v="40"/>
    <s v="Operating &amp; Safety Performance"/>
    <n v="0.25"/>
  </r>
  <r>
    <x v="45"/>
    <x v="8"/>
    <x v="13"/>
    <x v="21"/>
    <s v="Oil &amp; Gas"/>
    <x v="0"/>
    <s v="AA-"/>
    <s v="United States"/>
    <x v="0"/>
    <d v="2024-04-10T00:00:00"/>
    <x v="0"/>
    <x v="1"/>
    <x v="1"/>
    <m/>
    <s v="Cash Incentive"/>
    <n v="0.14000000000000001"/>
    <x v="2"/>
    <s v="ESG"/>
    <x v="7"/>
    <s v="Lower Carbon"/>
    <n v="0.1"/>
  </r>
  <r>
    <x v="45"/>
    <x v="8"/>
    <x v="13"/>
    <x v="21"/>
    <s v="Oil &amp; Gas"/>
    <x v="0"/>
    <s v="AA-"/>
    <s v="United States"/>
    <x v="0"/>
    <d v="2024-04-10T00:00:00"/>
    <x v="0"/>
    <x v="1"/>
    <x v="1"/>
    <m/>
    <s v="Cash Incentive"/>
    <n v="0.14000000000000001"/>
    <x v="0"/>
    <s v="Modifier/Threshold"/>
    <x v="10"/>
    <s v="Individual Performance Factor"/>
    <m/>
  </r>
  <r>
    <x v="45"/>
    <x v="8"/>
    <x v="13"/>
    <x v="21"/>
    <s v="Oil &amp; Gas"/>
    <x v="0"/>
    <s v="AA-"/>
    <s v="United States"/>
    <x v="0"/>
    <d v="2024-04-10T00:00:00"/>
    <x v="0"/>
    <x v="2"/>
    <x v="1"/>
    <n v="0.39"/>
    <s v="Performance Stock"/>
    <n v="0.39"/>
    <x v="3"/>
    <s v="Stock Performance"/>
    <x v="11"/>
    <s v="3Y Relative TSR"/>
    <n v="0.7"/>
  </r>
  <r>
    <x v="45"/>
    <x v="8"/>
    <x v="13"/>
    <x v="21"/>
    <s v="Oil &amp; Gas"/>
    <x v="0"/>
    <s v="AA-"/>
    <s v="United States"/>
    <x v="0"/>
    <d v="2024-04-10T00:00:00"/>
    <x v="0"/>
    <x v="2"/>
    <x v="1"/>
    <m/>
    <s v="Performance Stock"/>
    <n v="0.39"/>
    <x v="1"/>
    <s v="Return"/>
    <x v="54"/>
    <s v="3Y Relative Adjusted Return on Capital Employed Improvement"/>
    <n v="0.3"/>
  </r>
  <r>
    <x v="45"/>
    <x v="8"/>
    <x v="13"/>
    <x v="21"/>
    <s v="Oil &amp; Gas"/>
    <x v="0"/>
    <s v="AA-"/>
    <s v="United States"/>
    <x v="0"/>
    <d v="2024-04-10T00:00:00"/>
    <x v="0"/>
    <x v="2"/>
    <x v="1"/>
    <m/>
    <s v="Performance Stock"/>
    <n v="0.39"/>
    <x v="0"/>
    <s v="Modifier/Threshold"/>
    <x v="53"/>
    <s v="3Y Absolute TSR"/>
    <m/>
  </r>
  <r>
    <x v="45"/>
    <x v="8"/>
    <x v="13"/>
    <x v="21"/>
    <s v="Oil &amp; Gas"/>
    <x v="0"/>
    <s v="AA-"/>
    <s v="United States"/>
    <x v="0"/>
    <d v="2024-04-10T00:00:00"/>
    <x v="0"/>
    <x v="4"/>
    <x v="0"/>
    <n v="0.19500000000000001"/>
    <s v="Time-Based Stock"/>
    <n v="0.19500000000000001"/>
    <x v="0"/>
    <m/>
    <x v="0"/>
    <m/>
    <m/>
  </r>
  <r>
    <x v="45"/>
    <x v="8"/>
    <x v="13"/>
    <x v="21"/>
    <s v="Oil &amp; Gas"/>
    <x v="0"/>
    <s v="AA-"/>
    <s v="United States"/>
    <x v="0"/>
    <d v="2024-04-10T00:00:00"/>
    <x v="0"/>
    <x v="4"/>
    <x v="0"/>
    <n v="0.19500000000000001"/>
    <s v="Stock Options"/>
    <n v="0.19500000000000001"/>
    <x v="0"/>
    <m/>
    <x v="0"/>
    <m/>
    <m/>
  </r>
  <r>
    <x v="45"/>
    <x v="8"/>
    <x v="13"/>
    <x v="21"/>
    <s v="Oil &amp; Gas"/>
    <x v="0"/>
    <s v="AA-"/>
    <s v="United States"/>
    <x v="0"/>
    <d v="2024-04-10T00:00:00"/>
    <x v="1"/>
    <x v="0"/>
    <x v="0"/>
    <n v="0.15"/>
    <s v="Base Salary"/>
    <n v="0.15"/>
    <x v="0"/>
    <m/>
    <x v="0"/>
    <m/>
    <m/>
  </r>
  <r>
    <x v="45"/>
    <x v="8"/>
    <x v="13"/>
    <x v="21"/>
    <s v="Oil &amp; Gas"/>
    <x v="0"/>
    <s v="AA-"/>
    <s v="United States"/>
    <x v="0"/>
    <d v="2024-04-10T00:00:00"/>
    <x v="1"/>
    <x v="1"/>
    <x v="1"/>
    <n v="0.18"/>
    <s v="Cash Incentive"/>
    <n v="0.18"/>
    <x v="1"/>
    <s v="Strategy &amp; Operations"/>
    <x v="3"/>
    <s v="Financial Results"/>
    <n v="0.35"/>
  </r>
  <r>
    <x v="45"/>
    <x v="8"/>
    <x v="13"/>
    <x v="21"/>
    <s v="Oil &amp; Gas"/>
    <x v="0"/>
    <s v="AA-"/>
    <s v="United States"/>
    <x v="0"/>
    <d v="2024-04-10T00:00:00"/>
    <x v="1"/>
    <x v="1"/>
    <x v="1"/>
    <m/>
    <s v="Cash Incentive"/>
    <n v="0.18"/>
    <x v="1"/>
    <s v="Strategy &amp; Operations"/>
    <x v="3"/>
    <s v="Capital &amp; Cost Management"/>
    <n v="0.3"/>
  </r>
  <r>
    <x v="45"/>
    <x v="8"/>
    <x v="13"/>
    <x v="21"/>
    <s v="Oil &amp; Gas"/>
    <x v="0"/>
    <s v="AA-"/>
    <s v="United States"/>
    <x v="0"/>
    <d v="2024-04-10T00:00:00"/>
    <x v="1"/>
    <x v="1"/>
    <x v="1"/>
    <m/>
    <s v="Cash Incentive"/>
    <n v="0.18"/>
    <x v="2"/>
    <s v="Strategy &amp; Operations"/>
    <x v="40"/>
    <s v="Operating &amp; Safety Performance"/>
    <n v="0.25"/>
  </r>
  <r>
    <x v="45"/>
    <x v="8"/>
    <x v="13"/>
    <x v="21"/>
    <s v="Oil &amp; Gas"/>
    <x v="0"/>
    <s v="AA-"/>
    <s v="United States"/>
    <x v="0"/>
    <d v="2024-04-10T00:00:00"/>
    <x v="1"/>
    <x v="1"/>
    <x v="1"/>
    <m/>
    <s v="Cash Incentive"/>
    <n v="0.18"/>
    <x v="2"/>
    <s v="ESG"/>
    <x v="7"/>
    <s v="Lower Carbon"/>
    <n v="0.1"/>
  </r>
  <r>
    <x v="45"/>
    <x v="8"/>
    <x v="13"/>
    <x v="21"/>
    <s v="Oil &amp; Gas"/>
    <x v="0"/>
    <s v="AA-"/>
    <s v="United States"/>
    <x v="0"/>
    <d v="2024-04-10T00:00:00"/>
    <x v="1"/>
    <x v="1"/>
    <x v="1"/>
    <m/>
    <s v="Cash Incentive"/>
    <n v="0.18"/>
    <x v="0"/>
    <s v="Modifier/Threshold"/>
    <x v="10"/>
    <s v="Individual Performance Factor"/>
    <m/>
  </r>
  <r>
    <x v="45"/>
    <x v="8"/>
    <x v="13"/>
    <x v="21"/>
    <s v="Oil &amp; Gas"/>
    <x v="0"/>
    <s v="AA-"/>
    <s v="United States"/>
    <x v="0"/>
    <d v="2024-04-10T00:00:00"/>
    <x v="1"/>
    <x v="2"/>
    <x v="1"/>
    <n v="0.33500000000000002"/>
    <s v="Performance Stock"/>
    <n v="0.33500000000000002"/>
    <x v="3"/>
    <s v="Stock Performance"/>
    <x v="11"/>
    <s v="3Y Relative TSR"/>
    <n v="0.7"/>
  </r>
  <r>
    <x v="45"/>
    <x v="8"/>
    <x v="13"/>
    <x v="21"/>
    <s v="Oil &amp; Gas"/>
    <x v="0"/>
    <s v="AA-"/>
    <s v="United States"/>
    <x v="0"/>
    <d v="2024-04-10T00:00:00"/>
    <x v="1"/>
    <x v="2"/>
    <x v="1"/>
    <m/>
    <s v="Performance Stock"/>
    <n v="0.33500000000000002"/>
    <x v="1"/>
    <s v="Return"/>
    <x v="54"/>
    <s v="3Y Relative Adjusted Return on Capital Employed Improvement"/>
    <n v="0.3"/>
  </r>
  <r>
    <x v="45"/>
    <x v="8"/>
    <x v="13"/>
    <x v="21"/>
    <s v="Oil &amp; Gas"/>
    <x v="0"/>
    <s v="AA-"/>
    <s v="United States"/>
    <x v="0"/>
    <d v="2024-04-10T00:00:00"/>
    <x v="0"/>
    <x v="2"/>
    <x v="1"/>
    <m/>
    <s v="Performance Stock"/>
    <n v="0.39"/>
    <x v="0"/>
    <s v="Modifier/Threshold"/>
    <x v="53"/>
    <s v="3Y Absolute TSR"/>
    <m/>
  </r>
  <r>
    <x v="45"/>
    <x v="8"/>
    <x v="13"/>
    <x v="21"/>
    <s v="Oil &amp; Gas"/>
    <x v="0"/>
    <s v="AA-"/>
    <s v="United States"/>
    <x v="0"/>
    <d v="2024-04-10T00:00:00"/>
    <x v="1"/>
    <x v="2"/>
    <x v="0"/>
    <n v="0.16750000000000001"/>
    <s v="Time-Based Stock"/>
    <n v="0.16750000000000001"/>
    <x v="0"/>
    <m/>
    <x v="0"/>
    <m/>
    <m/>
  </r>
  <r>
    <x v="45"/>
    <x v="8"/>
    <x v="13"/>
    <x v="21"/>
    <s v="Oil &amp; Gas"/>
    <x v="0"/>
    <s v="AA-"/>
    <s v="United States"/>
    <x v="0"/>
    <d v="2024-04-10T00:00:00"/>
    <x v="1"/>
    <x v="2"/>
    <x v="0"/>
    <n v="0.16750000000000001"/>
    <s v="Stock Options"/>
    <n v="0.16750000000000001"/>
    <x v="0"/>
    <m/>
    <x v="0"/>
    <m/>
    <m/>
  </r>
  <r>
    <x v="46"/>
    <x v="3"/>
    <x v="6"/>
    <x v="6"/>
    <s v="Health Care"/>
    <x v="1"/>
    <s v="BBB"/>
    <s v="United States"/>
    <x v="0"/>
    <d v="2024-04-05T00:00:00"/>
    <x v="0"/>
    <x v="0"/>
    <x v="0"/>
    <n v="0.08"/>
    <s v="Base Salary"/>
    <n v="0.08"/>
    <x v="0"/>
    <m/>
    <x v="0"/>
    <m/>
    <m/>
  </r>
  <r>
    <x v="46"/>
    <x v="3"/>
    <x v="6"/>
    <x v="6"/>
    <s v="Health Care"/>
    <x v="1"/>
    <s v="BBB"/>
    <s v="United States"/>
    <x v="0"/>
    <d v="2024-04-05T00:00:00"/>
    <x v="0"/>
    <x v="1"/>
    <x v="1"/>
    <n v="0.15"/>
    <s v="Cash Incentive"/>
    <n v="0.15"/>
    <x v="1"/>
    <s v="Profitability"/>
    <x v="2"/>
    <s v="Adjusted Operating Income"/>
    <n v="0.8"/>
  </r>
  <r>
    <x v="46"/>
    <x v="3"/>
    <x v="6"/>
    <x v="6"/>
    <s v="Health Care"/>
    <x v="1"/>
    <s v="BBB"/>
    <s v="United States"/>
    <x v="0"/>
    <d v="2024-04-05T00:00:00"/>
    <x v="0"/>
    <x v="1"/>
    <x v="1"/>
    <m/>
    <s v="Cash Incentive"/>
    <n v="0.15"/>
    <x v="2"/>
    <s v="Strategy &amp; Operations"/>
    <x v="4"/>
    <s v="Net Promoter Score"/>
    <n v="0.2"/>
  </r>
  <r>
    <x v="46"/>
    <x v="3"/>
    <x v="6"/>
    <x v="6"/>
    <s v="Health Care"/>
    <x v="1"/>
    <s v="BBB"/>
    <s v="United States"/>
    <x v="0"/>
    <d v="2024-04-05T00:00:00"/>
    <x v="0"/>
    <x v="1"/>
    <x v="1"/>
    <m/>
    <s v="Cash Incentive"/>
    <n v="0.15"/>
    <x v="0"/>
    <s v="Modifier/Threshold"/>
    <x v="10"/>
    <s v="Individual Performance Factor"/>
    <m/>
  </r>
  <r>
    <x v="46"/>
    <x v="3"/>
    <x v="6"/>
    <x v="6"/>
    <s v="Health Care"/>
    <x v="1"/>
    <s v="BBB"/>
    <s v="United States"/>
    <x v="0"/>
    <d v="2024-04-05T00:00:00"/>
    <x v="0"/>
    <x v="1"/>
    <x v="1"/>
    <m/>
    <s v="Cash Incentive"/>
    <n v="0.15"/>
    <x v="0"/>
    <s v="Modifier/Threshold"/>
    <x v="20"/>
    <s v="Workforce Modifier"/>
    <m/>
  </r>
  <r>
    <x v="46"/>
    <x v="3"/>
    <x v="6"/>
    <x v="6"/>
    <s v="Health Care"/>
    <x v="1"/>
    <s v="BBB"/>
    <s v="United States"/>
    <x v="0"/>
    <d v="2024-04-05T00:00:00"/>
    <x v="0"/>
    <x v="2"/>
    <x v="1"/>
    <n v="0.46199999999999997"/>
    <s v="Performance Stock"/>
    <n v="0.46199999999999997"/>
    <x v="1"/>
    <s v="Profitability"/>
    <x v="14"/>
    <s v="3Y Adjusted Cumulative EPS"/>
    <n v="0.7"/>
  </r>
  <r>
    <x v="46"/>
    <x v="3"/>
    <x v="6"/>
    <x v="6"/>
    <s v="Health Care"/>
    <x v="1"/>
    <s v="BBB"/>
    <s v="United States"/>
    <x v="0"/>
    <d v="2024-04-05T00:00:00"/>
    <x v="0"/>
    <x v="2"/>
    <x v="1"/>
    <m/>
    <s v="Performance Stock"/>
    <n v="0.46199999999999997"/>
    <x v="2"/>
    <s v="Strategy &amp; Operations"/>
    <x v="3"/>
    <s v="Strategic Initiatives"/>
    <n v="0.3"/>
  </r>
  <r>
    <x v="46"/>
    <x v="3"/>
    <x v="6"/>
    <x v="6"/>
    <s v="Health Care"/>
    <x v="1"/>
    <s v="BBB"/>
    <s v="United States"/>
    <x v="0"/>
    <d v="2024-04-05T00:00:00"/>
    <x v="0"/>
    <x v="2"/>
    <x v="1"/>
    <m/>
    <s v="Performance Stock"/>
    <n v="0.46199999999999997"/>
    <x v="0"/>
    <s v="Modifier/Threshold"/>
    <x v="6"/>
    <s v="3Y Relative TSR"/>
    <m/>
  </r>
  <r>
    <x v="46"/>
    <x v="3"/>
    <x v="6"/>
    <x v="6"/>
    <s v="Health Care"/>
    <x v="1"/>
    <s v="BBB"/>
    <s v="United States"/>
    <x v="0"/>
    <d v="2024-04-05T00:00:00"/>
    <x v="0"/>
    <x v="2"/>
    <x v="1"/>
    <m/>
    <s v="Performance Stock"/>
    <n v="0.46199999999999997"/>
    <x v="0"/>
    <s v="Modifier/Threshold"/>
    <x v="12"/>
    <s v="3Y Absolute TSR"/>
    <m/>
  </r>
  <r>
    <x v="46"/>
    <x v="3"/>
    <x v="6"/>
    <x v="6"/>
    <s v="Health Care"/>
    <x v="1"/>
    <s v="BBB"/>
    <s v="United States"/>
    <x v="0"/>
    <d v="2024-04-05T00:00:00"/>
    <x v="0"/>
    <x v="2"/>
    <x v="0"/>
    <n v="0.15400000000000003"/>
    <s v="Time-Based Stock"/>
    <n v="0.15400000000000003"/>
    <x v="0"/>
    <m/>
    <x v="0"/>
    <m/>
    <m/>
  </r>
  <r>
    <x v="46"/>
    <x v="3"/>
    <x v="6"/>
    <x v="6"/>
    <s v="Health Care"/>
    <x v="1"/>
    <s v="BBB"/>
    <s v="United States"/>
    <x v="0"/>
    <d v="2024-04-05T00:00:00"/>
    <x v="0"/>
    <x v="2"/>
    <x v="0"/>
    <n v="0.15400000000000003"/>
    <s v="Stock Options"/>
    <n v="0.15400000000000003"/>
    <x v="0"/>
    <m/>
    <x v="0"/>
    <m/>
    <m/>
  </r>
  <r>
    <x v="46"/>
    <x v="3"/>
    <x v="6"/>
    <x v="6"/>
    <s v="Health Care"/>
    <x v="1"/>
    <s v="BBB"/>
    <s v="United States"/>
    <x v="0"/>
    <d v="2024-04-05T00:00:00"/>
    <x v="1"/>
    <x v="0"/>
    <x v="0"/>
    <n v="0.13"/>
    <s v="Base Salary"/>
    <n v="0.13"/>
    <x v="0"/>
    <m/>
    <x v="0"/>
    <m/>
    <m/>
  </r>
  <r>
    <x v="46"/>
    <x v="3"/>
    <x v="6"/>
    <x v="6"/>
    <s v="Health Care"/>
    <x v="1"/>
    <s v="BBB"/>
    <s v="United States"/>
    <x v="0"/>
    <d v="2024-04-05T00:00:00"/>
    <x v="1"/>
    <x v="1"/>
    <x v="1"/>
    <n v="0.2"/>
    <s v="Cash Incentive"/>
    <n v="0.2"/>
    <x v="1"/>
    <s v="Profitability"/>
    <x v="2"/>
    <s v="Adjusted Operating Income"/>
    <n v="0.8"/>
  </r>
  <r>
    <x v="46"/>
    <x v="3"/>
    <x v="6"/>
    <x v="6"/>
    <s v="Health Care"/>
    <x v="1"/>
    <s v="BBB"/>
    <s v="United States"/>
    <x v="0"/>
    <d v="2024-04-05T00:00:00"/>
    <x v="1"/>
    <x v="1"/>
    <x v="1"/>
    <m/>
    <s v="Cash Incentive"/>
    <n v="0.2"/>
    <x v="2"/>
    <s v="Strategy &amp; Operations"/>
    <x v="4"/>
    <s v="Net Promoter Score"/>
    <n v="0.2"/>
  </r>
  <r>
    <x v="46"/>
    <x v="3"/>
    <x v="6"/>
    <x v="6"/>
    <s v="Health Care"/>
    <x v="1"/>
    <s v="BBB"/>
    <s v="United States"/>
    <x v="0"/>
    <d v="2024-04-05T00:00:00"/>
    <x v="1"/>
    <x v="1"/>
    <x v="1"/>
    <m/>
    <s v="Cash Incentive"/>
    <n v="0.2"/>
    <x v="0"/>
    <s v="Modifier/Threshold"/>
    <x v="10"/>
    <s v="Individual Performance Factor"/>
    <m/>
  </r>
  <r>
    <x v="46"/>
    <x v="3"/>
    <x v="6"/>
    <x v="6"/>
    <s v="Health Care"/>
    <x v="1"/>
    <s v="BBB"/>
    <s v="United States"/>
    <x v="0"/>
    <d v="2024-04-05T00:00:00"/>
    <x v="1"/>
    <x v="1"/>
    <x v="1"/>
    <m/>
    <s v="Cash Incentive"/>
    <n v="0.2"/>
    <x v="0"/>
    <s v="Modifier/Threshold"/>
    <x v="20"/>
    <s v="Workforce Modifier"/>
    <m/>
  </r>
  <r>
    <x v="46"/>
    <x v="3"/>
    <x v="6"/>
    <x v="6"/>
    <s v="Health Care"/>
    <x v="1"/>
    <s v="BBB"/>
    <s v="United States"/>
    <x v="0"/>
    <d v="2024-04-05T00:00:00"/>
    <x v="1"/>
    <x v="2"/>
    <x v="1"/>
    <n v="0.40200000000000002"/>
    <s v="Performance Stock"/>
    <n v="0.40200000000000002"/>
    <x v="1"/>
    <s v="Profitability"/>
    <x v="14"/>
    <s v="3Y Adjusted Cumulative EPS"/>
    <n v="0.7"/>
  </r>
  <r>
    <x v="46"/>
    <x v="3"/>
    <x v="6"/>
    <x v="6"/>
    <s v="Health Care"/>
    <x v="1"/>
    <s v="BBB"/>
    <s v="United States"/>
    <x v="0"/>
    <d v="2024-04-05T00:00:00"/>
    <x v="1"/>
    <x v="2"/>
    <x v="1"/>
    <m/>
    <s v="Performance Stock"/>
    <n v="0.40200000000000002"/>
    <x v="2"/>
    <s v="Strategy &amp; Operations"/>
    <x v="3"/>
    <s v="Strategic Initiatives"/>
    <n v="0.3"/>
  </r>
  <r>
    <x v="46"/>
    <x v="3"/>
    <x v="6"/>
    <x v="6"/>
    <s v="Health Care"/>
    <x v="1"/>
    <s v="BBB"/>
    <s v="United States"/>
    <x v="0"/>
    <d v="2024-04-05T00:00:00"/>
    <x v="1"/>
    <x v="2"/>
    <x v="1"/>
    <m/>
    <s v="Performance Stock"/>
    <n v="0.40200000000000002"/>
    <x v="0"/>
    <s v="Modifier/Threshold"/>
    <x v="6"/>
    <s v="3Y Relative TSR"/>
    <m/>
  </r>
  <r>
    <x v="46"/>
    <x v="3"/>
    <x v="6"/>
    <x v="6"/>
    <s v="Health Care"/>
    <x v="1"/>
    <s v="BBB"/>
    <s v="United States"/>
    <x v="0"/>
    <d v="2024-04-05T00:00:00"/>
    <x v="1"/>
    <x v="2"/>
    <x v="1"/>
    <m/>
    <s v="Performance Stock"/>
    <n v="0.40200000000000002"/>
    <x v="0"/>
    <s v="Modifier/Threshold"/>
    <x v="12"/>
    <s v="3Y Absolute TSR"/>
    <m/>
  </r>
  <r>
    <x v="46"/>
    <x v="3"/>
    <x v="6"/>
    <x v="6"/>
    <s v="Health Care"/>
    <x v="1"/>
    <s v="BBB"/>
    <s v="United States"/>
    <x v="0"/>
    <d v="2024-04-05T00:00:00"/>
    <x v="1"/>
    <x v="2"/>
    <x v="0"/>
    <n v="0.13400000000000001"/>
    <s v="Time-Based Stock"/>
    <n v="0.13400000000000001"/>
    <x v="0"/>
    <m/>
    <x v="0"/>
    <m/>
    <m/>
  </r>
  <r>
    <x v="46"/>
    <x v="3"/>
    <x v="6"/>
    <x v="6"/>
    <s v="Health Care"/>
    <x v="1"/>
    <s v="BBB"/>
    <s v="United States"/>
    <x v="0"/>
    <d v="2024-04-05T00:00:00"/>
    <x v="1"/>
    <x v="2"/>
    <x v="0"/>
    <n v="0.13400000000000001"/>
    <s v="Stock Options"/>
    <n v="0.13400000000000001"/>
    <x v="0"/>
    <m/>
    <x v="0"/>
    <m/>
    <m/>
  </r>
  <r>
    <x v="47"/>
    <x v="7"/>
    <x v="11"/>
    <x v="27"/>
    <s v="Mining"/>
    <x v="1"/>
    <s v="BBB-"/>
    <s v="United States"/>
    <x v="0"/>
    <d v="2024-04-26T00:00:00"/>
    <x v="0"/>
    <x v="0"/>
    <x v="0"/>
    <n v="0.1"/>
    <s v="Base Salary"/>
    <n v="0.1"/>
    <x v="0"/>
    <m/>
    <x v="0"/>
    <m/>
    <m/>
  </r>
  <r>
    <x v="47"/>
    <x v="7"/>
    <x v="11"/>
    <x v="27"/>
    <s v="Mining"/>
    <x v="1"/>
    <s v="BBB-"/>
    <s v="United States"/>
    <x v="0"/>
    <d v="2024-04-26T00:00:00"/>
    <x v="0"/>
    <x v="1"/>
    <x v="1"/>
    <n v="0.18"/>
    <s v="Cash Incentive"/>
    <n v="0.18"/>
    <x v="1"/>
    <s v="Profitability"/>
    <x v="32"/>
    <s v="Adjusted EBITDA"/>
    <n v="0.3"/>
  </r>
  <r>
    <x v="47"/>
    <x v="7"/>
    <x v="11"/>
    <x v="27"/>
    <s v="Mining"/>
    <x v="1"/>
    <s v="BBB-"/>
    <s v="United States"/>
    <x v="0"/>
    <d v="2024-04-26T00:00:00"/>
    <x v="0"/>
    <x v="1"/>
    <x v="1"/>
    <m/>
    <s v="Cash Incentive"/>
    <n v="0.18"/>
    <x v="1"/>
    <s v="Growth"/>
    <x v="17"/>
    <s v="Copper Sales (billion pounds)"/>
    <n v="0.2"/>
  </r>
  <r>
    <x v="47"/>
    <x v="7"/>
    <x v="11"/>
    <x v="27"/>
    <s v="Mining"/>
    <x v="1"/>
    <s v="BBB-"/>
    <s v="United States"/>
    <x v="0"/>
    <d v="2024-04-26T00:00:00"/>
    <x v="0"/>
    <x v="1"/>
    <x v="1"/>
    <m/>
    <s v="Cash Incentive"/>
    <n v="0.18"/>
    <x v="2"/>
    <s v="ESG"/>
    <x v="40"/>
    <s v="Total Recordable Incident Rate"/>
    <n v="0.15"/>
  </r>
  <r>
    <x v="47"/>
    <x v="7"/>
    <x v="11"/>
    <x v="27"/>
    <s v="Mining"/>
    <x v="1"/>
    <s v="BBB-"/>
    <s v="United States"/>
    <x v="0"/>
    <d v="2024-04-26T00:00:00"/>
    <x v="0"/>
    <x v="1"/>
    <x v="1"/>
    <m/>
    <s v="Cash Incentive"/>
    <n v="0.18"/>
    <x v="2"/>
    <s v="ESG"/>
    <x v="7"/>
    <s v="Sustainability Scorecard"/>
    <n v="0.1"/>
  </r>
  <r>
    <x v="47"/>
    <x v="7"/>
    <x v="11"/>
    <x v="27"/>
    <s v="Mining"/>
    <x v="1"/>
    <s v="BBB-"/>
    <s v="United States"/>
    <x v="0"/>
    <d v="2024-04-26T00:00:00"/>
    <x v="0"/>
    <x v="1"/>
    <x v="1"/>
    <m/>
    <s v="Cash Incentive"/>
    <n v="0.18"/>
    <x v="1"/>
    <s v="Profitability"/>
    <x v="3"/>
    <s v="Adjusted Consolidated Unit Net Cash Costs ($/pound)"/>
    <n v="0.1"/>
  </r>
  <r>
    <x v="47"/>
    <x v="7"/>
    <x v="11"/>
    <x v="27"/>
    <s v="Mining"/>
    <x v="1"/>
    <s v="BBB-"/>
    <s v="United States"/>
    <x v="0"/>
    <d v="2024-04-26T00:00:00"/>
    <x v="0"/>
    <x v="1"/>
    <x v="1"/>
    <m/>
    <s v="Cash Incentive"/>
    <n v="0.18"/>
    <x v="1"/>
    <s v="Growth"/>
    <x v="17"/>
    <s v="Gold Sales (million ounces)"/>
    <n v="7.4999999999999997E-2"/>
  </r>
  <r>
    <x v="47"/>
    <x v="7"/>
    <x v="11"/>
    <x v="27"/>
    <s v="Mining"/>
    <x v="1"/>
    <s v="BBB-"/>
    <s v="United States"/>
    <x v="0"/>
    <d v="2024-04-26T00:00:00"/>
    <x v="0"/>
    <x v="1"/>
    <x v="1"/>
    <m/>
    <s v="Cash Incentive"/>
    <n v="0.18"/>
    <x v="2"/>
    <s v="Strategy &amp; Operations"/>
    <x v="3"/>
    <s v="Smelter Project Construction Progress"/>
    <n v="7.4999999999999997E-2"/>
  </r>
  <r>
    <x v="47"/>
    <x v="7"/>
    <x v="11"/>
    <x v="27"/>
    <s v="Mining"/>
    <x v="1"/>
    <s v="BBB-"/>
    <s v="United States"/>
    <x v="0"/>
    <d v="2024-04-26T00:00:00"/>
    <x v="0"/>
    <x v="1"/>
    <x v="1"/>
    <m/>
    <s v="Cash Incentive"/>
    <n v="0.18"/>
    <x v="0"/>
    <s v="Modifier/Threshold"/>
    <x v="34"/>
    <s v="Discretionary Adjustment"/>
    <m/>
  </r>
  <r>
    <x v="47"/>
    <x v="7"/>
    <x v="11"/>
    <x v="27"/>
    <s v="Mining"/>
    <x v="1"/>
    <s v="BBB-"/>
    <s v="United States"/>
    <x v="0"/>
    <d v="2024-04-26T00:00:00"/>
    <x v="0"/>
    <x v="2"/>
    <x v="1"/>
    <n v="0.54"/>
    <s v="Performance Stock"/>
    <n v="0.54"/>
    <x v="1"/>
    <s v="Return"/>
    <x v="55"/>
    <s v="3Y Average Adjusted Return on Investment "/>
    <n v="1"/>
  </r>
  <r>
    <x v="47"/>
    <x v="7"/>
    <x v="11"/>
    <x v="27"/>
    <s v="Mining"/>
    <x v="1"/>
    <s v="BBB-"/>
    <s v="United States"/>
    <x v="0"/>
    <d v="2024-04-26T00:00:00"/>
    <x v="0"/>
    <x v="2"/>
    <x v="1"/>
    <m/>
    <s v="Performance Stock"/>
    <n v="0.54"/>
    <x v="0"/>
    <s v="Modifier/Threshold"/>
    <x v="6"/>
    <s v="3Y Relative TSR "/>
    <m/>
  </r>
  <r>
    <x v="47"/>
    <x v="7"/>
    <x v="11"/>
    <x v="27"/>
    <s v="Mining"/>
    <x v="1"/>
    <s v="BBB-"/>
    <s v="United States"/>
    <x v="0"/>
    <d v="2024-04-26T00:00:00"/>
    <x v="0"/>
    <x v="2"/>
    <x v="0"/>
    <n v="0.18"/>
    <s v="Time-Based Stock"/>
    <n v="0.18"/>
    <x v="0"/>
    <m/>
    <x v="0"/>
    <m/>
    <m/>
  </r>
  <r>
    <x v="47"/>
    <x v="7"/>
    <x v="11"/>
    <x v="27"/>
    <s v="Mining"/>
    <x v="1"/>
    <s v="BBB-"/>
    <s v="United States"/>
    <x v="0"/>
    <d v="2024-04-26T00:00:00"/>
    <x v="1"/>
    <x v="0"/>
    <x v="0"/>
    <n v="0.16"/>
    <s v="Base Salary"/>
    <n v="0.16"/>
    <x v="0"/>
    <m/>
    <x v="0"/>
    <m/>
    <m/>
  </r>
  <r>
    <x v="47"/>
    <x v="7"/>
    <x v="11"/>
    <x v="27"/>
    <s v="Mining"/>
    <x v="1"/>
    <s v="BBB-"/>
    <s v="United States"/>
    <x v="0"/>
    <d v="2024-04-26T00:00:00"/>
    <x v="1"/>
    <x v="1"/>
    <x v="1"/>
    <n v="0.22"/>
    <s v="Cash Incentive"/>
    <n v="0.22"/>
    <x v="1"/>
    <s v="Profitability"/>
    <x v="32"/>
    <s v="Adjusted EBITDA"/>
    <n v="0.3"/>
  </r>
  <r>
    <x v="47"/>
    <x v="7"/>
    <x v="11"/>
    <x v="27"/>
    <s v="Mining"/>
    <x v="1"/>
    <s v="BBB-"/>
    <s v="United States"/>
    <x v="0"/>
    <d v="2024-04-26T00:00:00"/>
    <x v="1"/>
    <x v="1"/>
    <x v="1"/>
    <m/>
    <s v="Cash Incentive"/>
    <n v="0.22"/>
    <x v="1"/>
    <s v="Growth"/>
    <x v="17"/>
    <s v="Copper Sales (billion pounds)"/>
    <n v="0.2"/>
  </r>
  <r>
    <x v="47"/>
    <x v="7"/>
    <x v="11"/>
    <x v="27"/>
    <s v="Mining"/>
    <x v="1"/>
    <s v="BBB-"/>
    <s v="United States"/>
    <x v="0"/>
    <d v="2024-04-26T00:00:00"/>
    <x v="1"/>
    <x v="1"/>
    <x v="1"/>
    <m/>
    <s v="Cash Incentive"/>
    <n v="0.22"/>
    <x v="2"/>
    <s v="ESG"/>
    <x v="40"/>
    <s v="Total Recordable Incident Rate"/>
    <n v="0.15"/>
  </r>
  <r>
    <x v="47"/>
    <x v="7"/>
    <x v="11"/>
    <x v="27"/>
    <s v="Mining"/>
    <x v="1"/>
    <s v="BBB-"/>
    <s v="United States"/>
    <x v="0"/>
    <d v="2024-04-26T00:00:00"/>
    <x v="1"/>
    <x v="1"/>
    <x v="1"/>
    <m/>
    <s v="Cash Incentive"/>
    <n v="0.22"/>
    <x v="2"/>
    <s v="ESG"/>
    <x v="7"/>
    <s v="Sustainability Scorecard"/>
    <n v="0.1"/>
  </r>
  <r>
    <x v="47"/>
    <x v="7"/>
    <x v="11"/>
    <x v="27"/>
    <s v="Mining"/>
    <x v="1"/>
    <s v="BBB-"/>
    <s v="United States"/>
    <x v="0"/>
    <d v="2024-04-26T00:00:00"/>
    <x v="1"/>
    <x v="1"/>
    <x v="1"/>
    <m/>
    <s v="Cash Incentive"/>
    <n v="0.22"/>
    <x v="1"/>
    <s v="Profitability"/>
    <x v="3"/>
    <s v="Adjusted Consolidated Unit Net Cash Costs ($/pound)"/>
    <n v="0.1"/>
  </r>
  <r>
    <x v="47"/>
    <x v="7"/>
    <x v="11"/>
    <x v="27"/>
    <s v="Mining"/>
    <x v="1"/>
    <s v="BBB-"/>
    <s v="United States"/>
    <x v="0"/>
    <d v="2024-04-26T00:00:00"/>
    <x v="1"/>
    <x v="1"/>
    <x v="1"/>
    <m/>
    <s v="Cash Incentive"/>
    <n v="0.22"/>
    <x v="1"/>
    <s v="Growth"/>
    <x v="17"/>
    <s v="Gold Sales (million ounces)"/>
    <n v="7.4999999999999997E-2"/>
  </r>
  <r>
    <x v="47"/>
    <x v="7"/>
    <x v="11"/>
    <x v="27"/>
    <s v="Mining"/>
    <x v="1"/>
    <s v="BBB-"/>
    <s v="United States"/>
    <x v="0"/>
    <d v="2024-04-26T00:00:00"/>
    <x v="1"/>
    <x v="1"/>
    <x v="1"/>
    <m/>
    <s v="Cash Incentive"/>
    <n v="0.22"/>
    <x v="2"/>
    <s v="Strategy &amp; Operations"/>
    <x v="3"/>
    <s v="Smelter Project Construction Progress"/>
    <n v="7.4999999999999997E-2"/>
  </r>
  <r>
    <x v="47"/>
    <x v="7"/>
    <x v="11"/>
    <x v="27"/>
    <s v="Mining"/>
    <x v="1"/>
    <s v="BBB-"/>
    <s v="United States"/>
    <x v="0"/>
    <d v="2024-04-26T00:00:00"/>
    <x v="1"/>
    <x v="1"/>
    <x v="1"/>
    <m/>
    <s v="Cash Incentive"/>
    <n v="0.22"/>
    <x v="0"/>
    <s v="Modifier/Threshold"/>
    <x v="34"/>
    <s v="Discretionary Adjustment"/>
    <m/>
  </r>
  <r>
    <x v="47"/>
    <x v="7"/>
    <x v="11"/>
    <x v="27"/>
    <s v="Mining"/>
    <x v="1"/>
    <s v="BBB-"/>
    <s v="United States"/>
    <x v="0"/>
    <d v="2024-04-26T00:00:00"/>
    <x v="1"/>
    <x v="2"/>
    <x v="1"/>
    <n v="0.34"/>
    <s v="Performance Stock"/>
    <n v="0.34"/>
    <x v="1"/>
    <s v="Return"/>
    <x v="55"/>
    <s v="3Y Average Adjusted Return on Investment "/>
    <n v="1"/>
  </r>
  <r>
    <x v="47"/>
    <x v="7"/>
    <x v="11"/>
    <x v="27"/>
    <s v="Mining"/>
    <x v="1"/>
    <s v="BBB-"/>
    <s v="United States"/>
    <x v="0"/>
    <d v="2024-04-26T00:00:00"/>
    <x v="1"/>
    <x v="2"/>
    <x v="1"/>
    <m/>
    <s v="Performance Stock"/>
    <n v="0.34"/>
    <x v="0"/>
    <s v="Modifier/Threshold"/>
    <x v="6"/>
    <s v="3Y Relative TSR "/>
    <m/>
  </r>
  <r>
    <x v="47"/>
    <x v="7"/>
    <x v="11"/>
    <x v="27"/>
    <s v="Mining"/>
    <x v="1"/>
    <s v="BBB-"/>
    <s v="United States"/>
    <x v="0"/>
    <d v="2024-04-26T00:00:00"/>
    <x v="1"/>
    <x v="2"/>
    <x v="0"/>
    <n v="0.28000000000000003"/>
    <s v="Time-Based Stock"/>
    <n v="0.28000000000000003"/>
    <x v="0"/>
    <m/>
    <x v="0"/>
    <m/>
    <m/>
  </r>
  <r>
    <x v="48"/>
    <x v="2"/>
    <x v="14"/>
    <x v="22"/>
    <s v="Restaurants"/>
    <x v="1"/>
    <m/>
    <s v="United States"/>
    <x v="0"/>
    <d v="2024-04-23T00:00:00"/>
    <x v="0"/>
    <x v="0"/>
    <x v="0"/>
    <n v="7.0000000000000007E-2"/>
    <s v="Base Salary"/>
    <n v="7.0000000000000007E-2"/>
    <x v="0"/>
    <m/>
    <x v="0"/>
    <m/>
    <m/>
  </r>
  <r>
    <x v="48"/>
    <x v="2"/>
    <x v="14"/>
    <x v="22"/>
    <s v="Restaurants"/>
    <x v="1"/>
    <m/>
    <s v="United States"/>
    <x v="0"/>
    <d v="2024-04-23T00:00:00"/>
    <x v="0"/>
    <x v="1"/>
    <x v="1"/>
    <n v="0.13"/>
    <s v="Cash Incentive"/>
    <n v="0.13"/>
    <x v="1"/>
    <s v="Growth"/>
    <x v="56"/>
    <s v="Comparable Restaurant Sales Growth"/>
    <n v="0.30000000000000004"/>
  </r>
  <r>
    <x v="48"/>
    <x v="2"/>
    <x v="14"/>
    <x v="22"/>
    <s v="Restaurants"/>
    <x v="1"/>
    <m/>
    <s v="United States"/>
    <x v="0"/>
    <d v="2024-04-23T00:00:00"/>
    <x v="0"/>
    <x v="1"/>
    <x v="1"/>
    <m/>
    <s v="Cash Incentive"/>
    <n v="0.13"/>
    <x v="1"/>
    <s v="Cash Flow"/>
    <x v="57"/>
    <s v="Restaurant Cash Flow Margin"/>
    <n v="0.30000000000000004"/>
  </r>
  <r>
    <x v="48"/>
    <x v="2"/>
    <x v="14"/>
    <x v="22"/>
    <s v="Restaurants"/>
    <x v="1"/>
    <m/>
    <s v="United States"/>
    <x v="0"/>
    <d v="2024-04-23T00:00:00"/>
    <x v="0"/>
    <x v="1"/>
    <x v="1"/>
    <m/>
    <s v="Cash Incentive"/>
    <n v="0.13"/>
    <x v="2"/>
    <s v="Individual Assessment"/>
    <x v="13"/>
    <s v="Individual Performance Assessment"/>
    <n v="0.25"/>
  </r>
  <r>
    <x v="48"/>
    <x v="2"/>
    <x v="14"/>
    <x v="22"/>
    <s v="Restaurants"/>
    <x v="1"/>
    <m/>
    <s v="United States"/>
    <x v="0"/>
    <d v="2024-04-23T00:00:00"/>
    <x v="0"/>
    <x v="1"/>
    <x v="1"/>
    <m/>
    <s v="Cash Incentive"/>
    <n v="0.13"/>
    <x v="1"/>
    <s v="Growth"/>
    <x v="58"/>
    <s v="Site Assessment Requests"/>
    <n v="0.15000000000000002"/>
  </r>
  <r>
    <x v="48"/>
    <x v="2"/>
    <x v="14"/>
    <x v="22"/>
    <s v="Restaurants"/>
    <x v="1"/>
    <m/>
    <s v="United States"/>
    <x v="0"/>
    <d v="2024-04-23T00:00:00"/>
    <x v="0"/>
    <x v="1"/>
    <x v="1"/>
    <m/>
    <s v="Cash Incentive"/>
    <n v="0.13"/>
    <x v="0"/>
    <s v="Modifier/Threshold"/>
    <x v="3"/>
    <s v="Brand Purpose Modifier"/>
    <m/>
  </r>
  <r>
    <x v="48"/>
    <x v="2"/>
    <x v="14"/>
    <x v="22"/>
    <s v="Restaurants"/>
    <x v="1"/>
    <m/>
    <s v="United States"/>
    <x v="0"/>
    <d v="2024-04-23T00:00:00"/>
    <x v="0"/>
    <x v="1"/>
    <x v="1"/>
    <m/>
    <s v="Cash Incentive"/>
    <n v="0.13"/>
    <x v="0"/>
    <s v="Modifier/Threshold"/>
    <x v="41"/>
    <s v="Food Safety Modifier"/>
    <m/>
  </r>
  <r>
    <x v="48"/>
    <x v="2"/>
    <x v="14"/>
    <x v="22"/>
    <s v="Restaurants"/>
    <x v="1"/>
    <m/>
    <s v="United States"/>
    <x v="0"/>
    <d v="2024-04-23T00:00:00"/>
    <x v="0"/>
    <x v="1"/>
    <x v="1"/>
    <m/>
    <s v="Annual Equity Grant"/>
    <m/>
    <x v="0"/>
    <m/>
    <x v="0"/>
    <m/>
    <m/>
  </r>
  <r>
    <x v="48"/>
    <x v="2"/>
    <x v="14"/>
    <x v="22"/>
    <s v="Restaurants"/>
    <x v="1"/>
    <m/>
    <s v="United States"/>
    <x v="0"/>
    <d v="2024-04-23T00:00:00"/>
    <x v="0"/>
    <x v="2"/>
    <x v="1"/>
    <n v="0.48"/>
    <s v="Performance Stock"/>
    <n v="0.48"/>
    <x v="1"/>
    <s v="Cash Flow"/>
    <x v="59"/>
    <s v="3Y Adjusted Cumulative Restaurant Cash Flow"/>
    <n v="0.9"/>
  </r>
  <r>
    <x v="48"/>
    <x v="2"/>
    <x v="14"/>
    <x v="22"/>
    <s v="Restaurants"/>
    <x v="1"/>
    <m/>
    <s v="United States"/>
    <x v="0"/>
    <d v="2024-04-23T00:00:00"/>
    <x v="0"/>
    <x v="2"/>
    <x v="1"/>
    <m/>
    <s v="Performance Stock"/>
    <n v="0.48"/>
    <x v="1"/>
    <s v="Growth"/>
    <x v="58"/>
    <s v="3Y Cumulative Net New Restaurants"/>
    <n v="0.1"/>
  </r>
  <r>
    <x v="48"/>
    <x v="2"/>
    <x v="14"/>
    <x v="22"/>
    <s v="Restaurants"/>
    <x v="1"/>
    <m/>
    <s v="United States"/>
    <x v="0"/>
    <d v="2024-04-23T00:00:00"/>
    <x v="0"/>
    <x v="2"/>
    <x v="1"/>
    <m/>
    <s v="Performance Stock"/>
    <n v="0.48"/>
    <x v="0"/>
    <s v="Modifier/Threshold"/>
    <x v="60"/>
    <s v="3Y Relative TSR"/>
    <m/>
  </r>
  <r>
    <x v="48"/>
    <x v="2"/>
    <x v="14"/>
    <x v="22"/>
    <s v="Restaurants"/>
    <x v="1"/>
    <m/>
    <s v="United States"/>
    <x v="0"/>
    <d v="2024-04-23T00:00:00"/>
    <x v="0"/>
    <x v="2"/>
    <x v="0"/>
    <n v="0.32"/>
    <s v="Stock Appreciation Rights"/>
    <n v="0.32"/>
    <x v="0"/>
    <m/>
    <x v="0"/>
    <m/>
    <m/>
  </r>
  <r>
    <x v="48"/>
    <x v="2"/>
    <x v="14"/>
    <x v="22"/>
    <s v="Restaurants"/>
    <x v="1"/>
    <m/>
    <s v="United States"/>
    <x v="0"/>
    <d v="2024-04-23T00:00:00"/>
    <x v="1"/>
    <x v="0"/>
    <x v="0"/>
    <n v="0.1184548193813913"/>
    <s v="Base Salary"/>
    <n v="0.1184548193813913"/>
    <x v="0"/>
    <m/>
    <x v="0"/>
    <m/>
    <m/>
  </r>
  <r>
    <x v="48"/>
    <x v="2"/>
    <x v="14"/>
    <x v="22"/>
    <s v="Restaurants"/>
    <x v="1"/>
    <m/>
    <s v="United States"/>
    <x v="0"/>
    <d v="2024-04-23T00:00:00"/>
    <x v="1"/>
    <x v="1"/>
    <x v="1"/>
    <n v="0.11549319480374541"/>
    <s v="Cash Incentive"/>
    <n v="0.11549319480374541"/>
    <x v="1"/>
    <s v="Growth"/>
    <x v="56"/>
    <s v="Comparable Restaurant Sales Growth"/>
    <n v="0.30000000000000004"/>
  </r>
  <r>
    <x v="48"/>
    <x v="2"/>
    <x v="14"/>
    <x v="22"/>
    <s v="Restaurants"/>
    <x v="1"/>
    <m/>
    <s v="United States"/>
    <x v="0"/>
    <d v="2024-04-23T00:00:00"/>
    <x v="1"/>
    <x v="1"/>
    <x v="1"/>
    <m/>
    <s v="Cash Incentive"/>
    <n v="0.11549319480374541"/>
    <x v="1"/>
    <s v="Cash Flow"/>
    <x v="57"/>
    <s v="Restaurant Cash Flow Margin"/>
    <n v="0.30000000000000004"/>
  </r>
  <r>
    <x v="48"/>
    <x v="2"/>
    <x v="14"/>
    <x v="22"/>
    <s v="Restaurants"/>
    <x v="1"/>
    <m/>
    <s v="United States"/>
    <x v="0"/>
    <d v="2024-04-23T00:00:00"/>
    <x v="1"/>
    <x v="1"/>
    <x v="1"/>
    <m/>
    <s v="Cash Incentive"/>
    <n v="0.11549319480374541"/>
    <x v="2"/>
    <s v="Individual Assessment"/>
    <x v="13"/>
    <s v="Individual Performance Assessment"/>
    <n v="0.25"/>
  </r>
  <r>
    <x v="48"/>
    <x v="2"/>
    <x v="14"/>
    <x v="22"/>
    <s v="Restaurants"/>
    <x v="1"/>
    <m/>
    <s v="United States"/>
    <x v="0"/>
    <d v="2024-04-23T00:00:00"/>
    <x v="1"/>
    <x v="1"/>
    <x v="1"/>
    <m/>
    <s v="Cash Incentive"/>
    <n v="0.11549319480374541"/>
    <x v="1"/>
    <s v="Growth"/>
    <x v="58"/>
    <s v="Site Assessment Requests"/>
    <n v="0.15000000000000002"/>
  </r>
  <r>
    <x v="48"/>
    <x v="2"/>
    <x v="14"/>
    <x v="22"/>
    <s v="Restaurants"/>
    <x v="1"/>
    <m/>
    <s v="United States"/>
    <x v="0"/>
    <d v="2024-04-23T00:00:00"/>
    <x v="1"/>
    <x v="1"/>
    <x v="1"/>
    <m/>
    <s v="Cash Incentive"/>
    <n v="0.11549319480374541"/>
    <x v="0"/>
    <s v="Modifier/Threshold"/>
    <x v="3"/>
    <s v="Brand Purpose Modifier"/>
    <m/>
  </r>
  <r>
    <x v="48"/>
    <x v="2"/>
    <x v="14"/>
    <x v="22"/>
    <s v="Restaurants"/>
    <x v="1"/>
    <m/>
    <s v="United States"/>
    <x v="0"/>
    <d v="2024-04-23T00:00:00"/>
    <x v="1"/>
    <x v="1"/>
    <x v="1"/>
    <m/>
    <s v="Cash Incentive"/>
    <n v="0.11549319480374541"/>
    <x v="0"/>
    <s v="Modifier/Threshold"/>
    <x v="41"/>
    <s v="Food Safety Modifier"/>
    <m/>
  </r>
  <r>
    <x v="48"/>
    <x v="2"/>
    <x v="14"/>
    <x v="22"/>
    <s v="Restaurants"/>
    <x v="1"/>
    <m/>
    <s v="United States"/>
    <x v="0"/>
    <d v="2024-04-23T00:00:00"/>
    <x v="1"/>
    <x v="1"/>
    <x v="1"/>
    <m/>
    <s v="Annual Equity Grant"/>
    <m/>
    <x v="0"/>
    <m/>
    <x v="0"/>
    <m/>
    <m/>
  </r>
  <r>
    <x v="48"/>
    <x v="2"/>
    <x v="14"/>
    <x v="22"/>
    <s v="Restaurants"/>
    <x v="1"/>
    <m/>
    <s v="United States"/>
    <x v="0"/>
    <d v="2024-04-23T00:00:00"/>
    <x v="1"/>
    <x v="2"/>
    <x v="1"/>
    <n v="0.45963119148891801"/>
    <s v="Performance Stock"/>
    <n v="0.45963119148891801"/>
    <x v="1"/>
    <s v="Cash Flow"/>
    <x v="59"/>
    <s v="3Y Adjusted Cumulative Restaurant Cash Flow"/>
    <n v="0.9"/>
  </r>
  <r>
    <x v="48"/>
    <x v="2"/>
    <x v="14"/>
    <x v="22"/>
    <s v="Restaurants"/>
    <x v="1"/>
    <m/>
    <s v="United States"/>
    <x v="0"/>
    <d v="2024-04-23T00:00:00"/>
    <x v="1"/>
    <x v="2"/>
    <x v="1"/>
    <m/>
    <s v="Performance Stock"/>
    <n v="0.45963119148891801"/>
    <x v="1"/>
    <s v="Growth"/>
    <x v="58"/>
    <s v="3Y Cumulative Net New Restaurant Openings"/>
    <n v="0.1"/>
  </r>
  <r>
    <x v="48"/>
    <x v="2"/>
    <x v="14"/>
    <x v="22"/>
    <s v="Restaurants"/>
    <x v="1"/>
    <m/>
    <s v="United States"/>
    <x v="0"/>
    <d v="2024-04-23T00:00:00"/>
    <x v="1"/>
    <x v="2"/>
    <x v="1"/>
    <m/>
    <s v="Performance Stock"/>
    <n v="0.45963119148891801"/>
    <x v="0"/>
    <s v="Modifier/Threshold"/>
    <x v="60"/>
    <s v="3Y Relative TSR"/>
    <m/>
  </r>
  <r>
    <x v="48"/>
    <x v="2"/>
    <x v="14"/>
    <x v="22"/>
    <s v="Restaurants"/>
    <x v="1"/>
    <m/>
    <s v="United States"/>
    <x v="0"/>
    <d v="2024-04-23T00:00:00"/>
    <x v="1"/>
    <x v="2"/>
    <x v="0"/>
    <n v="0.22890643085227833"/>
    <s v="Stock Appreciation Rights"/>
    <n v="0.22890643085227833"/>
    <x v="0"/>
    <m/>
    <x v="0"/>
    <m/>
    <m/>
  </r>
  <r>
    <x v="48"/>
    <x v="2"/>
    <x v="14"/>
    <x v="22"/>
    <s v="Restaurants"/>
    <x v="1"/>
    <m/>
    <s v="United States"/>
    <x v="0"/>
    <d v="2024-04-23T00:00:00"/>
    <x v="1"/>
    <x v="2"/>
    <x v="0"/>
    <n v="7.7514363473666997E-2"/>
    <s v="Time-Based Stock"/>
    <n v="7.7514363473666997E-2"/>
    <x v="0"/>
    <m/>
    <x v="0"/>
    <m/>
    <m/>
  </r>
  <r>
    <x v="49"/>
    <x v="2"/>
    <x v="14"/>
    <x v="22"/>
    <s v="Internet Software/Services"/>
    <x v="0"/>
    <s v="A-"/>
    <s v="United States"/>
    <x v="0"/>
    <d v="2024-04-23T00:00:00"/>
    <x v="0"/>
    <x v="0"/>
    <x v="0"/>
    <n v="0.03"/>
    <s v="Base Salary"/>
    <n v="0.03"/>
    <x v="0"/>
    <m/>
    <x v="0"/>
    <m/>
    <m/>
  </r>
  <r>
    <x v="49"/>
    <x v="2"/>
    <x v="14"/>
    <x v="22"/>
    <s v="Internet Software/Services"/>
    <x v="0"/>
    <s v="A-"/>
    <s v="United States"/>
    <x v="0"/>
    <d v="2024-04-23T00:00:00"/>
    <x v="0"/>
    <x v="1"/>
    <x v="1"/>
    <n v="7.0000000000000007E-2"/>
    <s v="Cash Incentive"/>
    <n v="7.0000000000000007E-2"/>
    <x v="1"/>
    <s v="Profitability"/>
    <x v="32"/>
    <s v="Adjusted EBITDA"/>
    <n v="0.5"/>
  </r>
  <r>
    <x v="49"/>
    <x v="2"/>
    <x v="14"/>
    <x v="22"/>
    <s v="Internet Software/Services"/>
    <x v="0"/>
    <s v="A-"/>
    <s v="United States"/>
    <x v="0"/>
    <d v="2024-04-23T00:00:00"/>
    <x v="0"/>
    <x v="1"/>
    <x v="1"/>
    <m/>
    <s v="Cash Incentive"/>
    <n v="7.0000000000000007E-2"/>
    <x v="1"/>
    <s v="Growth"/>
    <x v="1"/>
    <s v="Adjusted Revenue"/>
    <n v="0.5"/>
  </r>
  <r>
    <x v="49"/>
    <x v="2"/>
    <x v="14"/>
    <x v="22"/>
    <s v="Internet Software/Services"/>
    <x v="0"/>
    <s v="A-"/>
    <s v="United States"/>
    <x v="0"/>
    <d v="2024-04-23T00:00:00"/>
    <x v="0"/>
    <x v="1"/>
    <x v="1"/>
    <m/>
    <s v="Cash Incentive"/>
    <n v="7.0000000000000007E-2"/>
    <x v="0"/>
    <s v="Modifier/Threshold"/>
    <x v="34"/>
    <s v="Discretionary Adjustment"/>
    <m/>
  </r>
  <r>
    <x v="49"/>
    <x v="2"/>
    <x v="14"/>
    <x v="22"/>
    <s v="Internet Software/Services"/>
    <x v="0"/>
    <s v="A-"/>
    <s v="United States"/>
    <x v="0"/>
    <d v="2024-04-23T00:00:00"/>
    <x v="0"/>
    <x v="2"/>
    <x v="1"/>
    <n v="0.54"/>
    <s v="Performance Stock"/>
    <n v="0.54"/>
    <x v="1"/>
    <s v="Profitability"/>
    <x v="32"/>
    <s v="3Y Adjusted Cumulative EBITDA"/>
    <n v="0.5"/>
  </r>
  <r>
    <x v="49"/>
    <x v="2"/>
    <x v="14"/>
    <x v="22"/>
    <s v="Internet Software/Services"/>
    <x v="0"/>
    <s v="A-"/>
    <s v="United States"/>
    <x v="0"/>
    <d v="2024-04-23T00:00:00"/>
    <x v="0"/>
    <x v="2"/>
    <x v="1"/>
    <m/>
    <s v="Performance Stock"/>
    <n v="0.54"/>
    <x v="1"/>
    <s v="Growth"/>
    <x v="1"/>
    <s v="3Y Adjusted Cumulative Revenue"/>
    <n v="0.5"/>
  </r>
  <r>
    <x v="49"/>
    <x v="2"/>
    <x v="14"/>
    <x v="22"/>
    <s v="Internet Software/Services"/>
    <x v="0"/>
    <s v="A-"/>
    <s v="United States"/>
    <x v="0"/>
    <d v="2024-04-23T00:00:00"/>
    <x v="0"/>
    <x v="2"/>
    <x v="1"/>
    <m/>
    <s v="Performance Stock"/>
    <n v="0.54"/>
    <x v="0"/>
    <s v="Modifier/Threshold"/>
    <x v="6"/>
    <s v="3Y Relative TSR "/>
    <m/>
  </r>
  <r>
    <x v="49"/>
    <x v="2"/>
    <x v="14"/>
    <x v="22"/>
    <s v="Internet Software/Services"/>
    <x v="0"/>
    <s v="A-"/>
    <s v="United States"/>
    <x v="0"/>
    <d v="2024-04-23T00:00:00"/>
    <x v="0"/>
    <x v="2"/>
    <x v="1"/>
    <m/>
    <s v="Performance Stock"/>
    <n v="0.54"/>
    <x v="0"/>
    <s v="Modifier/Threshold"/>
    <x v="12"/>
    <s v="3Y Absolute TSR"/>
    <m/>
  </r>
  <r>
    <x v="49"/>
    <x v="2"/>
    <x v="14"/>
    <x v="22"/>
    <s v="Internet Software/Services"/>
    <x v="0"/>
    <s v="A-"/>
    <s v="United States"/>
    <x v="0"/>
    <d v="2024-04-23T00:00:00"/>
    <x v="0"/>
    <x v="2"/>
    <x v="0"/>
    <n v="0.36000000000000004"/>
    <s v="Time-Based Stock"/>
    <n v="0.36000000000000004"/>
    <x v="0"/>
    <m/>
    <x v="0"/>
    <m/>
    <m/>
  </r>
  <r>
    <x v="49"/>
    <x v="2"/>
    <x v="14"/>
    <x v="22"/>
    <s v="Internet Software/Services"/>
    <x v="0"/>
    <s v="A-"/>
    <s v="United States"/>
    <x v="0"/>
    <d v="2024-04-23T00:00:00"/>
    <x v="1"/>
    <x v="0"/>
    <x v="0"/>
    <n v="0.06"/>
    <s v="Base Salary"/>
    <n v="0.06"/>
    <x v="0"/>
    <m/>
    <x v="0"/>
    <m/>
    <m/>
  </r>
  <r>
    <x v="49"/>
    <x v="2"/>
    <x v="14"/>
    <x v="22"/>
    <s v="Internet Software/Services"/>
    <x v="0"/>
    <s v="A-"/>
    <s v="United States"/>
    <x v="0"/>
    <d v="2024-04-23T00:00:00"/>
    <x v="1"/>
    <x v="1"/>
    <x v="1"/>
    <n v="0.11"/>
    <s v="Cash Incentive"/>
    <n v="0.11"/>
    <x v="1"/>
    <s v="Profitability"/>
    <x v="32"/>
    <s v="Adjusted EBITDA"/>
    <n v="0.5"/>
  </r>
  <r>
    <x v="49"/>
    <x v="2"/>
    <x v="14"/>
    <x v="22"/>
    <s v="Internet Software/Services"/>
    <x v="0"/>
    <s v="A-"/>
    <s v="United States"/>
    <x v="0"/>
    <d v="2024-04-23T00:00:00"/>
    <x v="1"/>
    <x v="1"/>
    <x v="1"/>
    <m/>
    <s v="Cash Incentive"/>
    <n v="0.11"/>
    <x v="1"/>
    <s v="Growth"/>
    <x v="1"/>
    <s v="Adjusted Revenue"/>
    <n v="0.5"/>
  </r>
  <r>
    <x v="49"/>
    <x v="2"/>
    <x v="14"/>
    <x v="22"/>
    <s v="Internet Software/Services"/>
    <x v="0"/>
    <s v="A-"/>
    <s v="United States"/>
    <x v="0"/>
    <d v="2024-04-23T00:00:00"/>
    <x v="1"/>
    <x v="1"/>
    <x v="1"/>
    <m/>
    <s v="Cash Incentive"/>
    <n v="0.11"/>
    <x v="0"/>
    <s v="Modifier/Threshold"/>
    <x v="34"/>
    <s v="Discretionary Adjustment"/>
    <m/>
  </r>
  <r>
    <x v="49"/>
    <x v="2"/>
    <x v="14"/>
    <x v="22"/>
    <s v="Internet Software/Services"/>
    <x v="0"/>
    <s v="A-"/>
    <s v="United States"/>
    <x v="0"/>
    <d v="2024-04-23T00:00:00"/>
    <x v="1"/>
    <x v="2"/>
    <x v="1"/>
    <n v="0.49799999999999994"/>
    <s v="Performance Stock"/>
    <n v="0.49799999999999994"/>
    <x v="1"/>
    <s v="Profitability"/>
    <x v="32"/>
    <s v="3Y Adjusted Cumulative EBITDA"/>
    <n v="0.5"/>
  </r>
  <r>
    <x v="49"/>
    <x v="2"/>
    <x v="14"/>
    <x v="22"/>
    <s v="Internet Software/Services"/>
    <x v="0"/>
    <s v="A-"/>
    <s v="United States"/>
    <x v="0"/>
    <d v="2024-04-23T00:00:00"/>
    <x v="1"/>
    <x v="2"/>
    <x v="1"/>
    <m/>
    <s v="Performance Stock"/>
    <n v="0.49799999999999994"/>
    <x v="1"/>
    <s v="Growth"/>
    <x v="1"/>
    <s v="3Y Adjusted Cumulative Revenue"/>
    <n v="0.5"/>
  </r>
  <r>
    <x v="49"/>
    <x v="2"/>
    <x v="14"/>
    <x v="22"/>
    <s v="Internet Software/Services"/>
    <x v="0"/>
    <s v="A-"/>
    <s v="United States"/>
    <x v="0"/>
    <d v="2024-04-23T00:00:00"/>
    <x v="0"/>
    <x v="2"/>
    <x v="1"/>
    <m/>
    <s v="Performance Stock"/>
    <n v="0.54"/>
    <x v="0"/>
    <s v="Modifier/Threshold"/>
    <x v="6"/>
    <s v="3Y Relative TSR "/>
    <m/>
  </r>
  <r>
    <x v="49"/>
    <x v="2"/>
    <x v="14"/>
    <x v="22"/>
    <s v="Internet Software/Services"/>
    <x v="0"/>
    <s v="A-"/>
    <s v="United States"/>
    <x v="0"/>
    <d v="2024-04-23T00:00:00"/>
    <x v="0"/>
    <x v="2"/>
    <x v="1"/>
    <m/>
    <s v="Performance Stock"/>
    <n v="0.54"/>
    <x v="0"/>
    <s v="Modifier/Threshold"/>
    <x v="12"/>
    <s v="3Y Absolute TSR"/>
    <m/>
  </r>
  <r>
    <x v="49"/>
    <x v="2"/>
    <x v="14"/>
    <x v="22"/>
    <s v="Internet Software/Services"/>
    <x v="0"/>
    <s v="A-"/>
    <s v="United States"/>
    <x v="0"/>
    <d v="2024-04-23T00:00:00"/>
    <x v="1"/>
    <x v="2"/>
    <x v="0"/>
    <n v="0.33200000000000002"/>
    <s v="Time-Based Stock"/>
    <n v="0.33200000000000002"/>
    <x v="0"/>
    <m/>
    <x v="0"/>
    <m/>
    <m/>
  </r>
  <r>
    <x v="50"/>
    <x v="4"/>
    <x v="5"/>
    <x v="28"/>
    <s v="Beverages"/>
    <x v="2"/>
    <s v="BBB"/>
    <s v="United States"/>
    <x v="0"/>
    <d v="2024-04-26T00:00:00"/>
    <x v="0"/>
    <x v="0"/>
    <x v="0"/>
    <n v="0.17799999999999999"/>
    <s v="Base Salary"/>
    <n v="0.17799999999999999"/>
    <x v="0"/>
    <m/>
    <x v="0"/>
    <m/>
    <m/>
  </r>
  <r>
    <x v="50"/>
    <x v="4"/>
    <x v="5"/>
    <x v="28"/>
    <s v="Beverages"/>
    <x v="2"/>
    <s v="BBB"/>
    <s v="United States"/>
    <x v="0"/>
    <d v="2024-04-26T00:00:00"/>
    <x v="0"/>
    <x v="1"/>
    <x v="1"/>
    <n v="0.26600000000000001"/>
    <s v="Cash Incentive"/>
    <n v="0.26600000000000001"/>
    <x v="1"/>
    <s v="Profitability"/>
    <x v="2"/>
    <s v="Adjusted Operating Income"/>
    <n v="0.6"/>
  </r>
  <r>
    <x v="50"/>
    <x v="4"/>
    <x v="5"/>
    <x v="28"/>
    <s v="Beverages"/>
    <x v="2"/>
    <s v="BBB"/>
    <s v="United States"/>
    <x v="0"/>
    <d v="2024-04-26T00:00:00"/>
    <x v="0"/>
    <x v="1"/>
    <x v="1"/>
    <m/>
    <s v="Cash Incentive"/>
    <n v="0.26600000000000001"/>
    <x v="1"/>
    <s v="Growth"/>
    <x v="1"/>
    <s v="Adjusted Revenue"/>
    <n v="0.3"/>
  </r>
  <r>
    <x v="50"/>
    <x v="4"/>
    <x v="5"/>
    <x v="28"/>
    <s v="Beverages"/>
    <x v="2"/>
    <s v="BBB"/>
    <s v="United States"/>
    <x v="0"/>
    <d v="2024-04-26T00:00:00"/>
    <x v="0"/>
    <x v="1"/>
    <x v="1"/>
    <m/>
    <s v="Cash Incentive"/>
    <n v="0.26600000000000001"/>
    <x v="1"/>
    <s v="Cash Flow"/>
    <x v="25"/>
    <s v="Free Cash Flow"/>
    <n v="0.1"/>
  </r>
  <r>
    <x v="50"/>
    <x v="4"/>
    <x v="5"/>
    <x v="28"/>
    <s v="Beverages"/>
    <x v="2"/>
    <s v="BBB"/>
    <s v="United States"/>
    <x v="0"/>
    <d v="2024-04-26T00:00:00"/>
    <x v="0"/>
    <x v="2"/>
    <x v="0"/>
    <n v="0.55600000000000005"/>
    <s v="Time-Based Stock"/>
    <n v="0.55600000000000005"/>
    <x v="0"/>
    <m/>
    <x v="0"/>
    <m/>
    <m/>
  </r>
  <r>
    <x v="50"/>
    <x v="4"/>
    <x v="5"/>
    <x v="28"/>
    <s v="Beverages"/>
    <x v="2"/>
    <s v="BBB"/>
    <s v="United States"/>
    <x v="0"/>
    <d v="2024-04-26T00:00:00"/>
    <x v="1"/>
    <x v="0"/>
    <x v="0"/>
    <n v="0.27400000000000002"/>
    <s v="Base Salary"/>
    <n v="0.27400000000000002"/>
    <x v="0"/>
    <m/>
    <x v="0"/>
    <m/>
    <m/>
  </r>
  <r>
    <x v="50"/>
    <x v="4"/>
    <x v="5"/>
    <x v="28"/>
    <s v="Beverages"/>
    <x v="2"/>
    <s v="BBB"/>
    <s v="United States"/>
    <x v="0"/>
    <d v="2024-04-26T00:00:00"/>
    <x v="1"/>
    <x v="1"/>
    <x v="1"/>
    <n v="0.20899999999999999"/>
    <s v="Cash Incentive"/>
    <n v="0.20899999999999999"/>
    <x v="1"/>
    <s v="Profitability"/>
    <x v="2"/>
    <s v="Adjusted Operating Income"/>
    <n v="0.6"/>
  </r>
  <r>
    <x v="50"/>
    <x v="4"/>
    <x v="5"/>
    <x v="28"/>
    <s v="Beverages"/>
    <x v="2"/>
    <s v="BBB"/>
    <s v="United States"/>
    <x v="0"/>
    <d v="2024-04-26T00:00:00"/>
    <x v="1"/>
    <x v="1"/>
    <x v="1"/>
    <m/>
    <s v="Cash Incentive"/>
    <n v="0.20899999999999999"/>
    <x v="1"/>
    <s v="Growth"/>
    <x v="1"/>
    <s v="Adjusted Revenue"/>
    <n v="0.3"/>
  </r>
  <r>
    <x v="50"/>
    <x v="4"/>
    <x v="5"/>
    <x v="28"/>
    <s v="Beverages"/>
    <x v="2"/>
    <s v="BBB"/>
    <s v="United States"/>
    <x v="0"/>
    <d v="2024-04-26T00:00:00"/>
    <x v="1"/>
    <x v="1"/>
    <x v="1"/>
    <m/>
    <s v="Cash Incentive"/>
    <n v="0.20899999999999999"/>
    <x v="1"/>
    <s v="Cash Flow"/>
    <x v="25"/>
    <s v="Free Cash Flow"/>
    <n v="0.1"/>
  </r>
  <r>
    <x v="50"/>
    <x v="4"/>
    <x v="5"/>
    <x v="28"/>
    <s v="Beverages"/>
    <x v="2"/>
    <s v="BBB"/>
    <s v="United States"/>
    <x v="0"/>
    <d v="2024-04-26T00:00:00"/>
    <x v="1"/>
    <x v="2"/>
    <x v="0"/>
    <n v="0.51700000000000002"/>
    <s v="Time-Based Stock"/>
    <n v="0.51700000000000002"/>
    <x v="0"/>
    <m/>
    <x v="0"/>
    <m/>
    <m/>
  </r>
  <r>
    <x v="51"/>
    <x v="6"/>
    <x v="17"/>
    <x v="29"/>
    <s v="Railroads"/>
    <x v="0"/>
    <s v="A-"/>
    <s v="United States"/>
    <x v="0"/>
    <d v="2024-03-26T00:00:00"/>
    <x v="0"/>
    <x v="0"/>
    <x v="0"/>
    <n v="8.4260731319554846E-2"/>
    <s v="Base Salary"/>
    <n v="8.4260731319554846E-2"/>
    <x v="0"/>
    <m/>
    <x v="0"/>
    <m/>
    <m/>
  </r>
  <r>
    <x v="51"/>
    <x v="6"/>
    <x v="17"/>
    <x v="29"/>
    <s v="Railroads"/>
    <x v="0"/>
    <s v="A-"/>
    <s v="United States"/>
    <x v="0"/>
    <d v="2024-03-26T00:00:00"/>
    <x v="0"/>
    <x v="1"/>
    <x v="1"/>
    <n v="0.15262321144674085"/>
    <s v="Cash Incentive"/>
    <n v="0.15262321144674085"/>
    <x v="1"/>
    <s v="Profitability"/>
    <x v="2"/>
    <s v="Operating Income"/>
    <n v="0.35"/>
  </r>
  <r>
    <x v="51"/>
    <x v="6"/>
    <x v="17"/>
    <x v="29"/>
    <s v="Railroads"/>
    <x v="0"/>
    <s v="A-"/>
    <s v="United States"/>
    <x v="0"/>
    <d v="2024-03-26T00:00:00"/>
    <x v="0"/>
    <x v="1"/>
    <x v="1"/>
    <m/>
    <s v="Cash Incentive"/>
    <n v="0.15262321144674085"/>
    <x v="1"/>
    <s v="Profitability"/>
    <x v="3"/>
    <s v="Adjusted Operating Ratio"/>
    <n v="0.35"/>
  </r>
  <r>
    <x v="51"/>
    <x v="6"/>
    <x v="17"/>
    <x v="29"/>
    <s v="Railroads"/>
    <x v="0"/>
    <s v="A-"/>
    <s v="United States"/>
    <x v="0"/>
    <d v="2024-03-26T00:00:00"/>
    <x v="0"/>
    <x v="1"/>
    <x v="1"/>
    <m/>
    <s v="Cash Incentive"/>
    <n v="0.15262321144674085"/>
    <x v="2"/>
    <s v="Strategy &amp; Operations"/>
    <x v="3"/>
    <s v="Strategic Scorecard"/>
    <n v="0.2"/>
  </r>
  <r>
    <x v="51"/>
    <x v="6"/>
    <x v="17"/>
    <x v="29"/>
    <s v="Railroads"/>
    <x v="0"/>
    <s v="A-"/>
    <s v="United States"/>
    <x v="0"/>
    <d v="2024-03-26T00:00:00"/>
    <x v="0"/>
    <x v="1"/>
    <x v="1"/>
    <m/>
    <s v="Cash Incentive"/>
    <n v="0.15262321144674085"/>
    <x v="2"/>
    <s v="Individual Assessment"/>
    <x v="13"/>
    <s v="Individual Performance Assessment"/>
    <n v="0.1"/>
  </r>
  <r>
    <x v="51"/>
    <x v="6"/>
    <x v="17"/>
    <x v="29"/>
    <s v="Railroads"/>
    <x v="0"/>
    <s v="A-"/>
    <s v="United States"/>
    <x v="0"/>
    <d v="2024-03-26T00:00:00"/>
    <x v="0"/>
    <x v="2"/>
    <x v="1"/>
    <n v="0.4578696343402226"/>
    <s v="Performance Stock"/>
    <n v="0.4578696343402226"/>
    <x v="1"/>
    <s v="Return"/>
    <x v="26"/>
    <s v="3Y Average Adjusted ROIC "/>
    <n v="0.67"/>
  </r>
  <r>
    <x v="51"/>
    <x v="6"/>
    <x v="17"/>
    <x v="29"/>
    <s v="Railroads"/>
    <x v="0"/>
    <s v="A-"/>
    <s v="United States"/>
    <x v="0"/>
    <d v="2024-03-26T00:00:00"/>
    <x v="0"/>
    <x v="2"/>
    <x v="1"/>
    <m/>
    <s v="Performance Stock"/>
    <n v="0.4578696343402226"/>
    <x v="1"/>
    <s v="Profitability"/>
    <x v="61"/>
    <s v="3Y Relative Operating Income Growth"/>
    <n v="0.33"/>
  </r>
  <r>
    <x v="51"/>
    <x v="6"/>
    <x v="17"/>
    <x v="29"/>
    <s v="Railroads"/>
    <x v="0"/>
    <s v="A-"/>
    <s v="United States"/>
    <x v="0"/>
    <d v="2024-03-26T00:00:00"/>
    <x v="0"/>
    <x v="2"/>
    <x v="0"/>
    <n v="0.30524642289348169"/>
    <s v="Stock Options"/>
    <n v="0.30524642289348169"/>
    <x v="0"/>
    <m/>
    <x v="0"/>
    <m/>
    <m/>
  </r>
  <r>
    <x v="51"/>
    <x v="6"/>
    <x v="17"/>
    <x v="29"/>
    <s v="Railroads"/>
    <x v="0"/>
    <s v="A-"/>
    <s v="United States"/>
    <x v="0"/>
    <d v="2024-03-26T00:00:00"/>
    <x v="1"/>
    <x v="0"/>
    <x v="0"/>
    <n v="0.15"/>
    <s v="Base Salary"/>
    <n v="0.15"/>
    <x v="0"/>
    <m/>
    <x v="0"/>
    <m/>
    <m/>
  </r>
  <r>
    <x v="51"/>
    <x v="6"/>
    <x v="17"/>
    <x v="29"/>
    <s v="Railroads"/>
    <x v="0"/>
    <s v="A-"/>
    <s v="United States"/>
    <x v="0"/>
    <d v="2024-03-26T00:00:00"/>
    <x v="1"/>
    <x v="1"/>
    <x v="1"/>
    <n v="0.19"/>
    <s v="Cash Incentive"/>
    <n v="0.19"/>
    <x v="1"/>
    <s v="Profitability"/>
    <x v="2"/>
    <s v="Operating Income"/>
    <n v="0.35"/>
  </r>
  <r>
    <x v="51"/>
    <x v="6"/>
    <x v="17"/>
    <x v="29"/>
    <s v="Railroads"/>
    <x v="0"/>
    <s v="A-"/>
    <s v="United States"/>
    <x v="0"/>
    <d v="2024-03-26T00:00:00"/>
    <x v="1"/>
    <x v="1"/>
    <x v="1"/>
    <m/>
    <s v="Cash Incentive"/>
    <n v="0.19"/>
    <x v="1"/>
    <s v="Profitability"/>
    <x v="3"/>
    <s v="Adjusted Operating Ratio"/>
    <n v="0.35"/>
  </r>
  <r>
    <x v="51"/>
    <x v="6"/>
    <x v="17"/>
    <x v="29"/>
    <s v="Railroads"/>
    <x v="0"/>
    <s v="A-"/>
    <s v="United States"/>
    <x v="0"/>
    <d v="2024-03-26T00:00:00"/>
    <x v="1"/>
    <x v="1"/>
    <x v="1"/>
    <m/>
    <s v="Cash Incentive"/>
    <n v="0.19"/>
    <x v="2"/>
    <s v="Strategy &amp; Operations"/>
    <x v="3"/>
    <s v="Strategic Scorecard"/>
    <n v="0.2"/>
  </r>
  <r>
    <x v="51"/>
    <x v="6"/>
    <x v="17"/>
    <x v="29"/>
    <s v="Railroads"/>
    <x v="0"/>
    <s v="A-"/>
    <s v="United States"/>
    <x v="0"/>
    <d v="2024-03-26T00:00:00"/>
    <x v="1"/>
    <x v="1"/>
    <x v="1"/>
    <m/>
    <s v="Cash Incentive"/>
    <n v="0.19"/>
    <x v="2"/>
    <s v="Individual Assessment"/>
    <x v="13"/>
    <s v="Individual Performance Assessment"/>
    <n v="0.1"/>
  </r>
  <r>
    <x v="51"/>
    <x v="6"/>
    <x v="17"/>
    <x v="29"/>
    <s v="Railroads"/>
    <x v="0"/>
    <s v="A-"/>
    <s v="United States"/>
    <x v="0"/>
    <d v="2024-03-26T00:00:00"/>
    <x v="1"/>
    <x v="2"/>
    <x v="1"/>
    <n v="0.39600000000000002"/>
    <s v="Performance Stock"/>
    <n v="0.39600000000000002"/>
    <x v="1"/>
    <s v="Return"/>
    <x v="26"/>
    <s v="3Y Average Adjusted ROIC "/>
    <n v="0.67"/>
  </r>
  <r>
    <x v="51"/>
    <x v="6"/>
    <x v="17"/>
    <x v="29"/>
    <s v="Railroads"/>
    <x v="0"/>
    <s v="A-"/>
    <s v="United States"/>
    <x v="0"/>
    <d v="2024-03-26T00:00:00"/>
    <x v="1"/>
    <x v="2"/>
    <x v="1"/>
    <m/>
    <s v="Performance Stock"/>
    <n v="0.39600000000000002"/>
    <x v="1"/>
    <s v="Profitability"/>
    <x v="61"/>
    <s v="3Y Relative Operating Income Growth"/>
    <n v="0.33"/>
  </r>
  <r>
    <x v="51"/>
    <x v="6"/>
    <x v="17"/>
    <x v="29"/>
    <s v="Railroads"/>
    <x v="0"/>
    <s v="A-"/>
    <s v="United States"/>
    <x v="0"/>
    <d v="2024-03-26T00:00:00"/>
    <x v="1"/>
    <x v="2"/>
    <x v="0"/>
    <n v="0.26400000000000001"/>
    <s v="Stock Options"/>
    <n v="0.26400000000000001"/>
    <x v="0"/>
    <m/>
    <x v="0"/>
    <m/>
    <m/>
  </r>
  <r>
    <x v="52"/>
    <x v="6"/>
    <x v="10"/>
    <x v="10"/>
    <s v="Aerospace &amp; Defense"/>
    <x v="0"/>
    <s v="BBB-"/>
    <s v="United States"/>
    <x v="0"/>
    <d v="2024-04-05T00:00:00"/>
    <x v="0"/>
    <x v="0"/>
    <x v="0"/>
    <n v="0.06"/>
    <s v="Base Salary"/>
    <n v="0.06"/>
    <x v="0"/>
    <m/>
    <x v="0"/>
    <m/>
    <m/>
  </r>
  <r>
    <x v="52"/>
    <x v="6"/>
    <x v="10"/>
    <x v="10"/>
    <s v="Aerospace &amp; Defense"/>
    <x v="0"/>
    <s v="BBB-"/>
    <s v="United States"/>
    <x v="0"/>
    <d v="2024-04-05T00:00:00"/>
    <x v="0"/>
    <x v="1"/>
    <x v="1"/>
    <n v="0.11"/>
    <s v="Cash Incentive"/>
    <n v="0.11"/>
    <x v="1"/>
    <s v="Cash Flow"/>
    <x v="25"/>
    <s v="Free Cash Flow"/>
    <n v="0.37687500000000007"/>
  </r>
  <r>
    <x v="52"/>
    <x v="6"/>
    <x v="10"/>
    <x v="10"/>
    <s v="Aerospace &amp; Defense"/>
    <x v="0"/>
    <s v="BBB-"/>
    <s v="United States"/>
    <x v="0"/>
    <d v="2024-04-05T00:00:00"/>
    <x v="0"/>
    <x v="1"/>
    <x v="1"/>
    <m/>
    <s v="Cash Incentive"/>
    <n v="0.11"/>
    <x v="1"/>
    <s v="Growth"/>
    <x v="1"/>
    <s v="Revenue "/>
    <n v="0.18656250000000002"/>
  </r>
  <r>
    <x v="52"/>
    <x v="6"/>
    <x v="10"/>
    <x v="10"/>
    <s v="Aerospace &amp; Defense"/>
    <x v="0"/>
    <s v="BBB-"/>
    <s v="United States"/>
    <x v="0"/>
    <d v="2024-04-05T00:00:00"/>
    <x v="0"/>
    <x v="1"/>
    <x v="1"/>
    <m/>
    <s v="Cash Incentive"/>
    <n v="0.11"/>
    <x v="1"/>
    <s v="Profitability"/>
    <x v="2"/>
    <s v="Business Unit Operating Income"/>
    <n v="0.12375"/>
  </r>
  <r>
    <x v="52"/>
    <x v="6"/>
    <x v="10"/>
    <x v="10"/>
    <s v="Aerospace &amp; Defense"/>
    <x v="0"/>
    <s v="BBB-"/>
    <s v="United States"/>
    <x v="0"/>
    <d v="2024-04-05T00:00:00"/>
    <x v="0"/>
    <x v="1"/>
    <x v="1"/>
    <m/>
    <s v="Cash Incentive"/>
    <n v="0.11"/>
    <x v="1"/>
    <s v="Profitability"/>
    <x v="14"/>
    <s v="Adjusted EPS"/>
    <n v="6.2812500000000007E-2"/>
  </r>
  <r>
    <x v="52"/>
    <x v="6"/>
    <x v="10"/>
    <x v="10"/>
    <s v="Aerospace &amp; Defense"/>
    <x v="0"/>
    <s v="BBB-"/>
    <s v="United States"/>
    <x v="0"/>
    <d v="2024-04-05T00:00:00"/>
    <x v="0"/>
    <x v="1"/>
    <x v="1"/>
    <m/>
    <s v="Cash Incentive"/>
    <n v="0.11"/>
    <x v="2"/>
    <s v="Strategy &amp; Operations"/>
    <x v="3"/>
    <s v="Production Stability"/>
    <n v="0.05"/>
  </r>
  <r>
    <x v="52"/>
    <x v="6"/>
    <x v="10"/>
    <x v="10"/>
    <s v="Aerospace &amp; Defense"/>
    <x v="0"/>
    <s v="BBB-"/>
    <s v="United States"/>
    <x v="0"/>
    <d v="2024-04-05T00:00:00"/>
    <x v="0"/>
    <x v="1"/>
    <x v="1"/>
    <m/>
    <s v="Cash Incentive"/>
    <n v="0.11"/>
    <x v="2"/>
    <s v="Strategy &amp; Operations"/>
    <x v="3"/>
    <s v="Production Quality"/>
    <n v="0.05"/>
  </r>
  <r>
    <x v="52"/>
    <x v="6"/>
    <x v="10"/>
    <x v="10"/>
    <s v="Aerospace &amp; Defense"/>
    <x v="0"/>
    <s v="BBB-"/>
    <s v="United States"/>
    <x v="0"/>
    <d v="2024-04-05T00:00:00"/>
    <x v="0"/>
    <x v="1"/>
    <x v="1"/>
    <m/>
    <s v="Cash Incentive"/>
    <n v="0.11"/>
    <x v="2"/>
    <s v="Strategy &amp; Operations"/>
    <x v="40"/>
    <s v="Employee Safety"/>
    <n v="0.05"/>
  </r>
  <r>
    <x v="52"/>
    <x v="6"/>
    <x v="10"/>
    <x v="10"/>
    <s v="Aerospace &amp; Defense"/>
    <x v="0"/>
    <s v="BBB-"/>
    <s v="United States"/>
    <x v="0"/>
    <d v="2024-04-05T00:00:00"/>
    <x v="0"/>
    <x v="1"/>
    <x v="1"/>
    <m/>
    <s v="Cash Incentive"/>
    <n v="0.11"/>
    <x v="2"/>
    <s v="ESG"/>
    <x v="7"/>
    <s v="Climate "/>
    <n v="0.05"/>
  </r>
  <r>
    <x v="52"/>
    <x v="6"/>
    <x v="10"/>
    <x v="10"/>
    <s v="Aerospace &amp; Defense"/>
    <x v="0"/>
    <s v="BBB-"/>
    <s v="United States"/>
    <x v="0"/>
    <d v="2024-04-05T00:00:00"/>
    <x v="0"/>
    <x v="1"/>
    <x v="1"/>
    <m/>
    <s v="Cash Incentive"/>
    <n v="0.11"/>
    <x v="2"/>
    <s v="ESG"/>
    <x v="7"/>
    <s v="Equity, Diversity, and Inclusion"/>
    <n v="0.05"/>
  </r>
  <r>
    <x v="52"/>
    <x v="6"/>
    <x v="10"/>
    <x v="10"/>
    <s v="Aerospace &amp; Defense"/>
    <x v="0"/>
    <s v="BBB-"/>
    <s v="United States"/>
    <x v="0"/>
    <d v="2024-04-05T00:00:00"/>
    <x v="0"/>
    <x v="1"/>
    <x v="1"/>
    <m/>
    <s v="Cash Incentive"/>
    <n v="0.11"/>
    <x v="0"/>
    <s v="Modifier/Threshold"/>
    <x v="10"/>
    <s v="Individual Performance Factor"/>
    <m/>
  </r>
  <r>
    <x v="52"/>
    <x v="6"/>
    <x v="10"/>
    <x v="10"/>
    <s v="Aerospace &amp; Defense"/>
    <x v="0"/>
    <s v="BBB-"/>
    <s v="United States"/>
    <x v="0"/>
    <d v="2024-04-05T00:00:00"/>
    <x v="0"/>
    <x v="2"/>
    <x v="1"/>
    <n v="0.45650000000000002"/>
    <s v="Performance Stock"/>
    <n v="0.45650000000000002"/>
    <x v="1"/>
    <s v="Cash Flow"/>
    <x v="25"/>
    <s v="3Y Cumulative Free Cash Flow"/>
    <n v="1"/>
  </r>
  <r>
    <x v="52"/>
    <x v="6"/>
    <x v="10"/>
    <x v="10"/>
    <s v="Aerospace &amp; Defense"/>
    <x v="0"/>
    <s v="BBB-"/>
    <s v="United States"/>
    <x v="0"/>
    <d v="2024-04-05T00:00:00"/>
    <x v="0"/>
    <x v="2"/>
    <x v="1"/>
    <m/>
    <s v="Performance Stock"/>
    <n v="0.45650000000000002"/>
    <x v="0"/>
    <s v="Modifier/Threshold"/>
    <x v="41"/>
    <s v="Product Safety Modifier"/>
    <m/>
  </r>
  <r>
    <x v="52"/>
    <x v="6"/>
    <x v="10"/>
    <x v="10"/>
    <s v="Aerospace &amp; Defense"/>
    <x v="0"/>
    <s v="BBB-"/>
    <s v="United States"/>
    <x v="0"/>
    <d v="2024-04-05T00:00:00"/>
    <x v="0"/>
    <x v="2"/>
    <x v="0"/>
    <n v="0.3735"/>
    <s v="Time-Based Stock"/>
    <n v="0.3735"/>
    <x v="0"/>
    <m/>
    <x v="0"/>
    <m/>
    <m/>
  </r>
  <r>
    <x v="52"/>
    <x v="6"/>
    <x v="10"/>
    <x v="10"/>
    <s v="Aerospace &amp; Defense"/>
    <x v="0"/>
    <s v="BBB-"/>
    <s v="United States"/>
    <x v="0"/>
    <d v="2024-04-05T00:00:00"/>
    <x v="1"/>
    <x v="0"/>
    <x v="0"/>
    <n v="0.11"/>
    <s v="Base Salary"/>
    <n v="0.11"/>
    <x v="0"/>
    <m/>
    <x v="0"/>
    <m/>
    <m/>
  </r>
  <r>
    <x v="52"/>
    <x v="6"/>
    <x v="10"/>
    <x v="10"/>
    <s v="Aerospace &amp; Defense"/>
    <x v="0"/>
    <s v="BBB-"/>
    <s v="United States"/>
    <x v="0"/>
    <d v="2024-04-05T00:00:00"/>
    <x v="1"/>
    <x v="1"/>
    <x v="1"/>
    <n v="0.13"/>
    <s v="Cash Incentive"/>
    <n v="0.13"/>
    <x v="1"/>
    <s v="Cash Flow"/>
    <x v="25"/>
    <s v="Free Cash Flow"/>
    <n v="0.37687500000000007"/>
  </r>
  <r>
    <x v="52"/>
    <x v="6"/>
    <x v="10"/>
    <x v="10"/>
    <s v="Aerospace &amp; Defense"/>
    <x v="0"/>
    <s v="BBB-"/>
    <s v="United States"/>
    <x v="0"/>
    <d v="2024-04-05T00:00:00"/>
    <x v="1"/>
    <x v="1"/>
    <x v="1"/>
    <m/>
    <s v="Cash Incentive"/>
    <n v="0.13"/>
    <x v="1"/>
    <s v="Growth"/>
    <x v="1"/>
    <s v="Revenue "/>
    <n v="0.18656250000000002"/>
  </r>
  <r>
    <x v="52"/>
    <x v="6"/>
    <x v="10"/>
    <x v="10"/>
    <s v="Aerospace &amp; Defense"/>
    <x v="0"/>
    <s v="BBB-"/>
    <s v="United States"/>
    <x v="0"/>
    <d v="2024-04-05T00:00:00"/>
    <x v="1"/>
    <x v="1"/>
    <x v="1"/>
    <m/>
    <s v="Cash Incentive"/>
    <n v="0.13"/>
    <x v="1"/>
    <s v="Profitability"/>
    <x v="2"/>
    <s v="Business Unit Operating Income"/>
    <n v="0.12375"/>
  </r>
  <r>
    <x v="52"/>
    <x v="6"/>
    <x v="10"/>
    <x v="10"/>
    <s v="Aerospace &amp; Defense"/>
    <x v="0"/>
    <s v="BBB-"/>
    <s v="United States"/>
    <x v="0"/>
    <d v="2024-04-05T00:00:00"/>
    <x v="1"/>
    <x v="1"/>
    <x v="1"/>
    <m/>
    <s v="Cash Incentive"/>
    <n v="0.13"/>
    <x v="1"/>
    <s v="Profitability"/>
    <x v="14"/>
    <s v="Adjusted EPS"/>
    <n v="6.2812500000000007E-2"/>
  </r>
  <r>
    <x v="52"/>
    <x v="6"/>
    <x v="10"/>
    <x v="10"/>
    <s v="Aerospace &amp; Defense"/>
    <x v="0"/>
    <s v="BBB-"/>
    <s v="United States"/>
    <x v="0"/>
    <d v="2024-04-05T00:00:00"/>
    <x v="1"/>
    <x v="1"/>
    <x v="1"/>
    <m/>
    <s v="Cash Incentive"/>
    <n v="0.13"/>
    <x v="2"/>
    <s v="Strategy &amp; Operations"/>
    <x v="3"/>
    <s v="Production Stability"/>
    <n v="0.05"/>
  </r>
  <r>
    <x v="52"/>
    <x v="6"/>
    <x v="10"/>
    <x v="10"/>
    <s v="Aerospace &amp; Defense"/>
    <x v="0"/>
    <s v="BBB-"/>
    <s v="United States"/>
    <x v="0"/>
    <d v="2024-04-05T00:00:00"/>
    <x v="1"/>
    <x v="1"/>
    <x v="1"/>
    <m/>
    <s v="Cash Incentive"/>
    <n v="0.13"/>
    <x v="2"/>
    <s v="Strategy &amp; Operations"/>
    <x v="3"/>
    <s v="Production Quality"/>
    <n v="0.05"/>
  </r>
  <r>
    <x v="52"/>
    <x v="6"/>
    <x v="10"/>
    <x v="10"/>
    <s v="Aerospace &amp; Defense"/>
    <x v="0"/>
    <s v="BBB-"/>
    <s v="United States"/>
    <x v="0"/>
    <d v="2024-04-05T00:00:00"/>
    <x v="1"/>
    <x v="1"/>
    <x v="1"/>
    <m/>
    <s v="Cash Incentive"/>
    <n v="0.13"/>
    <x v="2"/>
    <s v="Strategy &amp; Operations"/>
    <x v="40"/>
    <s v="Employee Safety"/>
    <n v="0.05"/>
  </r>
  <r>
    <x v="52"/>
    <x v="6"/>
    <x v="10"/>
    <x v="10"/>
    <s v="Aerospace &amp; Defense"/>
    <x v="0"/>
    <s v="BBB-"/>
    <s v="United States"/>
    <x v="0"/>
    <d v="2024-04-05T00:00:00"/>
    <x v="1"/>
    <x v="1"/>
    <x v="1"/>
    <m/>
    <s v="Cash Incentive"/>
    <n v="0.13"/>
    <x v="2"/>
    <s v="ESG"/>
    <x v="7"/>
    <s v="Climate "/>
    <n v="0.05"/>
  </r>
  <r>
    <x v="52"/>
    <x v="6"/>
    <x v="10"/>
    <x v="10"/>
    <s v="Aerospace &amp; Defense"/>
    <x v="0"/>
    <s v="BBB-"/>
    <s v="United States"/>
    <x v="0"/>
    <d v="2024-04-05T00:00:00"/>
    <x v="1"/>
    <x v="1"/>
    <x v="1"/>
    <m/>
    <s v="Cash Incentive"/>
    <n v="0.13"/>
    <x v="2"/>
    <s v="ESG"/>
    <x v="7"/>
    <s v="Equity, Diversity, and Inclusion"/>
    <n v="0.05"/>
  </r>
  <r>
    <x v="52"/>
    <x v="6"/>
    <x v="10"/>
    <x v="10"/>
    <s v="Aerospace &amp; Defense"/>
    <x v="0"/>
    <s v="BBB-"/>
    <s v="United States"/>
    <x v="0"/>
    <d v="2024-04-05T00:00:00"/>
    <x v="1"/>
    <x v="1"/>
    <x v="1"/>
    <m/>
    <s v="Cash Incentive"/>
    <n v="0.13"/>
    <x v="0"/>
    <s v="Modifier/Threshold"/>
    <x v="10"/>
    <s v="Individual Performance Factor"/>
    <m/>
  </r>
  <r>
    <x v="52"/>
    <x v="6"/>
    <x v="10"/>
    <x v="10"/>
    <s v="Aerospace &amp; Defense"/>
    <x v="0"/>
    <s v="BBB-"/>
    <s v="United States"/>
    <x v="0"/>
    <d v="2024-04-05T00:00:00"/>
    <x v="1"/>
    <x v="2"/>
    <x v="1"/>
    <n v="0.41800000000000004"/>
    <s v="Performance Stock"/>
    <n v="0.41800000000000004"/>
    <x v="1"/>
    <s v="Cash Flow"/>
    <x v="25"/>
    <s v="3Y Cumulative Free Cash Flow"/>
    <n v="1"/>
  </r>
  <r>
    <x v="52"/>
    <x v="6"/>
    <x v="10"/>
    <x v="10"/>
    <s v="Aerospace &amp; Defense"/>
    <x v="0"/>
    <s v="BBB-"/>
    <s v="United States"/>
    <x v="0"/>
    <d v="2024-04-05T00:00:00"/>
    <x v="1"/>
    <x v="2"/>
    <x v="1"/>
    <m/>
    <s v="Performance Stock"/>
    <n v="0.41800000000000004"/>
    <x v="0"/>
    <s v="Modifier/Threshold"/>
    <x v="41"/>
    <s v="Product Safety Modifier"/>
    <m/>
  </r>
  <r>
    <x v="52"/>
    <x v="6"/>
    <x v="10"/>
    <x v="10"/>
    <s v="Aerospace &amp; Defense"/>
    <x v="0"/>
    <s v="BBB-"/>
    <s v="United States"/>
    <x v="0"/>
    <d v="2024-04-05T00:00:00"/>
    <x v="1"/>
    <x v="2"/>
    <x v="0"/>
    <n v="0.34200000000000003"/>
    <s v="Time-Based Stock"/>
    <n v="0.34200000000000003"/>
    <x v="0"/>
    <m/>
    <x v="0"/>
    <m/>
    <m/>
  </r>
  <r>
    <x v="53"/>
    <x v="7"/>
    <x v="11"/>
    <x v="16"/>
    <s v="Chemicals"/>
    <x v="2"/>
    <s v="BBB-"/>
    <s v="United States"/>
    <x v="0"/>
    <d v="2024-03-21T00:00:00"/>
    <x v="0"/>
    <x v="0"/>
    <x v="0"/>
    <n v="0.10299999999999999"/>
    <s v="Base Salary"/>
    <n v="0.10299999999999999"/>
    <x v="0"/>
    <m/>
    <x v="0"/>
    <m/>
    <m/>
  </r>
  <r>
    <x v="53"/>
    <x v="7"/>
    <x v="11"/>
    <x v="16"/>
    <s v="Chemicals"/>
    <x v="2"/>
    <s v="BBB-"/>
    <s v="United States"/>
    <x v="0"/>
    <d v="2024-03-21T00:00:00"/>
    <x v="0"/>
    <x v="1"/>
    <x v="1"/>
    <n v="0.14399999999999999"/>
    <s v="Cash Incentive"/>
    <n v="0.14399999999999999"/>
    <x v="1"/>
    <s v="Profitability"/>
    <x v="32"/>
    <s v="Adjusted EBITDA"/>
    <n v="0.6"/>
  </r>
  <r>
    <x v="53"/>
    <x v="7"/>
    <x v="11"/>
    <x v="16"/>
    <s v="Chemicals"/>
    <x v="2"/>
    <s v="BBB-"/>
    <s v="United States"/>
    <x v="0"/>
    <d v="2024-03-21T00:00:00"/>
    <x v="0"/>
    <x v="1"/>
    <x v="1"/>
    <m/>
    <s v="Cash Incentive"/>
    <n v="0.14399999999999999"/>
    <x v="1"/>
    <s v="Cash Flow"/>
    <x v="25"/>
    <s v="Adjusted Free Cash Flow"/>
    <n v="0.2"/>
  </r>
  <r>
    <x v="53"/>
    <x v="7"/>
    <x v="11"/>
    <x v="16"/>
    <s v="Chemicals"/>
    <x v="2"/>
    <s v="BBB-"/>
    <s v="United States"/>
    <x v="0"/>
    <d v="2024-03-21T00:00:00"/>
    <x v="0"/>
    <x v="1"/>
    <x v="1"/>
    <m/>
    <s v="Cash Incentive"/>
    <n v="0.14399999999999999"/>
    <x v="2"/>
    <s v="Strategy &amp; Operations"/>
    <x v="40"/>
    <s v="Occupational Safety"/>
    <n v="0.05"/>
  </r>
  <r>
    <x v="53"/>
    <x v="7"/>
    <x v="11"/>
    <x v="16"/>
    <s v="Chemicals"/>
    <x v="2"/>
    <s v="BBB-"/>
    <s v="United States"/>
    <x v="0"/>
    <d v="2024-03-21T00:00:00"/>
    <x v="0"/>
    <x v="1"/>
    <x v="1"/>
    <m/>
    <s v="Cash Incentive"/>
    <n v="0.14399999999999999"/>
    <x v="2"/>
    <s v="Strategy &amp; Operations"/>
    <x v="40"/>
    <s v="Process Safety"/>
    <n v="0.05"/>
  </r>
  <r>
    <x v="53"/>
    <x v="7"/>
    <x v="11"/>
    <x v="16"/>
    <s v="Chemicals"/>
    <x v="2"/>
    <s v="BBB-"/>
    <s v="United States"/>
    <x v="0"/>
    <d v="2024-03-21T00:00:00"/>
    <x v="0"/>
    <x v="1"/>
    <x v="1"/>
    <m/>
    <s v="Cash Incentive"/>
    <n v="0.14399999999999999"/>
    <x v="2"/>
    <s v="ESG"/>
    <x v="7"/>
    <s v="Environment"/>
    <n v="0.05"/>
  </r>
  <r>
    <x v="53"/>
    <x v="7"/>
    <x v="11"/>
    <x v="16"/>
    <s v="Chemicals"/>
    <x v="2"/>
    <s v="BBB-"/>
    <s v="United States"/>
    <x v="0"/>
    <d v="2024-03-21T00:00:00"/>
    <x v="0"/>
    <x v="1"/>
    <x v="1"/>
    <m/>
    <s v="Cash Incentive"/>
    <n v="0.14399999999999999"/>
    <x v="2"/>
    <s v="Strategy &amp; Operations"/>
    <x v="3"/>
    <s v="Quality"/>
    <n v="0.05"/>
  </r>
  <r>
    <x v="53"/>
    <x v="7"/>
    <x v="11"/>
    <x v="16"/>
    <s v="Chemicals"/>
    <x v="2"/>
    <s v="BBB-"/>
    <s v="United States"/>
    <x v="0"/>
    <d v="2024-03-21T00:00:00"/>
    <x v="0"/>
    <x v="2"/>
    <x v="1"/>
    <n v="0.52710000000000001"/>
    <s v="Performance Stock"/>
    <n v="0.52710000000000001"/>
    <x v="1"/>
    <s v="Profitability"/>
    <x v="14"/>
    <s v="3Y Cumulative Adjusted EPS"/>
    <n v="0.7"/>
  </r>
  <r>
    <x v="53"/>
    <x v="7"/>
    <x v="11"/>
    <x v="16"/>
    <s v="Chemicals"/>
    <x v="2"/>
    <s v="BBB-"/>
    <s v="United States"/>
    <x v="0"/>
    <d v="2024-03-21T00:00:00"/>
    <x v="0"/>
    <x v="2"/>
    <x v="1"/>
    <m/>
    <s v="Performance Stock"/>
    <n v="0.52710000000000001"/>
    <x v="1"/>
    <s v="Return"/>
    <x v="39"/>
    <s v="3Y Average Adjusted Return on Capital Employed"/>
    <n v="0.3"/>
  </r>
  <r>
    <x v="53"/>
    <x v="7"/>
    <x v="11"/>
    <x v="16"/>
    <s v="Chemicals"/>
    <x v="2"/>
    <s v="BBB-"/>
    <s v="United States"/>
    <x v="0"/>
    <d v="2024-03-21T00:00:00"/>
    <x v="0"/>
    <x v="2"/>
    <x v="1"/>
    <m/>
    <s v="Performance Stock"/>
    <n v="0.52710000000000001"/>
    <x v="0"/>
    <s v="Modifier/Threshold"/>
    <x v="6"/>
    <s v="3Y Relative TSR"/>
    <m/>
  </r>
  <r>
    <x v="53"/>
    <x v="7"/>
    <x v="11"/>
    <x v="16"/>
    <s v="Chemicals"/>
    <x v="2"/>
    <s v="BBB-"/>
    <s v="United States"/>
    <x v="0"/>
    <d v="2024-03-21T00:00:00"/>
    <x v="0"/>
    <x v="2"/>
    <x v="0"/>
    <n v="0.22589999999999999"/>
    <s v="Stock Options"/>
    <n v="0.22589999999999999"/>
    <x v="0"/>
    <m/>
    <x v="0"/>
    <m/>
    <m/>
  </r>
  <r>
    <x v="53"/>
    <x v="7"/>
    <x v="11"/>
    <x v="16"/>
    <s v="Chemicals"/>
    <x v="2"/>
    <s v="BBB-"/>
    <s v="United States"/>
    <x v="0"/>
    <d v="2024-03-21T00:00:00"/>
    <x v="1"/>
    <x v="0"/>
    <x v="0"/>
    <n v="0.28699999999999998"/>
    <s v="Base Salary"/>
    <n v="0.28699999999999998"/>
    <x v="0"/>
    <m/>
    <x v="0"/>
    <m/>
    <m/>
  </r>
  <r>
    <x v="53"/>
    <x v="7"/>
    <x v="11"/>
    <x v="16"/>
    <s v="Chemicals"/>
    <x v="2"/>
    <s v="BBB-"/>
    <s v="United States"/>
    <x v="0"/>
    <d v="2024-03-21T00:00:00"/>
    <x v="1"/>
    <x v="1"/>
    <x v="1"/>
    <n v="0.219"/>
    <s v="Cash Incentive"/>
    <n v="0.219"/>
    <x v="1"/>
    <s v="Profitability"/>
    <x v="32"/>
    <s v="Adjusted EBITDA"/>
    <n v="0.6"/>
  </r>
  <r>
    <x v="53"/>
    <x v="7"/>
    <x v="11"/>
    <x v="16"/>
    <s v="Chemicals"/>
    <x v="2"/>
    <s v="BBB-"/>
    <s v="United States"/>
    <x v="0"/>
    <d v="2024-03-21T00:00:00"/>
    <x v="1"/>
    <x v="1"/>
    <x v="1"/>
    <m/>
    <s v="Cash Incentive"/>
    <n v="0.219"/>
    <x v="1"/>
    <s v="Cash Flow"/>
    <x v="25"/>
    <s v="Adjusted Free Cash Flow"/>
    <n v="0.2"/>
  </r>
  <r>
    <x v="53"/>
    <x v="7"/>
    <x v="11"/>
    <x v="16"/>
    <s v="Chemicals"/>
    <x v="2"/>
    <s v="BBB-"/>
    <s v="United States"/>
    <x v="0"/>
    <d v="2024-03-21T00:00:00"/>
    <x v="1"/>
    <x v="1"/>
    <x v="1"/>
    <m/>
    <s v="Cash Incentive"/>
    <n v="0.219"/>
    <x v="2"/>
    <s v="Strategy &amp; Operations"/>
    <x v="40"/>
    <s v="Occupational Safety"/>
    <n v="0.05"/>
  </r>
  <r>
    <x v="53"/>
    <x v="7"/>
    <x v="11"/>
    <x v="16"/>
    <s v="Chemicals"/>
    <x v="2"/>
    <s v="BBB-"/>
    <s v="United States"/>
    <x v="0"/>
    <d v="2024-03-21T00:00:00"/>
    <x v="1"/>
    <x v="1"/>
    <x v="1"/>
    <m/>
    <s v="Cash Incentive"/>
    <n v="0.219"/>
    <x v="2"/>
    <s v="Strategy &amp; Operations"/>
    <x v="40"/>
    <s v="Process Safety"/>
    <n v="0.05"/>
  </r>
  <r>
    <x v="53"/>
    <x v="7"/>
    <x v="11"/>
    <x v="16"/>
    <s v="Chemicals"/>
    <x v="2"/>
    <s v="BBB-"/>
    <s v="United States"/>
    <x v="0"/>
    <d v="2024-03-21T00:00:00"/>
    <x v="1"/>
    <x v="1"/>
    <x v="1"/>
    <m/>
    <s v="Cash Incentive"/>
    <n v="0.219"/>
    <x v="2"/>
    <s v="ESG"/>
    <x v="7"/>
    <s v="Environment"/>
    <n v="0.05"/>
  </r>
  <r>
    <x v="53"/>
    <x v="7"/>
    <x v="11"/>
    <x v="16"/>
    <s v="Chemicals"/>
    <x v="2"/>
    <s v="BBB-"/>
    <s v="United States"/>
    <x v="0"/>
    <d v="2024-03-21T00:00:00"/>
    <x v="1"/>
    <x v="1"/>
    <x v="1"/>
    <m/>
    <s v="Cash Incentive"/>
    <n v="0.219"/>
    <x v="2"/>
    <s v="Strategy &amp; Operations"/>
    <x v="3"/>
    <s v="Quality"/>
    <n v="0.05"/>
  </r>
  <r>
    <x v="53"/>
    <x v="7"/>
    <x v="11"/>
    <x v="16"/>
    <s v="Chemicals"/>
    <x v="2"/>
    <s v="BBB-"/>
    <s v="United States"/>
    <x v="0"/>
    <d v="2024-03-21T00:00:00"/>
    <x v="1"/>
    <x v="1"/>
    <x v="1"/>
    <m/>
    <s v="Cash Incentive"/>
    <n v="0.219"/>
    <x v="0"/>
    <s v="Modifier/Threshold"/>
    <x v="10"/>
    <s v="Individual Performance Factor"/>
    <m/>
  </r>
  <r>
    <x v="53"/>
    <x v="7"/>
    <x v="11"/>
    <x v="16"/>
    <s v="Chemicals"/>
    <x v="2"/>
    <s v="BBB-"/>
    <s v="United States"/>
    <x v="0"/>
    <d v="2024-03-21T00:00:00"/>
    <x v="1"/>
    <x v="2"/>
    <x v="1"/>
    <n v="0.34599999999999997"/>
    <s v="Performance Stock"/>
    <n v="0.34599999999999997"/>
    <x v="1"/>
    <s v="Profitability"/>
    <x v="14"/>
    <s v="3Y Cumulative Adjusted EPS"/>
    <n v="0.7"/>
  </r>
  <r>
    <x v="53"/>
    <x v="7"/>
    <x v="11"/>
    <x v="16"/>
    <s v="Chemicals"/>
    <x v="2"/>
    <s v="BBB-"/>
    <s v="United States"/>
    <x v="0"/>
    <d v="2024-03-21T00:00:00"/>
    <x v="1"/>
    <x v="2"/>
    <x v="1"/>
    <m/>
    <s v="Performance Stock"/>
    <n v="0.34599999999999997"/>
    <x v="1"/>
    <s v="Return"/>
    <x v="39"/>
    <s v="3Y Average Adjusted Return on Capital Employed"/>
    <n v="0.3"/>
  </r>
  <r>
    <x v="53"/>
    <x v="7"/>
    <x v="11"/>
    <x v="16"/>
    <s v="Chemicals"/>
    <x v="2"/>
    <s v="BBB-"/>
    <s v="United States"/>
    <x v="0"/>
    <d v="2024-03-21T00:00:00"/>
    <x v="1"/>
    <x v="2"/>
    <x v="1"/>
    <m/>
    <s v="Performance Stock"/>
    <n v="0.34599999999999997"/>
    <x v="0"/>
    <s v="Modifier/Threshold"/>
    <x v="6"/>
    <s v="3Y Relative TSR"/>
    <m/>
  </r>
  <r>
    <x v="53"/>
    <x v="7"/>
    <x v="11"/>
    <x v="16"/>
    <s v="Chemicals"/>
    <x v="2"/>
    <s v="BBB-"/>
    <s v="United States"/>
    <x v="0"/>
    <d v="2024-03-21T00:00:00"/>
    <x v="1"/>
    <x v="2"/>
    <x v="0"/>
    <n v="0.14799999999999999"/>
    <s v="Stock Options"/>
    <n v="0.14799999999999999"/>
    <x v="0"/>
    <m/>
    <x v="0"/>
    <m/>
    <m/>
  </r>
  <r>
    <x v="54"/>
    <x v="2"/>
    <x v="14"/>
    <x v="22"/>
    <s v="Restaurants"/>
    <x v="2"/>
    <s v="BB+"/>
    <s v="United States"/>
    <x v="0"/>
    <d v="2024-04-05T00:00:00"/>
    <x v="0"/>
    <x v="0"/>
    <x v="0"/>
    <n v="0.08"/>
    <s v="Base Salary"/>
    <n v="0.08"/>
    <x v="0"/>
    <m/>
    <x v="0"/>
    <m/>
    <m/>
  </r>
  <r>
    <x v="54"/>
    <x v="2"/>
    <x v="14"/>
    <x v="22"/>
    <s v="Restaurants"/>
    <x v="2"/>
    <s v="BB+"/>
    <s v="United States"/>
    <x v="0"/>
    <d v="2024-04-05T00:00:00"/>
    <x v="0"/>
    <x v="1"/>
    <x v="1"/>
    <n v="0.17"/>
    <s v="Cash Incentive"/>
    <n v="0.17"/>
    <x v="1"/>
    <s v="Profitability"/>
    <x v="2"/>
    <s v="Adjusted Operating Income"/>
    <n v="0.5"/>
  </r>
  <r>
    <x v="54"/>
    <x v="2"/>
    <x v="14"/>
    <x v="22"/>
    <s v="Restaurants"/>
    <x v="2"/>
    <s v="BB+"/>
    <s v="United States"/>
    <x v="0"/>
    <d v="2024-04-05T00:00:00"/>
    <x v="0"/>
    <x v="1"/>
    <x v="1"/>
    <m/>
    <s v="Cash Incentive"/>
    <n v="0.17"/>
    <x v="1"/>
    <s v="Growth"/>
    <x v="56"/>
    <s v="Adjusted Same Store Sales Growth"/>
    <n v="0.25"/>
  </r>
  <r>
    <x v="54"/>
    <x v="2"/>
    <x v="14"/>
    <x v="22"/>
    <s v="Restaurants"/>
    <x v="2"/>
    <s v="BB+"/>
    <s v="United States"/>
    <x v="0"/>
    <d v="2024-04-05T00:00:00"/>
    <x v="0"/>
    <x v="1"/>
    <x v="1"/>
    <m/>
    <s v="Cash Incentive"/>
    <n v="0.17"/>
    <x v="1"/>
    <s v="Growth"/>
    <x v="58"/>
    <s v="Net New Restaurants"/>
    <n v="0.25"/>
  </r>
  <r>
    <x v="54"/>
    <x v="2"/>
    <x v="14"/>
    <x v="22"/>
    <s v="Restaurants"/>
    <x v="2"/>
    <s v="BB+"/>
    <s v="United States"/>
    <x v="0"/>
    <d v="2024-04-05T00:00:00"/>
    <x v="0"/>
    <x v="1"/>
    <x v="1"/>
    <m/>
    <s v="Cash Incentive"/>
    <n v="0.17"/>
    <x v="0"/>
    <s v="Modifier/Threshold"/>
    <x v="10"/>
    <s v="Individual Performance Factor"/>
    <m/>
  </r>
  <r>
    <x v="54"/>
    <x v="2"/>
    <x v="14"/>
    <x v="22"/>
    <s v="Restaurants"/>
    <x v="2"/>
    <s v="BB+"/>
    <s v="United States"/>
    <x v="0"/>
    <d v="2024-04-05T00:00:00"/>
    <x v="0"/>
    <x v="2"/>
    <x v="1"/>
    <n v="0.37"/>
    <s v="Performance Stock"/>
    <n v="0.37"/>
    <x v="1"/>
    <s v="Growth"/>
    <x v="1"/>
    <s v="3Y Revenue CAGR"/>
    <n v="0.5"/>
  </r>
  <r>
    <x v="54"/>
    <x v="2"/>
    <x v="14"/>
    <x v="22"/>
    <s v="Restaurants"/>
    <x v="2"/>
    <s v="BB+"/>
    <s v="United States"/>
    <x v="0"/>
    <d v="2024-04-05T00:00:00"/>
    <x v="0"/>
    <x v="2"/>
    <x v="1"/>
    <m/>
    <s v="Performance Stock"/>
    <n v="0.37"/>
    <x v="1"/>
    <s v="Profitability"/>
    <x v="2"/>
    <s v="3Y Adjusted Operating Income CAGR"/>
    <n v="0.5"/>
  </r>
  <r>
    <x v="54"/>
    <x v="2"/>
    <x v="14"/>
    <x v="22"/>
    <s v="Restaurants"/>
    <x v="2"/>
    <s v="BB+"/>
    <s v="United States"/>
    <x v="0"/>
    <d v="2024-04-05T00:00:00"/>
    <x v="0"/>
    <x v="2"/>
    <x v="1"/>
    <m/>
    <s v="Performance Stock"/>
    <n v="0.37"/>
    <x v="0"/>
    <s v="Modifier/Threshold"/>
    <x v="6"/>
    <s v="3Y Relative TSR"/>
    <m/>
  </r>
  <r>
    <x v="54"/>
    <x v="2"/>
    <x v="14"/>
    <x v="22"/>
    <s v="Restaurants"/>
    <x v="2"/>
    <s v="BB+"/>
    <s v="United States"/>
    <x v="0"/>
    <d v="2024-04-05T00:00:00"/>
    <x v="0"/>
    <x v="2"/>
    <x v="0"/>
    <n v="0.19"/>
    <s v="Stock Appreciation Rights"/>
    <n v="0.19"/>
    <x v="0"/>
    <m/>
    <x v="0"/>
    <m/>
    <m/>
  </r>
  <r>
    <x v="54"/>
    <x v="2"/>
    <x v="14"/>
    <x v="22"/>
    <s v="Restaurants"/>
    <x v="2"/>
    <s v="BB+"/>
    <s v="United States"/>
    <x v="0"/>
    <d v="2024-04-05T00:00:00"/>
    <x v="0"/>
    <x v="2"/>
    <x v="0"/>
    <n v="0.19"/>
    <s v="Time-Based Stock"/>
    <n v="0.19"/>
    <x v="0"/>
    <m/>
    <x v="0"/>
    <m/>
    <m/>
  </r>
  <r>
    <x v="54"/>
    <x v="2"/>
    <x v="14"/>
    <x v="22"/>
    <s v="Restaurants"/>
    <x v="2"/>
    <s v="BB+"/>
    <s v="United States"/>
    <x v="0"/>
    <d v="2024-04-05T00:00:00"/>
    <x v="1"/>
    <x v="0"/>
    <x v="0"/>
    <n v="0.2"/>
    <s v="Base Salary"/>
    <n v="0.2"/>
    <x v="0"/>
    <m/>
    <x v="0"/>
    <m/>
    <m/>
  </r>
  <r>
    <x v="54"/>
    <x v="2"/>
    <x v="14"/>
    <x v="22"/>
    <s v="Restaurants"/>
    <x v="2"/>
    <s v="BB+"/>
    <s v="United States"/>
    <x v="0"/>
    <d v="2024-04-05T00:00:00"/>
    <x v="1"/>
    <x v="1"/>
    <x v="1"/>
    <n v="0.23"/>
    <s v="Cash Incentive"/>
    <n v="0.23"/>
    <x v="1"/>
    <s v="Profitability"/>
    <x v="2"/>
    <s v="Adjusted Operating Income"/>
    <n v="0.5"/>
  </r>
  <r>
    <x v="54"/>
    <x v="2"/>
    <x v="14"/>
    <x v="22"/>
    <s v="Restaurants"/>
    <x v="2"/>
    <s v="BB+"/>
    <s v="United States"/>
    <x v="0"/>
    <d v="2024-04-05T00:00:00"/>
    <x v="1"/>
    <x v="1"/>
    <x v="1"/>
    <m/>
    <s v="Cash Incentive"/>
    <n v="0.23"/>
    <x v="1"/>
    <s v="Growth"/>
    <x v="56"/>
    <s v="Adjusted Same Store Sales Growth"/>
    <n v="0.25"/>
  </r>
  <r>
    <x v="54"/>
    <x v="2"/>
    <x v="14"/>
    <x v="22"/>
    <s v="Restaurants"/>
    <x v="2"/>
    <s v="BB+"/>
    <s v="United States"/>
    <x v="0"/>
    <d v="2024-04-05T00:00:00"/>
    <x v="1"/>
    <x v="1"/>
    <x v="1"/>
    <m/>
    <s v="Cash Incentive"/>
    <n v="0.23"/>
    <x v="1"/>
    <s v="Growth"/>
    <x v="58"/>
    <s v="Net New Restaurants"/>
    <n v="0.25"/>
  </r>
  <r>
    <x v="54"/>
    <x v="2"/>
    <x v="14"/>
    <x v="22"/>
    <s v="Restaurants"/>
    <x v="2"/>
    <s v="BB+"/>
    <s v="United States"/>
    <x v="0"/>
    <d v="2024-04-05T00:00:00"/>
    <x v="1"/>
    <x v="1"/>
    <x v="1"/>
    <m/>
    <s v="Cash Incentive"/>
    <n v="0.23"/>
    <x v="0"/>
    <s v="Modifier/Threshold"/>
    <x v="10"/>
    <s v="Individual Performance Factor"/>
    <m/>
  </r>
  <r>
    <x v="54"/>
    <x v="2"/>
    <x v="14"/>
    <x v="22"/>
    <s v="Restaurants"/>
    <x v="2"/>
    <s v="BB+"/>
    <s v="United States"/>
    <x v="0"/>
    <d v="2024-04-05T00:00:00"/>
    <x v="1"/>
    <x v="2"/>
    <x v="1"/>
    <n v="0.28999999999999998"/>
    <s v="Performance Stock"/>
    <n v="0.28999999999999998"/>
    <x v="1"/>
    <s v="Growth"/>
    <x v="1"/>
    <s v="3Y Revenue CAGR"/>
    <n v="0.5"/>
  </r>
  <r>
    <x v="54"/>
    <x v="2"/>
    <x v="14"/>
    <x v="22"/>
    <s v="Restaurants"/>
    <x v="2"/>
    <s v="BB+"/>
    <s v="United States"/>
    <x v="0"/>
    <d v="2024-04-05T00:00:00"/>
    <x v="1"/>
    <x v="2"/>
    <x v="1"/>
    <m/>
    <s v="Performance Stock"/>
    <n v="0.28999999999999998"/>
    <x v="1"/>
    <s v="Profitability"/>
    <x v="2"/>
    <s v="3Y Adjusted Operating Income CAGR"/>
    <n v="0.5"/>
  </r>
  <r>
    <x v="54"/>
    <x v="2"/>
    <x v="14"/>
    <x v="22"/>
    <s v="Restaurants"/>
    <x v="2"/>
    <s v="BB+"/>
    <s v="United States"/>
    <x v="0"/>
    <d v="2024-04-05T00:00:00"/>
    <x v="1"/>
    <x v="2"/>
    <x v="1"/>
    <m/>
    <s v="Performance Stock"/>
    <n v="0.28999999999999998"/>
    <x v="0"/>
    <s v="Modifier/Threshold"/>
    <x v="6"/>
    <s v="3Y Relative TSR"/>
    <m/>
  </r>
  <r>
    <x v="54"/>
    <x v="2"/>
    <x v="14"/>
    <x v="22"/>
    <s v="Restaurants"/>
    <x v="2"/>
    <s v="BB+"/>
    <s v="United States"/>
    <x v="0"/>
    <d v="2024-04-05T00:00:00"/>
    <x v="1"/>
    <x v="2"/>
    <x v="0"/>
    <n v="0.14000000000000001"/>
    <s v="Stock Appreciation Rights"/>
    <n v="0.14000000000000001"/>
    <x v="0"/>
    <m/>
    <x v="0"/>
    <m/>
    <m/>
  </r>
  <r>
    <x v="54"/>
    <x v="2"/>
    <x v="14"/>
    <x v="22"/>
    <s v="Restaurants"/>
    <x v="2"/>
    <s v="BB+"/>
    <s v="United States"/>
    <x v="0"/>
    <d v="2024-04-05T00:00:00"/>
    <x v="1"/>
    <x v="2"/>
    <x v="0"/>
    <n v="0.14000000000000001"/>
    <s v="Time-Based Stock"/>
    <n v="0.14000000000000001"/>
    <x v="0"/>
    <m/>
    <x v="0"/>
    <m/>
    <m/>
  </r>
  <r>
    <x v="55"/>
    <x v="8"/>
    <x v="13"/>
    <x v="21"/>
    <s v="Oil &amp; Gas"/>
    <x v="0"/>
    <s v="A-"/>
    <s v="United States"/>
    <x v="0"/>
    <d v="2024-04-01T00:00:00"/>
    <x v="0"/>
    <x v="0"/>
    <x v="0"/>
    <n v="0.09"/>
    <s v="Base Salary"/>
    <n v="0.09"/>
    <x v="0"/>
    <m/>
    <x v="0"/>
    <m/>
    <m/>
  </r>
  <r>
    <x v="55"/>
    <x v="8"/>
    <x v="13"/>
    <x v="21"/>
    <s v="Oil &amp; Gas"/>
    <x v="0"/>
    <s v="A-"/>
    <s v="United States"/>
    <x v="0"/>
    <d v="2024-04-01T00:00:00"/>
    <x v="0"/>
    <x v="1"/>
    <x v="1"/>
    <n v="0.14000000000000001"/>
    <s v="Cash Incentive"/>
    <n v="0.14000000000000001"/>
    <x v="1"/>
    <s v="Strategy &amp; Operations"/>
    <x v="3"/>
    <s v="Operations"/>
    <n v="0.3"/>
  </r>
  <r>
    <x v="55"/>
    <x v="8"/>
    <x v="13"/>
    <x v="21"/>
    <s v="Oil &amp; Gas"/>
    <x v="0"/>
    <s v="A-"/>
    <s v="United States"/>
    <x v="0"/>
    <d v="2024-04-01T00:00:00"/>
    <x v="0"/>
    <x v="1"/>
    <x v="1"/>
    <m/>
    <s v="Cash Incentive"/>
    <n v="0.14000000000000001"/>
    <x v="1"/>
    <s v="Return"/>
    <x v="54"/>
    <s v="Relative Adjusted Return on Capital Employed"/>
    <n v="0.15"/>
  </r>
  <r>
    <x v="55"/>
    <x v="8"/>
    <x v="13"/>
    <x v="21"/>
    <s v="Oil &amp; Gas"/>
    <x v="0"/>
    <s v="A-"/>
    <s v="United States"/>
    <x v="0"/>
    <d v="2024-04-01T00:00:00"/>
    <x v="0"/>
    <x v="1"/>
    <x v="1"/>
    <m/>
    <s v="Cash Incentive"/>
    <n v="0.14000000000000001"/>
    <x v="1"/>
    <s v="Return"/>
    <x v="39"/>
    <s v="Adjusted Return on Capital Employed"/>
    <n v="0.15"/>
  </r>
  <r>
    <x v="55"/>
    <x v="8"/>
    <x v="13"/>
    <x v="21"/>
    <s v="Oil &amp; Gas"/>
    <x v="0"/>
    <s v="A-"/>
    <s v="United States"/>
    <x v="0"/>
    <d v="2024-04-01T00:00:00"/>
    <x v="0"/>
    <x v="1"/>
    <x v="1"/>
    <m/>
    <s v="Cash Incentive"/>
    <n v="0.14000000000000001"/>
    <x v="2"/>
    <s v="ESG"/>
    <x v="7"/>
    <s v="Absolute and Relative Health, Safety, and Environmental "/>
    <n v="0.2"/>
  </r>
  <r>
    <x v="55"/>
    <x v="8"/>
    <x v="13"/>
    <x v="21"/>
    <s v="Oil &amp; Gas"/>
    <x v="0"/>
    <s v="A-"/>
    <s v="United States"/>
    <x v="0"/>
    <d v="2024-04-01T00:00:00"/>
    <x v="0"/>
    <x v="1"/>
    <x v="1"/>
    <m/>
    <s v="Cash Incentive"/>
    <n v="0.14000000000000001"/>
    <x v="2"/>
    <s v="Strategy &amp; Operations"/>
    <x v="3"/>
    <s v="Strategic Milestones"/>
    <n v="0.1"/>
  </r>
  <r>
    <x v="55"/>
    <x v="8"/>
    <x v="13"/>
    <x v="21"/>
    <s v="Oil &amp; Gas"/>
    <x v="0"/>
    <s v="A-"/>
    <s v="United States"/>
    <x v="0"/>
    <d v="2024-04-01T00:00:00"/>
    <x v="0"/>
    <x v="1"/>
    <x v="1"/>
    <m/>
    <s v="Cash Incentive"/>
    <n v="0.14000000000000001"/>
    <x v="2"/>
    <s v="ESG"/>
    <x v="7"/>
    <s v="Energy Transition Milestones"/>
    <n v="0.1"/>
  </r>
  <r>
    <x v="55"/>
    <x v="8"/>
    <x v="13"/>
    <x v="21"/>
    <s v="Oil &amp; Gas"/>
    <x v="0"/>
    <s v="A-"/>
    <s v="United States"/>
    <x v="0"/>
    <d v="2024-04-01T00:00:00"/>
    <x v="0"/>
    <x v="1"/>
    <x v="1"/>
    <m/>
    <s v="Cash Incentive"/>
    <n v="0.14000000000000001"/>
    <x v="0"/>
    <s v="Modifier/Threshold"/>
    <x v="34"/>
    <s v="Individual Discretionary Adjustment"/>
    <m/>
  </r>
  <r>
    <x v="55"/>
    <x v="8"/>
    <x v="13"/>
    <x v="21"/>
    <s v="Oil &amp; Gas"/>
    <x v="0"/>
    <s v="A-"/>
    <s v="United States"/>
    <x v="0"/>
    <d v="2024-04-01T00:00:00"/>
    <x v="0"/>
    <x v="2"/>
    <x v="1"/>
    <n v="0.5"/>
    <s v="Performance Stock"/>
    <n v="0.5"/>
    <x v="3"/>
    <s v="Stock Performance"/>
    <x v="11"/>
    <s v="3Y Relative TSR"/>
    <n v="0.6"/>
  </r>
  <r>
    <x v="55"/>
    <x v="8"/>
    <x v="13"/>
    <x v="21"/>
    <s v="Oil &amp; Gas"/>
    <x v="0"/>
    <s v="A-"/>
    <s v="United States"/>
    <x v="0"/>
    <d v="2024-04-01T00:00:00"/>
    <x v="0"/>
    <x v="2"/>
    <x v="1"/>
    <m/>
    <s v="Performance Stock"/>
    <n v="0.5"/>
    <x v="1"/>
    <s v="Return"/>
    <x v="39"/>
    <s v="3Y Adjusted Return on Capital Employed"/>
    <n v="0.2"/>
  </r>
  <r>
    <x v="55"/>
    <x v="8"/>
    <x v="13"/>
    <x v="21"/>
    <s v="Oil &amp; Gas"/>
    <x v="0"/>
    <s v="A-"/>
    <s v="United States"/>
    <x v="0"/>
    <d v="2024-04-01T00:00:00"/>
    <x v="0"/>
    <x v="2"/>
    <x v="1"/>
    <m/>
    <s v="Performance Stock"/>
    <n v="0.5"/>
    <x v="1"/>
    <s v="Return"/>
    <x v="54"/>
    <s v="3Y Relative Adjusted Return on Capital Employed"/>
    <n v="0.2"/>
  </r>
  <r>
    <x v="55"/>
    <x v="8"/>
    <x v="13"/>
    <x v="21"/>
    <s v="Oil &amp; Gas"/>
    <x v="0"/>
    <s v="A-"/>
    <s v="United States"/>
    <x v="0"/>
    <d v="2024-04-01T00:00:00"/>
    <x v="0"/>
    <x v="2"/>
    <x v="0"/>
    <n v="0.27"/>
    <s v="Time-Based Stock"/>
    <n v="0.27"/>
    <x v="0"/>
    <m/>
    <x v="0"/>
    <m/>
    <m/>
  </r>
  <r>
    <x v="55"/>
    <x v="8"/>
    <x v="13"/>
    <x v="21"/>
    <s v="Oil &amp; Gas"/>
    <x v="0"/>
    <s v="A-"/>
    <s v="United States"/>
    <x v="0"/>
    <d v="2024-04-01T00:00:00"/>
    <x v="1"/>
    <x v="0"/>
    <x v="1"/>
    <n v="0.19"/>
    <s v="Base Salary"/>
    <n v="0.19"/>
    <x v="0"/>
    <m/>
    <x v="0"/>
    <m/>
    <m/>
  </r>
  <r>
    <x v="55"/>
    <x v="8"/>
    <x v="13"/>
    <x v="21"/>
    <s v="Oil &amp; Gas"/>
    <x v="0"/>
    <s v="A-"/>
    <s v="United States"/>
    <x v="0"/>
    <d v="2024-04-01T00:00:00"/>
    <x v="1"/>
    <x v="1"/>
    <x v="1"/>
    <n v="0.18"/>
    <s v="Cash Incentive"/>
    <n v="0.18"/>
    <x v="1"/>
    <s v="Strategy &amp; Operations"/>
    <x v="3"/>
    <s v="Operations"/>
    <n v="0.3"/>
  </r>
  <r>
    <x v="55"/>
    <x v="8"/>
    <x v="13"/>
    <x v="21"/>
    <s v="Oil &amp; Gas"/>
    <x v="0"/>
    <s v="A-"/>
    <s v="United States"/>
    <x v="0"/>
    <d v="2024-04-01T00:00:00"/>
    <x v="1"/>
    <x v="1"/>
    <x v="1"/>
    <m/>
    <s v="Cash Incentive"/>
    <n v="0.18"/>
    <x v="1"/>
    <s v="Return"/>
    <x v="54"/>
    <s v="Relative Adjusted Return on Capital Employed"/>
    <n v="0.15"/>
  </r>
  <r>
    <x v="55"/>
    <x v="8"/>
    <x v="13"/>
    <x v="21"/>
    <s v="Oil &amp; Gas"/>
    <x v="0"/>
    <s v="A-"/>
    <s v="United States"/>
    <x v="0"/>
    <d v="2024-04-01T00:00:00"/>
    <x v="1"/>
    <x v="1"/>
    <x v="1"/>
    <m/>
    <s v="Cash Incentive"/>
    <n v="0.18"/>
    <x v="1"/>
    <s v="Return"/>
    <x v="39"/>
    <s v="Adjusted Return on Capital Employed"/>
    <n v="0.15"/>
  </r>
  <r>
    <x v="55"/>
    <x v="8"/>
    <x v="13"/>
    <x v="21"/>
    <s v="Oil &amp; Gas"/>
    <x v="0"/>
    <s v="A-"/>
    <s v="United States"/>
    <x v="0"/>
    <d v="2024-04-01T00:00:00"/>
    <x v="1"/>
    <x v="1"/>
    <x v="1"/>
    <m/>
    <s v="Cash Incentive"/>
    <n v="0.18"/>
    <x v="2"/>
    <s v="ESG"/>
    <x v="7"/>
    <s v="Absolute and Relative Health, Safety, and Environmental "/>
    <n v="0.2"/>
  </r>
  <r>
    <x v="55"/>
    <x v="8"/>
    <x v="13"/>
    <x v="21"/>
    <s v="Oil &amp; Gas"/>
    <x v="0"/>
    <s v="A-"/>
    <s v="United States"/>
    <x v="0"/>
    <d v="2024-04-01T00:00:00"/>
    <x v="1"/>
    <x v="1"/>
    <x v="1"/>
    <m/>
    <s v="Cash Incentive"/>
    <n v="0.18"/>
    <x v="2"/>
    <s v="Strategy &amp; Operations"/>
    <x v="3"/>
    <s v="Strategic Milestones"/>
    <n v="0.1"/>
  </r>
  <r>
    <x v="55"/>
    <x v="8"/>
    <x v="13"/>
    <x v="21"/>
    <s v="Oil &amp; Gas"/>
    <x v="0"/>
    <s v="A-"/>
    <s v="United States"/>
    <x v="0"/>
    <d v="2024-04-01T00:00:00"/>
    <x v="1"/>
    <x v="1"/>
    <x v="1"/>
    <m/>
    <s v="Cash Incentive"/>
    <n v="0.18"/>
    <x v="2"/>
    <s v="ESG"/>
    <x v="7"/>
    <s v="Energy Transition Milestones"/>
    <n v="0.1"/>
  </r>
  <r>
    <x v="55"/>
    <x v="8"/>
    <x v="13"/>
    <x v="21"/>
    <s v="Oil &amp; Gas"/>
    <x v="0"/>
    <s v="A-"/>
    <s v="United States"/>
    <x v="0"/>
    <d v="2024-04-01T00:00:00"/>
    <x v="1"/>
    <x v="1"/>
    <x v="1"/>
    <m/>
    <s v="Cash Incentive"/>
    <n v="0.18"/>
    <x v="0"/>
    <s v="Modifier/Threshold"/>
    <x v="34"/>
    <s v="Individual Discretionary Adjustment"/>
    <m/>
  </r>
  <r>
    <x v="55"/>
    <x v="8"/>
    <x v="13"/>
    <x v="21"/>
    <s v="Oil &amp; Gas"/>
    <x v="0"/>
    <s v="A-"/>
    <s v="United States"/>
    <x v="0"/>
    <d v="2024-04-01T00:00:00"/>
    <x v="1"/>
    <x v="2"/>
    <x v="1"/>
    <n v="0.42"/>
    <s v="Performance Stock"/>
    <n v="0.42"/>
    <x v="3"/>
    <s v="Stock Performance"/>
    <x v="11"/>
    <s v="3Y Relative TSR"/>
    <n v="0.6"/>
  </r>
  <r>
    <x v="55"/>
    <x v="8"/>
    <x v="13"/>
    <x v="21"/>
    <s v="Oil &amp; Gas"/>
    <x v="0"/>
    <s v="A-"/>
    <s v="United States"/>
    <x v="0"/>
    <d v="2024-04-01T00:00:00"/>
    <x v="1"/>
    <x v="2"/>
    <x v="1"/>
    <m/>
    <s v="Performance Stock"/>
    <n v="0.42"/>
    <x v="1"/>
    <s v="Return"/>
    <x v="39"/>
    <s v="3Y Adjusted Return on Capital Employed"/>
    <n v="0.2"/>
  </r>
  <r>
    <x v="55"/>
    <x v="8"/>
    <x v="13"/>
    <x v="21"/>
    <s v="Oil &amp; Gas"/>
    <x v="0"/>
    <s v="A-"/>
    <s v="United States"/>
    <x v="0"/>
    <d v="2024-04-01T00:00:00"/>
    <x v="1"/>
    <x v="2"/>
    <x v="1"/>
    <m/>
    <s v="Performance Stock"/>
    <n v="0.42"/>
    <x v="1"/>
    <s v="Return"/>
    <x v="54"/>
    <s v="3Y Relative Adjusted Return on Capital Employed"/>
    <n v="0.2"/>
  </r>
  <r>
    <x v="55"/>
    <x v="8"/>
    <x v="13"/>
    <x v="21"/>
    <s v="Oil &amp; Gas"/>
    <x v="0"/>
    <s v="A-"/>
    <s v="United States"/>
    <x v="0"/>
    <d v="2024-04-01T00:00:00"/>
    <x v="1"/>
    <x v="2"/>
    <x v="0"/>
    <n v="0.21"/>
    <s v="Time-Based Stock"/>
    <n v="0.21"/>
    <x v="0"/>
    <m/>
    <x v="0"/>
    <m/>
    <m/>
  </r>
  <r>
    <x v="56"/>
    <x v="8"/>
    <x v="13"/>
    <x v="30"/>
    <s v="Oil &amp; Gas"/>
    <x v="2"/>
    <s v="BBB+"/>
    <s v="United States"/>
    <x v="0"/>
    <d v="2024-04-02T00:00:00"/>
    <x v="0"/>
    <x v="0"/>
    <x v="0"/>
    <n v="0.11"/>
    <s v="Base Salary"/>
    <n v="0.11"/>
    <x v="0"/>
    <m/>
    <x v="0"/>
    <m/>
    <m/>
  </r>
  <r>
    <x v="56"/>
    <x v="8"/>
    <x v="13"/>
    <x v="30"/>
    <s v="Oil &amp; Gas"/>
    <x v="2"/>
    <s v="BBB+"/>
    <s v="United States"/>
    <x v="0"/>
    <d v="2024-04-02T00:00:00"/>
    <x v="0"/>
    <x v="1"/>
    <x v="1"/>
    <n v="0.17"/>
    <s v="Cash Incentive"/>
    <n v="0.17"/>
    <x v="1"/>
    <s v="Profitability"/>
    <x v="62"/>
    <s v="Adjusted NOPAT"/>
    <n v="0.6"/>
  </r>
  <r>
    <x v="56"/>
    <x v="8"/>
    <x v="13"/>
    <x v="30"/>
    <s v="Oil &amp; Gas"/>
    <x v="2"/>
    <s v="BBB+"/>
    <s v="United States"/>
    <x v="0"/>
    <d v="2024-04-02T00:00:00"/>
    <x v="0"/>
    <x v="1"/>
    <x v="1"/>
    <m/>
    <s v="Cash Incentive"/>
    <n v="0.17"/>
    <x v="1"/>
    <s v="Return"/>
    <x v="63"/>
    <s v="Adjusted Asset Turnover"/>
    <n v="0.2"/>
  </r>
  <r>
    <x v="56"/>
    <x v="8"/>
    <x v="13"/>
    <x v="30"/>
    <s v="Oil &amp; Gas"/>
    <x v="2"/>
    <s v="BBB+"/>
    <s v="United States"/>
    <x v="0"/>
    <d v="2024-04-02T00:00:00"/>
    <x v="0"/>
    <x v="1"/>
    <x v="1"/>
    <m/>
    <s v="Cash Incentive"/>
    <n v="0.17"/>
    <x v="2"/>
    <s v="ESG"/>
    <x v="7"/>
    <s v="Greenhouse Gas Emissions Reduction Performance"/>
    <n v="0.1"/>
  </r>
  <r>
    <x v="56"/>
    <x v="8"/>
    <x v="13"/>
    <x v="30"/>
    <s v="Oil &amp; Gas"/>
    <x v="2"/>
    <s v="BBB+"/>
    <s v="United States"/>
    <x v="0"/>
    <d v="2024-04-02T00:00:00"/>
    <x v="0"/>
    <x v="1"/>
    <x v="1"/>
    <m/>
    <s v="Cash Incentive"/>
    <n v="0.17"/>
    <x v="2"/>
    <s v="ESG"/>
    <x v="7"/>
    <s v="Diversity and Inclusion Performance "/>
    <n v="0.1"/>
  </r>
  <r>
    <x v="56"/>
    <x v="8"/>
    <x v="13"/>
    <x v="30"/>
    <s v="Oil &amp; Gas"/>
    <x v="2"/>
    <s v="BBB+"/>
    <s v="United States"/>
    <x v="0"/>
    <d v="2024-04-02T00:00:00"/>
    <x v="0"/>
    <x v="2"/>
    <x v="1"/>
    <n v="0.25"/>
    <s v="Performance Stock"/>
    <n v="0.25"/>
    <x v="1"/>
    <s v="Return"/>
    <x v="54"/>
    <s v="3Y Relative Average Return on Capital Employed"/>
    <n v="1"/>
  </r>
  <r>
    <x v="56"/>
    <x v="8"/>
    <x v="13"/>
    <x v="30"/>
    <s v="Oil &amp; Gas"/>
    <x v="2"/>
    <s v="BBB+"/>
    <s v="United States"/>
    <x v="0"/>
    <d v="2024-04-02T00:00:00"/>
    <x v="0"/>
    <x v="2"/>
    <x v="1"/>
    <m/>
    <s v="Performance Stock"/>
    <n v="0.25"/>
    <x v="0"/>
    <s v="Modifier/Threshold"/>
    <x v="6"/>
    <s v="3Y Relative TSR"/>
    <m/>
  </r>
  <r>
    <x v="56"/>
    <x v="8"/>
    <x v="13"/>
    <x v="30"/>
    <s v="Oil &amp; Gas"/>
    <x v="2"/>
    <s v="BBB+"/>
    <s v="United States"/>
    <x v="0"/>
    <d v="2024-04-02T00:00:00"/>
    <x v="0"/>
    <x v="2"/>
    <x v="1"/>
    <m/>
    <s v="Performance Stock"/>
    <n v="0.25"/>
    <x v="0"/>
    <s v="Modifier/Threshold"/>
    <x v="64"/>
    <s v="3Y Average Return on Capital Employed"/>
    <m/>
  </r>
  <r>
    <x v="56"/>
    <x v="8"/>
    <x v="13"/>
    <x v="30"/>
    <s v="Oil &amp; Gas"/>
    <x v="2"/>
    <s v="BBB+"/>
    <s v="United States"/>
    <x v="0"/>
    <d v="2024-04-02T00:00:00"/>
    <x v="0"/>
    <x v="2"/>
    <x v="1"/>
    <n v="0.25"/>
    <s v="Long-Term Cash Incentive"/>
    <n v="0.25"/>
    <x v="0"/>
    <m/>
    <x v="0"/>
    <m/>
    <m/>
  </r>
  <r>
    <x v="56"/>
    <x v="8"/>
    <x v="13"/>
    <x v="30"/>
    <s v="Oil &amp; Gas"/>
    <x v="2"/>
    <s v="BBB+"/>
    <s v="United States"/>
    <x v="0"/>
    <d v="2024-04-02T00:00:00"/>
    <x v="0"/>
    <x v="2"/>
    <x v="0"/>
    <n v="0.22"/>
    <s v="Time-Based Stock"/>
    <n v="0.22"/>
    <x v="0"/>
    <m/>
    <x v="0"/>
    <m/>
    <m/>
  </r>
  <r>
    <x v="56"/>
    <x v="8"/>
    <x v="13"/>
    <x v="30"/>
    <s v="Oil &amp; Gas"/>
    <x v="2"/>
    <s v="BBB+"/>
    <s v="United States"/>
    <x v="0"/>
    <d v="2024-04-02T00:00:00"/>
    <x v="1"/>
    <x v="0"/>
    <x v="0"/>
    <n v="0.17"/>
    <s v="Base Salary"/>
    <n v="0.17"/>
    <x v="0"/>
    <m/>
    <x v="0"/>
    <m/>
    <m/>
  </r>
  <r>
    <x v="56"/>
    <x v="8"/>
    <x v="13"/>
    <x v="30"/>
    <s v="Oil &amp; Gas"/>
    <x v="2"/>
    <s v="BBB+"/>
    <s v="United States"/>
    <x v="0"/>
    <d v="2024-04-02T00:00:00"/>
    <x v="1"/>
    <x v="1"/>
    <x v="1"/>
    <n v="0.18"/>
    <s v="Cash Incentive"/>
    <n v="0.18"/>
    <x v="1"/>
    <s v="Profitability"/>
    <x v="62"/>
    <s v="Adjusted NOPAT"/>
    <n v="0.6"/>
  </r>
  <r>
    <x v="56"/>
    <x v="8"/>
    <x v="13"/>
    <x v="30"/>
    <s v="Oil &amp; Gas"/>
    <x v="2"/>
    <s v="BBB+"/>
    <s v="United States"/>
    <x v="0"/>
    <d v="2024-04-02T00:00:00"/>
    <x v="1"/>
    <x v="1"/>
    <x v="1"/>
    <m/>
    <s v="Cash Incentive"/>
    <n v="0.18"/>
    <x v="1"/>
    <s v="Growth"/>
    <x v="63"/>
    <s v="Adjusted Asset Turnover"/>
    <n v="0.2"/>
  </r>
  <r>
    <x v="56"/>
    <x v="8"/>
    <x v="13"/>
    <x v="30"/>
    <s v="Oil &amp; Gas"/>
    <x v="2"/>
    <s v="BBB+"/>
    <s v="United States"/>
    <x v="0"/>
    <d v="2024-04-02T00:00:00"/>
    <x v="1"/>
    <x v="1"/>
    <x v="1"/>
    <m/>
    <s v="Cash Incentive"/>
    <n v="0.18"/>
    <x v="2"/>
    <s v="ESG"/>
    <x v="7"/>
    <s v="Greenhouse Gas Emissions Reduction Performance"/>
    <n v="0.1"/>
  </r>
  <r>
    <x v="56"/>
    <x v="8"/>
    <x v="13"/>
    <x v="30"/>
    <s v="Oil &amp; Gas"/>
    <x v="2"/>
    <s v="BBB+"/>
    <s v="United States"/>
    <x v="0"/>
    <d v="2024-04-02T00:00:00"/>
    <x v="1"/>
    <x v="1"/>
    <x v="1"/>
    <m/>
    <s v="Cash Incentive"/>
    <n v="0.18"/>
    <x v="2"/>
    <s v="ESG"/>
    <x v="7"/>
    <s v="Diversity and Inclusion Performance "/>
    <n v="0.1"/>
  </r>
  <r>
    <x v="56"/>
    <x v="8"/>
    <x v="13"/>
    <x v="30"/>
    <s v="Oil &amp; Gas"/>
    <x v="2"/>
    <s v="BBB+"/>
    <s v="United States"/>
    <x v="0"/>
    <d v="2024-04-02T00:00:00"/>
    <x v="1"/>
    <x v="2"/>
    <x v="1"/>
    <n v="0.23"/>
    <s v="Performance Stock"/>
    <n v="0.23"/>
    <x v="1"/>
    <s v="Return"/>
    <x v="54"/>
    <s v="3Y Relative Average Return on Capital Employed"/>
    <n v="1"/>
  </r>
  <r>
    <x v="56"/>
    <x v="8"/>
    <x v="13"/>
    <x v="30"/>
    <s v="Oil &amp; Gas"/>
    <x v="2"/>
    <s v="BBB+"/>
    <s v="United States"/>
    <x v="0"/>
    <d v="2024-04-02T00:00:00"/>
    <x v="1"/>
    <x v="2"/>
    <x v="1"/>
    <m/>
    <s v="Performance Stock"/>
    <n v="0.23"/>
    <x v="0"/>
    <s v="Modifier/Threshold"/>
    <x v="6"/>
    <s v="3Y Relative TSR"/>
    <m/>
  </r>
  <r>
    <x v="56"/>
    <x v="8"/>
    <x v="13"/>
    <x v="30"/>
    <s v="Oil &amp; Gas"/>
    <x v="2"/>
    <s v="BBB+"/>
    <s v="United States"/>
    <x v="0"/>
    <d v="2024-04-02T00:00:00"/>
    <x v="1"/>
    <x v="2"/>
    <x v="1"/>
    <m/>
    <s v="Performance Stock"/>
    <n v="0.23"/>
    <x v="0"/>
    <s v="Modifier/Threshold"/>
    <x v="64"/>
    <s v="3Y Average Return on Capital Employed"/>
    <m/>
  </r>
  <r>
    <x v="56"/>
    <x v="8"/>
    <x v="13"/>
    <x v="30"/>
    <s v="Oil &amp; Gas"/>
    <x v="2"/>
    <s v="BBB+"/>
    <s v="United States"/>
    <x v="0"/>
    <d v="2024-04-02T00:00:00"/>
    <x v="1"/>
    <x v="2"/>
    <x v="1"/>
    <n v="0.23"/>
    <s v="Long-Term Cash Incentive"/>
    <n v="0.23"/>
    <x v="0"/>
    <m/>
    <x v="0"/>
    <m/>
    <m/>
  </r>
  <r>
    <x v="56"/>
    <x v="8"/>
    <x v="13"/>
    <x v="30"/>
    <s v="Oil &amp; Gas"/>
    <x v="2"/>
    <s v="BBB+"/>
    <s v="United States"/>
    <x v="0"/>
    <d v="2024-04-02T00:00:00"/>
    <x v="1"/>
    <x v="2"/>
    <x v="0"/>
    <n v="0.19"/>
    <s v="Time-Based Stock"/>
    <n v="0.19"/>
    <x v="0"/>
    <m/>
    <x v="0"/>
    <m/>
    <m/>
  </r>
  <r>
    <x v="57"/>
    <x v="5"/>
    <x v="8"/>
    <x v="8"/>
    <s v="Bank"/>
    <x v="0"/>
    <s v="BBB+"/>
    <s v="United States"/>
    <x v="0"/>
    <d v="2024-03-18T00:00:00"/>
    <x v="0"/>
    <x v="0"/>
    <x v="0"/>
    <n v="8.6206896551724144E-2"/>
    <s v="Base Salary"/>
    <n v="8.6206896551724144E-2"/>
    <x v="0"/>
    <m/>
    <x v="0"/>
    <m/>
    <m/>
  </r>
  <r>
    <x v="57"/>
    <x v="5"/>
    <x v="8"/>
    <x v="8"/>
    <s v="Bank"/>
    <x v="0"/>
    <s v="BBB+"/>
    <s v="United States"/>
    <x v="0"/>
    <d v="2024-03-18T00:00:00"/>
    <x v="0"/>
    <x v="1"/>
    <x v="1"/>
    <n v="0.22844827586206898"/>
    <s v="Cash Incentive"/>
    <n v="0.22844827586206898"/>
    <x v="2"/>
    <s v="Strategy &amp; Operations"/>
    <x v="3"/>
    <s v="Company Performance Assessment"/>
    <n v="0.65"/>
  </r>
  <r>
    <x v="57"/>
    <x v="5"/>
    <x v="8"/>
    <x v="8"/>
    <s v="Bank"/>
    <x v="0"/>
    <s v="BBB+"/>
    <s v="United States"/>
    <x v="0"/>
    <d v="2024-03-18T00:00:00"/>
    <x v="0"/>
    <x v="1"/>
    <x v="1"/>
    <m/>
    <s v="Cash Incentive"/>
    <n v="0.22844827586206898"/>
    <x v="2"/>
    <s v="Individual Assessment"/>
    <x v="13"/>
    <s v="Individual Performance Assessment"/>
    <n v="0.35"/>
  </r>
  <r>
    <x v="57"/>
    <x v="5"/>
    <x v="8"/>
    <x v="8"/>
    <s v="Bank"/>
    <x v="0"/>
    <s v="BBB+"/>
    <s v="United States"/>
    <x v="0"/>
    <d v="2024-03-18T00:00:00"/>
    <x v="0"/>
    <x v="2"/>
    <x v="1"/>
    <n v="0.44547413793103446"/>
    <s v="Performance Stock"/>
    <n v="0.44547413793103446"/>
    <x v="1"/>
    <s v="Return"/>
    <x v="22"/>
    <s v="3Y Average Adjusted Return on Tangible Common Equity"/>
    <n v="0.75"/>
  </r>
  <r>
    <x v="57"/>
    <x v="5"/>
    <x v="8"/>
    <x v="8"/>
    <s v="Bank"/>
    <x v="0"/>
    <s v="BBB+"/>
    <s v="United States"/>
    <x v="0"/>
    <d v="2024-03-18T00:00:00"/>
    <x v="0"/>
    <x v="2"/>
    <x v="1"/>
    <m/>
    <s v="Performance Stock"/>
    <n v="0.44547413793103446"/>
    <x v="1"/>
    <s v="Return"/>
    <x v="65"/>
    <s v="3Y Relative Average Adjusted Return on Tangible Common Equity"/>
    <n v="0.25"/>
  </r>
  <r>
    <x v="57"/>
    <x v="5"/>
    <x v="8"/>
    <x v="8"/>
    <s v="Bank"/>
    <x v="0"/>
    <s v="BBB+"/>
    <s v="United States"/>
    <x v="0"/>
    <d v="2024-03-18T00:00:00"/>
    <x v="0"/>
    <x v="2"/>
    <x v="1"/>
    <m/>
    <s v="Performance Stock"/>
    <n v="0.44547413793103446"/>
    <x v="0"/>
    <s v="Modifier/Threshold"/>
    <x v="6"/>
    <s v="3Y Relative TSR"/>
    <m/>
  </r>
  <r>
    <x v="57"/>
    <x v="5"/>
    <x v="8"/>
    <x v="8"/>
    <s v="Bank"/>
    <x v="0"/>
    <s v="BBB+"/>
    <s v="United States"/>
    <x v="0"/>
    <d v="2024-03-18T00:00:00"/>
    <x v="0"/>
    <x v="2"/>
    <x v="1"/>
    <m/>
    <s v="Performance Stock"/>
    <n v="0.44547413793103446"/>
    <x v="0"/>
    <s v="Modifier/Threshold"/>
    <x v="12"/>
    <s v="Absolute TSR"/>
    <m/>
  </r>
  <r>
    <x v="57"/>
    <x v="5"/>
    <x v="8"/>
    <x v="8"/>
    <s v="Bank"/>
    <x v="0"/>
    <s v="BBB+"/>
    <s v="United States"/>
    <x v="0"/>
    <d v="2024-03-18T00:00:00"/>
    <x v="0"/>
    <x v="2"/>
    <x v="1"/>
    <m/>
    <s v="Performance Stock"/>
    <n v="0.44547413793103446"/>
    <x v="0"/>
    <s v="Modifier/Threshold"/>
    <x v="66"/>
    <s v="Operating Income"/>
    <m/>
  </r>
  <r>
    <x v="57"/>
    <x v="5"/>
    <x v="8"/>
    <x v="8"/>
    <s v="Bank"/>
    <x v="0"/>
    <s v="BBB+"/>
    <s v="United States"/>
    <x v="0"/>
    <d v="2024-03-18T00:00:00"/>
    <x v="0"/>
    <x v="2"/>
    <x v="0"/>
    <n v="0.23987068965517241"/>
    <s v="Stock Appreciation Rights"/>
    <n v="0.23987068965517241"/>
    <x v="0"/>
    <m/>
    <x v="0"/>
    <m/>
    <m/>
  </r>
  <r>
    <x v="57"/>
    <x v="5"/>
    <x v="8"/>
    <x v="8"/>
    <s v="Bank"/>
    <x v="0"/>
    <s v="BBB+"/>
    <s v="United States"/>
    <x v="0"/>
    <d v="2024-03-18T00:00:00"/>
    <x v="1"/>
    <x v="0"/>
    <x v="0"/>
    <n v="0.14000000000000001"/>
    <s v="Base Salary"/>
    <n v="0.14000000000000001"/>
    <x v="0"/>
    <m/>
    <x v="0"/>
    <m/>
    <m/>
  </r>
  <r>
    <x v="57"/>
    <x v="5"/>
    <x v="8"/>
    <x v="8"/>
    <s v="Bank"/>
    <x v="0"/>
    <s v="BBB+"/>
    <s v="United States"/>
    <x v="0"/>
    <d v="2024-03-18T00:00:00"/>
    <x v="1"/>
    <x v="1"/>
    <x v="1"/>
    <n v="0.26"/>
    <s v="Cash Incentive"/>
    <n v="0.26"/>
    <x v="2"/>
    <s v="Strategy &amp; Operations"/>
    <x v="3"/>
    <s v="Company Performance Assessment"/>
    <n v="0.5"/>
  </r>
  <r>
    <x v="57"/>
    <x v="5"/>
    <x v="8"/>
    <x v="8"/>
    <s v="Bank"/>
    <x v="0"/>
    <s v="BBB+"/>
    <s v="United States"/>
    <x v="0"/>
    <d v="2024-03-18T00:00:00"/>
    <x v="1"/>
    <x v="1"/>
    <x v="1"/>
    <m/>
    <s v="Cash Incentive"/>
    <n v="0.26"/>
    <x v="2"/>
    <s v="Individual Assessment"/>
    <x v="13"/>
    <s v="Individual Performance Assessment"/>
    <n v="0.5"/>
  </r>
  <r>
    <x v="57"/>
    <x v="5"/>
    <x v="8"/>
    <x v="8"/>
    <s v="Bank"/>
    <x v="0"/>
    <s v="BBB+"/>
    <s v="United States"/>
    <x v="0"/>
    <d v="2024-03-18T00:00:00"/>
    <x v="1"/>
    <x v="2"/>
    <x v="1"/>
    <n v="0.3"/>
    <s v="Performance Stock"/>
    <n v="0.3"/>
    <x v="1"/>
    <s v="Return"/>
    <x v="22"/>
    <s v="3Y Average Adjusted Return on Tangible Common Equity"/>
    <n v="0.75"/>
  </r>
  <r>
    <x v="57"/>
    <x v="5"/>
    <x v="8"/>
    <x v="8"/>
    <s v="Bank"/>
    <x v="0"/>
    <s v="BBB+"/>
    <s v="United States"/>
    <x v="0"/>
    <d v="2024-03-18T00:00:00"/>
    <x v="1"/>
    <x v="2"/>
    <x v="1"/>
    <m/>
    <s v="Performance Stock"/>
    <n v="0.3"/>
    <x v="1"/>
    <s v="Return"/>
    <x v="65"/>
    <s v="3Y Relative Average Adjusted Return on Tangible Common Equity"/>
    <n v="0.25"/>
  </r>
  <r>
    <x v="57"/>
    <x v="5"/>
    <x v="8"/>
    <x v="8"/>
    <s v="Bank"/>
    <x v="0"/>
    <s v="BBB+"/>
    <s v="United States"/>
    <x v="0"/>
    <d v="2024-03-18T00:00:00"/>
    <x v="1"/>
    <x v="2"/>
    <x v="1"/>
    <m/>
    <s v="Performance Stock"/>
    <n v="0.3"/>
    <x v="0"/>
    <s v="Modifier/Threshold"/>
    <x v="6"/>
    <s v="3Y Relative TSR"/>
    <m/>
  </r>
  <r>
    <x v="57"/>
    <x v="5"/>
    <x v="8"/>
    <x v="8"/>
    <s v="Bank"/>
    <x v="0"/>
    <s v="BBB+"/>
    <s v="United States"/>
    <x v="0"/>
    <d v="2024-03-18T00:00:00"/>
    <x v="1"/>
    <x v="2"/>
    <x v="1"/>
    <m/>
    <s v="Performance Stock"/>
    <n v="0.3"/>
    <x v="0"/>
    <s v="Modifier/Threshold"/>
    <x v="12"/>
    <s v="Absolute TSR"/>
    <m/>
  </r>
  <r>
    <x v="57"/>
    <x v="5"/>
    <x v="8"/>
    <x v="8"/>
    <s v="Bank"/>
    <x v="0"/>
    <s v="BBB+"/>
    <s v="United States"/>
    <x v="0"/>
    <d v="2024-03-18T00:00:00"/>
    <x v="1"/>
    <x v="2"/>
    <x v="1"/>
    <m/>
    <s v="Performance Stock"/>
    <n v="0.3"/>
    <x v="0"/>
    <s v="Modifier/Threshold"/>
    <x v="66"/>
    <s v="Operating Income"/>
    <m/>
  </r>
  <r>
    <x v="57"/>
    <x v="5"/>
    <x v="8"/>
    <x v="8"/>
    <s v="Bank"/>
    <x v="0"/>
    <s v="BBB+"/>
    <s v="United States"/>
    <x v="0"/>
    <d v="2024-03-18T00:00:00"/>
    <x v="1"/>
    <x v="2"/>
    <x v="0"/>
    <n v="0.3"/>
    <s v="Stock Appreciation Rights"/>
    <n v="0.3"/>
    <x v="0"/>
    <m/>
    <x v="0"/>
    <m/>
    <m/>
  </r>
  <r>
    <x v="58"/>
    <x v="8"/>
    <x v="13"/>
    <x v="30"/>
    <s v="Oil &amp; Gas"/>
    <x v="1"/>
    <s v="A"/>
    <s v="United States"/>
    <x v="0"/>
    <d v="2024-02-22T00:00:00"/>
    <x v="0"/>
    <x v="0"/>
    <x v="0"/>
    <n v="0.1"/>
    <s v="Base Salary"/>
    <n v="0.1"/>
    <x v="0"/>
    <m/>
    <x v="0"/>
    <m/>
    <m/>
  </r>
  <r>
    <x v="58"/>
    <x v="8"/>
    <x v="13"/>
    <x v="30"/>
    <s v="Oil &amp; Gas"/>
    <x v="1"/>
    <s v="A"/>
    <s v="United States"/>
    <x v="0"/>
    <d v="2024-02-22T00:00:00"/>
    <x v="0"/>
    <x v="1"/>
    <x v="1"/>
    <n v="0.15"/>
    <s v="Cash Incentive"/>
    <n v="0.15"/>
    <x v="1"/>
    <s v="Profitability"/>
    <x v="32"/>
    <s v="Adjusted EBITDA"/>
    <n v="0.35"/>
  </r>
  <r>
    <x v="58"/>
    <x v="8"/>
    <x v="13"/>
    <x v="30"/>
    <s v="Oil &amp; Gas"/>
    <x v="1"/>
    <s v="A"/>
    <s v="United States"/>
    <x v="0"/>
    <d v="2024-02-22T00:00:00"/>
    <x v="0"/>
    <x v="1"/>
    <x v="1"/>
    <m/>
    <s v="Cash Incentive"/>
    <n v="0.15"/>
    <x v="1"/>
    <s v="Cash Flow"/>
    <x v="25"/>
    <s v="Free Cash Flow"/>
    <n v="0.35"/>
  </r>
  <r>
    <x v="58"/>
    <x v="8"/>
    <x v="13"/>
    <x v="30"/>
    <s v="Oil &amp; Gas"/>
    <x v="1"/>
    <s v="A"/>
    <s v="United States"/>
    <x v="0"/>
    <d v="2024-02-22T00:00:00"/>
    <x v="0"/>
    <x v="1"/>
    <x v="1"/>
    <m/>
    <s v="Cash Incentive"/>
    <n v="0.15"/>
    <x v="2"/>
    <s v="Individual Assessment"/>
    <x v="13"/>
    <s v="Individual Performance Assessment"/>
    <n v="0.2"/>
  </r>
  <r>
    <x v="58"/>
    <x v="8"/>
    <x v="13"/>
    <x v="30"/>
    <s v="Oil &amp; Gas"/>
    <x v="1"/>
    <s v="A"/>
    <s v="United States"/>
    <x v="0"/>
    <d v="2024-02-22T00:00:00"/>
    <x v="0"/>
    <x v="1"/>
    <x v="1"/>
    <m/>
    <s v="Cash Incentive"/>
    <n v="0.15"/>
    <x v="2"/>
    <s v="ESG"/>
    <x v="7"/>
    <s v="ESG"/>
    <n v="0.1"/>
  </r>
  <r>
    <x v="58"/>
    <x v="8"/>
    <x v="13"/>
    <x v="30"/>
    <s v="Oil &amp; Gas"/>
    <x v="1"/>
    <s v="A"/>
    <s v="United States"/>
    <x v="0"/>
    <d v="2024-02-22T00:00:00"/>
    <x v="0"/>
    <x v="2"/>
    <x v="1"/>
    <n v="0.5625"/>
    <s v="Performance Stock"/>
    <n v="0.5625"/>
    <x v="1"/>
    <s v="Cash Flow"/>
    <x v="25"/>
    <s v="3Y Free Cash Flow Margin"/>
    <n v="0.33333333333333331"/>
  </r>
  <r>
    <x v="58"/>
    <x v="8"/>
    <x v="13"/>
    <x v="30"/>
    <s v="Oil &amp; Gas"/>
    <x v="1"/>
    <s v="A"/>
    <s v="United States"/>
    <x v="0"/>
    <d v="2024-02-22T00:00:00"/>
    <x v="0"/>
    <x v="2"/>
    <x v="1"/>
    <m/>
    <s v="Performance Stock"/>
    <n v="0.5625"/>
    <x v="1"/>
    <s v="Return"/>
    <x v="54"/>
    <s v="3Y Relative Average Return on Capital Employed"/>
    <n v="0.33333333333333331"/>
  </r>
  <r>
    <x v="58"/>
    <x v="8"/>
    <x v="13"/>
    <x v="30"/>
    <s v="Oil &amp; Gas"/>
    <x v="1"/>
    <s v="A"/>
    <s v="United States"/>
    <x v="0"/>
    <d v="2024-02-22T00:00:00"/>
    <x v="0"/>
    <x v="2"/>
    <x v="1"/>
    <m/>
    <s v="Performance Stock"/>
    <n v="0.5625"/>
    <x v="3"/>
    <s v="Stock Performance"/>
    <x v="11"/>
    <s v="3Y Relative TSR"/>
    <n v="0.33333333333333331"/>
  </r>
  <r>
    <x v="58"/>
    <x v="8"/>
    <x v="13"/>
    <x v="30"/>
    <s v="Oil &amp; Gas"/>
    <x v="1"/>
    <s v="A"/>
    <s v="United States"/>
    <x v="0"/>
    <d v="2024-02-22T00:00:00"/>
    <x v="0"/>
    <x v="2"/>
    <x v="1"/>
    <m/>
    <s v="Performance Stock"/>
    <n v="0.5625"/>
    <x v="0"/>
    <s v="Modifier/Threshold"/>
    <x v="34"/>
    <s v="Discretionary Adjustment"/>
    <m/>
  </r>
  <r>
    <x v="58"/>
    <x v="8"/>
    <x v="13"/>
    <x v="30"/>
    <s v="Oil &amp; Gas"/>
    <x v="1"/>
    <s v="A"/>
    <s v="United States"/>
    <x v="0"/>
    <d v="2024-02-22T00:00:00"/>
    <x v="0"/>
    <x v="2"/>
    <x v="0"/>
    <n v="0.1875"/>
    <s v="Time-Based Stock"/>
    <n v="0.1875"/>
    <x v="0"/>
    <m/>
    <x v="0"/>
    <m/>
    <m/>
  </r>
  <r>
    <x v="58"/>
    <x v="8"/>
    <x v="13"/>
    <x v="30"/>
    <s v="Oil &amp; Gas"/>
    <x v="1"/>
    <s v="A"/>
    <s v="United States"/>
    <x v="0"/>
    <d v="2024-02-22T00:00:00"/>
    <x v="1"/>
    <x v="0"/>
    <x v="0"/>
    <n v="0.16"/>
    <s v="Base Salary"/>
    <n v="0.16"/>
    <x v="0"/>
    <m/>
    <x v="0"/>
    <m/>
    <m/>
  </r>
  <r>
    <x v="58"/>
    <x v="8"/>
    <x v="13"/>
    <x v="30"/>
    <s v="Oil &amp; Gas"/>
    <x v="1"/>
    <s v="A"/>
    <s v="United States"/>
    <x v="0"/>
    <d v="2024-02-22T00:00:00"/>
    <x v="1"/>
    <x v="1"/>
    <x v="1"/>
    <n v="0.16"/>
    <s v="Cash Incentive"/>
    <n v="0.16"/>
    <x v="1"/>
    <s v="Profitability"/>
    <x v="32"/>
    <s v="Adjusted EBITDA"/>
    <n v="0.35"/>
  </r>
  <r>
    <x v="58"/>
    <x v="8"/>
    <x v="13"/>
    <x v="30"/>
    <s v="Oil &amp; Gas"/>
    <x v="1"/>
    <s v="A"/>
    <s v="United States"/>
    <x v="0"/>
    <d v="2024-02-22T00:00:00"/>
    <x v="1"/>
    <x v="1"/>
    <x v="1"/>
    <m/>
    <s v="Cash Incentive"/>
    <n v="0.16"/>
    <x v="1"/>
    <s v="Cash Flow"/>
    <x v="25"/>
    <s v="Free Cash Flow"/>
    <n v="0.35"/>
  </r>
  <r>
    <x v="58"/>
    <x v="8"/>
    <x v="13"/>
    <x v="30"/>
    <s v="Oil &amp; Gas"/>
    <x v="1"/>
    <s v="A"/>
    <s v="United States"/>
    <x v="0"/>
    <d v="2024-02-22T00:00:00"/>
    <x v="1"/>
    <x v="1"/>
    <x v="1"/>
    <m/>
    <s v="Cash Incentive"/>
    <n v="0.16"/>
    <x v="2"/>
    <s v="Individual Assessment"/>
    <x v="13"/>
    <s v="Individual Performance Assessment"/>
    <n v="0.2"/>
  </r>
  <r>
    <x v="58"/>
    <x v="8"/>
    <x v="13"/>
    <x v="30"/>
    <s v="Oil &amp; Gas"/>
    <x v="1"/>
    <s v="A"/>
    <s v="United States"/>
    <x v="0"/>
    <d v="2024-02-22T00:00:00"/>
    <x v="1"/>
    <x v="1"/>
    <x v="1"/>
    <m/>
    <s v="Cash Incentive"/>
    <n v="0.16"/>
    <x v="2"/>
    <s v="ESG"/>
    <x v="7"/>
    <s v="ESG"/>
    <n v="0.1"/>
  </r>
  <r>
    <x v="58"/>
    <x v="8"/>
    <x v="13"/>
    <x v="30"/>
    <s v="Oil &amp; Gas"/>
    <x v="1"/>
    <s v="A"/>
    <s v="United States"/>
    <x v="0"/>
    <d v="2024-02-22T00:00:00"/>
    <x v="1"/>
    <x v="2"/>
    <x v="1"/>
    <n v="0.51"/>
    <s v="Performance Stock"/>
    <n v="0.51"/>
    <x v="1"/>
    <s v="Cash Flow"/>
    <x v="25"/>
    <s v="3Y Free Cash Flow Margin"/>
    <n v="0.33333333333333331"/>
  </r>
  <r>
    <x v="58"/>
    <x v="8"/>
    <x v="13"/>
    <x v="30"/>
    <s v="Oil &amp; Gas"/>
    <x v="1"/>
    <s v="A"/>
    <s v="United States"/>
    <x v="0"/>
    <d v="2024-02-22T00:00:00"/>
    <x v="1"/>
    <x v="2"/>
    <x v="1"/>
    <m/>
    <s v="Performance Stock"/>
    <n v="0.51"/>
    <x v="1"/>
    <s v="Return"/>
    <x v="54"/>
    <s v="3Y Relative Average Return on Capital Employed"/>
    <n v="0.33333333333333331"/>
  </r>
  <r>
    <x v="58"/>
    <x v="8"/>
    <x v="13"/>
    <x v="30"/>
    <s v="Oil &amp; Gas"/>
    <x v="1"/>
    <s v="A"/>
    <s v="United States"/>
    <x v="0"/>
    <d v="2024-02-22T00:00:00"/>
    <x v="1"/>
    <x v="2"/>
    <x v="1"/>
    <m/>
    <s v="Performance Stock"/>
    <n v="0.51"/>
    <x v="3"/>
    <s v="Stock Performance"/>
    <x v="11"/>
    <s v="3Y Relative TSR"/>
    <n v="0.33333333333333331"/>
  </r>
  <r>
    <x v="58"/>
    <x v="8"/>
    <x v="13"/>
    <x v="30"/>
    <s v="Oil &amp; Gas"/>
    <x v="1"/>
    <s v="A"/>
    <s v="United States"/>
    <x v="0"/>
    <d v="2024-02-22T00:00:00"/>
    <x v="1"/>
    <x v="2"/>
    <x v="1"/>
    <m/>
    <s v="Performance Stock"/>
    <n v="0.51"/>
    <x v="0"/>
    <s v="Stock Performance"/>
    <x v="34"/>
    <s v="Discretionary Adjustment"/>
    <m/>
  </r>
  <r>
    <x v="58"/>
    <x v="8"/>
    <x v="13"/>
    <x v="30"/>
    <s v="Oil &amp; Gas"/>
    <x v="1"/>
    <s v="A"/>
    <s v="United States"/>
    <x v="0"/>
    <d v="2024-02-22T00:00:00"/>
    <x v="1"/>
    <x v="2"/>
    <x v="0"/>
    <n v="0.17"/>
    <s v="Time-Based Stock"/>
    <n v="0.17"/>
    <x v="0"/>
    <m/>
    <x v="0"/>
    <m/>
    <m/>
  </r>
  <r>
    <x v="59"/>
    <x v="0"/>
    <x v="0"/>
    <x v="0"/>
    <s v="Packaged Software"/>
    <x v="0"/>
    <s v="A-"/>
    <s v="United States"/>
    <x v="0"/>
    <d v="2024-04-04T00:00:00"/>
    <x v="0"/>
    <x v="0"/>
    <x v="0"/>
    <n v="0.04"/>
    <s v="Base Salary"/>
    <n v="0.04"/>
    <x v="0"/>
    <m/>
    <x v="0"/>
    <m/>
    <m/>
  </r>
  <r>
    <x v="59"/>
    <x v="0"/>
    <x v="0"/>
    <x v="0"/>
    <s v="Packaged Software"/>
    <x v="0"/>
    <s v="A-"/>
    <s v="United States"/>
    <x v="0"/>
    <d v="2024-04-04T00:00:00"/>
    <x v="0"/>
    <x v="1"/>
    <x v="1"/>
    <n v="0.08"/>
    <s v="Cash Incentive"/>
    <n v="0.08"/>
    <x v="1"/>
    <s v="Growth"/>
    <x v="3"/>
    <s v="Adjusted Net New Annual Contract Value"/>
    <n v="0.7"/>
  </r>
  <r>
    <x v="59"/>
    <x v="0"/>
    <x v="0"/>
    <x v="0"/>
    <s v="Packaged Software"/>
    <x v="0"/>
    <s v="A-"/>
    <s v="United States"/>
    <x v="0"/>
    <d v="2024-04-04T00:00:00"/>
    <x v="0"/>
    <x v="1"/>
    <x v="1"/>
    <m/>
    <s v="Cash Incentive"/>
    <n v="0.08"/>
    <x v="1"/>
    <s v="Profitability"/>
    <x v="9"/>
    <s v="Adjusted Operating Margin"/>
    <n v="0.3"/>
  </r>
  <r>
    <x v="59"/>
    <x v="0"/>
    <x v="0"/>
    <x v="0"/>
    <s v="Packaged Software"/>
    <x v="0"/>
    <s v="A-"/>
    <s v="United States"/>
    <x v="0"/>
    <d v="2024-04-04T00:00:00"/>
    <x v="0"/>
    <x v="1"/>
    <x v="1"/>
    <m/>
    <s v="Cash Incentive"/>
    <n v="0.08"/>
    <x v="0"/>
    <s v="Modifier/Threshold"/>
    <x v="19"/>
    <s v="Non-Financial Goals"/>
    <m/>
  </r>
  <r>
    <x v="59"/>
    <x v="0"/>
    <x v="0"/>
    <x v="0"/>
    <s v="Packaged Software"/>
    <x v="0"/>
    <s v="A-"/>
    <s v="United States"/>
    <x v="0"/>
    <d v="2024-04-04T00:00:00"/>
    <x v="0"/>
    <x v="1"/>
    <x v="1"/>
    <m/>
    <s v="Cash Incentive"/>
    <n v="0.08"/>
    <x v="0"/>
    <s v="Modifier/Threshold"/>
    <x v="67"/>
    <s v="Adjusted Net New Annual Contract Value"/>
    <m/>
  </r>
  <r>
    <x v="59"/>
    <x v="0"/>
    <x v="0"/>
    <x v="0"/>
    <s v="Packaged Software"/>
    <x v="0"/>
    <s v="A-"/>
    <s v="United States"/>
    <x v="0"/>
    <d v="2024-04-04T00:00:00"/>
    <x v="0"/>
    <x v="2"/>
    <x v="1"/>
    <n v="0.52800000000000002"/>
    <s v="Performance Stock"/>
    <n v="0.52800000000000002"/>
    <x v="1"/>
    <s v="Growth"/>
    <x v="1"/>
    <s v="3Y Adjusted Subscription Revenues"/>
    <n v="1"/>
  </r>
  <r>
    <x v="59"/>
    <x v="0"/>
    <x v="0"/>
    <x v="0"/>
    <s v="Packaged Software"/>
    <x v="0"/>
    <s v="A-"/>
    <s v="United States"/>
    <x v="0"/>
    <d v="2024-04-04T00:00:00"/>
    <x v="0"/>
    <x v="2"/>
    <x v="1"/>
    <m/>
    <s v="Performance Stock"/>
    <n v="0.52800000000000002"/>
    <x v="3"/>
    <s v="Modifier/Threshold"/>
    <x v="6"/>
    <s v="3Y Relative TSR"/>
    <m/>
  </r>
  <r>
    <x v="59"/>
    <x v="0"/>
    <x v="0"/>
    <x v="0"/>
    <s v="Packaged Software"/>
    <x v="0"/>
    <s v="A-"/>
    <s v="United States"/>
    <x v="0"/>
    <d v="2024-04-04T00:00:00"/>
    <x v="0"/>
    <x v="2"/>
    <x v="0"/>
    <n v="0.35200000000000004"/>
    <s v="Time-Based Stock"/>
    <n v="0.35200000000000004"/>
    <x v="0"/>
    <m/>
    <x v="0"/>
    <m/>
    <m/>
  </r>
  <r>
    <x v="59"/>
    <x v="0"/>
    <x v="0"/>
    <x v="0"/>
    <s v="Packaged Software"/>
    <x v="0"/>
    <s v="A-"/>
    <s v="United States"/>
    <x v="0"/>
    <d v="2024-04-04T00:00:00"/>
    <x v="1"/>
    <x v="0"/>
    <x v="0"/>
    <n v="0.06"/>
    <s v="Base Salary"/>
    <n v="0.06"/>
    <x v="0"/>
    <m/>
    <x v="0"/>
    <m/>
    <m/>
  </r>
  <r>
    <x v="59"/>
    <x v="0"/>
    <x v="0"/>
    <x v="0"/>
    <s v="Packaged Software"/>
    <x v="0"/>
    <s v="A-"/>
    <s v="United States"/>
    <x v="0"/>
    <d v="2024-04-04T00:00:00"/>
    <x v="1"/>
    <x v="1"/>
    <x v="1"/>
    <n v="0.06"/>
    <s v="Cash Incentive"/>
    <n v="0.06"/>
    <x v="1"/>
    <s v="Growth"/>
    <x v="3"/>
    <s v="Adjusted Net New Annual Contract Value"/>
    <n v="0.7"/>
  </r>
  <r>
    <x v="59"/>
    <x v="0"/>
    <x v="0"/>
    <x v="0"/>
    <s v="Packaged Software"/>
    <x v="0"/>
    <s v="A-"/>
    <s v="United States"/>
    <x v="0"/>
    <d v="2024-04-04T00:00:00"/>
    <x v="1"/>
    <x v="1"/>
    <x v="1"/>
    <m/>
    <s v="Cash Incentive"/>
    <n v="0.06"/>
    <x v="1"/>
    <s v="Profitability"/>
    <x v="9"/>
    <s v="Adjusted Operating Margin"/>
    <n v="0.3"/>
  </r>
  <r>
    <x v="59"/>
    <x v="0"/>
    <x v="0"/>
    <x v="0"/>
    <s v="Packaged Software"/>
    <x v="0"/>
    <s v="A-"/>
    <s v="United States"/>
    <x v="0"/>
    <d v="2024-04-04T00:00:00"/>
    <x v="1"/>
    <x v="1"/>
    <x v="1"/>
    <m/>
    <s v="Cash Incentive"/>
    <n v="0.06"/>
    <x v="0"/>
    <s v="Modifier/Threshold"/>
    <x v="19"/>
    <s v="Non-Financial Goals"/>
    <m/>
  </r>
  <r>
    <x v="59"/>
    <x v="0"/>
    <x v="0"/>
    <x v="0"/>
    <s v="Packaged Software"/>
    <x v="0"/>
    <s v="A-"/>
    <s v="United States"/>
    <x v="0"/>
    <d v="2024-04-04T00:00:00"/>
    <x v="1"/>
    <x v="1"/>
    <x v="1"/>
    <m/>
    <s v="Cash Incentive"/>
    <n v="0.06"/>
    <x v="0"/>
    <s v="Modifier/Threshold"/>
    <x v="67"/>
    <s v="Adjusted Net New Annual Contract Value"/>
    <m/>
  </r>
  <r>
    <x v="59"/>
    <x v="0"/>
    <x v="0"/>
    <x v="0"/>
    <s v="Packaged Software"/>
    <x v="0"/>
    <s v="A-"/>
    <s v="United States"/>
    <x v="0"/>
    <d v="2024-04-04T00:00:00"/>
    <x v="1"/>
    <x v="2"/>
    <x v="1"/>
    <n v="0.52800000000000002"/>
    <s v="Performance Stock"/>
    <n v="0.52800000000000002"/>
    <x v="1"/>
    <s v="Growth"/>
    <x v="1"/>
    <s v="3Y Adjusted Subscription Revenues"/>
    <n v="1"/>
  </r>
  <r>
    <x v="59"/>
    <x v="0"/>
    <x v="0"/>
    <x v="0"/>
    <s v="Packaged Software"/>
    <x v="0"/>
    <s v="A-"/>
    <s v="United States"/>
    <x v="0"/>
    <d v="2024-04-04T00:00:00"/>
    <x v="1"/>
    <x v="2"/>
    <x v="1"/>
    <m/>
    <s v="Performance Stock"/>
    <n v="0.52800000000000002"/>
    <x v="0"/>
    <s v="Modifier/Threshold"/>
    <x v="6"/>
    <s v="3Y Relative TSR"/>
    <m/>
  </r>
  <r>
    <x v="59"/>
    <x v="0"/>
    <x v="0"/>
    <x v="0"/>
    <s v="Packaged Software"/>
    <x v="0"/>
    <s v="A-"/>
    <s v="United States"/>
    <x v="0"/>
    <d v="2024-04-04T00:00:00"/>
    <x v="1"/>
    <x v="2"/>
    <x v="0"/>
    <n v="0.35200000000000004"/>
    <s v="Time-Based Stock"/>
    <n v="0.35200000000000004"/>
    <x v="0"/>
    <m/>
    <x v="0"/>
    <m/>
    <m/>
  </r>
  <r>
    <x v="60"/>
    <x v="5"/>
    <x v="9"/>
    <x v="31"/>
    <s v="Bank"/>
    <x v="1"/>
    <s v="BBB"/>
    <s v="United States"/>
    <x v="0"/>
    <d v="2024-03-20T00:00:00"/>
    <x v="0"/>
    <x v="0"/>
    <x v="0"/>
    <n v="0.09"/>
    <s v="Annual Equity Grant"/>
    <n v="0.09"/>
    <x v="0"/>
    <s v="Modifier/Threshold"/>
    <x v="68"/>
    <s v="Adjusted Net Income"/>
    <m/>
  </r>
  <r>
    <x v="60"/>
    <x v="5"/>
    <x v="9"/>
    <x v="31"/>
    <s v="Bank"/>
    <x v="1"/>
    <s v="BBB"/>
    <s v="United States"/>
    <x v="0"/>
    <d v="2024-03-20T00:00:00"/>
    <x v="0"/>
    <x v="1"/>
    <x v="1"/>
    <n v="0.17"/>
    <s v="Cash Incentive"/>
    <n v="0.17"/>
    <x v="2"/>
    <s v="Strategy &amp; Operations"/>
    <x v="3"/>
    <s v="Company Performance Factors"/>
    <n v="0.5"/>
  </r>
  <r>
    <x v="60"/>
    <x v="5"/>
    <x v="9"/>
    <x v="31"/>
    <s v="Bank"/>
    <x v="1"/>
    <s v="BBB"/>
    <s v="United States"/>
    <x v="0"/>
    <d v="2024-03-20T00:00:00"/>
    <x v="0"/>
    <x v="1"/>
    <x v="1"/>
    <m/>
    <s v="Cash Incentive"/>
    <n v="0.17"/>
    <x v="2"/>
    <s v="Individual Assessment"/>
    <x v="13"/>
    <s v="Individual Performance Assessment"/>
    <n v="0.5"/>
  </r>
  <r>
    <x v="60"/>
    <x v="5"/>
    <x v="9"/>
    <x v="31"/>
    <s v="Bank"/>
    <x v="1"/>
    <s v="BBB"/>
    <s v="United States"/>
    <x v="0"/>
    <d v="2024-03-20T00:00:00"/>
    <x v="0"/>
    <x v="2"/>
    <x v="1"/>
    <n v="0.57999999999999996"/>
    <s v="Performance Stock"/>
    <n v="0.57999999999999996"/>
    <x v="1"/>
    <s v="Profitability"/>
    <x v="3"/>
    <s v="3Y Relative Dividends + Tangible Book Value per Share "/>
    <n v="0.5"/>
  </r>
  <r>
    <x v="60"/>
    <x v="5"/>
    <x v="9"/>
    <x v="31"/>
    <s v="Bank"/>
    <x v="1"/>
    <s v="BBB"/>
    <s v="United States"/>
    <x v="0"/>
    <d v="2024-03-20T00:00:00"/>
    <x v="0"/>
    <x v="2"/>
    <x v="1"/>
    <m/>
    <s v="Performance Stock"/>
    <n v="0.57999999999999996"/>
    <x v="1"/>
    <s v="Return"/>
    <x v="65"/>
    <s v="3Y Relative Adjusted Return on Tangible Common Equity"/>
    <n v="0.25"/>
  </r>
  <r>
    <x v="60"/>
    <x v="5"/>
    <x v="9"/>
    <x v="31"/>
    <s v="Bank"/>
    <x v="1"/>
    <s v="BBB"/>
    <s v="United States"/>
    <x v="0"/>
    <d v="2024-03-20T00:00:00"/>
    <x v="0"/>
    <x v="2"/>
    <x v="1"/>
    <m/>
    <s v="Performance Stock"/>
    <n v="0.57999999999999996"/>
    <x v="3"/>
    <s v="Stock Performance"/>
    <x v="11"/>
    <s v="3Y Relative TSR"/>
    <n v="0.25"/>
  </r>
  <r>
    <x v="60"/>
    <x v="5"/>
    <x v="9"/>
    <x v="31"/>
    <s v="Bank"/>
    <x v="1"/>
    <s v="BBB"/>
    <s v="United States"/>
    <x v="0"/>
    <d v="2024-03-20T00:00:00"/>
    <x v="0"/>
    <x v="2"/>
    <x v="1"/>
    <m/>
    <s v="Performance Stock"/>
    <n v="0.57999999999999996"/>
    <x v="0"/>
    <s v="Modifier/Threshold"/>
    <x v="69"/>
    <s v="3Y Adjusted Return on Tangible Common Equity"/>
    <m/>
  </r>
  <r>
    <x v="60"/>
    <x v="5"/>
    <x v="9"/>
    <x v="31"/>
    <s v="Bank"/>
    <x v="1"/>
    <s v="BBB"/>
    <s v="United States"/>
    <x v="0"/>
    <d v="2024-03-20T00:00:00"/>
    <x v="0"/>
    <x v="2"/>
    <x v="1"/>
    <n v="0.16"/>
    <s v="Time-Based Stock"/>
    <n v="0.16"/>
    <x v="0"/>
    <s v="Modifier/Threshold"/>
    <x v="68"/>
    <s v="Adjusted Net Income"/>
    <m/>
  </r>
  <r>
    <x v="60"/>
    <x v="5"/>
    <x v="9"/>
    <x v="31"/>
    <s v="Bank"/>
    <x v="1"/>
    <s v="BBB"/>
    <s v="United States"/>
    <x v="0"/>
    <d v="2024-03-20T00:00:00"/>
    <x v="1"/>
    <x v="0"/>
    <x v="0"/>
    <n v="0.2"/>
    <s v="Base Salary"/>
    <n v="0.2"/>
    <x v="0"/>
    <m/>
    <x v="0"/>
    <m/>
    <m/>
  </r>
  <r>
    <x v="60"/>
    <x v="5"/>
    <x v="9"/>
    <x v="31"/>
    <s v="Bank"/>
    <x v="1"/>
    <s v="BBB"/>
    <s v="United States"/>
    <x v="0"/>
    <d v="2024-03-20T00:00:00"/>
    <x v="1"/>
    <x v="1"/>
    <x v="1"/>
    <n v="0.25"/>
    <s v="Cash Incentive"/>
    <n v="0.25"/>
    <x v="2"/>
    <s v="Strategy &amp; Operations"/>
    <x v="3"/>
    <s v="Company Performance Factors"/>
    <n v="0.5"/>
  </r>
  <r>
    <x v="60"/>
    <x v="5"/>
    <x v="9"/>
    <x v="31"/>
    <s v="Bank"/>
    <x v="1"/>
    <s v="BBB"/>
    <s v="United States"/>
    <x v="0"/>
    <d v="2024-03-20T00:00:00"/>
    <x v="1"/>
    <x v="1"/>
    <x v="1"/>
    <m/>
    <s v="Cash Incentive"/>
    <n v="0.25"/>
    <x v="2"/>
    <s v="Individual Assessment"/>
    <x v="13"/>
    <s v="Individual Performance Assessment"/>
    <n v="0.5"/>
  </r>
  <r>
    <x v="60"/>
    <x v="5"/>
    <x v="9"/>
    <x v="31"/>
    <s v="Bank"/>
    <x v="1"/>
    <s v="BBB"/>
    <s v="United States"/>
    <x v="0"/>
    <d v="2024-03-20T00:00:00"/>
    <x v="1"/>
    <x v="2"/>
    <x v="1"/>
    <n v="0.3"/>
    <s v="Performance Stock"/>
    <n v="0.3"/>
    <x v="1"/>
    <s v="Profitability"/>
    <x v="3"/>
    <s v="3Y Relative Dividends + Tangible Book Value per Share "/>
    <n v="0.66666666666666663"/>
  </r>
  <r>
    <x v="60"/>
    <x v="5"/>
    <x v="9"/>
    <x v="31"/>
    <s v="Bank"/>
    <x v="1"/>
    <s v="BBB"/>
    <s v="United States"/>
    <x v="0"/>
    <d v="2024-03-20T00:00:00"/>
    <x v="1"/>
    <x v="2"/>
    <x v="1"/>
    <m/>
    <s v="Performance Stock"/>
    <n v="0.3"/>
    <x v="1"/>
    <s v="Return"/>
    <x v="65"/>
    <s v="3Y Relative Adjusted Return on Tangible Common Equity"/>
    <n v="0.33333333333333331"/>
  </r>
  <r>
    <x v="60"/>
    <x v="5"/>
    <x v="9"/>
    <x v="31"/>
    <s v="Bank"/>
    <x v="1"/>
    <s v="BBB"/>
    <s v="United States"/>
    <x v="0"/>
    <d v="2024-03-20T00:00:00"/>
    <x v="1"/>
    <x v="2"/>
    <x v="1"/>
    <m/>
    <s v="Performance Stock"/>
    <n v="0.3"/>
    <x v="3"/>
    <s v="Modifier/Threshold"/>
    <x v="69"/>
    <s v="3Y Adjusted Return on Tangible Common Equity"/>
    <m/>
  </r>
  <r>
    <x v="60"/>
    <x v="5"/>
    <x v="9"/>
    <x v="31"/>
    <s v="Bank"/>
    <x v="1"/>
    <s v="BBB"/>
    <s v="United States"/>
    <x v="0"/>
    <d v="2024-03-20T00:00:00"/>
    <x v="1"/>
    <x v="2"/>
    <x v="0"/>
    <n v="0.25"/>
    <s v="Time-Based Stock"/>
    <n v="0.25"/>
    <x v="0"/>
    <s v="Modifier/Threshold"/>
    <x v="68"/>
    <s v="Adjusted Net Income"/>
    <m/>
  </r>
  <r>
    <x v="61"/>
    <x v="3"/>
    <x v="6"/>
    <x v="11"/>
    <s v="Medical Specialties"/>
    <x v="2"/>
    <s v="BBB"/>
    <s v="United States"/>
    <x v="0"/>
    <d v="2024-04-04T00:00:00"/>
    <x v="0"/>
    <x v="0"/>
    <x v="0"/>
    <n v="0.08"/>
    <s v="Base Salary"/>
    <n v="0.08"/>
    <x v="0"/>
    <m/>
    <x v="0"/>
    <m/>
    <m/>
  </r>
  <r>
    <x v="61"/>
    <x v="3"/>
    <x v="6"/>
    <x v="11"/>
    <s v="Medical Specialties"/>
    <x v="2"/>
    <s v="BBB"/>
    <s v="United States"/>
    <x v="0"/>
    <d v="2024-04-04T00:00:00"/>
    <x v="0"/>
    <x v="1"/>
    <x v="1"/>
    <n v="0.12"/>
    <s v="Cash Incentive"/>
    <n v="0.12"/>
    <x v="1"/>
    <s v="Growth"/>
    <x v="1"/>
    <s v="Adjusted Revenue"/>
    <n v="0.5"/>
  </r>
  <r>
    <x v="61"/>
    <x v="3"/>
    <x v="6"/>
    <x v="11"/>
    <s v="Medical Specialties"/>
    <x v="2"/>
    <s v="BBB"/>
    <s v="United States"/>
    <x v="0"/>
    <d v="2024-04-04T00:00:00"/>
    <x v="0"/>
    <x v="1"/>
    <x v="1"/>
    <m/>
    <s v="Cash Incentive"/>
    <n v="0.12"/>
    <x v="1"/>
    <s v="Profitability"/>
    <x v="2"/>
    <s v="Adjusted Operating Income"/>
    <n v="0.3"/>
  </r>
  <r>
    <x v="61"/>
    <x v="3"/>
    <x v="6"/>
    <x v="11"/>
    <s v="Medical Specialties"/>
    <x v="2"/>
    <s v="BBB"/>
    <s v="United States"/>
    <x v="0"/>
    <d v="2024-04-04T00:00:00"/>
    <x v="0"/>
    <x v="1"/>
    <x v="1"/>
    <m/>
    <s v="Cash Incentive"/>
    <n v="0.12"/>
    <x v="1"/>
    <s v="Cash Flow"/>
    <x v="25"/>
    <s v="Adjusted Free Cash Flow"/>
    <n v="0.2"/>
  </r>
  <r>
    <x v="61"/>
    <x v="3"/>
    <x v="6"/>
    <x v="11"/>
    <s v="Medical Specialties"/>
    <x v="2"/>
    <s v="BBB"/>
    <s v="United States"/>
    <x v="0"/>
    <d v="2024-04-04T00:00:00"/>
    <x v="0"/>
    <x v="1"/>
    <x v="1"/>
    <m/>
    <s v="Cash Incentive"/>
    <n v="0.12"/>
    <x v="0"/>
    <s v="Modifier/Threshold"/>
    <x v="19"/>
    <s v="New Product Innovations"/>
    <m/>
  </r>
  <r>
    <x v="61"/>
    <x v="3"/>
    <x v="6"/>
    <x v="11"/>
    <s v="Medical Specialties"/>
    <x v="2"/>
    <s v="BBB"/>
    <s v="United States"/>
    <x v="0"/>
    <d v="2024-04-04T00:00:00"/>
    <x v="0"/>
    <x v="1"/>
    <x v="1"/>
    <m/>
    <s v="Cash Incentive"/>
    <n v="0.12"/>
    <x v="0"/>
    <s v="Modifier/Threshold"/>
    <x v="41"/>
    <s v="Injury and Illness Rate"/>
    <m/>
  </r>
  <r>
    <x v="61"/>
    <x v="3"/>
    <x v="6"/>
    <x v="11"/>
    <s v="Medical Specialties"/>
    <x v="2"/>
    <s v="BBB"/>
    <s v="United States"/>
    <x v="0"/>
    <d v="2024-04-04T00:00:00"/>
    <x v="0"/>
    <x v="1"/>
    <x v="1"/>
    <m/>
    <s v="Cash Incentive"/>
    <n v="0.12"/>
    <x v="0"/>
    <s v="Modifier/Threshold"/>
    <x v="10"/>
    <s v="Individual Performance Factor"/>
    <m/>
  </r>
  <r>
    <x v="61"/>
    <x v="3"/>
    <x v="6"/>
    <x v="11"/>
    <s v="Medical Specialties"/>
    <x v="2"/>
    <s v="BBB"/>
    <s v="United States"/>
    <x v="0"/>
    <d v="2024-04-04T00:00:00"/>
    <x v="0"/>
    <x v="2"/>
    <x v="1"/>
    <n v="0.4"/>
    <s v="Performance Stock"/>
    <n v="0.4"/>
    <x v="1"/>
    <s v="Growth"/>
    <x v="1"/>
    <s v="3Y Adjusted Revenue"/>
    <n v="0.5"/>
  </r>
  <r>
    <x v="61"/>
    <x v="3"/>
    <x v="6"/>
    <x v="11"/>
    <s v="Medical Specialties"/>
    <x v="2"/>
    <s v="BBB"/>
    <s v="United States"/>
    <x v="0"/>
    <d v="2024-04-04T00:00:00"/>
    <x v="0"/>
    <x v="2"/>
    <x v="1"/>
    <m/>
    <s v="Performance Stock"/>
    <n v="0.4"/>
    <x v="1"/>
    <s v="Profitability"/>
    <x v="14"/>
    <s v="3Y Cumulative Adjusted EPS"/>
    <n v="0.5"/>
  </r>
  <r>
    <x v="61"/>
    <x v="3"/>
    <x v="6"/>
    <x v="11"/>
    <s v="Medical Specialties"/>
    <x v="2"/>
    <s v="BBB"/>
    <s v="United States"/>
    <x v="0"/>
    <d v="2024-04-04T00:00:00"/>
    <x v="0"/>
    <x v="2"/>
    <x v="1"/>
    <m/>
    <s v="Performance Stock"/>
    <n v="0.4"/>
    <x v="0"/>
    <s v="Modifier/Threshold"/>
    <x v="6"/>
    <s v="3Y Relative TSR"/>
    <m/>
  </r>
  <r>
    <x v="61"/>
    <x v="3"/>
    <x v="6"/>
    <x v="11"/>
    <s v="Medical Specialties"/>
    <x v="2"/>
    <s v="BBB"/>
    <s v="United States"/>
    <x v="0"/>
    <d v="2024-04-04T00:00:00"/>
    <x v="0"/>
    <x v="2"/>
    <x v="0"/>
    <n v="0.2"/>
    <s v="Stock Options"/>
    <n v="0.2"/>
    <x v="0"/>
    <m/>
    <x v="0"/>
    <m/>
    <m/>
  </r>
  <r>
    <x v="61"/>
    <x v="3"/>
    <x v="6"/>
    <x v="11"/>
    <s v="Medical Specialties"/>
    <x v="2"/>
    <s v="BBB"/>
    <s v="United States"/>
    <x v="0"/>
    <d v="2024-04-04T00:00:00"/>
    <x v="0"/>
    <x v="2"/>
    <x v="0"/>
    <n v="0.2"/>
    <s v="Time-Based Stock"/>
    <n v="0.2"/>
    <x v="0"/>
    <m/>
    <x v="0"/>
    <m/>
    <m/>
  </r>
  <r>
    <x v="61"/>
    <x v="3"/>
    <x v="6"/>
    <x v="11"/>
    <s v="Medical Specialties"/>
    <x v="2"/>
    <s v="BBB"/>
    <s v="United States"/>
    <x v="0"/>
    <d v="2024-04-04T00:00:00"/>
    <x v="1"/>
    <x v="0"/>
    <x v="0"/>
    <n v="0.16"/>
    <s v="Base Salary"/>
    <n v="0.16"/>
    <x v="0"/>
    <m/>
    <x v="0"/>
    <m/>
    <m/>
  </r>
  <r>
    <x v="61"/>
    <x v="3"/>
    <x v="6"/>
    <x v="11"/>
    <s v="Medical Specialties"/>
    <x v="2"/>
    <s v="BBB"/>
    <s v="United States"/>
    <x v="0"/>
    <d v="2024-04-04T00:00:00"/>
    <x v="1"/>
    <x v="1"/>
    <x v="1"/>
    <n v="0.16"/>
    <s v="Cash Incentive"/>
    <n v="0.16"/>
    <x v="1"/>
    <s v="Growth"/>
    <x v="1"/>
    <s v="Adjusted Revenue"/>
    <n v="0.5"/>
  </r>
  <r>
    <x v="61"/>
    <x v="3"/>
    <x v="6"/>
    <x v="11"/>
    <s v="Medical Specialties"/>
    <x v="2"/>
    <s v="BBB"/>
    <s v="United States"/>
    <x v="0"/>
    <d v="2024-04-04T00:00:00"/>
    <x v="1"/>
    <x v="1"/>
    <x v="1"/>
    <m/>
    <s v="Cash Incentive"/>
    <n v="0.16"/>
    <x v="1"/>
    <s v="Profitability"/>
    <x v="2"/>
    <s v="Adjusted Operating Income"/>
    <n v="0.3"/>
  </r>
  <r>
    <x v="61"/>
    <x v="3"/>
    <x v="6"/>
    <x v="11"/>
    <s v="Medical Specialties"/>
    <x v="2"/>
    <s v="BBB"/>
    <s v="United States"/>
    <x v="0"/>
    <d v="2024-04-04T00:00:00"/>
    <x v="1"/>
    <x v="1"/>
    <x v="1"/>
    <m/>
    <s v="Cash Incentive"/>
    <n v="0.16"/>
    <x v="1"/>
    <s v="Cash Flow"/>
    <x v="25"/>
    <s v="Adjusted Free Cash Flow"/>
    <n v="0.17"/>
  </r>
  <r>
    <x v="61"/>
    <x v="3"/>
    <x v="6"/>
    <x v="11"/>
    <s v="Medical Specialties"/>
    <x v="2"/>
    <s v="BBB"/>
    <s v="United States"/>
    <x v="0"/>
    <d v="2024-04-04T00:00:00"/>
    <x v="1"/>
    <x v="1"/>
    <x v="1"/>
    <m/>
    <s v="Cash Incentive"/>
    <n v="0.16"/>
    <x v="1"/>
    <s v="Cash Flow"/>
    <x v="70"/>
    <s v="Inventory Turnover"/>
    <n v="0.03"/>
  </r>
  <r>
    <x v="61"/>
    <x v="3"/>
    <x v="6"/>
    <x v="11"/>
    <s v="Medical Specialties"/>
    <x v="2"/>
    <s v="BBB"/>
    <s v="United States"/>
    <x v="0"/>
    <d v="2024-04-04T00:00:00"/>
    <x v="1"/>
    <x v="1"/>
    <x v="1"/>
    <m/>
    <s v="Cash Incentive"/>
    <n v="0.16"/>
    <x v="0"/>
    <s v="Modifier/Threshold"/>
    <x v="19"/>
    <s v="New Product Innovations"/>
    <m/>
  </r>
  <r>
    <x v="61"/>
    <x v="3"/>
    <x v="6"/>
    <x v="11"/>
    <s v="Medical Specialties"/>
    <x v="2"/>
    <s v="BBB"/>
    <s v="United States"/>
    <x v="0"/>
    <d v="2024-04-04T00:00:00"/>
    <x v="1"/>
    <x v="1"/>
    <x v="1"/>
    <m/>
    <s v="Cash Incentive"/>
    <n v="0.16"/>
    <x v="0"/>
    <s v="Modifier/Threshold"/>
    <x v="41"/>
    <s v="Injury and Illness Rate"/>
    <m/>
  </r>
  <r>
    <x v="61"/>
    <x v="3"/>
    <x v="6"/>
    <x v="11"/>
    <s v="Medical Specialties"/>
    <x v="2"/>
    <s v="BBB"/>
    <s v="United States"/>
    <x v="0"/>
    <d v="2024-04-04T00:00:00"/>
    <x v="1"/>
    <x v="1"/>
    <x v="1"/>
    <m/>
    <s v="Cash Incentive"/>
    <n v="0.16"/>
    <x v="0"/>
    <s v="Modifier/Threshold"/>
    <x v="10"/>
    <s v="Individual Performance Factor"/>
    <m/>
  </r>
  <r>
    <x v="61"/>
    <x v="3"/>
    <x v="6"/>
    <x v="11"/>
    <s v="Medical Specialties"/>
    <x v="2"/>
    <s v="BBB"/>
    <s v="United States"/>
    <x v="0"/>
    <d v="2024-04-04T00:00:00"/>
    <x v="1"/>
    <x v="2"/>
    <x v="1"/>
    <n v="0.34"/>
    <s v="Performance Stock"/>
    <n v="0.34"/>
    <x v="1"/>
    <s v="Growth"/>
    <x v="1"/>
    <s v="3Y Adjusted Revenue"/>
    <n v="0.5"/>
  </r>
  <r>
    <x v="61"/>
    <x v="3"/>
    <x v="6"/>
    <x v="11"/>
    <s v="Medical Specialties"/>
    <x v="2"/>
    <s v="BBB"/>
    <s v="United States"/>
    <x v="0"/>
    <d v="2024-04-04T00:00:00"/>
    <x v="1"/>
    <x v="2"/>
    <x v="1"/>
    <m/>
    <s v="Performance Stock"/>
    <n v="0.34"/>
    <x v="1"/>
    <s v="Profitability"/>
    <x v="14"/>
    <s v="3Y Cumulative Adjusted EPS"/>
    <n v="0.5"/>
  </r>
  <r>
    <x v="61"/>
    <x v="3"/>
    <x v="6"/>
    <x v="11"/>
    <s v="Medical Specialties"/>
    <x v="2"/>
    <s v="BBB"/>
    <s v="United States"/>
    <x v="0"/>
    <d v="2024-04-04T00:00:00"/>
    <x v="1"/>
    <x v="2"/>
    <x v="1"/>
    <m/>
    <s v="Performance Stock"/>
    <n v="0.34"/>
    <x v="0"/>
    <s v="Modifier/Threshold"/>
    <x v="6"/>
    <s v="3Y Relative TSR"/>
    <m/>
  </r>
  <r>
    <x v="61"/>
    <x v="3"/>
    <x v="6"/>
    <x v="11"/>
    <s v="Medical Specialties"/>
    <x v="2"/>
    <s v="BBB"/>
    <s v="United States"/>
    <x v="0"/>
    <d v="2024-04-04T00:00:00"/>
    <x v="1"/>
    <x v="2"/>
    <x v="0"/>
    <n v="0.17"/>
    <s v="Stock Options"/>
    <n v="0.17"/>
    <x v="0"/>
    <m/>
    <x v="0"/>
    <m/>
    <m/>
  </r>
  <r>
    <x v="61"/>
    <x v="3"/>
    <x v="6"/>
    <x v="11"/>
    <s v="Medical Specialties"/>
    <x v="2"/>
    <s v="BBB"/>
    <s v="United States"/>
    <x v="0"/>
    <d v="2024-04-04T00:00:00"/>
    <x v="1"/>
    <x v="2"/>
    <x v="0"/>
    <n v="0.17"/>
    <s v="Time-Based Stock"/>
    <n v="0.17"/>
    <x v="0"/>
    <m/>
    <x v="0"/>
    <m/>
    <m/>
  </r>
  <r>
    <x v="62"/>
    <x v="6"/>
    <x v="17"/>
    <x v="29"/>
    <s v="Transportation"/>
    <x v="0"/>
    <s v="BB+"/>
    <s v="United States"/>
    <x v="0"/>
    <d v="2024-03-25T00:00:00"/>
    <x v="0"/>
    <x v="0"/>
    <x v="0"/>
    <n v="0.05"/>
    <s v="Base Salary"/>
    <n v="0.05"/>
    <x v="0"/>
    <m/>
    <x v="0"/>
    <m/>
    <m/>
  </r>
  <r>
    <x v="62"/>
    <x v="6"/>
    <x v="17"/>
    <x v="29"/>
    <s v="Transportation"/>
    <x v="0"/>
    <s v="BB+"/>
    <s v="United States"/>
    <x v="0"/>
    <d v="2024-03-25T00:00:00"/>
    <x v="0"/>
    <x v="1"/>
    <x v="1"/>
    <n v="0.09"/>
    <s v="Cash Incentive"/>
    <n v="0.09"/>
    <x v="2"/>
    <s v="Strategy &amp; Operations"/>
    <x v="3"/>
    <s v="Strategic and Operational Priorities"/>
    <n v="0.4"/>
  </r>
  <r>
    <x v="62"/>
    <x v="6"/>
    <x v="17"/>
    <x v="29"/>
    <s v="Transportation"/>
    <x v="0"/>
    <s v="BB+"/>
    <s v="United States"/>
    <x v="0"/>
    <d v="2024-03-25T00:00:00"/>
    <x v="0"/>
    <x v="1"/>
    <x v="1"/>
    <m/>
    <s v="Cash Incentive"/>
    <n v="0.09"/>
    <x v="1"/>
    <s v="Growth"/>
    <x v="17"/>
    <s v="Gross Bookings"/>
    <n v="0.2"/>
  </r>
  <r>
    <x v="62"/>
    <x v="6"/>
    <x v="17"/>
    <x v="29"/>
    <s v="Transportation"/>
    <x v="0"/>
    <s v="BB+"/>
    <s v="United States"/>
    <x v="0"/>
    <d v="2024-03-25T00:00:00"/>
    <x v="0"/>
    <x v="1"/>
    <x v="1"/>
    <m/>
    <s v="Cash Incentive"/>
    <n v="0.09"/>
    <x v="1"/>
    <s v="Profitability"/>
    <x v="32"/>
    <s v="Adjusted EBITDA"/>
    <n v="0.2"/>
  </r>
  <r>
    <x v="62"/>
    <x v="6"/>
    <x v="17"/>
    <x v="29"/>
    <s v="Transportation"/>
    <x v="0"/>
    <s v="BB+"/>
    <s v="United States"/>
    <x v="0"/>
    <d v="2024-03-25T00:00:00"/>
    <x v="0"/>
    <x v="1"/>
    <x v="1"/>
    <m/>
    <s v="Cash Incentive"/>
    <n v="0.09"/>
    <x v="1"/>
    <s v="Profitability"/>
    <x v="32"/>
    <s v="Adjusted EBITDA"/>
    <n v="0.2"/>
  </r>
  <r>
    <x v="62"/>
    <x v="6"/>
    <x v="17"/>
    <x v="29"/>
    <s v="Transportation"/>
    <x v="0"/>
    <s v="BB+"/>
    <s v="United States"/>
    <x v="0"/>
    <d v="2024-03-25T00:00:00"/>
    <x v="0"/>
    <x v="1"/>
    <x v="1"/>
    <m/>
    <s v="Cash Incentive"/>
    <n v="0.09"/>
    <x v="0"/>
    <s v="Modifier/Threshold"/>
    <x v="10"/>
    <s v="Individual Performance Factor"/>
    <m/>
  </r>
  <r>
    <x v="62"/>
    <x v="6"/>
    <x v="17"/>
    <x v="29"/>
    <s v="Transportation"/>
    <x v="0"/>
    <s v="BB+"/>
    <s v="United States"/>
    <x v="0"/>
    <d v="2024-03-25T00:00:00"/>
    <x v="0"/>
    <x v="1"/>
    <x v="1"/>
    <m/>
    <s v="Cash Incentive"/>
    <n v="0.09"/>
    <x v="0"/>
    <s v="Modifier/Threshold"/>
    <x v="34"/>
    <s v="Discretionary Adjustment"/>
    <m/>
  </r>
  <r>
    <x v="62"/>
    <x v="6"/>
    <x v="17"/>
    <x v="29"/>
    <s v="Transportation"/>
    <x v="0"/>
    <s v="BB+"/>
    <s v="United States"/>
    <x v="0"/>
    <d v="2024-03-25T00:00:00"/>
    <x v="0"/>
    <x v="2"/>
    <x v="1"/>
    <n v="0.43"/>
    <s v="Performance Stock"/>
    <n v="0.43"/>
    <x v="1"/>
    <s v="Profitability"/>
    <x v="31"/>
    <s v="Adjusted EBITDA Margin"/>
    <n v="0.4"/>
  </r>
  <r>
    <x v="62"/>
    <x v="6"/>
    <x v="17"/>
    <x v="29"/>
    <s v="Transportation"/>
    <x v="0"/>
    <s v="BB+"/>
    <s v="United States"/>
    <x v="0"/>
    <d v="2024-03-25T00:00:00"/>
    <x v="0"/>
    <x v="2"/>
    <x v="1"/>
    <m/>
    <s v="Performance Stock"/>
    <n v="0.43"/>
    <x v="1"/>
    <s v="Growth"/>
    <x v="17"/>
    <s v="3Y Average Gross Bookings Growth"/>
    <n v="0.4"/>
  </r>
  <r>
    <x v="62"/>
    <x v="6"/>
    <x v="17"/>
    <x v="29"/>
    <s v="Transportation"/>
    <x v="0"/>
    <s v="BB+"/>
    <s v="United States"/>
    <x v="0"/>
    <d v="2024-03-25T00:00:00"/>
    <x v="0"/>
    <x v="2"/>
    <x v="1"/>
    <m/>
    <s v="Performance Stock"/>
    <n v="0.43"/>
    <x v="2"/>
    <s v="ESG"/>
    <x v="7"/>
    <s v="3Y Diversity, Equity, and Inclusion"/>
    <n v="0.1"/>
  </r>
  <r>
    <x v="62"/>
    <x v="6"/>
    <x v="17"/>
    <x v="29"/>
    <s v="Transportation"/>
    <x v="0"/>
    <s v="BB+"/>
    <s v="United States"/>
    <x v="0"/>
    <d v="2024-03-25T00:00:00"/>
    <x v="0"/>
    <x v="2"/>
    <x v="1"/>
    <m/>
    <s v="Performance Stock"/>
    <n v="0.43"/>
    <x v="2"/>
    <s v="Strategy &amp; Operations"/>
    <x v="40"/>
    <s v="3Y Safety Improvement"/>
    <n v="0.1"/>
  </r>
  <r>
    <x v="62"/>
    <x v="6"/>
    <x v="17"/>
    <x v="29"/>
    <s v="Transportation"/>
    <x v="0"/>
    <s v="BB+"/>
    <s v="United States"/>
    <x v="0"/>
    <d v="2024-03-25T00:00:00"/>
    <x v="0"/>
    <x v="2"/>
    <x v="1"/>
    <m/>
    <s v="Performance Stock"/>
    <n v="0.43"/>
    <x v="0"/>
    <s v="Modifier/Threshold"/>
    <x v="6"/>
    <s v="3Y Relative TSR "/>
    <m/>
  </r>
  <r>
    <x v="62"/>
    <x v="6"/>
    <x v="17"/>
    <x v="29"/>
    <s v="Transportation"/>
    <x v="0"/>
    <s v="BB+"/>
    <s v="United States"/>
    <x v="0"/>
    <d v="2024-03-25T00:00:00"/>
    <x v="0"/>
    <x v="2"/>
    <x v="1"/>
    <m/>
    <s v="Performance Stock"/>
    <n v="0.43"/>
    <x v="0"/>
    <s v="Modifier/Threshold"/>
    <x v="12"/>
    <s v="3Y Absolute TSR"/>
    <m/>
  </r>
  <r>
    <x v="62"/>
    <x v="6"/>
    <x v="17"/>
    <x v="29"/>
    <s v="Transportation"/>
    <x v="0"/>
    <s v="BB+"/>
    <s v="United States"/>
    <x v="0"/>
    <d v="2024-03-25T00:00:00"/>
    <x v="0"/>
    <x v="2"/>
    <x v="0"/>
    <n v="0.215"/>
    <s v="Stock Options"/>
    <n v="0.215"/>
    <x v="0"/>
    <m/>
    <x v="0"/>
    <m/>
    <m/>
  </r>
  <r>
    <x v="62"/>
    <x v="6"/>
    <x v="17"/>
    <x v="29"/>
    <s v="Transportation"/>
    <x v="0"/>
    <s v="BB+"/>
    <s v="United States"/>
    <x v="0"/>
    <d v="2024-03-25T00:00:00"/>
    <x v="0"/>
    <x v="2"/>
    <x v="0"/>
    <n v="0.215"/>
    <s v="Time-Based Stock"/>
    <n v="0.215"/>
    <x v="0"/>
    <m/>
    <x v="0"/>
    <m/>
    <m/>
  </r>
  <r>
    <x v="62"/>
    <x v="6"/>
    <x v="17"/>
    <x v="29"/>
    <s v="Transportation"/>
    <x v="0"/>
    <s v="BB+"/>
    <s v="United States"/>
    <x v="0"/>
    <d v="2024-03-25T00:00:00"/>
    <x v="1"/>
    <x v="0"/>
    <x v="0"/>
    <n v="0.08"/>
    <s v="Base Salary"/>
    <n v="0.08"/>
    <x v="0"/>
    <m/>
    <x v="0"/>
    <m/>
    <m/>
  </r>
  <r>
    <x v="62"/>
    <x v="6"/>
    <x v="17"/>
    <x v="29"/>
    <s v="Transportation"/>
    <x v="0"/>
    <s v="BB+"/>
    <s v="United States"/>
    <x v="0"/>
    <d v="2024-03-25T00:00:00"/>
    <x v="1"/>
    <x v="1"/>
    <x v="1"/>
    <n v="0.1"/>
    <s v="Cash Incentive"/>
    <n v="0.1"/>
    <x v="2"/>
    <s v="Strategy &amp; Operations"/>
    <x v="3"/>
    <s v="Strategic and Operational Priorities"/>
    <n v="0.4"/>
  </r>
  <r>
    <x v="62"/>
    <x v="6"/>
    <x v="17"/>
    <x v="29"/>
    <s v="Transportation"/>
    <x v="0"/>
    <s v="BB+"/>
    <s v="United States"/>
    <x v="0"/>
    <d v="2024-03-25T00:00:00"/>
    <x v="1"/>
    <x v="1"/>
    <x v="1"/>
    <m/>
    <s v="Cash Incentive"/>
    <n v="0.1"/>
    <x v="1"/>
    <s v="Growth"/>
    <x v="17"/>
    <s v="Gross Bookings"/>
    <n v="0.2"/>
  </r>
  <r>
    <x v="62"/>
    <x v="6"/>
    <x v="17"/>
    <x v="29"/>
    <s v="Transportation"/>
    <x v="0"/>
    <s v="BB+"/>
    <s v="United States"/>
    <x v="0"/>
    <d v="2024-03-25T00:00:00"/>
    <x v="1"/>
    <x v="1"/>
    <x v="1"/>
    <m/>
    <s v="Cash Incentive"/>
    <n v="0.1"/>
    <x v="1"/>
    <s v="Profitability"/>
    <x v="32"/>
    <s v="Adjusted EBITDA"/>
    <n v="0.2"/>
  </r>
  <r>
    <x v="62"/>
    <x v="6"/>
    <x v="17"/>
    <x v="29"/>
    <s v="Transportation"/>
    <x v="0"/>
    <s v="BB+"/>
    <s v="United States"/>
    <x v="0"/>
    <d v="2024-03-25T00:00:00"/>
    <x v="1"/>
    <x v="1"/>
    <x v="1"/>
    <m/>
    <s v="Cash Incentive"/>
    <n v="0.1"/>
    <x v="1"/>
    <s v="Profitability"/>
    <x v="32"/>
    <s v="Adjusted EBITDA"/>
    <n v="0.2"/>
  </r>
  <r>
    <x v="62"/>
    <x v="6"/>
    <x v="17"/>
    <x v="29"/>
    <s v="Transportation"/>
    <x v="0"/>
    <s v="BB+"/>
    <s v="United States"/>
    <x v="0"/>
    <d v="2024-03-25T00:00:00"/>
    <x v="1"/>
    <x v="1"/>
    <x v="1"/>
    <m/>
    <s v="Cash Incentive"/>
    <n v="0.1"/>
    <x v="0"/>
    <s v="Modifier/Threshold"/>
    <x v="10"/>
    <s v="Individual Performance Factor"/>
    <m/>
  </r>
  <r>
    <x v="62"/>
    <x v="6"/>
    <x v="17"/>
    <x v="29"/>
    <s v="Transportation"/>
    <x v="0"/>
    <s v="BB+"/>
    <s v="United States"/>
    <x v="0"/>
    <d v="2024-03-25T00:00:00"/>
    <x v="1"/>
    <x v="1"/>
    <x v="1"/>
    <m/>
    <s v="Cash Incentive"/>
    <n v="0.1"/>
    <x v="0"/>
    <s v="Modifier/Threshold"/>
    <x v="34"/>
    <s v="Discretionary Adjustment"/>
    <m/>
  </r>
  <r>
    <x v="62"/>
    <x v="6"/>
    <x v="17"/>
    <x v="29"/>
    <s v="Transportation"/>
    <x v="0"/>
    <s v="BB+"/>
    <s v="United States"/>
    <x v="0"/>
    <d v="2024-03-25T00:00:00"/>
    <x v="1"/>
    <x v="2"/>
    <x v="1"/>
    <n v="0.27333333333333332"/>
    <s v="Performance Stock"/>
    <n v="0.27333333333333332"/>
    <x v="1"/>
    <s v="Profitability"/>
    <x v="31"/>
    <s v="Adjusted EBITDA Margin"/>
    <n v="0.4"/>
  </r>
  <r>
    <x v="62"/>
    <x v="6"/>
    <x v="17"/>
    <x v="29"/>
    <s v="Transportation"/>
    <x v="0"/>
    <s v="BB+"/>
    <s v="United States"/>
    <x v="0"/>
    <d v="2024-03-25T00:00:00"/>
    <x v="1"/>
    <x v="2"/>
    <x v="1"/>
    <m/>
    <s v="Performance Stock"/>
    <n v="0.27333333333333332"/>
    <x v="1"/>
    <s v="Growth"/>
    <x v="17"/>
    <s v="3Y Average Gross Bookings Growth"/>
    <n v="0.4"/>
  </r>
  <r>
    <x v="62"/>
    <x v="6"/>
    <x v="17"/>
    <x v="29"/>
    <s v="Transportation"/>
    <x v="0"/>
    <s v="BB+"/>
    <s v="United States"/>
    <x v="0"/>
    <d v="2024-03-25T00:00:00"/>
    <x v="1"/>
    <x v="2"/>
    <x v="1"/>
    <m/>
    <s v="Performance Stock"/>
    <n v="0.27333333333333332"/>
    <x v="2"/>
    <s v="ESG"/>
    <x v="7"/>
    <s v="3Y Diversity, Equity, and Inclusion"/>
    <n v="0.1"/>
  </r>
  <r>
    <x v="62"/>
    <x v="6"/>
    <x v="17"/>
    <x v="29"/>
    <s v="Transportation"/>
    <x v="0"/>
    <s v="BB+"/>
    <s v="United States"/>
    <x v="0"/>
    <d v="2024-03-25T00:00:00"/>
    <x v="1"/>
    <x v="2"/>
    <x v="1"/>
    <m/>
    <s v="Performance Stock"/>
    <n v="0.27333333333333332"/>
    <x v="2"/>
    <s v="Strategy &amp; Operations"/>
    <x v="40"/>
    <s v="3Y Safety Improvement"/>
    <n v="0.1"/>
  </r>
  <r>
    <x v="62"/>
    <x v="6"/>
    <x v="17"/>
    <x v="29"/>
    <s v="Transportation"/>
    <x v="0"/>
    <s v="BB+"/>
    <s v="United States"/>
    <x v="0"/>
    <d v="2024-03-25T00:00:00"/>
    <x v="1"/>
    <x v="2"/>
    <x v="1"/>
    <m/>
    <s v="Performance Stock"/>
    <n v="0.27333333333333332"/>
    <x v="0"/>
    <s v="Modifier/Threshold"/>
    <x v="6"/>
    <s v="3Y Relative TSR "/>
    <m/>
  </r>
  <r>
    <x v="62"/>
    <x v="6"/>
    <x v="17"/>
    <x v="29"/>
    <s v="Transportation"/>
    <x v="0"/>
    <s v="BB+"/>
    <s v="United States"/>
    <x v="0"/>
    <d v="2024-03-25T00:00:00"/>
    <x v="1"/>
    <x v="2"/>
    <x v="1"/>
    <m/>
    <s v="Performance Stock"/>
    <n v="0.27333333333333332"/>
    <x v="0"/>
    <s v="Modifier/Threshold"/>
    <x v="12"/>
    <s v="3Y Absolute TSR"/>
    <m/>
  </r>
  <r>
    <x v="62"/>
    <x v="6"/>
    <x v="17"/>
    <x v="29"/>
    <s v="Transportation"/>
    <x v="0"/>
    <s v="BB+"/>
    <s v="United States"/>
    <x v="0"/>
    <d v="2024-03-25T00:00:00"/>
    <x v="1"/>
    <x v="2"/>
    <x v="0"/>
    <n v="0.54666666666666663"/>
    <s v="Time-Based Stock"/>
    <n v="0.54666666666666663"/>
    <x v="0"/>
    <m/>
    <x v="0"/>
    <m/>
    <m/>
  </r>
  <r>
    <x v="63"/>
    <x v="4"/>
    <x v="18"/>
    <x v="32"/>
    <s v="Discount Stores"/>
    <x v="2"/>
    <s v="BBB"/>
    <s v="United States"/>
    <x v="0"/>
    <d v="2024-04-05T00:00:00"/>
    <x v="0"/>
    <x v="0"/>
    <x v="0"/>
    <n v="0.12"/>
    <s v="Base Salary"/>
    <n v="0.12"/>
    <x v="0"/>
    <m/>
    <x v="0"/>
    <m/>
    <m/>
  </r>
  <r>
    <x v="63"/>
    <x v="4"/>
    <x v="18"/>
    <x v="32"/>
    <s v="Discount Stores"/>
    <x v="2"/>
    <s v="BBB"/>
    <s v="United States"/>
    <x v="0"/>
    <d v="2024-04-05T00:00:00"/>
    <x v="0"/>
    <x v="1"/>
    <x v="1"/>
    <n v="0.18"/>
    <s v="Cash Incentive"/>
    <n v="0.18"/>
    <x v="1"/>
    <s v="Profitability"/>
    <x v="2"/>
    <s v="Adjusted Operating Income"/>
    <n v="1"/>
  </r>
  <r>
    <x v="63"/>
    <x v="4"/>
    <x v="18"/>
    <x v="32"/>
    <s v="Discount Stores"/>
    <x v="2"/>
    <s v="BBB"/>
    <s v="United States"/>
    <x v="0"/>
    <d v="2024-04-05T00:00:00"/>
    <x v="0"/>
    <x v="2"/>
    <x v="1"/>
    <n v="0.35"/>
    <s v="Performance Stock"/>
    <n v="0.35"/>
    <x v="1"/>
    <s v="Profitability"/>
    <x v="32"/>
    <s v="Adjusted EBITDA"/>
    <n v="0.5"/>
  </r>
  <r>
    <x v="63"/>
    <x v="4"/>
    <x v="18"/>
    <x v="32"/>
    <s v="Discount Stores"/>
    <x v="2"/>
    <s v="BBB"/>
    <s v="United States"/>
    <x v="0"/>
    <d v="2024-04-05T00:00:00"/>
    <x v="0"/>
    <x v="2"/>
    <x v="1"/>
    <m/>
    <s v="Performance Stock"/>
    <n v="0.35"/>
    <x v="1"/>
    <s v="Return"/>
    <x v="26"/>
    <s v="3Y Average Adjusted ROIC "/>
    <n v="0.5"/>
  </r>
  <r>
    <x v="63"/>
    <x v="4"/>
    <x v="18"/>
    <x v="32"/>
    <s v="Discount Stores"/>
    <x v="2"/>
    <s v="BBB"/>
    <s v="United States"/>
    <x v="0"/>
    <d v="2024-04-05T00:00:00"/>
    <x v="0"/>
    <x v="2"/>
    <x v="0"/>
    <n v="0.35"/>
    <s v="Stock Options"/>
    <n v="0.35"/>
    <x v="0"/>
    <m/>
    <x v="0"/>
    <m/>
    <m/>
  </r>
  <r>
    <x v="63"/>
    <x v="4"/>
    <x v="18"/>
    <x v="32"/>
    <s v="Discount Stores"/>
    <x v="2"/>
    <s v="BBB"/>
    <s v="United States"/>
    <x v="0"/>
    <d v="2024-04-05T00:00:00"/>
    <x v="1"/>
    <x v="0"/>
    <x v="0"/>
    <n v="0.23"/>
    <s v="Base Salary"/>
    <n v="0.23"/>
    <x v="0"/>
    <m/>
    <x v="0"/>
    <m/>
    <m/>
  </r>
  <r>
    <x v="63"/>
    <x v="4"/>
    <x v="18"/>
    <x v="32"/>
    <s v="Discount Stores"/>
    <x v="2"/>
    <s v="BBB"/>
    <s v="United States"/>
    <x v="0"/>
    <d v="2024-04-05T00:00:00"/>
    <x v="1"/>
    <x v="1"/>
    <x v="1"/>
    <n v="0.18"/>
    <s v="Cash Incentive"/>
    <n v="0.18"/>
    <x v="1"/>
    <s v="Profitability"/>
    <x v="2"/>
    <s v="Adjusted Operating Income"/>
    <n v="1"/>
  </r>
  <r>
    <x v="63"/>
    <x v="4"/>
    <x v="18"/>
    <x v="32"/>
    <s v="Discount Stores"/>
    <x v="2"/>
    <s v="BBB"/>
    <s v="United States"/>
    <x v="0"/>
    <d v="2024-04-05T00:00:00"/>
    <x v="1"/>
    <x v="2"/>
    <x v="1"/>
    <n v="0.29499999999999998"/>
    <s v="Performance Stock"/>
    <n v="0.29499999999999998"/>
    <x v="1"/>
    <s v="Profitability"/>
    <x v="32"/>
    <s v="Adjusted EBITDA"/>
    <n v="0.5"/>
  </r>
  <r>
    <x v="63"/>
    <x v="4"/>
    <x v="18"/>
    <x v="32"/>
    <s v="Discount Stores"/>
    <x v="2"/>
    <s v="BBB"/>
    <s v="United States"/>
    <x v="0"/>
    <d v="2024-04-05T00:00:00"/>
    <x v="1"/>
    <x v="2"/>
    <x v="1"/>
    <m/>
    <s v="Performance Stock"/>
    <n v="0.29499999999999998"/>
    <x v="1"/>
    <s v="Return"/>
    <x v="26"/>
    <s v="3Y Average Adjusted ROIC "/>
    <n v="0.5"/>
  </r>
  <r>
    <x v="63"/>
    <x v="4"/>
    <x v="18"/>
    <x v="32"/>
    <s v="Discount Stores"/>
    <x v="2"/>
    <s v="BBB"/>
    <s v="United States"/>
    <x v="0"/>
    <d v="2024-04-05T00:00:00"/>
    <x v="1"/>
    <x v="2"/>
    <x v="0"/>
    <n v="0.29499999999999998"/>
    <s v="Stock Options"/>
    <n v="0.29499999999999998"/>
    <x v="0"/>
    <m/>
    <x v="0"/>
    <m/>
    <m/>
  </r>
  <r>
    <x v="64"/>
    <x v="4"/>
    <x v="5"/>
    <x v="33"/>
    <s v="Specialty Food"/>
    <x v="1"/>
    <s v="BBB"/>
    <s v="United States"/>
    <x v="0"/>
    <d v="2024-04-05T00:00:00"/>
    <x v="0"/>
    <x v="0"/>
    <x v="0"/>
    <n v="0.09"/>
    <s v="Base Salary"/>
    <n v="0.09"/>
    <x v="0"/>
    <m/>
    <x v="0"/>
    <m/>
    <m/>
  </r>
  <r>
    <x v="64"/>
    <x v="4"/>
    <x v="5"/>
    <x v="33"/>
    <s v="Specialty Food"/>
    <x v="1"/>
    <s v="BBB"/>
    <s v="United States"/>
    <x v="0"/>
    <d v="2024-04-05T00:00:00"/>
    <x v="0"/>
    <x v="1"/>
    <x v="1"/>
    <n v="0.16"/>
    <s v="Cash Incentive"/>
    <n v="0.16"/>
    <x v="1"/>
    <s v="Profitability"/>
    <x v="71"/>
    <s v="Adjusted Gross Profit Growth"/>
    <n v="0.27999999999999997"/>
  </r>
  <r>
    <x v="64"/>
    <x v="4"/>
    <x v="5"/>
    <x v="33"/>
    <s v="Specialty Food"/>
    <x v="1"/>
    <s v="BBB"/>
    <s v="United States"/>
    <x v="0"/>
    <d v="2024-04-05T00:00:00"/>
    <x v="0"/>
    <x v="1"/>
    <x v="1"/>
    <m/>
    <s v="Cash Incentive"/>
    <n v="0.16"/>
    <x v="1"/>
    <s v="Cash Flow"/>
    <x v="25"/>
    <s v="Free Cash Flow Growth"/>
    <n v="0.16000000000000003"/>
  </r>
  <r>
    <x v="64"/>
    <x v="4"/>
    <x v="5"/>
    <x v="33"/>
    <s v="Specialty Food"/>
    <x v="1"/>
    <s v="BBB"/>
    <s v="United States"/>
    <x v="0"/>
    <d v="2024-04-05T00:00:00"/>
    <x v="0"/>
    <x v="1"/>
    <x v="1"/>
    <m/>
    <s v="Cash Incentive"/>
    <n v="0.16"/>
    <x v="1"/>
    <s v="Growth"/>
    <x v="1"/>
    <s v="Adjusted Revenue Growth"/>
    <n v="0.12"/>
  </r>
  <r>
    <x v="64"/>
    <x v="4"/>
    <x v="5"/>
    <x v="33"/>
    <s v="Specialty Food"/>
    <x v="1"/>
    <s v="BBB"/>
    <s v="United States"/>
    <x v="0"/>
    <d v="2024-04-05T00:00:00"/>
    <x v="0"/>
    <x v="1"/>
    <x v="1"/>
    <m/>
    <s v="Cash Incentive"/>
    <n v="0.16"/>
    <x v="1"/>
    <s v="Growth"/>
    <x v="17"/>
    <s v="Adjusted Volume Growth"/>
    <n v="0.12"/>
  </r>
  <r>
    <x v="64"/>
    <x v="4"/>
    <x v="5"/>
    <x v="33"/>
    <s v="Specialty Food"/>
    <x v="1"/>
    <s v="BBB"/>
    <s v="United States"/>
    <x v="0"/>
    <d v="2024-04-05T00:00:00"/>
    <x v="0"/>
    <x v="1"/>
    <x v="1"/>
    <m/>
    <s v="Cash Incentive"/>
    <n v="0.16"/>
    <x v="1"/>
    <s v="Profitability"/>
    <x v="2"/>
    <s v="Adjusted Operating Income Growth"/>
    <n v="0.12"/>
  </r>
  <r>
    <x v="64"/>
    <x v="4"/>
    <x v="5"/>
    <x v="33"/>
    <s v="Specialty Food"/>
    <x v="1"/>
    <s v="BBB"/>
    <s v="United States"/>
    <x v="0"/>
    <d v="2024-04-05T00:00:00"/>
    <x v="0"/>
    <x v="1"/>
    <x v="1"/>
    <m/>
    <s v="Cash Incentive"/>
    <n v="0.16"/>
    <x v="1"/>
    <s v="Strategy &amp; Operations"/>
    <x v="3"/>
    <s v="Snacks Leadership"/>
    <n v="0.1"/>
  </r>
  <r>
    <x v="64"/>
    <x v="4"/>
    <x v="5"/>
    <x v="33"/>
    <s v="Specialty Food"/>
    <x v="1"/>
    <s v="BBB"/>
    <s v="United States"/>
    <x v="0"/>
    <d v="2024-04-05T00:00:00"/>
    <x v="0"/>
    <x v="1"/>
    <x v="1"/>
    <m/>
    <s v="Cash Incentive"/>
    <n v="0.16"/>
    <x v="2"/>
    <s v="ESG"/>
    <x v="7"/>
    <s v="ESG"/>
    <n v="0.1"/>
  </r>
  <r>
    <x v="64"/>
    <x v="4"/>
    <x v="5"/>
    <x v="33"/>
    <s v="Specialty Food"/>
    <x v="1"/>
    <s v="BBB"/>
    <s v="United States"/>
    <x v="0"/>
    <d v="2024-04-05T00:00:00"/>
    <x v="0"/>
    <x v="1"/>
    <x v="1"/>
    <m/>
    <s v="Cash Incentive"/>
    <n v="0.16"/>
    <x v="0"/>
    <s v="Modifier/Threshold"/>
    <x v="72"/>
    <s v="Market Share"/>
    <m/>
  </r>
  <r>
    <x v="64"/>
    <x v="4"/>
    <x v="5"/>
    <x v="33"/>
    <s v="Specialty Food"/>
    <x v="1"/>
    <s v="BBB"/>
    <s v="United States"/>
    <x v="0"/>
    <d v="2024-04-05T00:00:00"/>
    <x v="0"/>
    <x v="2"/>
    <x v="1"/>
    <n v="0.5625"/>
    <s v="Performance Stock"/>
    <n v="0.5625"/>
    <x v="3"/>
    <s v="Stock Performance"/>
    <x v="11"/>
    <s v="3Y Relative TSR"/>
    <n v="0.5"/>
  </r>
  <r>
    <x v="64"/>
    <x v="4"/>
    <x v="5"/>
    <x v="33"/>
    <s v="Specialty Food"/>
    <x v="1"/>
    <s v="BBB"/>
    <s v="United States"/>
    <x v="0"/>
    <d v="2024-04-05T00:00:00"/>
    <x v="0"/>
    <x v="2"/>
    <x v="1"/>
    <m/>
    <s v="Performance Stock"/>
    <n v="0.5625"/>
    <x v="1"/>
    <s v="Profitability"/>
    <x v="14"/>
    <s v="3Y Adjusted EPS Growth"/>
    <n v="0.25"/>
  </r>
  <r>
    <x v="64"/>
    <x v="4"/>
    <x v="5"/>
    <x v="33"/>
    <s v="Specialty Food"/>
    <x v="1"/>
    <s v="BBB"/>
    <s v="United States"/>
    <x v="0"/>
    <d v="2024-04-05T00:00:00"/>
    <x v="0"/>
    <x v="2"/>
    <x v="1"/>
    <m/>
    <s v="Performance Stock"/>
    <n v="0.5625"/>
    <x v="1"/>
    <s v="Growth"/>
    <x v="1"/>
    <s v="3Y Adjusted Revenue Growth"/>
    <n v="0.25"/>
  </r>
  <r>
    <x v="64"/>
    <x v="4"/>
    <x v="5"/>
    <x v="33"/>
    <s v="Specialty Food"/>
    <x v="1"/>
    <s v="BBB"/>
    <s v="United States"/>
    <x v="0"/>
    <d v="2024-04-05T00:00:00"/>
    <x v="0"/>
    <x v="2"/>
    <x v="1"/>
    <m/>
    <s v="Performance Stock"/>
    <n v="0.5625"/>
    <x v="0"/>
    <s v="Modifier/Threshold"/>
    <x v="12"/>
    <s v="3Y Absolute TSR"/>
    <m/>
  </r>
  <r>
    <x v="64"/>
    <x v="4"/>
    <x v="5"/>
    <x v="33"/>
    <s v="Specialty Food"/>
    <x v="1"/>
    <s v="BBB"/>
    <s v="United States"/>
    <x v="0"/>
    <d v="2024-04-05T00:00:00"/>
    <x v="0"/>
    <x v="2"/>
    <x v="0"/>
    <n v="0.1875"/>
    <s v="Stock Options"/>
    <n v="0.1875"/>
    <x v="0"/>
    <m/>
    <x v="0"/>
    <m/>
    <m/>
  </r>
  <r>
    <x v="64"/>
    <x v="4"/>
    <x v="5"/>
    <x v="33"/>
    <s v="Specialty Food"/>
    <x v="1"/>
    <s v="BBB"/>
    <s v="United States"/>
    <x v="0"/>
    <d v="2024-04-05T00:00:00"/>
    <x v="1"/>
    <x v="0"/>
    <x v="0"/>
    <n v="0.17"/>
    <s v="Base Salary"/>
    <n v="0.17"/>
    <x v="0"/>
    <m/>
    <x v="0"/>
    <m/>
    <m/>
  </r>
  <r>
    <x v="64"/>
    <x v="4"/>
    <x v="5"/>
    <x v="33"/>
    <s v="Specialty Food"/>
    <x v="1"/>
    <s v="BBB"/>
    <s v="United States"/>
    <x v="0"/>
    <d v="2024-04-05T00:00:00"/>
    <x v="1"/>
    <x v="1"/>
    <x v="1"/>
    <n v="0.18"/>
    <s v="Cash Incentive"/>
    <n v="0.18"/>
    <x v="1"/>
    <s v="Profitability"/>
    <x v="71"/>
    <s v="Adjusted Gross Profit Growth"/>
    <n v="0.27999999999999997"/>
  </r>
  <r>
    <x v="64"/>
    <x v="4"/>
    <x v="5"/>
    <x v="33"/>
    <s v="Specialty Food"/>
    <x v="1"/>
    <s v="BBB"/>
    <s v="United States"/>
    <x v="0"/>
    <d v="2024-04-05T00:00:00"/>
    <x v="1"/>
    <x v="1"/>
    <x v="1"/>
    <m/>
    <s v="Cash Incentive"/>
    <n v="0.18"/>
    <x v="1"/>
    <s v="Cash Flow"/>
    <x v="25"/>
    <s v="Free Cash Flow Growth"/>
    <n v="0.16000000000000003"/>
  </r>
  <r>
    <x v="64"/>
    <x v="4"/>
    <x v="5"/>
    <x v="33"/>
    <s v="Specialty Food"/>
    <x v="1"/>
    <s v="BBB"/>
    <s v="United States"/>
    <x v="0"/>
    <d v="2024-04-05T00:00:00"/>
    <x v="1"/>
    <x v="1"/>
    <x v="1"/>
    <m/>
    <s v="Cash Incentive"/>
    <n v="0.18"/>
    <x v="1"/>
    <s v="Growth"/>
    <x v="1"/>
    <s v="Adjusted Revenue Growth"/>
    <n v="0.12"/>
  </r>
  <r>
    <x v="64"/>
    <x v="4"/>
    <x v="5"/>
    <x v="33"/>
    <s v="Specialty Food"/>
    <x v="1"/>
    <s v="BBB"/>
    <s v="United States"/>
    <x v="0"/>
    <d v="2024-04-05T00:00:00"/>
    <x v="1"/>
    <x v="1"/>
    <x v="1"/>
    <m/>
    <s v="Cash Incentive"/>
    <n v="0.18"/>
    <x v="1"/>
    <s v="Growth"/>
    <x v="17"/>
    <s v="Adjusted Volume Growth"/>
    <n v="0.12"/>
  </r>
  <r>
    <x v="64"/>
    <x v="4"/>
    <x v="5"/>
    <x v="33"/>
    <s v="Specialty Food"/>
    <x v="1"/>
    <s v="BBB"/>
    <s v="United States"/>
    <x v="0"/>
    <d v="2024-04-05T00:00:00"/>
    <x v="1"/>
    <x v="1"/>
    <x v="1"/>
    <m/>
    <s v="Cash Incentive"/>
    <n v="0.18"/>
    <x v="1"/>
    <s v="Profitability"/>
    <x v="2"/>
    <s v="Adjusted Operating Income Growth"/>
    <n v="0.12"/>
  </r>
  <r>
    <x v="64"/>
    <x v="4"/>
    <x v="5"/>
    <x v="33"/>
    <s v="Specialty Food"/>
    <x v="1"/>
    <s v="BBB"/>
    <s v="United States"/>
    <x v="0"/>
    <d v="2024-04-05T00:00:00"/>
    <x v="1"/>
    <x v="1"/>
    <x v="1"/>
    <m/>
    <s v="Cash Incentive"/>
    <n v="0.18"/>
    <x v="1"/>
    <s v="Strategy &amp; Operations"/>
    <x v="3"/>
    <s v="Snacks Leadership"/>
    <n v="0.1"/>
  </r>
  <r>
    <x v="64"/>
    <x v="4"/>
    <x v="5"/>
    <x v="33"/>
    <s v="Specialty Food"/>
    <x v="1"/>
    <s v="BBB"/>
    <s v="United States"/>
    <x v="0"/>
    <d v="2024-04-05T00:00:00"/>
    <x v="1"/>
    <x v="1"/>
    <x v="1"/>
    <m/>
    <s v="Cash Incentive"/>
    <n v="0.18"/>
    <x v="2"/>
    <s v="ESG"/>
    <x v="7"/>
    <s v="ESG"/>
    <n v="0.1"/>
  </r>
  <r>
    <x v="64"/>
    <x v="4"/>
    <x v="5"/>
    <x v="33"/>
    <s v="Specialty Food"/>
    <x v="1"/>
    <s v="BBB"/>
    <s v="United States"/>
    <x v="0"/>
    <d v="2024-04-05T00:00:00"/>
    <x v="1"/>
    <x v="1"/>
    <x v="1"/>
    <m/>
    <s v="Cash Incentive"/>
    <n v="0.18"/>
    <x v="0"/>
    <s v="Modifier/Threshold"/>
    <x v="72"/>
    <s v="Market Share"/>
    <m/>
  </r>
  <r>
    <x v="64"/>
    <x v="4"/>
    <x v="5"/>
    <x v="33"/>
    <s v="Specialty Food"/>
    <x v="1"/>
    <s v="BBB"/>
    <s v="United States"/>
    <x v="0"/>
    <d v="2024-04-05T00:00:00"/>
    <x v="1"/>
    <x v="2"/>
    <x v="1"/>
    <n v="0.48750000000000004"/>
    <s v="Performance Stock"/>
    <n v="0.48750000000000004"/>
    <x v="3"/>
    <s v="Stock Performance"/>
    <x v="11"/>
    <s v="3Y Relative TSR"/>
    <n v="0.5"/>
  </r>
  <r>
    <x v="64"/>
    <x v="4"/>
    <x v="5"/>
    <x v="33"/>
    <s v="Specialty Food"/>
    <x v="1"/>
    <s v="BBB"/>
    <s v="United States"/>
    <x v="0"/>
    <d v="2024-04-05T00:00:00"/>
    <x v="1"/>
    <x v="2"/>
    <x v="1"/>
    <m/>
    <s v="Performance Stock"/>
    <n v="0.48750000000000004"/>
    <x v="1"/>
    <s v="Profitability"/>
    <x v="14"/>
    <s v="3Y Adjusted EPS Growth"/>
    <n v="0.25"/>
  </r>
  <r>
    <x v="64"/>
    <x v="4"/>
    <x v="5"/>
    <x v="33"/>
    <s v="Specialty Food"/>
    <x v="1"/>
    <s v="BBB"/>
    <s v="United States"/>
    <x v="0"/>
    <d v="2024-04-05T00:00:00"/>
    <x v="1"/>
    <x v="2"/>
    <x v="1"/>
    <m/>
    <s v="Performance Stock"/>
    <n v="0.48750000000000004"/>
    <x v="1"/>
    <s v="Growth"/>
    <x v="1"/>
    <s v="3Y Adjusted Revenue Growth"/>
    <n v="0.25"/>
  </r>
  <r>
    <x v="64"/>
    <x v="4"/>
    <x v="5"/>
    <x v="33"/>
    <s v="Specialty Food"/>
    <x v="1"/>
    <s v="BBB"/>
    <s v="United States"/>
    <x v="0"/>
    <d v="2024-04-05T00:00:00"/>
    <x v="1"/>
    <x v="2"/>
    <x v="1"/>
    <m/>
    <s v="Performance Stock"/>
    <n v="0.48750000000000004"/>
    <x v="0"/>
    <s v="Modifier/Threshold"/>
    <x v="12"/>
    <s v="3Y Absolute TSR"/>
    <m/>
  </r>
  <r>
    <x v="64"/>
    <x v="4"/>
    <x v="5"/>
    <x v="33"/>
    <s v="Specialty Food"/>
    <x v="1"/>
    <s v="BBB"/>
    <s v="United States"/>
    <x v="0"/>
    <d v="2024-04-05T00:00:00"/>
    <x v="1"/>
    <x v="2"/>
    <x v="0"/>
    <n v="0.16250000000000001"/>
    <s v="Stock Options"/>
    <n v="0.16250000000000001"/>
    <x v="0"/>
    <m/>
    <x v="0"/>
    <m/>
    <m/>
  </r>
  <r>
    <x v="65"/>
    <x v="2"/>
    <x v="14"/>
    <x v="22"/>
    <s v="Restaurants"/>
    <x v="2"/>
    <s v="BB"/>
    <s v="United States"/>
    <x v="0"/>
    <d v="2024-04-25T00:00:00"/>
    <x v="0"/>
    <x v="0"/>
    <x v="0"/>
    <n v="0.06"/>
    <s v="Base Salary"/>
    <n v="0.06"/>
    <x v="0"/>
    <m/>
    <x v="0"/>
    <m/>
    <m/>
  </r>
  <r>
    <x v="65"/>
    <x v="2"/>
    <x v="14"/>
    <x v="22"/>
    <s v="Restaurants"/>
    <x v="2"/>
    <s v="BB"/>
    <s v="United States"/>
    <x v="0"/>
    <d v="2024-04-25T00:00:00"/>
    <x v="0"/>
    <x v="1"/>
    <x v="1"/>
    <n v="0.14000000000000001"/>
    <s v="Cash Incentive"/>
    <n v="0.14000000000000001"/>
    <x v="1"/>
    <s v="Profitability"/>
    <x v="2"/>
    <s v="Adjusted Operating Income"/>
    <n v="0.3"/>
  </r>
  <r>
    <x v="65"/>
    <x v="2"/>
    <x v="14"/>
    <x v="22"/>
    <s v="Restaurants"/>
    <x v="2"/>
    <s v="BB"/>
    <s v="United States"/>
    <x v="0"/>
    <d v="2024-04-25T00:00:00"/>
    <x v="0"/>
    <x v="1"/>
    <x v="1"/>
    <m/>
    <s v="Cash Incentive"/>
    <n v="0.14000000000000001"/>
    <x v="2"/>
    <s v="Individual Assessment"/>
    <x v="13"/>
    <s v="Individual Performance Assessment"/>
    <n v="0.25"/>
  </r>
  <r>
    <x v="65"/>
    <x v="2"/>
    <x v="14"/>
    <x v="22"/>
    <s v="Restaurants"/>
    <x v="2"/>
    <s v="BB"/>
    <s v="United States"/>
    <x v="0"/>
    <d v="2024-04-25T00:00:00"/>
    <x v="0"/>
    <x v="1"/>
    <x v="1"/>
    <m/>
    <s v="Cash Incentive"/>
    <n v="0.14000000000000001"/>
    <x v="1"/>
    <s v="Growth"/>
    <x v="56"/>
    <s v="Comparable Restaurant Sales Growth"/>
    <n v="0.2"/>
  </r>
  <r>
    <x v="65"/>
    <x v="2"/>
    <x v="14"/>
    <x v="22"/>
    <s v="Restaurants"/>
    <x v="2"/>
    <s v="BB"/>
    <s v="United States"/>
    <x v="0"/>
    <d v="2024-04-25T00:00:00"/>
    <x v="0"/>
    <x v="1"/>
    <x v="1"/>
    <m/>
    <s v="Cash Incentive"/>
    <n v="0.14000000000000001"/>
    <x v="1"/>
    <s v="Growth"/>
    <x v="58"/>
    <s v="Net New Restaurants"/>
    <n v="0.15"/>
  </r>
  <r>
    <x v="65"/>
    <x v="2"/>
    <x v="14"/>
    <x v="22"/>
    <s v="Restaurants"/>
    <x v="2"/>
    <s v="BB"/>
    <s v="United States"/>
    <x v="0"/>
    <d v="2024-04-25T00:00:00"/>
    <x v="0"/>
    <x v="1"/>
    <x v="1"/>
    <m/>
    <s v="Cash Incentive"/>
    <n v="0.14000000000000001"/>
    <x v="1"/>
    <s v="Profitability"/>
    <x v="3"/>
    <s v="Franchisee Profitability"/>
    <n v="0.1"/>
  </r>
  <r>
    <x v="65"/>
    <x v="2"/>
    <x v="14"/>
    <x v="22"/>
    <s v="Restaurants"/>
    <x v="2"/>
    <s v="BB"/>
    <s v="United States"/>
    <x v="0"/>
    <d v="2024-04-25T00:00:00"/>
    <x v="0"/>
    <x v="1"/>
    <x v="1"/>
    <m/>
    <s v="Cash Incentive"/>
    <n v="0.14000000000000001"/>
    <x v="0"/>
    <s v="Modifier/Threshold"/>
    <x v="10"/>
    <s v="Corporate and Individual Performance "/>
    <m/>
  </r>
  <r>
    <x v="65"/>
    <x v="2"/>
    <x v="14"/>
    <x v="22"/>
    <s v="Restaurants"/>
    <x v="2"/>
    <s v="BB"/>
    <s v="United States"/>
    <x v="0"/>
    <d v="2024-04-25T00:00:00"/>
    <x v="0"/>
    <x v="1"/>
    <x v="1"/>
    <m/>
    <s v="Cash Incentive"/>
    <n v="0.14000000000000001"/>
    <x v="0"/>
    <s v="Modifier/Threshold"/>
    <x v="73"/>
    <s v="Individual Performance Threshold"/>
    <m/>
  </r>
  <r>
    <x v="65"/>
    <x v="2"/>
    <x v="14"/>
    <x v="22"/>
    <s v="Restaurants"/>
    <x v="2"/>
    <s v="BB"/>
    <s v="United States"/>
    <x v="0"/>
    <d v="2024-04-25T00:00:00"/>
    <x v="0"/>
    <x v="1"/>
    <x v="1"/>
    <m/>
    <s v="Cash Incentive"/>
    <n v="0.14000000000000001"/>
    <x v="0"/>
    <s v="Modifier/Threshold"/>
    <x v="35"/>
    <s v="Adjusted Operating Income"/>
    <m/>
  </r>
  <r>
    <x v="65"/>
    <x v="2"/>
    <x v="14"/>
    <x v="22"/>
    <s v="Restaurants"/>
    <x v="2"/>
    <s v="BB"/>
    <s v="United States"/>
    <x v="0"/>
    <d v="2024-04-25T00:00:00"/>
    <x v="0"/>
    <x v="1"/>
    <x v="1"/>
    <m/>
    <s v="Cash Incentive"/>
    <n v="0.14000000000000001"/>
    <x v="0"/>
    <s v="Modifier/Threshold"/>
    <x v="34"/>
    <s v="Discretionary Adjustment"/>
    <m/>
  </r>
  <r>
    <x v="65"/>
    <x v="2"/>
    <x v="14"/>
    <x v="22"/>
    <s v="Restaurants"/>
    <x v="2"/>
    <s v="BB"/>
    <s v="United States"/>
    <x v="0"/>
    <d v="2024-04-25T00:00:00"/>
    <x v="0"/>
    <x v="2"/>
    <x v="1"/>
    <n v="0.65"/>
    <s v="Performance Stock"/>
    <n v="0.65"/>
    <x v="3"/>
    <s v="Stock Performance"/>
    <x v="11"/>
    <s v="3Y Relative TSR"/>
    <n v="1"/>
  </r>
  <r>
    <x v="65"/>
    <x v="2"/>
    <x v="14"/>
    <x v="22"/>
    <s v="Restaurants"/>
    <x v="2"/>
    <s v="BB"/>
    <s v="United States"/>
    <x v="0"/>
    <d v="2024-04-25T00:00:00"/>
    <x v="0"/>
    <x v="2"/>
    <x v="1"/>
    <m/>
    <s v="Performance Stock"/>
    <n v="0.65"/>
    <x v="0"/>
    <s v="Modifier/Threshold"/>
    <x v="12"/>
    <s v="3Y Absolute TSR"/>
    <m/>
  </r>
  <r>
    <x v="65"/>
    <x v="2"/>
    <x v="14"/>
    <x v="22"/>
    <s v="Restaurants"/>
    <x v="2"/>
    <s v="BB"/>
    <s v="United States"/>
    <x v="0"/>
    <d v="2024-04-25T00:00:00"/>
    <x v="0"/>
    <x v="2"/>
    <x v="0"/>
    <n v="0.15"/>
    <s v="Time-Based Stock"/>
    <n v="0.15"/>
    <x v="0"/>
    <m/>
    <x v="0"/>
    <m/>
    <m/>
  </r>
  <r>
    <x v="65"/>
    <x v="2"/>
    <x v="14"/>
    <x v="22"/>
    <s v="Restaurants"/>
    <x v="2"/>
    <s v="BB"/>
    <s v="United States"/>
    <x v="0"/>
    <d v="2024-04-25T00:00:00"/>
    <x v="1"/>
    <x v="0"/>
    <x v="0"/>
    <n v="0.1"/>
    <s v="Base Salary"/>
    <n v="0.1"/>
    <x v="0"/>
    <m/>
    <x v="0"/>
    <m/>
    <m/>
  </r>
  <r>
    <x v="65"/>
    <x v="2"/>
    <x v="14"/>
    <x v="22"/>
    <s v="Restaurants"/>
    <x v="2"/>
    <s v="BB"/>
    <s v="United States"/>
    <x v="0"/>
    <d v="2024-04-25T00:00:00"/>
    <x v="1"/>
    <x v="1"/>
    <x v="1"/>
    <n v="0.13"/>
    <s v="Cash Incentive"/>
    <n v="0.13"/>
    <x v="1"/>
    <s v="Profitability"/>
    <x v="2"/>
    <s v="Adjusted Operating Income"/>
    <n v="0.31"/>
  </r>
  <r>
    <x v="65"/>
    <x v="2"/>
    <x v="14"/>
    <x v="22"/>
    <s v="Restaurants"/>
    <x v="2"/>
    <s v="BB"/>
    <s v="United States"/>
    <x v="0"/>
    <d v="2024-04-25T00:00:00"/>
    <x v="1"/>
    <x v="1"/>
    <x v="1"/>
    <m/>
    <s v="Cash Incentive"/>
    <n v="0.13"/>
    <x v="2"/>
    <s v="Individual Assessment"/>
    <x v="13"/>
    <s v="Individual Performance Assessment"/>
    <n v="0.25"/>
  </r>
  <r>
    <x v="65"/>
    <x v="2"/>
    <x v="14"/>
    <x v="22"/>
    <s v="Restaurants"/>
    <x v="2"/>
    <s v="BB"/>
    <s v="United States"/>
    <x v="0"/>
    <d v="2024-04-25T00:00:00"/>
    <x v="1"/>
    <x v="1"/>
    <x v="1"/>
    <m/>
    <s v="Cash Incentive"/>
    <n v="0.13"/>
    <x v="1"/>
    <s v="Growth"/>
    <x v="56"/>
    <s v="Comparable Restaurant Sales Growth"/>
    <n v="0.21"/>
  </r>
  <r>
    <x v="65"/>
    <x v="2"/>
    <x v="14"/>
    <x v="22"/>
    <s v="Restaurants"/>
    <x v="2"/>
    <s v="BB"/>
    <s v="United States"/>
    <x v="0"/>
    <d v="2024-04-25T00:00:00"/>
    <x v="1"/>
    <x v="1"/>
    <x v="1"/>
    <m/>
    <s v="Cash Incentive"/>
    <n v="0.13"/>
    <x v="1"/>
    <s v="Growth"/>
    <x v="58"/>
    <s v="Net New Restaurants"/>
    <n v="0.15"/>
  </r>
  <r>
    <x v="65"/>
    <x v="2"/>
    <x v="14"/>
    <x v="22"/>
    <s v="Restaurants"/>
    <x v="2"/>
    <s v="BB"/>
    <s v="United States"/>
    <x v="0"/>
    <d v="2024-04-25T00:00:00"/>
    <x v="1"/>
    <x v="1"/>
    <x v="1"/>
    <m/>
    <s v="Cash Incentive"/>
    <n v="0.13"/>
    <x v="1"/>
    <s v="Profitability"/>
    <x v="3"/>
    <s v="Franchisee Profitability"/>
    <n v="0.08"/>
  </r>
  <r>
    <x v="65"/>
    <x v="2"/>
    <x v="14"/>
    <x v="22"/>
    <s v="Restaurants"/>
    <x v="2"/>
    <s v="BB"/>
    <s v="United States"/>
    <x v="0"/>
    <d v="2024-04-25T00:00:00"/>
    <x v="1"/>
    <x v="1"/>
    <x v="1"/>
    <m/>
    <s v="Cash Incentive"/>
    <n v="0.13"/>
    <x v="0"/>
    <s v="Modifier/Threshold"/>
    <x v="10"/>
    <s v="Corporate and Individual Performance "/>
    <m/>
  </r>
  <r>
    <x v="65"/>
    <x v="2"/>
    <x v="14"/>
    <x v="22"/>
    <s v="Restaurants"/>
    <x v="2"/>
    <s v="BB"/>
    <s v="United States"/>
    <x v="0"/>
    <d v="2024-04-25T00:00:00"/>
    <x v="1"/>
    <x v="1"/>
    <x v="1"/>
    <m/>
    <s v="Cash Incentive"/>
    <n v="0.13"/>
    <x v="0"/>
    <s v="Modifier/Threshold"/>
    <x v="73"/>
    <s v="Individual Performance Threshold"/>
    <m/>
  </r>
  <r>
    <x v="65"/>
    <x v="2"/>
    <x v="14"/>
    <x v="22"/>
    <s v="Restaurants"/>
    <x v="2"/>
    <s v="BB"/>
    <s v="United States"/>
    <x v="0"/>
    <d v="2024-04-25T00:00:00"/>
    <x v="1"/>
    <x v="1"/>
    <x v="1"/>
    <m/>
    <s v="Cash Incentive"/>
    <n v="0.13"/>
    <x v="0"/>
    <s v="Modifier/Threshold"/>
    <x v="35"/>
    <s v="Adjusted Operating Income"/>
    <m/>
  </r>
  <r>
    <x v="65"/>
    <x v="2"/>
    <x v="14"/>
    <x v="22"/>
    <s v="Restaurants"/>
    <x v="2"/>
    <s v="BB"/>
    <s v="United States"/>
    <x v="0"/>
    <d v="2024-04-25T00:00:00"/>
    <x v="1"/>
    <x v="1"/>
    <x v="1"/>
    <m/>
    <s v="Cash Incentive"/>
    <n v="0.13"/>
    <x v="0"/>
    <s v="Modifier/Threshold"/>
    <x v="34"/>
    <s v="Discretionary Adjustment"/>
    <m/>
  </r>
  <r>
    <x v="65"/>
    <x v="2"/>
    <x v="14"/>
    <x v="22"/>
    <s v="Restaurants"/>
    <x v="2"/>
    <s v="BB"/>
    <s v="United States"/>
    <x v="0"/>
    <d v="2024-04-25T00:00:00"/>
    <x v="1"/>
    <x v="2"/>
    <x v="1"/>
    <n v="0.62"/>
    <s v="Performance Stock"/>
    <n v="0.62"/>
    <x v="0"/>
    <s v="Stock Performance"/>
    <x v="11"/>
    <s v="3Y Relative TSR"/>
    <n v="1"/>
  </r>
  <r>
    <x v="65"/>
    <x v="2"/>
    <x v="14"/>
    <x v="22"/>
    <s v="Restaurants"/>
    <x v="2"/>
    <s v="BB"/>
    <s v="United States"/>
    <x v="0"/>
    <d v="2024-04-25T00:00:00"/>
    <x v="1"/>
    <x v="2"/>
    <x v="1"/>
    <m/>
    <s v="Performance Stock"/>
    <n v="0.62"/>
    <x v="0"/>
    <s v="Modifier/Threshold"/>
    <x v="12"/>
    <s v="3Y Absolute TSR"/>
    <m/>
  </r>
  <r>
    <x v="65"/>
    <x v="2"/>
    <x v="14"/>
    <x v="22"/>
    <s v="Restaurants"/>
    <x v="2"/>
    <s v="BB"/>
    <s v="United States"/>
    <x v="0"/>
    <d v="2024-04-25T00:00:00"/>
    <x v="1"/>
    <x v="2"/>
    <x v="0"/>
    <n v="0.15"/>
    <s v="Time-Based Stock"/>
    <n v="0.15"/>
    <x v="0"/>
    <m/>
    <x v="0"/>
    <m/>
    <m/>
  </r>
  <r>
    <x v="66"/>
    <x v="6"/>
    <x v="19"/>
    <x v="34"/>
    <s v="Industrial Machinery"/>
    <x v="1"/>
    <s v="BBB"/>
    <s v="United States"/>
    <x v="0"/>
    <d v="2024-04-26T00:00:00"/>
    <x v="0"/>
    <x v="0"/>
    <x v="0"/>
    <n v="0.12"/>
    <s v="Base Salary"/>
    <n v="0.12"/>
    <x v="0"/>
    <m/>
    <x v="0"/>
    <m/>
    <m/>
  </r>
  <r>
    <x v="66"/>
    <x v="6"/>
    <x v="19"/>
    <x v="34"/>
    <s v="Industrial Machinery"/>
    <x v="1"/>
    <s v="BBB"/>
    <s v="United States"/>
    <x v="0"/>
    <d v="2024-04-26T00:00:00"/>
    <x v="0"/>
    <x v="1"/>
    <x v="1"/>
    <n v="0.17"/>
    <s v="Cash Incentive"/>
    <n v="0.17"/>
    <x v="1"/>
    <s v="Profitability"/>
    <x v="14"/>
    <s v="Adjusted EPS"/>
    <n v="0.75"/>
  </r>
  <r>
    <x v="66"/>
    <x v="6"/>
    <x v="19"/>
    <x v="34"/>
    <s v="Industrial Machinery"/>
    <x v="1"/>
    <s v="BBB"/>
    <s v="United States"/>
    <x v="0"/>
    <d v="2024-04-26T00:00:00"/>
    <x v="0"/>
    <x v="1"/>
    <x v="1"/>
    <m/>
    <s v="Cash Incentive"/>
    <n v="0.17"/>
    <x v="1"/>
    <s v="Cash Flow"/>
    <x v="25"/>
    <s v="Free Cash Flow"/>
    <n v="0.25"/>
  </r>
  <r>
    <x v="66"/>
    <x v="6"/>
    <x v="19"/>
    <x v="34"/>
    <s v="Industrial Machinery"/>
    <x v="1"/>
    <s v="BBB"/>
    <s v="United States"/>
    <x v="0"/>
    <d v="2024-04-26T00:00:00"/>
    <x v="0"/>
    <x v="2"/>
    <x v="1"/>
    <n v="0.35"/>
    <s v="Performance Stock"/>
    <n v="0.35"/>
    <x v="3"/>
    <s v="Stock Performance"/>
    <x v="11"/>
    <s v="3Y Relative TSR"/>
    <n v="1"/>
  </r>
  <r>
    <x v="66"/>
    <x v="6"/>
    <x v="19"/>
    <x v="34"/>
    <s v="Industrial Machinery"/>
    <x v="1"/>
    <s v="BBB"/>
    <s v="United States"/>
    <x v="0"/>
    <d v="2024-04-26T00:00:00"/>
    <x v="0"/>
    <x v="2"/>
    <x v="1"/>
    <m/>
    <s v="Performance Stock"/>
    <n v="0.35"/>
    <x v="0"/>
    <s v="Modifier/Threshold"/>
    <x v="12"/>
    <s v="3Y Absolute TSR"/>
    <m/>
  </r>
  <r>
    <x v="66"/>
    <x v="6"/>
    <x v="19"/>
    <x v="34"/>
    <s v="Industrial Machinery"/>
    <x v="1"/>
    <s v="BBB"/>
    <s v="United States"/>
    <x v="0"/>
    <d v="2024-04-26T00:00:00"/>
    <x v="0"/>
    <x v="2"/>
    <x v="1"/>
    <m/>
    <s v="Performance Stock"/>
    <n v="0.35"/>
    <x v="1"/>
    <s v="Profitability"/>
    <x v="14"/>
    <s v="5Y Adjusted EPS CAGR"/>
    <m/>
  </r>
  <r>
    <x v="66"/>
    <x v="6"/>
    <x v="19"/>
    <x v="34"/>
    <s v="Industrial Machinery"/>
    <x v="1"/>
    <s v="BBB"/>
    <s v="United States"/>
    <x v="0"/>
    <d v="2024-04-26T00:00:00"/>
    <x v="0"/>
    <x v="2"/>
    <x v="1"/>
    <m/>
    <s v="Performance Stock"/>
    <n v="0.35"/>
    <x v="3"/>
    <s v="Stock Performance"/>
    <x v="8"/>
    <s v="5Y Absolute TSR "/>
    <m/>
  </r>
  <r>
    <x v="66"/>
    <x v="6"/>
    <x v="19"/>
    <x v="34"/>
    <s v="Industrial Machinery"/>
    <x v="1"/>
    <s v="BBB"/>
    <s v="United States"/>
    <x v="0"/>
    <d v="2024-04-26T00:00:00"/>
    <x v="0"/>
    <x v="2"/>
    <x v="0"/>
    <n v="0.18"/>
    <s v="Stock Options"/>
    <n v="0.18"/>
    <x v="0"/>
    <m/>
    <x v="0"/>
    <m/>
    <m/>
  </r>
  <r>
    <x v="66"/>
    <x v="6"/>
    <x v="19"/>
    <x v="34"/>
    <s v="Industrial Machinery"/>
    <x v="1"/>
    <s v="BBB"/>
    <s v="United States"/>
    <x v="0"/>
    <d v="2024-04-26T00:00:00"/>
    <x v="0"/>
    <x v="2"/>
    <x v="0"/>
    <n v="0.18"/>
    <s v="Time-Based Stock"/>
    <n v="0.18"/>
    <x v="0"/>
    <m/>
    <x v="0"/>
    <m/>
    <m/>
  </r>
  <r>
    <x v="66"/>
    <x v="6"/>
    <x v="19"/>
    <x v="34"/>
    <s v="Industrial Machinery"/>
    <x v="1"/>
    <s v="BBB"/>
    <s v="United States"/>
    <x v="0"/>
    <d v="2024-04-26T00:00:00"/>
    <x v="0"/>
    <x v="3"/>
    <x v="1"/>
    <m/>
    <s v="Performance Stock Options"/>
    <m/>
    <x v="0"/>
    <s v="Modifier/Threshold"/>
    <x v="74"/>
    <s v="Adjusted EPS Growth"/>
    <m/>
  </r>
  <r>
    <x v="66"/>
    <x v="6"/>
    <x v="19"/>
    <x v="34"/>
    <s v="Industrial Machinery"/>
    <x v="1"/>
    <s v="BBB"/>
    <s v="United States"/>
    <x v="0"/>
    <d v="2024-04-26T00:00:00"/>
    <x v="1"/>
    <x v="0"/>
    <x v="0"/>
    <n v="0.24"/>
    <s v="Base Salary"/>
    <n v="0.24"/>
    <x v="0"/>
    <m/>
    <x v="0"/>
    <m/>
    <m/>
  </r>
  <r>
    <x v="66"/>
    <x v="6"/>
    <x v="19"/>
    <x v="34"/>
    <s v="Industrial Machinery"/>
    <x v="1"/>
    <s v="BBB"/>
    <s v="United States"/>
    <x v="0"/>
    <d v="2024-04-26T00:00:00"/>
    <x v="1"/>
    <x v="1"/>
    <x v="1"/>
    <n v="0.19"/>
    <s v="Cash Incentive"/>
    <n v="0.19"/>
    <x v="1"/>
    <s v="Profitability"/>
    <x v="14"/>
    <s v="Adjusted EPS"/>
    <n v="0.56000000000000005"/>
  </r>
  <r>
    <x v="66"/>
    <x v="6"/>
    <x v="19"/>
    <x v="34"/>
    <s v="Industrial Machinery"/>
    <x v="1"/>
    <s v="BBB"/>
    <s v="United States"/>
    <x v="0"/>
    <d v="2024-04-26T00:00:00"/>
    <x v="1"/>
    <x v="1"/>
    <x v="1"/>
    <m/>
    <s v="Cash Incentive"/>
    <n v="0.19"/>
    <x v="1"/>
    <s v="Cash Flow"/>
    <x v="25"/>
    <s v="Free Cash Flow"/>
    <n v="0.19"/>
  </r>
  <r>
    <x v="66"/>
    <x v="6"/>
    <x v="19"/>
    <x v="34"/>
    <s v="Industrial Machinery"/>
    <x v="1"/>
    <s v="BBB"/>
    <s v="United States"/>
    <x v="0"/>
    <d v="2024-04-26T00:00:00"/>
    <x v="1"/>
    <x v="1"/>
    <x v="1"/>
    <m/>
    <s v="Cash Incentive"/>
    <n v="0.19"/>
    <x v="1"/>
    <s v="Profitability"/>
    <x v="32"/>
    <s v="Business Unit Adjusted EBITDA"/>
    <n v="0.19"/>
  </r>
  <r>
    <x v="66"/>
    <x v="6"/>
    <x v="19"/>
    <x v="34"/>
    <s v="Industrial Machinery"/>
    <x v="1"/>
    <s v="BBB"/>
    <s v="United States"/>
    <x v="0"/>
    <d v="2024-04-26T00:00:00"/>
    <x v="1"/>
    <x v="1"/>
    <x v="1"/>
    <m/>
    <s v="Cash Incentive"/>
    <n v="0.19"/>
    <x v="1"/>
    <s v="Cash Flow"/>
    <x v="18"/>
    <s v="Business Unit Operating Cash Flow"/>
    <n v="0.06"/>
  </r>
  <r>
    <x v="66"/>
    <x v="6"/>
    <x v="19"/>
    <x v="34"/>
    <s v="Industrial Machinery"/>
    <x v="1"/>
    <s v="BBB"/>
    <s v="United States"/>
    <x v="0"/>
    <d v="2024-04-26T00:00:00"/>
    <x v="1"/>
    <x v="2"/>
    <x v="1"/>
    <n v="0.28999999999999998"/>
    <s v="Performance Stock"/>
    <n v="0.28999999999999998"/>
    <x v="3"/>
    <s v="Stock Performance"/>
    <x v="11"/>
    <s v="3Y Relative TSR"/>
    <n v="1"/>
  </r>
  <r>
    <x v="66"/>
    <x v="6"/>
    <x v="19"/>
    <x v="34"/>
    <s v="Industrial Machinery"/>
    <x v="1"/>
    <s v="BBB"/>
    <s v="United States"/>
    <x v="0"/>
    <d v="2024-04-26T00:00:00"/>
    <x v="1"/>
    <x v="2"/>
    <x v="1"/>
    <m/>
    <s v="Performance Stock"/>
    <n v="0.28999999999999998"/>
    <x v="0"/>
    <s v="Modifier/Threshold"/>
    <x v="12"/>
    <s v="3Y Absolute TSR"/>
    <m/>
  </r>
  <r>
    <x v="66"/>
    <x v="6"/>
    <x v="19"/>
    <x v="34"/>
    <s v="Industrial Machinery"/>
    <x v="1"/>
    <s v="BBB"/>
    <s v="United States"/>
    <x v="0"/>
    <d v="2024-04-26T00:00:00"/>
    <x v="1"/>
    <x v="2"/>
    <x v="0"/>
    <n v="0.14000000000000001"/>
    <s v="Stock Options"/>
    <n v="0.14000000000000001"/>
    <x v="0"/>
    <m/>
    <x v="0"/>
    <m/>
    <m/>
  </r>
  <r>
    <x v="66"/>
    <x v="6"/>
    <x v="19"/>
    <x v="34"/>
    <s v="Industrial Machinery"/>
    <x v="1"/>
    <s v="BBB"/>
    <s v="United States"/>
    <x v="0"/>
    <d v="2024-04-26T00:00:00"/>
    <x v="1"/>
    <x v="2"/>
    <x v="0"/>
    <n v="0.14000000000000001"/>
    <s v="Time-Based Stock"/>
    <n v="0.14000000000000001"/>
    <x v="0"/>
    <m/>
    <x v="0"/>
    <m/>
    <m/>
  </r>
  <r>
    <x v="67"/>
    <x v="2"/>
    <x v="20"/>
    <x v="22"/>
    <s v="Internet Software/Services"/>
    <x v="2"/>
    <m/>
    <s v="United States"/>
    <x v="0"/>
    <d v="2024-04-19T00:00:00"/>
    <x v="0"/>
    <x v="2"/>
    <x v="1"/>
    <n v="1"/>
    <s v="Performance Stock"/>
    <n v="1"/>
    <x v="3"/>
    <s v="Stock Performance"/>
    <x v="48"/>
    <s v="Stock Price"/>
    <n v="1"/>
  </r>
  <r>
    <x v="67"/>
    <x v="2"/>
    <x v="20"/>
    <x v="22"/>
    <s v="Internet Software/Services"/>
    <x v="2"/>
    <m/>
    <s v="United States"/>
    <x v="0"/>
    <d v="2024-04-19T00:00:00"/>
    <x v="1"/>
    <x v="0"/>
    <x v="0"/>
    <n v="0.06"/>
    <s v="Base Salary"/>
    <n v="0.06"/>
    <x v="0"/>
    <m/>
    <x v="0"/>
    <m/>
    <m/>
  </r>
  <r>
    <x v="67"/>
    <x v="2"/>
    <x v="20"/>
    <x v="22"/>
    <s v="Internet Software/Services"/>
    <x v="2"/>
    <m/>
    <s v="United States"/>
    <x v="0"/>
    <d v="2024-04-19T00:00:00"/>
    <x v="1"/>
    <x v="1"/>
    <x v="1"/>
    <n v="0.04"/>
    <s v="Cash Incentive"/>
    <n v="0.04"/>
    <x v="2"/>
    <s v="Strategy &amp; Operations"/>
    <x v="3"/>
    <s v="Business Performance"/>
    <n v="0.3"/>
  </r>
  <r>
    <x v="67"/>
    <x v="2"/>
    <x v="20"/>
    <x v="22"/>
    <s v="Internet Software/Services"/>
    <x v="2"/>
    <m/>
    <s v="United States"/>
    <x v="0"/>
    <d v="2024-04-19T00:00:00"/>
    <x v="1"/>
    <x v="1"/>
    <x v="1"/>
    <m/>
    <s v="Cash Incentive"/>
    <n v="0.04"/>
    <x v="2"/>
    <s v="Strategy &amp; Operations"/>
    <x v="3"/>
    <s v="The Roadmap"/>
    <n v="0.2"/>
  </r>
  <r>
    <x v="67"/>
    <x v="2"/>
    <x v="20"/>
    <x v="22"/>
    <s v="Internet Software/Services"/>
    <x v="2"/>
    <m/>
    <s v="United States"/>
    <x v="0"/>
    <d v="2024-04-19T00:00:00"/>
    <x v="1"/>
    <x v="1"/>
    <x v="1"/>
    <m/>
    <s v="Cash Incentive"/>
    <n v="0.04"/>
    <x v="2"/>
    <s v="Strategy &amp; Operations"/>
    <x v="3"/>
    <s v="Other Foundation"/>
    <n v="0.2"/>
  </r>
  <r>
    <x v="67"/>
    <x v="2"/>
    <x v="20"/>
    <x v="22"/>
    <s v="Internet Software/Services"/>
    <x v="2"/>
    <m/>
    <s v="United States"/>
    <x v="0"/>
    <d v="2024-04-19T00:00:00"/>
    <x v="1"/>
    <x v="1"/>
    <x v="1"/>
    <m/>
    <s v="Cash Incentive"/>
    <n v="0.04"/>
    <x v="2"/>
    <s v="Strategy &amp; Operations"/>
    <x v="3"/>
    <s v="Operations"/>
    <n v="0.15"/>
  </r>
  <r>
    <x v="67"/>
    <x v="2"/>
    <x v="20"/>
    <x v="22"/>
    <s v="Internet Software/Services"/>
    <x v="2"/>
    <m/>
    <s v="United States"/>
    <x v="0"/>
    <d v="2024-04-19T00:00:00"/>
    <x v="1"/>
    <x v="1"/>
    <x v="1"/>
    <m/>
    <s v="Cash Incentive"/>
    <n v="0.04"/>
    <x v="2"/>
    <s v="Strategy &amp; Operations"/>
    <x v="3"/>
    <s v="Technology"/>
    <n v="0.15"/>
  </r>
  <r>
    <x v="67"/>
    <x v="2"/>
    <x v="20"/>
    <x v="22"/>
    <s v="Internet Software/Services"/>
    <x v="2"/>
    <m/>
    <s v="United States"/>
    <x v="0"/>
    <d v="2024-04-19T00:00:00"/>
    <x v="1"/>
    <x v="2"/>
    <x v="0"/>
    <n v="0.5"/>
    <s v="Stock Options"/>
    <n v="0.5"/>
    <x v="0"/>
    <m/>
    <x v="0"/>
    <m/>
    <m/>
  </r>
  <r>
    <x v="67"/>
    <x v="2"/>
    <x v="20"/>
    <x v="22"/>
    <s v="Internet Software/Services"/>
    <x v="2"/>
    <m/>
    <s v="United States"/>
    <x v="0"/>
    <d v="2024-04-19T00:00:00"/>
    <x v="1"/>
    <x v="2"/>
    <x v="0"/>
    <n v="0.4"/>
    <s v="Time-Based Stock"/>
    <n v="0.4"/>
    <x v="0"/>
    <m/>
    <x v="0"/>
    <m/>
    <m/>
  </r>
  <r>
    <x v="68"/>
    <x v="5"/>
    <x v="9"/>
    <x v="24"/>
    <s v="Bank"/>
    <x v="0"/>
    <s v="A-"/>
    <s v="United States"/>
    <x v="0"/>
    <d v="2024-04-05T00:00:00"/>
    <x v="0"/>
    <x v="0"/>
    <x v="0"/>
    <n v="0.04"/>
    <s v="Base Salary"/>
    <n v="0.04"/>
    <x v="0"/>
    <m/>
    <x v="0"/>
    <m/>
    <m/>
  </r>
  <r>
    <x v="68"/>
    <x v="5"/>
    <x v="9"/>
    <x v="24"/>
    <s v="Bank"/>
    <x v="0"/>
    <s v="A-"/>
    <s v="United States"/>
    <x v="0"/>
    <d v="2024-04-05T00:00:00"/>
    <x v="0"/>
    <x v="1"/>
    <x v="1"/>
    <n v="0.24"/>
    <s v="Cash Incentive"/>
    <n v="0.24"/>
    <x v="2"/>
    <s v="Strategy &amp; Operations"/>
    <x v="3"/>
    <s v="Quantitative Company Performance Factors"/>
    <n v="0.33333333333333331"/>
  </r>
  <r>
    <x v="68"/>
    <x v="5"/>
    <x v="9"/>
    <x v="24"/>
    <s v="Bank"/>
    <x v="0"/>
    <s v="A-"/>
    <s v="United States"/>
    <x v="0"/>
    <d v="2024-04-05T00:00:00"/>
    <x v="0"/>
    <x v="1"/>
    <x v="1"/>
    <m/>
    <s v="Cash Incentive"/>
    <n v="0.24"/>
    <x v="2"/>
    <s v="Strategy &amp; Operations"/>
    <x v="3"/>
    <s v="Qualitative Company Performance Factors"/>
    <n v="0.33333333333333331"/>
  </r>
  <r>
    <x v="68"/>
    <x v="5"/>
    <x v="9"/>
    <x v="24"/>
    <s v="Bank"/>
    <x v="0"/>
    <s v="A-"/>
    <s v="United States"/>
    <x v="0"/>
    <d v="2024-04-05T00:00:00"/>
    <x v="0"/>
    <x v="1"/>
    <x v="1"/>
    <m/>
    <s v="Cash Incentive"/>
    <n v="0.24"/>
    <x v="2"/>
    <s v="Individual Assessment"/>
    <x v="13"/>
    <s v="Individual Performance Assessment"/>
    <n v="0.33333333333333331"/>
  </r>
  <r>
    <x v="68"/>
    <x v="5"/>
    <x v="9"/>
    <x v="24"/>
    <s v="Bank"/>
    <x v="0"/>
    <s v="A-"/>
    <s v="United States"/>
    <x v="0"/>
    <d v="2024-04-05T00:00:00"/>
    <x v="0"/>
    <x v="2"/>
    <x v="1"/>
    <n v="0.57999999999999996"/>
    <s v="Performance Stock"/>
    <n v="0.57999999999999996"/>
    <x v="1"/>
    <s v="Return"/>
    <x v="22"/>
    <s v="3Y Absolute Return on Tangible Common Equity"/>
    <n v="0.5"/>
  </r>
  <r>
    <x v="68"/>
    <x v="5"/>
    <x v="9"/>
    <x v="24"/>
    <s v="Bank"/>
    <x v="0"/>
    <s v="A-"/>
    <s v="United States"/>
    <x v="0"/>
    <d v="2024-04-05T00:00:00"/>
    <x v="0"/>
    <x v="2"/>
    <x v="1"/>
    <m/>
    <s v="Performance Stock"/>
    <n v="0.57999999999999996"/>
    <x v="1"/>
    <s v="Return"/>
    <x v="65"/>
    <s v="3Y Relative Return on Tangible Common Equity"/>
    <n v="0.5"/>
  </r>
  <r>
    <x v="68"/>
    <x v="5"/>
    <x v="9"/>
    <x v="24"/>
    <s v="Bank"/>
    <x v="0"/>
    <s v="A-"/>
    <s v="United States"/>
    <x v="0"/>
    <d v="2024-04-05T00:00:00"/>
    <x v="0"/>
    <x v="2"/>
    <x v="0"/>
    <n v="0.14000000000000001"/>
    <s v="Time-Based Stock"/>
    <n v="0.14000000000000001"/>
    <x v="0"/>
    <m/>
    <x v="0"/>
    <m/>
    <m/>
  </r>
  <r>
    <x v="68"/>
    <x v="5"/>
    <x v="9"/>
    <x v="24"/>
    <s v="Bank"/>
    <x v="0"/>
    <s v="A-"/>
    <s v="United States"/>
    <x v="0"/>
    <d v="2024-04-05T00:00:00"/>
    <x v="1"/>
    <x v="0"/>
    <x v="0"/>
    <n v="0.05"/>
    <s v="Base Salary"/>
    <n v="0.05"/>
    <x v="0"/>
    <m/>
    <x v="0"/>
    <m/>
    <m/>
  </r>
  <r>
    <x v="68"/>
    <x v="5"/>
    <x v="9"/>
    <x v="24"/>
    <s v="Bank"/>
    <x v="0"/>
    <s v="A-"/>
    <s v="United States"/>
    <x v="0"/>
    <d v="2024-04-05T00:00:00"/>
    <x v="1"/>
    <x v="1"/>
    <x v="1"/>
    <n v="0.38"/>
    <s v="Cash Incentive"/>
    <n v="0.38"/>
    <x v="2"/>
    <s v="Strategy &amp; Operations"/>
    <x v="3"/>
    <s v="Quantitative Company Performance Factors"/>
    <n v="0.33333333333333331"/>
  </r>
  <r>
    <x v="68"/>
    <x v="5"/>
    <x v="9"/>
    <x v="24"/>
    <s v="Bank"/>
    <x v="0"/>
    <s v="A-"/>
    <s v="United States"/>
    <x v="0"/>
    <d v="2024-04-05T00:00:00"/>
    <x v="1"/>
    <x v="1"/>
    <x v="1"/>
    <m/>
    <s v="Cash Incentive"/>
    <n v="0.38"/>
    <x v="2"/>
    <s v="Strategy &amp; Operations"/>
    <x v="3"/>
    <s v="Qualitative Company Performance Factors"/>
    <n v="0.33333333333333331"/>
  </r>
  <r>
    <x v="68"/>
    <x v="5"/>
    <x v="9"/>
    <x v="24"/>
    <s v="Bank"/>
    <x v="0"/>
    <s v="A-"/>
    <s v="United States"/>
    <x v="0"/>
    <d v="2024-04-05T00:00:00"/>
    <x v="1"/>
    <x v="1"/>
    <x v="1"/>
    <m/>
    <s v="Cash Incentive"/>
    <n v="0.38"/>
    <x v="2"/>
    <s v="Individual Assessment"/>
    <x v="13"/>
    <s v="Individual Performance Assessment"/>
    <n v="0.33333333333333331"/>
  </r>
  <r>
    <x v="68"/>
    <x v="5"/>
    <x v="9"/>
    <x v="24"/>
    <s v="Bank"/>
    <x v="0"/>
    <s v="A-"/>
    <s v="United States"/>
    <x v="0"/>
    <d v="2024-04-05T00:00:00"/>
    <x v="1"/>
    <x v="2"/>
    <x v="1"/>
    <n v="0.28999999999999998"/>
    <s v="Performance Stock"/>
    <n v="0.28999999999999998"/>
    <x v="1"/>
    <s v="Return"/>
    <x v="22"/>
    <s v="3Y Absolute Return on Tangible Common Equity"/>
    <n v="0.5"/>
  </r>
  <r>
    <x v="68"/>
    <x v="5"/>
    <x v="9"/>
    <x v="24"/>
    <s v="Bank"/>
    <x v="0"/>
    <s v="A-"/>
    <s v="United States"/>
    <x v="0"/>
    <d v="2024-04-05T00:00:00"/>
    <x v="1"/>
    <x v="2"/>
    <x v="1"/>
    <m/>
    <s v="Performance Stock"/>
    <n v="0.28999999999999998"/>
    <x v="1"/>
    <s v="Return"/>
    <x v="65"/>
    <s v="3Y Relative Return on Tangible Common Equity"/>
    <n v="0.5"/>
  </r>
  <r>
    <x v="68"/>
    <x v="5"/>
    <x v="9"/>
    <x v="24"/>
    <s v="Bank"/>
    <x v="0"/>
    <s v="A-"/>
    <s v="United States"/>
    <x v="0"/>
    <d v="2024-04-05T00:00:00"/>
    <x v="1"/>
    <x v="2"/>
    <x v="0"/>
    <n v="0.28000000000000003"/>
    <s v="Time-Based Stock"/>
    <n v="0.28000000000000003"/>
    <x v="0"/>
    <m/>
    <x v="0"/>
    <m/>
    <m/>
  </r>
  <r>
    <x v="69"/>
    <x v="5"/>
    <x v="15"/>
    <x v="23"/>
    <s v="Insurance"/>
    <x v="1"/>
    <s v="A-"/>
    <s v="United States"/>
    <x v="0"/>
    <d v="2024-04-29T00:00:00"/>
    <x v="0"/>
    <x v="0"/>
    <x v="0"/>
    <n v="0.06"/>
    <s v="Base Salary"/>
    <n v="0.06"/>
    <x v="0"/>
    <m/>
    <x v="0"/>
    <m/>
    <m/>
  </r>
  <r>
    <x v="69"/>
    <x v="5"/>
    <x v="15"/>
    <x v="23"/>
    <s v="Insurance"/>
    <x v="1"/>
    <s v="A-"/>
    <s v="United States"/>
    <x v="0"/>
    <d v="2024-04-29T00:00:00"/>
    <x v="0"/>
    <x v="1"/>
    <x v="1"/>
    <n v="0.15"/>
    <s v="Annual Performance Stock Grant"/>
    <n v="0.15"/>
    <x v="1"/>
    <s v="Profitability"/>
    <x v="2"/>
    <s v="Adjusted Operating Income Growth"/>
    <n v="0.8"/>
  </r>
  <r>
    <x v="69"/>
    <x v="5"/>
    <x v="15"/>
    <x v="23"/>
    <s v="Insurance"/>
    <x v="1"/>
    <s v="A-"/>
    <s v="United States"/>
    <x v="0"/>
    <d v="2024-04-29T00:00:00"/>
    <x v="0"/>
    <x v="1"/>
    <x v="1"/>
    <m/>
    <s v="Annual Performance Stock Grant"/>
    <n v="0.15"/>
    <x v="2"/>
    <s v="ESG"/>
    <x v="7"/>
    <s v="People and Culture"/>
    <n v="0.2"/>
  </r>
  <r>
    <x v="69"/>
    <x v="5"/>
    <x v="15"/>
    <x v="23"/>
    <s v="Insurance"/>
    <x v="1"/>
    <s v="A-"/>
    <s v="United States"/>
    <x v="0"/>
    <d v="2024-04-29T00:00:00"/>
    <x v="0"/>
    <x v="1"/>
    <x v="1"/>
    <m/>
    <s v="Annual Performance Stock Grant"/>
    <n v="0.15"/>
    <x v="0"/>
    <s v="Modifier/Threshold"/>
    <x v="35"/>
    <s v="Adjusted Operating Income"/>
    <m/>
  </r>
  <r>
    <x v="69"/>
    <x v="5"/>
    <x v="15"/>
    <x v="23"/>
    <s v="Insurance"/>
    <x v="1"/>
    <s v="A-"/>
    <s v="United States"/>
    <x v="0"/>
    <d v="2024-04-29T00:00:00"/>
    <x v="0"/>
    <x v="1"/>
    <x v="1"/>
    <m/>
    <s v="Annual Performance Stock Grant"/>
    <n v="0.15"/>
    <x v="0"/>
    <s v="Modifier/Threshold"/>
    <x v="34"/>
    <s v="Discretionary Adjustment"/>
    <m/>
  </r>
  <r>
    <x v="69"/>
    <x v="5"/>
    <x v="15"/>
    <x v="23"/>
    <s v="Insurance"/>
    <x v="1"/>
    <s v="A-"/>
    <s v="United States"/>
    <x v="0"/>
    <d v="2024-04-29T00:00:00"/>
    <x v="0"/>
    <x v="1"/>
    <x v="1"/>
    <m/>
    <s v="Annual Performance Stock Grant"/>
    <n v="0.15"/>
    <x v="0"/>
    <s v="Modifier/Threshold"/>
    <x v="75"/>
    <s v="Stock Price"/>
    <m/>
  </r>
  <r>
    <x v="69"/>
    <x v="5"/>
    <x v="15"/>
    <x v="23"/>
    <s v="Insurance"/>
    <x v="1"/>
    <s v="A-"/>
    <s v="United States"/>
    <x v="0"/>
    <d v="2024-04-29T00:00:00"/>
    <x v="0"/>
    <x v="2"/>
    <x v="1"/>
    <n v="0.79"/>
    <s v="Performance Stock"/>
    <n v="0.79"/>
    <x v="1"/>
    <s v="Profitability"/>
    <x v="14"/>
    <s v="3Y Cumulative Adjusted EPS"/>
    <n v="1"/>
  </r>
  <r>
    <x v="69"/>
    <x v="5"/>
    <x v="15"/>
    <x v="23"/>
    <s v="Insurance"/>
    <x v="1"/>
    <s v="A-"/>
    <s v="United States"/>
    <x v="0"/>
    <d v="2024-04-29T00:00:00"/>
    <x v="1"/>
    <x v="0"/>
    <x v="0"/>
    <n v="0.16"/>
    <s v="Base Salary"/>
    <n v="0.16"/>
    <x v="0"/>
    <m/>
    <x v="0"/>
    <m/>
    <m/>
  </r>
  <r>
    <x v="69"/>
    <x v="5"/>
    <x v="15"/>
    <x v="23"/>
    <s v="Insurance"/>
    <x v="1"/>
    <s v="A-"/>
    <s v="United States"/>
    <x v="0"/>
    <d v="2024-04-29T00:00:00"/>
    <x v="1"/>
    <x v="1"/>
    <x v="1"/>
    <n v="0.24"/>
    <s v="Annual Performance Stock Grant"/>
    <n v="0.24"/>
    <x v="1"/>
    <s v="Profitability"/>
    <x v="2"/>
    <s v="Adjusted Operating Income Growth"/>
    <n v="0.8"/>
  </r>
  <r>
    <x v="69"/>
    <x v="5"/>
    <x v="15"/>
    <x v="23"/>
    <s v="Insurance"/>
    <x v="1"/>
    <s v="A-"/>
    <s v="United States"/>
    <x v="0"/>
    <d v="2024-04-29T00:00:00"/>
    <x v="1"/>
    <x v="1"/>
    <x v="1"/>
    <m/>
    <s v="Annual Performance Stock Grant"/>
    <n v="0.24"/>
    <x v="2"/>
    <s v="ESG"/>
    <x v="7"/>
    <s v="People and Culture"/>
    <n v="0.2"/>
  </r>
  <r>
    <x v="69"/>
    <x v="5"/>
    <x v="15"/>
    <x v="23"/>
    <s v="Insurance"/>
    <x v="1"/>
    <s v="A-"/>
    <s v="United States"/>
    <x v="0"/>
    <d v="2024-04-29T00:00:00"/>
    <x v="1"/>
    <x v="1"/>
    <x v="1"/>
    <m/>
    <s v="Annual Performance Stock Grant"/>
    <n v="0.24"/>
    <x v="0"/>
    <s v="Modifier/Threshold"/>
    <x v="35"/>
    <s v="Adjusted Operating Income"/>
    <m/>
  </r>
  <r>
    <x v="69"/>
    <x v="5"/>
    <x v="15"/>
    <x v="23"/>
    <s v="Insurance"/>
    <x v="1"/>
    <s v="A-"/>
    <s v="United States"/>
    <x v="0"/>
    <d v="2024-04-29T00:00:00"/>
    <x v="1"/>
    <x v="1"/>
    <x v="1"/>
    <m/>
    <s v="Annual Performance Stock Grant"/>
    <n v="0.24"/>
    <x v="0"/>
    <s v="Modifier/Threshold"/>
    <x v="34"/>
    <s v="Discretionary Adjustment"/>
    <m/>
  </r>
  <r>
    <x v="69"/>
    <x v="5"/>
    <x v="15"/>
    <x v="23"/>
    <s v="Insurance"/>
    <x v="1"/>
    <s v="A-"/>
    <s v="United States"/>
    <x v="0"/>
    <d v="2024-04-29T00:00:00"/>
    <x v="1"/>
    <x v="1"/>
    <x v="1"/>
    <m/>
    <s v="Annual Performance Stock Grant"/>
    <n v="0.24"/>
    <x v="0"/>
    <s v="Modifier/Threshold"/>
    <x v="75"/>
    <s v="Stock Price"/>
    <m/>
  </r>
  <r>
    <x v="69"/>
    <x v="5"/>
    <x v="15"/>
    <x v="23"/>
    <s v="Insurance"/>
    <x v="1"/>
    <s v="A-"/>
    <s v="United States"/>
    <x v="0"/>
    <d v="2024-04-29T00:00:00"/>
    <x v="1"/>
    <x v="2"/>
    <x v="1"/>
    <n v="0.6"/>
    <s v="Performance Stock"/>
    <n v="0.6"/>
    <x v="1"/>
    <s v="Profitability"/>
    <x v="14"/>
    <s v="3Y Cumulative Adjusted EPS"/>
    <n v="1"/>
  </r>
  <r>
    <x v="69"/>
    <x v="5"/>
    <x v="15"/>
    <x v="23"/>
    <s v="Insurance"/>
    <x v="1"/>
    <s v="A-"/>
    <s v="United States"/>
    <x v="0"/>
    <d v="2024-04-29T00:00:00"/>
    <x v="1"/>
    <x v="3"/>
    <x v="1"/>
    <m/>
    <s v="Performance Stock"/>
    <n v="0.6"/>
    <x v="3"/>
    <s v="Stock Performance"/>
    <x v="48"/>
    <s v="Stock Price"/>
    <m/>
  </r>
  <r>
    <x v="70"/>
    <x v="0"/>
    <x v="0"/>
    <x v="0"/>
    <s v="Packaged Software"/>
    <x v="1"/>
    <m/>
    <s v="United States"/>
    <x v="0"/>
    <d v="2024-02-16T00:00:00"/>
    <x v="0"/>
    <x v="0"/>
    <x v="0"/>
    <n v="5.9548254620123205E-2"/>
    <s v="Base Salary"/>
    <n v="5.9548254620123205E-2"/>
    <x v="0"/>
    <m/>
    <x v="0"/>
    <m/>
    <m/>
  </r>
  <r>
    <x v="70"/>
    <x v="0"/>
    <x v="0"/>
    <x v="0"/>
    <s v="Packaged Software"/>
    <x v="1"/>
    <m/>
    <s v="United States"/>
    <x v="0"/>
    <d v="2024-02-16T00:00:00"/>
    <x v="0"/>
    <x v="1"/>
    <x v="1"/>
    <n v="0.11909650924024641"/>
    <s v="Cash Incentive"/>
    <n v="0.11909650924024641"/>
    <x v="1"/>
    <s v="Growth"/>
    <x v="1"/>
    <s v="Revenue "/>
    <n v="0.6"/>
  </r>
  <r>
    <x v="70"/>
    <x v="0"/>
    <x v="0"/>
    <x v="0"/>
    <s v="Packaged Software"/>
    <x v="1"/>
    <m/>
    <s v="United States"/>
    <x v="0"/>
    <d v="2024-02-16T00:00:00"/>
    <x v="0"/>
    <x v="1"/>
    <x v="1"/>
    <m/>
    <s v="Cash Incentive"/>
    <n v="0.11909650924024641"/>
    <x v="1"/>
    <s v="Profitability"/>
    <x v="9"/>
    <s v="Adjusted Operating Margin"/>
    <n v="0.4"/>
  </r>
  <r>
    <x v="70"/>
    <x v="0"/>
    <x v="0"/>
    <x v="0"/>
    <s v="Packaged Software"/>
    <x v="1"/>
    <m/>
    <s v="United States"/>
    <x v="0"/>
    <d v="2024-02-16T00:00:00"/>
    <x v="0"/>
    <x v="1"/>
    <x v="1"/>
    <m/>
    <s v="Cash Incentive"/>
    <n v="0.11909650924024641"/>
    <x v="0"/>
    <s v="Modifier/Threshold"/>
    <x v="3"/>
    <s v="FY+1 Revenue Backlog"/>
    <m/>
  </r>
  <r>
    <x v="70"/>
    <x v="0"/>
    <x v="0"/>
    <x v="0"/>
    <s v="Packaged Software"/>
    <x v="1"/>
    <m/>
    <s v="United States"/>
    <x v="0"/>
    <d v="2024-02-16T00:00:00"/>
    <x v="0"/>
    <x v="1"/>
    <x v="1"/>
    <m/>
    <s v="Cash Incentive"/>
    <n v="0.11909650924024641"/>
    <x v="0"/>
    <s v="Modifier/Threshold"/>
    <x v="3"/>
    <s v="FY+2 Revenue Backlog"/>
    <m/>
  </r>
  <r>
    <x v="70"/>
    <x v="0"/>
    <x v="0"/>
    <x v="0"/>
    <s v="Packaged Software"/>
    <x v="1"/>
    <m/>
    <s v="United States"/>
    <x v="0"/>
    <d v="2024-02-16T00:00:00"/>
    <x v="0"/>
    <x v="1"/>
    <x v="1"/>
    <m/>
    <s v="Cash Incentive"/>
    <n v="0.11909650924024641"/>
    <x v="0"/>
    <s v="Modifier/Threshold"/>
    <x v="20"/>
    <s v="Organizational Performance Goals"/>
    <m/>
  </r>
  <r>
    <x v="70"/>
    <x v="0"/>
    <x v="0"/>
    <x v="0"/>
    <s v="Packaged Software"/>
    <x v="1"/>
    <m/>
    <s v="United States"/>
    <x v="0"/>
    <d v="2024-02-16T00:00:00"/>
    <x v="0"/>
    <x v="1"/>
    <x v="1"/>
    <m/>
    <s v="Cash Incentive"/>
    <n v="0.11909650924024641"/>
    <x v="0"/>
    <s v="Modifier/Threshold"/>
    <x v="43"/>
    <s v="Adjusted Operating Margin"/>
    <m/>
  </r>
  <r>
    <x v="70"/>
    <x v="0"/>
    <x v="0"/>
    <x v="0"/>
    <s v="Packaged Software"/>
    <x v="1"/>
    <m/>
    <s v="United States"/>
    <x v="0"/>
    <d v="2024-02-16T00:00:00"/>
    <x v="0"/>
    <x v="2"/>
    <x v="1"/>
    <n v="0.41067761806981518"/>
    <s v="Performance Stock"/>
    <n v="0.41067761806981518"/>
    <x v="1"/>
    <s v="Growth"/>
    <x v="1"/>
    <s v="3Y Adjusted Revenue CAGR"/>
    <n v="1"/>
  </r>
  <r>
    <x v="70"/>
    <x v="0"/>
    <x v="0"/>
    <x v="0"/>
    <s v="Packaged Software"/>
    <x v="1"/>
    <m/>
    <s v="United States"/>
    <x v="0"/>
    <d v="2024-02-16T00:00:00"/>
    <x v="0"/>
    <x v="2"/>
    <x v="1"/>
    <m/>
    <s v="Performance Stock"/>
    <n v="0.41067761806981518"/>
    <x v="0"/>
    <s v="Modifier/Threshold"/>
    <x v="6"/>
    <s v="3Y Relative TSR"/>
    <m/>
  </r>
  <r>
    <x v="70"/>
    <x v="0"/>
    <x v="0"/>
    <x v="0"/>
    <s v="Packaged Software"/>
    <x v="1"/>
    <m/>
    <s v="United States"/>
    <x v="0"/>
    <d v="2024-02-16T00:00:00"/>
    <x v="0"/>
    <x v="2"/>
    <x v="1"/>
    <m/>
    <s v="Performance Stock"/>
    <n v="0.41067761806981518"/>
    <x v="0"/>
    <s v="Modifier/Threshold"/>
    <x v="76"/>
    <s v="3Y Adjusted Revenue CAGR"/>
    <m/>
  </r>
  <r>
    <x v="70"/>
    <x v="0"/>
    <x v="0"/>
    <x v="0"/>
    <s v="Packaged Software"/>
    <x v="1"/>
    <m/>
    <s v="United States"/>
    <x v="0"/>
    <d v="2024-02-16T00:00:00"/>
    <x v="0"/>
    <x v="2"/>
    <x v="1"/>
    <m/>
    <s v="Performance Stock"/>
    <n v="0.41067761806981518"/>
    <x v="0"/>
    <s v="Modifier/Threshold"/>
    <x v="60"/>
    <s v="3Y Relative TSR"/>
    <m/>
  </r>
  <r>
    <x v="70"/>
    <x v="0"/>
    <x v="0"/>
    <x v="0"/>
    <s v="Packaged Software"/>
    <x v="1"/>
    <m/>
    <s v="United States"/>
    <x v="0"/>
    <d v="2024-02-16T00:00:00"/>
    <x v="0"/>
    <x v="2"/>
    <x v="0"/>
    <n v="0.20533880903490759"/>
    <s v="Stock Options"/>
    <n v="0.20533880903490759"/>
    <x v="0"/>
    <m/>
    <x v="0"/>
    <m/>
    <m/>
  </r>
  <r>
    <x v="70"/>
    <x v="0"/>
    <x v="0"/>
    <x v="0"/>
    <s v="Packaged Software"/>
    <x v="1"/>
    <m/>
    <s v="United States"/>
    <x v="0"/>
    <d v="2024-02-16T00:00:00"/>
    <x v="0"/>
    <x v="2"/>
    <x v="0"/>
    <n v="0.20533880903490759"/>
    <s v="Time-Based Stock"/>
    <n v="0.20533880903490759"/>
    <x v="0"/>
    <m/>
    <x v="0"/>
    <m/>
    <m/>
  </r>
  <r>
    <x v="70"/>
    <x v="0"/>
    <x v="0"/>
    <x v="0"/>
    <s v="Packaged Software"/>
    <x v="1"/>
    <m/>
    <s v="United States"/>
    <x v="0"/>
    <d v="2024-02-16T00:00:00"/>
    <x v="1"/>
    <x v="0"/>
    <x v="0"/>
    <n v="0.09"/>
    <s v="Base Salary"/>
    <n v="0.09"/>
    <x v="0"/>
    <m/>
    <x v="0"/>
    <m/>
    <m/>
  </r>
  <r>
    <x v="70"/>
    <x v="0"/>
    <x v="0"/>
    <x v="0"/>
    <s v="Packaged Software"/>
    <x v="1"/>
    <m/>
    <s v="United States"/>
    <x v="0"/>
    <d v="2024-02-16T00:00:00"/>
    <x v="1"/>
    <x v="1"/>
    <x v="1"/>
    <n v="0.12"/>
    <s v="Cash Incentive"/>
    <n v="0.12"/>
    <x v="1"/>
    <s v="Growth"/>
    <x v="1"/>
    <s v="Revenue "/>
    <n v="0.6"/>
  </r>
  <r>
    <x v="70"/>
    <x v="0"/>
    <x v="0"/>
    <x v="0"/>
    <s v="Packaged Software"/>
    <x v="1"/>
    <m/>
    <s v="United States"/>
    <x v="0"/>
    <d v="2024-02-16T00:00:00"/>
    <x v="1"/>
    <x v="1"/>
    <x v="1"/>
    <m/>
    <s v="Cash Incentive"/>
    <n v="0.12"/>
    <x v="1"/>
    <s v="Profitability"/>
    <x v="9"/>
    <s v="Adjusted Operating Margin"/>
    <n v="0.4"/>
  </r>
  <r>
    <x v="70"/>
    <x v="0"/>
    <x v="0"/>
    <x v="0"/>
    <s v="Packaged Software"/>
    <x v="1"/>
    <m/>
    <s v="United States"/>
    <x v="0"/>
    <d v="2024-02-16T00:00:00"/>
    <x v="1"/>
    <x v="1"/>
    <x v="1"/>
    <m/>
    <s v="Cash Incentive"/>
    <n v="0.12"/>
    <x v="0"/>
    <s v="Modifier/Threshold"/>
    <x v="3"/>
    <s v="FY+1 Revenue Backlog"/>
    <m/>
  </r>
  <r>
    <x v="70"/>
    <x v="0"/>
    <x v="0"/>
    <x v="0"/>
    <s v="Packaged Software"/>
    <x v="1"/>
    <m/>
    <s v="United States"/>
    <x v="0"/>
    <d v="2024-02-16T00:00:00"/>
    <x v="1"/>
    <x v="1"/>
    <x v="1"/>
    <m/>
    <s v="Cash Incentive"/>
    <n v="0.12"/>
    <x v="0"/>
    <s v="Modifier/Threshold"/>
    <x v="3"/>
    <s v="FY+2 Revenue Backlog"/>
    <m/>
  </r>
  <r>
    <x v="70"/>
    <x v="0"/>
    <x v="0"/>
    <x v="0"/>
    <s v="Packaged Software"/>
    <x v="1"/>
    <m/>
    <s v="United States"/>
    <x v="0"/>
    <d v="2024-02-16T00:00:00"/>
    <x v="1"/>
    <x v="1"/>
    <x v="1"/>
    <m/>
    <s v="Cash Incentive"/>
    <n v="0.12"/>
    <x v="0"/>
    <s v="Modifier/Threshold"/>
    <x v="3"/>
    <s v="Organizational Performance Goals"/>
    <m/>
  </r>
  <r>
    <x v="70"/>
    <x v="0"/>
    <x v="0"/>
    <x v="0"/>
    <s v="Packaged Software"/>
    <x v="1"/>
    <m/>
    <s v="United States"/>
    <x v="0"/>
    <d v="2024-02-16T00:00:00"/>
    <x v="1"/>
    <x v="1"/>
    <x v="1"/>
    <m/>
    <s v="Cash Incentive"/>
    <n v="0.12"/>
    <x v="0"/>
    <s v="Modifier/Threshold"/>
    <x v="43"/>
    <s v="Adjusted Operating Margin"/>
    <m/>
  </r>
  <r>
    <x v="70"/>
    <x v="0"/>
    <x v="0"/>
    <x v="0"/>
    <s v="Packaged Software"/>
    <x v="1"/>
    <m/>
    <s v="United States"/>
    <x v="0"/>
    <d v="2024-02-16T00:00:00"/>
    <x v="1"/>
    <x v="2"/>
    <x v="1"/>
    <n v="0.39"/>
    <s v="Performance Stock"/>
    <n v="0.39"/>
    <x v="1"/>
    <s v="Growth"/>
    <x v="1"/>
    <s v="3Y Adjusted Revenue CAGR"/>
    <n v="1"/>
  </r>
  <r>
    <x v="70"/>
    <x v="0"/>
    <x v="0"/>
    <x v="0"/>
    <s v="Packaged Software"/>
    <x v="1"/>
    <m/>
    <s v="United States"/>
    <x v="0"/>
    <d v="2024-02-16T00:00:00"/>
    <x v="1"/>
    <x v="2"/>
    <x v="1"/>
    <m/>
    <s v="Performance Stock"/>
    <n v="0.39"/>
    <x v="0"/>
    <s v="Modifier/Threshold"/>
    <x v="6"/>
    <s v="3Y Relative TSR"/>
    <m/>
  </r>
  <r>
    <x v="70"/>
    <x v="0"/>
    <x v="0"/>
    <x v="0"/>
    <s v="Packaged Software"/>
    <x v="1"/>
    <m/>
    <s v="United States"/>
    <x v="0"/>
    <d v="2024-02-16T00:00:00"/>
    <x v="1"/>
    <x v="2"/>
    <x v="1"/>
    <m/>
    <s v="Performance Stock"/>
    <n v="0.39"/>
    <x v="0"/>
    <s v="Modifier/Threshold"/>
    <x v="76"/>
    <s v="3Y Adjusted Revenue CAGR"/>
    <m/>
  </r>
  <r>
    <x v="70"/>
    <x v="0"/>
    <x v="0"/>
    <x v="0"/>
    <s v="Packaged Software"/>
    <x v="1"/>
    <m/>
    <s v="United States"/>
    <x v="0"/>
    <d v="2024-02-16T00:00:00"/>
    <x v="1"/>
    <x v="2"/>
    <x v="1"/>
    <m/>
    <s v="Performance Stock"/>
    <n v="0.39"/>
    <x v="0"/>
    <s v="Modifier/Threshold"/>
    <x v="60"/>
    <s v="3Y Relative TSR"/>
    <m/>
  </r>
  <r>
    <x v="70"/>
    <x v="0"/>
    <x v="0"/>
    <x v="0"/>
    <s v="Packaged Software"/>
    <x v="1"/>
    <m/>
    <s v="United States"/>
    <x v="0"/>
    <d v="2024-02-16T00:00:00"/>
    <x v="1"/>
    <x v="2"/>
    <x v="0"/>
    <n v="0.2"/>
    <s v="Stock Options"/>
    <n v="0.2"/>
    <x v="0"/>
    <m/>
    <x v="0"/>
    <m/>
    <m/>
  </r>
  <r>
    <x v="70"/>
    <x v="0"/>
    <x v="0"/>
    <x v="0"/>
    <s v="Packaged Software"/>
    <x v="1"/>
    <m/>
    <s v="United States"/>
    <x v="0"/>
    <d v="2024-02-16T00:00:00"/>
    <x v="1"/>
    <x v="2"/>
    <x v="0"/>
    <n v="0.2"/>
    <s v="Time-Based Stock"/>
    <n v="0.2"/>
    <x v="0"/>
    <m/>
    <x v="0"/>
    <m/>
    <m/>
  </r>
  <r>
    <x v="71"/>
    <x v="9"/>
    <x v="16"/>
    <x v="35"/>
    <s v="Utilities"/>
    <x v="2"/>
    <s v="BBB+"/>
    <s v="United States"/>
    <x v="0"/>
    <d v="2024-03-25T00:00:00"/>
    <x v="0"/>
    <x v="0"/>
    <x v="0"/>
    <n v="0.1"/>
    <s v="Base Salary"/>
    <n v="0.1"/>
    <x v="0"/>
    <m/>
    <x v="0"/>
    <m/>
    <m/>
  </r>
  <r>
    <x v="71"/>
    <x v="9"/>
    <x v="16"/>
    <x v="35"/>
    <s v="Utilities"/>
    <x v="2"/>
    <s v="BBB+"/>
    <s v="United States"/>
    <x v="0"/>
    <d v="2024-03-25T00:00:00"/>
    <x v="0"/>
    <x v="1"/>
    <x v="1"/>
    <n v="0.17"/>
    <s v="Cash Incentive"/>
    <n v="0.17"/>
    <x v="1"/>
    <s v="Profitability"/>
    <x v="24"/>
    <s v="Adjusted Net Income"/>
    <n v="0.8"/>
  </r>
  <r>
    <x v="71"/>
    <x v="9"/>
    <x v="16"/>
    <x v="35"/>
    <s v="Utilities"/>
    <x v="2"/>
    <s v="BBB+"/>
    <s v="United States"/>
    <x v="0"/>
    <d v="2024-03-25T00:00:00"/>
    <x v="0"/>
    <x v="1"/>
    <x v="1"/>
    <m/>
    <s v="Cash Incentive"/>
    <n v="0.17"/>
    <x v="2"/>
    <s v="Strategy &amp; Operations"/>
    <x v="40"/>
    <s v="Safety"/>
    <n v="0.12"/>
  </r>
  <r>
    <x v="71"/>
    <x v="9"/>
    <x v="16"/>
    <x v="35"/>
    <s v="Utilities"/>
    <x v="2"/>
    <s v="BBB+"/>
    <s v="United States"/>
    <x v="0"/>
    <d v="2024-03-25T00:00:00"/>
    <x v="0"/>
    <x v="1"/>
    <x v="1"/>
    <m/>
    <s v="Cash Incentive"/>
    <n v="0.17"/>
    <x v="2"/>
    <s v="ESG"/>
    <x v="7"/>
    <s v="Environmental, Culture, and Governance"/>
    <n v="0.08"/>
  </r>
  <r>
    <x v="71"/>
    <x v="9"/>
    <x v="16"/>
    <x v="35"/>
    <s v="Utilities"/>
    <x v="2"/>
    <s v="BBB+"/>
    <s v="United States"/>
    <x v="0"/>
    <d v="2024-03-25T00:00:00"/>
    <x v="0"/>
    <x v="2"/>
    <x v="1"/>
    <n v="0.49"/>
    <s v="Performance Stock"/>
    <n v="0.49"/>
    <x v="3"/>
    <s v="Stock Performance"/>
    <x v="11"/>
    <s v="3Y Relative TSR "/>
    <n v="0.5"/>
  </r>
  <r>
    <x v="71"/>
    <x v="9"/>
    <x v="16"/>
    <x v="35"/>
    <s v="Utilities"/>
    <x v="2"/>
    <s v="BBB+"/>
    <s v="United States"/>
    <x v="0"/>
    <d v="2024-03-25T00:00:00"/>
    <x v="0"/>
    <x v="2"/>
    <x v="1"/>
    <m/>
    <s v="Performance Stock"/>
    <n v="0.49"/>
    <x v="1"/>
    <s v="Profitability"/>
    <x v="14"/>
    <s v="3Y Relative Adjusted EPS CAGR"/>
    <n v="0.5"/>
  </r>
  <r>
    <x v="71"/>
    <x v="9"/>
    <x v="16"/>
    <x v="35"/>
    <s v="Utilities"/>
    <x v="2"/>
    <s v="BBB+"/>
    <s v="United States"/>
    <x v="0"/>
    <d v="2024-03-25T00:00:00"/>
    <x v="0"/>
    <x v="2"/>
    <x v="0"/>
    <n v="0.24"/>
    <s v="Stock Options"/>
    <n v="0.24"/>
    <x v="0"/>
    <m/>
    <x v="0"/>
    <m/>
    <m/>
  </r>
  <r>
    <x v="71"/>
    <x v="9"/>
    <x v="16"/>
    <x v="35"/>
    <s v="Utilities"/>
    <x v="2"/>
    <s v="BBB+"/>
    <s v="United States"/>
    <x v="0"/>
    <d v="2024-03-25T00:00:00"/>
    <x v="1"/>
    <x v="0"/>
    <x v="0"/>
    <n v="0.24"/>
    <s v="Base Salary"/>
    <n v="0.24"/>
    <x v="0"/>
    <m/>
    <x v="0"/>
    <m/>
    <m/>
  </r>
  <r>
    <x v="71"/>
    <x v="9"/>
    <x v="16"/>
    <x v="35"/>
    <s v="Utilities"/>
    <x v="2"/>
    <s v="BBB+"/>
    <s v="United States"/>
    <x v="0"/>
    <d v="2024-03-25T00:00:00"/>
    <x v="1"/>
    <x v="1"/>
    <x v="1"/>
    <n v="0.16666666666666666"/>
    <s v="Cash Incentive"/>
    <n v="0.16666666666666666"/>
    <x v="1"/>
    <s v="Profitability"/>
    <x v="24"/>
    <s v="Adjusted Net Income"/>
    <n v="0.8"/>
  </r>
  <r>
    <x v="71"/>
    <x v="9"/>
    <x v="16"/>
    <x v="35"/>
    <s v="Utilities"/>
    <x v="2"/>
    <s v="BBB+"/>
    <s v="United States"/>
    <x v="0"/>
    <d v="2024-03-25T00:00:00"/>
    <x v="1"/>
    <x v="1"/>
    <x v="1"/>
    <m/>
    <s v="Cash Incentive"/>
    <n v="0.16666666666666666"/>
    <x v="2"/>
    <s v="Strategy &amp; Operations"/>
    <x v="40"/>
    <s v="Safety"/>
    <n v="0.12"/>
  </r>
  <r>
    <x v="71"/>
    <x v="9"/>
    <x v="16"/>
    <x v="35"/>
    <s v="Utilities"/>
    <x v="2"/>
    <s v="BBB+"/>
    <s v="United States"/>
    <x v="0"/>
    <d v="2024-03-25T00:00:00"/>
    <x v="1"/>
    <x v="1"/>
    <x v="1"/>
    <m/>
    <s v="Cash Incentive"/>
    <n v="0.16666666666666666"/>
    <x v="2"/>
    <s v="ESG"/>
    <x v="7"/>
    <s v="Environmental, Culture, and Governance"/>
    <n v="0.08"/>
  </r>
  <r>
    <x v="71"/>
    <x v="9"/>
    <x v="16"/>
    <x v="35"/>
    <s v="Utilities"/>
    <x v="2"/>
    <s v="BBB+"/>
    <s v="United States"/>
    <x v="0"/>
    <d v="2024-03-25T00:00:00"/>
    <x v="1"/>
    <x v="2"/>
    <x v="1"/>
    <n v="0.39555555555555549"/>
    <s v="Performance Stock"/>
    <n v="0.39555555555555549"/>
    <x v="3"/>
    <s v="Stock Performance"/>
    <x v="11"/>
    <s v="3Y Relative TSR "/>
    <n v="0.5"/>
  </r>
  <r>
    <x v="71"/>
    <x v="9"/>
    <x v="16"/>
    <x v="35"/>
    <s v="Utilities"/>
    <x v="2"/>
    <s v="BBB+"/>
    <s v="United States"/>
    <x v="0"/>
    <d v="2024-03-25T00:00:00"/>
    <x v="1"/>
    <x v="2"/>
    <x v="1"/>
    <m/>
    <s v="Performance Stock"/>
    <n v="0.39555555555555549"/>
    <x v="1"/>
    <s v="Profitability"/>
    <x v="14"/>
    <s v="3Y Relative Adjusted EPS CAGR"/>
    <n v="0.5"/>
  </r>
  <r>
    <x v="71"/>
    <x v="9"/>
    <x v="16"/>
    <x v="35"/>
    <s v="Utilities"/>
    <x v="2"/>
    <s v="BBB+"/>
    <s v="United States"/>
    <x v="0"/>
    <d v="2024-03-25T00:00:00"/>
    <x v="1"/>
    <x v="2"/>
    <x v="0"/>
    <n v="0.12444444444444443"/>
    <s v="Time-Based Stock"/>
    <n v="0.12444444444444443"/>
    <x v="0"/>
    <m/>
    <x v="0"/>
    <m/>
    <m/>
  </r>
  <r>
    <x v="71"/>
    <x v="9"/>
    <x v="16"/>
    <x v="35"/>
    <s v="Utilities"/>
    <x v="2"/>
    <s v="BBB+"/>
    <s v="United States"/>
    <x v="0"/>
    <d v="2024-03-25T00:00:00"/>
    <x v="1"/>
    <x v="2"/>
    <x v="0"/>
    <n v="7.3333333333333334E-2"/>
    <s v="Stock Options"/>
    <n v="7.3333333333333334E-2"/>
    <x v="0"/>
    <m/>
    <x v="0"/>
    <m/>
    <m/>
  </r>
  <r>
    <x v="72"/>
    <x v="2"/>
    <x v="14"/>
    <x v="22"/>
    <s v="Hotels/Resorts/Cruiselines"/>
    <x v="1"/>
    <s v="BB+"/>
    <s v="United States"/>
    <x v="0"/>
    <d v="2024-04-05T00:00:00"/>
    <x v="0"/>
    <x v="0"/>
    <x v="0"/>
    <n v="0.05"/>
    <s v="Base Salary"/>
    <n v="0.05"/>
    <x v="0"/>
    <m/>
    <x v="0"/>
    <m/>
    <m/>
  </r>
  <r>
    <x v="72"/>
    <x v="2"/>
    <x v="14"/>
    <x v="22"/>
    <s v="Hotels/Resorts/Cruiselines"/>
    <x v="1"/>
    <s v="BB+"/>
    <s v="United States"/>
    <x v="0"/>
    <d v="2024-04-05T00:00:00"/>
    <x v="0"/>
    <x v="1"/>
    <x v="1"/>
    <n v="0.08"/>
    <s v="Cash Incentive"/>
    <n v="0.08"/>
    <x v="1"/>
    <s v="Profitability"/>
    <x v="32"/>
    <s v="Adjusted EBITDA"/>
    <n v="0.5"/>
  </r>
  <r>
    <x v="72"/>
    <x v="2"/>
    <x v="14"/>
    <x v="22"/>
    <s v="Hotels/Resorts/Cruiselines"/>
    <x v="1"/>
    <s v="BB+"/>
    <s v="United States"/>
    <x v="0"/>
    <d v="2024-04-05T00:00:00"/>
    <x v="0"/>
    <x v="1"/>
    <x v="1"/>
    <m/>
    <s v="Cash Incentive"/>
    <n v="0.08"/>
    <x v="2"/>
    <s v="Strategy &amp; Operations"/>
    <x v="3"/>
    <s v="Business Area Performance and Organizational Strength"/>
    <n v="0.5"/>
  </r>
  <r>
    <x v="72"/>
    <x v="2"/>
    <x v="14"/>
    <x v="22"/>
    <s v="Hotels/Resorts/Cruiselines"/>
    <x v="1"/>
    <s v="BB+"/>
    <s v="United States"/>
    <x v="0"/>
    <d v="2024-04-05T00:00:00"/>
    <x v="0"/>
    <x v="2"/>
    <x v="1"/>
    <n v="0.435"/>
    <s v="Performance Stock"/>
    <n v="0.435"/>
    <x v="1"/>
    <s v="Cash Flow"/>
    <x v="25"/>
    <s v="Adjusted Free Cash Flow per Share in 3Y "/>
    <n v="0.25"/>
  </r>
  <r>
    <x v="72"/>
    <x v="2"/>
    <x v="14"/>
    <x v="22"/>
    <s v="Hotels/Resorts/Cruiselines"/>
    <x v="1"/>
    <s v="BB+"/>
    <s v="United States"/>
    <x v="0"/>
    <d v="2024-04-05T00:00:00"/>
    <x v="0"/>
    <x v="2"/>
    <x v="1"/>
    <m/>
    <s v="Performance Stock"/>
    <n v="0.435"/>
    <x v="1"/>
    <s v="Profitability"/>
    <x v="32"/>
    <s v="Adjusted EBITDA in 3Y"/>
    <n v="0.25"/>
  </r>
  <r>
    <x v="72"/>
    <x v="2"/>
    <x v="14"/>
    <x v="22"/>
    <s v="Hotels/Resorts/Cruiselines"/>
    <x v="1"/>
    <s v="BB+"/>
    <s v="United States"/>
    <x v="0"/>
    <d v="2024-04-05T00:00:00"/>
    <x v="0"/>
    <x v="2"/>
    <x v="1"/>
    <m/>
    <s v="Performance Stock"/>
    <n v="0.435"/>
    <x v="1"/>
    <s v="Growth"/>
    <x v="77"/>
    <s v="3Y Adjusted Net Unit Growth CAGR"/>
    <n v="0.25"/>
  </r>
  <r>
    <x v="72"/>
    <x v="2"/>
    <x v="14"/>
    <x v="22"/>
    <s v="Hotels/Resorts/Cruiselines"/>
    <x v="1"/>
    <s v="BB+"/>
    <s v="United States"/>
    <x v="0"/>
    <d v="2024-04-05T00:00:00"/>
    <x v="0"/>
    <x v="2"/>
    <x v="1"/>
    <m/>
    <s v="Performance Stock"/>
    <n v="0.435"/>
    <x v="1"/>
    <s v="Growth"/>
    <x v="1"/>
    <s v="REvPar Index Growth in 3Y "/>
    <n v="0.25"/>
  </r>
  <r>
    <x v="72"/>
    <x v="2"/>
    <x v="14"/>
    <x v="22"/>
    <s v="Hotels/Resorts/Cruiselines"/>
    <x v="1"/>
    <s v="BB+"/>
    <s v="United States"/>
    <x v="0"/>
    <d v="2024-04-05T00:00:00"/>
    <x v="0"/>
    <x v="2"/>
    <x v="0"/>
    <n v="0.2175"/>
    <s v="Stock Options"/>
    <n v="0.2175"/>
    <x v="0"/>
    <m/>
    <x v="0"/>
    <m/>
    <m/>
  </r>
  <r>
    <x v="72"/>
    <x v="2"/>
    <x v="14"/>
    <x v="22"/>
    <s v="Hotels/Resorts/Cruiselines"/>
    <x v="1"/>
    <s v="BB+"/>
    <s v="United States"/>
    <x v="0"/>
    <d v="2024-04-05T00:00:00"/>
    <x v="0"/>
    <x v="2"/>
    <x v="0"/>
    <n v="0.2175"/>
    <s v="Time-Based Stock"/>
    <n v="0.2175"/>
    <x v="0"/>
    <m/>
    <x v="0"/>
    <m/>
    <m/>
  </r>
  <r>
    <x v="72"/>
    <x v="2"/>
    <x v="14"/>
    <x v="22"/>
    <s v="Hotels/Resorts/Cruiselines"/>
    <x v="1"/>
    <s v="BB+"/>
    <s v="United States"/>
    <x v="0"/>
    <d v="2024-04-05T00:00:00"/>
    <x v="1"/>
    <x v="0"/>
    <x v="0"/>
    <n v="0.15"/>
    <s v="Base Salary"/>
    <n v="0.15"/>
    <x v="0"/>
    <m/>
    <x v="0"/>
    <m/>
    <m/>
  </r>
  <r>
    <x v="72"/>
    <x v="2"/>
    <x v="14"/>
    <x v="22"/>
    <s v="Hotels/Resorts/Cruiselines"/>
    <x v="1"/>
    <s v="BB+"/>
    <s v="United States"/>
    <x v="0"/>
    <d v="2024-04-05T00:00:00"/>
    <x v="1"/>
    <x v="1"/>
    <x v="1"/>
    <n v="0.15"/>
    <s v="Cash Incentive"/>
    <n v="0.15"/>
    <x v="2"/>
    <s v="Strategy &amp; Operations"/>
    <x v="3"/>
    <s v="Business Area Performance"/>
    <n v="0.4"/>
  </r>
  <r>
    <x v="72"/>
    <x v="2"/>
    <x v="14"/>
    <x v="22"/>
    <s v="Hotels/Resorts/Cruiselines"/>
    <x v="1"/>
    <s v="BB+"/>
    <s v="United States"/>
    <x v="0"/>
    <d v="2024-04-05T00:00:00"/>
    <x v="1"/>
    <x v="1"/>
    <x v="1"/>
    <m/>
    <s v="Cash Incentive"/>
    <n v="0.15"/>
    <x v="1"/>
    <s v="Profitability"/>
    <x v="32"/>
    <s v="Adjusted EBITDA"/>
    <n v="0.35"/>
  </r>
  <r>
    <x v="72"/>
    <x v="2"/>
    <x v="14"/>
    <x v="22"/>
    <s v="Hotels/Resorts/Cruiselines"/>
    <x v="1"/>
    <s v="BB+"/>
    <s v="United States"/>
    <x v="0"/>
    <d v="2024-04-05T00:00:00"/>
    <x v="1"/>
    <x v="1"/>
    <x v="1"/>
    <m/>
    <s v="Cash Incentive"/>
    <n v="0.15"/>
    <x v="2"/>
    <s v="Strategy &amp; Operations"/>
    <x v="3"/>
    <s v="Organizational Strength"/>
    <n v="0.2"/>
  </r>
  <r>
    <x v="72"/>
    <x v="2"/>
    <x v="14"/>
    <x v="22"/>
    <s v="Hotels/Resorts/Cruiselines"/>
    <x v="1"/>
    <s v="BB+"/>
    <s v="United States"/>
    <x v="0"/>
    <d v="2024-04-05T00:00:00"/>
    <x v="1"/>
    <x v="1"/>
    <x v="1"/>
    <m/>
    <s v="Cash Incentive"/>
    <n v="0.15"/>
    <x v="1"/>
    <s v="Growth"/>
    <x v="3"/>
    <s v="Franchise Fees"/>
    <n v="0.05"/>
  </r>
  <r>
    <x v="72"/>
    <x v="2"/>
    <x v="14"/>
    <x v="22"/>
    <s v="Hotels/Resorts/Cruiselines"/>
    <x v="1"/>
    <s v="BB+"/>
    <s v="United States"/>
    <x v="0"/>
    <d v="2024-04-05T00:00:00"/>
    <x v="1"/>
    <x v="2"/>
    <x v="1"/>
    <n v="0.35"/>
    <s v="Performance Stock"/>
    <n v="0.35"/>
    <x v="1"/>
    <s v="Cash Flow"/>
    <x v="25"/>
    <s v="Adjusted Free Cash Flow per Share in 3Y "/>
    <n v="0.25"/>
  </r>
  <r>
    <x v="72"/>
    <x v="2"/>
    <x v="14"/>
    <x v="22"/>
    <s v="Hotels/Resorts/Cruiselines"/>
    <x v="1"/>
    <s v="BB+"/>
    <s v="United States"/>
    <x v="0"/>
    <d v="2024-04-05T00:00:00"/>
    <x v="1"/>
    <x v="2"/>
    <x v="1"/>
    <m/>
    <s v="Performance Stock"/>
    <n v="0.35"/>
    <x v="1"/>
    <s v="Profitability"/>
    <x v="32"/>
    <s v="Adjusted EBITDA in 3Y"/>
    <n v="0.25"/>
  </r>
  <r>
    <x v="72"/>
    <x v="2"/>
    <x v="14"/>
    <x v="22"/>
    <s v="Hotels/Resorts/Cruiselines"/>
    <x v="1"/>
    <s v="BB+"/>
    <s v="United States"/>
    <x v="0"/>
    <d v="2024-04-05T00:00:00"/>
    <x v="1"/>
    <x v="2"/>
    <x v="1"/>
    <m/>
    <s v="Performance Stock"/>
    <n v="0.35"/>
    <x v="1"/>
    <s v="Growth"/>
    <x v="77"/>
    <s v="3Y Adjusted Net Unit Growth CAGR"/>
    <n v="0.25"/>
  </r>
  <r>
    <x v="72"/>
    <x v="2"/>
    <x v="14"/>
    <x v="22"/>
    <s v="Hotels/Resorts/Cruiselines"/>
    <x v="1"/>
    <s v="BB+"/>
    <s v="United States"/>
    <x v="0"/>
    <d v="2024-04-05T00:00:00"/>
    <x v="1"/>
    <x v="2"/>
    <x v="1"/>
    <m/>
    <s v="Performance Stock"/>
    <n v="0.35"/>
    <x v="1"/>
    <s v="Growth"/>
    <x v="1"/>
    <s v="REvPar Index Growth in 3Y "/>
    <n v="0.25"/>
  </r>
  <r>
    <x v="72"/>
    <x v="2"/>
    <x v="14"/>
    <x v="22"/>
    <s v="Hotels/Resorts/Cruiselines"/>
    <x v="1"/>
    <s v="BB+"/>
    <s v="United States"/>
    <x v="0"/>
    <d v="2024-04-05T00:00:00"/>
    <x v="1"/>
    <x v="2"/>
    <x v="0"/>
    <n v="0.17499999999999999"/>
    <s v="Stock Options"/>
    <n v="0.17499999999999999"/>
    <x v="0"/>
    <m/>
    <x v="0"/>
    <m/>
    <m/>
  </r>
  <r>
    <x v="72"/>
    <x v="2"/>
    <x v="14"/>
    <x v="22"/>
    <s v="Hotels/Resorts/Cruiselines"/>
    <x v="1"/>
    <s v="BB+"/>
    <s v="United States"/>
    <x v="0"/>
    <d v="2024-04-05T00:00:00"/>
    <x v="1"/>
    <x v="2"/>
    <x v="0"/>
    <n v="0.17499999999999999"/>
    <s v="Time-Based Stock"/>
    <n v="0.17499999999999999"/>
    <x v="0"/>
    <m/>
    <x v="0"/>
    <m/>
    <m/>
  </r>
  <r>
    <x v="73"/>
    <x v="0"/>
    <x v="7"/>
    <x v="36"/>
    <s v="Telecommunications Equipment"/>
    <x v="1"/>
    <s v="BBB"/>
    <s v="United States"/>
    <x v="0"/>
    <d v="2024-03-28T00:00:00"/>
    <x v="0"/>
    <x v="0"/>
    <x v="0"/>
    <n v="0.06"/>
    <s v="Base Salary"/>
    <n v="0.06"/>
    <x v="0"/>
    <m/>
    <x v="0"/>
    <m/>
    <m/>
  </r>
  <r>
    <x v="73"/>
    <x v="0"/>
    <x v="7"/>
    <x v="36"/>
    <s v="Telecommunications Equipment"/>
    <x v="1"/>
    <s v="BBB"/>
    <s v="United States"/>
    <x v="0"/>
    <d v="2024-03-28T00:00:00"/>
    <x v="0"/>
    <x v="1"/>
    <x v="1"/>
    <n v="0.12"/>
    <s v="Cash Incentive"/>
    <n v="0.12"/>
    <x v="1"/>
    <s v="Profitability"/>
    <x v="2"/>
    <s v="Adjusted Operating Income"/>
    <n v="0.65"/>
  </r>
  <r>
    <x v="73"/>
    <x v="0"/>
    <x v="7"/>
    <x v="36"/>
    <s v="Telecommunications Equipment"/>
    <x v="1"/>
    <s v="BBB"/>
    <s v="United States"/>
    <x v="0"/>
    <d v="2024-03-28T00:00:00"/>
    <x v="0"/>
    <x v="1"/>
    <x v="1"/>
    <m/>
    <s v="Cash Incentive"/>
    <n v="0.12"/>
    <x v="1"/>
    <s v="Cash Flow"/>
    <x v="25"/>
    <s v="Free Cash Flow"/>
    <n v="0.35"/>
  </r>
  <r>
    <x v="73"/>
    <x v="0"/>
    <x v="7"/>
    <x v="36"/>
    <s v="Telecommunications Equipment"/>
    <x v="1"/>
    <s v="BBB"/>
    <s v="United States"/>
    <x v="0"/>
    <d v="2024-03-28T00:00:00"/>
    <x v="0"/>
    <x v="1"/>
    <x v="1"/>
    <m/>
    <s v="Cash Incentive"/>
    <n v="0.12"/>
    <x v="0"/>
    <s v="Modifier/Threshold"/>
    <x v="10"/>
    <s v="Individual Performance Factor"/>
    <m/>
  </r>
  <r>
    <x v="73"/>
    <x v="0"/>
    <x v="7"/>
    <x v="36"/>
    <s v="Telecommunications Equipment"/>
    <x v="1"/>
    <s v="BBB"/>
    <s v="United States"/>
    <x v="0"/>
    <d v="2024-03-28T00:00:00"/>
    <x v="0"/>
    <x v="2"/>
    <x v="1"/>
    <n v="0.27333333333333332"/>
    <s v="Performance Stock"/>
    <n v="0.27333333333333332"/>
    <x v="3"/>
    <s v="Stock Performance"/>
    <x v="11"/>
    <s v="3Y Relative TSR"/>
    <n v="1"/>
  </r>
  <r>
    <x v="73"/>
    <x v="0"/>
    <x v="7"/>
    <x v="36"/>
    <s v="Telecommunications Equipment"/>
    <x v="1"/>
    <s v="BBB"/>
    <s v="United States"/>
    <x v="0"/>
    <d v="2024-03-28T00:00:00"/>
    <x v="0"/>
    <x v="2"/>
    <x v="1"/>
    <m/>
    <s v="Performance Stock"/>
    <n v="0.27333333333333332"/>
    <x v="0"/>
    <s v="Modifier/Threshold"/>
    <x v="12"/>
    <s v="3Y Absolute TSR"/>
    <m/>
  </r>
  <r>
    <x v="73"/>
    <x v="0"/>
    <x v="7"/>
    <x v="36"/>
    <s v="Telecommunications Equipment"/>
    <x v="1"/>
    <s v="BBB"/>
    <s v="United States"/>
    <x v="0"/>
    <d v="2024-03-28T00:00:00"/>
    <x v="0"/>
    <x v="2"/>
    <x v="1"/>
    <n v="0.27333333333333332"/>
    <s v="Performance Stock Options"/>
    <n v="0.27333333333333332"/>
    <x v="0"/>
    <m/>
    <x v="0"/>
    <m/>
    <m/>
  </r>
  <r>
    <x v="73"/>
    <x v="0"/>
    <x v="7"/>
    <x v="36"/>
    <s v="Telecommunications Equipment"/>
    <x v="1"/>
    <s v="BBB"/>
    <s v="United States"/>
    <x v="0"/>
    <d v="2024-03-28T00:00:00"/>
    <x v="0"/>
    <x v="2"/>
    <x v="1"/>
    <n v="0.27333333333333332"/>
    <s v="Market Stock Units"/>
    <n v="0.27333333333333332"/>
    <x v="0"/>
    <m/>
    <x v="0"/>
    <m/>
    <m/>
  </r>
  <r>
    <x v="73"/>
    <x v="0"/>
    <x v="7"/>
    <x v="36"/>
    <s v="Telecommunications Equipment"/>
    <x v="1"/>
    <s v="BBB"/>
    <s v="United States"/>
    <x v="0"/>
    <d v="2024-03-28T00:00:00"/>
    <x v="1"/>
    <x v="0"/>
    <x v="0"/>
    <n v="0.15"/>
    <s v="Base Salary"/>
    <n v="0.15"/>
    <x v="0"/>
    <m/>
    <x v="0"/>
    <m/>
    <m/>
  </r>
  <r>
    <x v="73"/>
    <x v="0"/>
    <x v="7"/>
    <x v="36"/>
    <s v="Telecommunications Equipment"/>
    <x v="1"/>
    <s v="BBB"/>
    <s v="United States"/>
    <x v="0"/>
    <d v="2024-03-28T00:00:00"/>
    <x v="1"/>
    <x v="1"/>
    <x v="1"/>
    <n v="0.18"/>
    <s v="Cash Incentive"/>
    <n v="0.18"/>
    <x v="1"/>
    <s v="Profitability"/>
    <x v="2"/>
    <s v="Adjusted Operating Income"/>
    <n v="0.65"/>
  </r>
  <r>
    <x v="73"/>
    <x v="0"/>
    <x v="7"/>
    <x v="36"/>
    <s v="Telecommunications Equipment"/>
    <x v="1"/>
    <s v="BBB"/>
    <s v="United States"/>
    <x v="0"/>
    <d v="2024-03-28T00:00:00"/>
    <x v="1"/>
    <x v="1"/>
    <x v="1"/>
    <m/>
    <s v="Cash Incentive"/>
    <n v="0.18"/>
    <x v="1"/>
    <s v="Cash Flow"/>
    <x v="25"/>
    <s v="Free Cash Flow"/>
    <n v="0.35"/>
  </r>
  <r>
    <x v="73"/>
    <x v="0"/>
    <x v="7"/>
    <x v="36"/>
    <s v="Telecommunications Equipment"/>
    <x v="1"/>
    <s v="BBB"/>
    <s v="United States"/>
    <x v="0"/>
    <d v="2024-03-28T00:00:00"/>
    <x v="1"/>
    <x v="1"/>
    <x v="1"/>
    <m/>
    <s v="Cash Incentive"/>
    <n v="0.18"/>
    <x v="0"/>
    <s v="Modifier/Threshold"/>
    <x v="10"/>
    <s v="Individual Performance Factor"/>
    <m/>
  </r>
  <r>
    <x v="73"/>
    <x v="0"/>
    <x v="7"/>
    <x v="36"/>
    <s v="Telecommunications Equipment"/>
    <x v="1"/>
    <s v="BBB"/>
    <s v="United States"/>
    <x v="0"/>
    <d v="2024-03-28T00:00:00"/>
    <x v="1"/>
    <x v="2"/>
    <x v="1"/>
    <n v="0.22333333333333336"/>
    <s v="Performance Stock"/>
    <n v="0.22333333333333336"/>
    <x v="3"/>
    <s v="Stock Performance"/>
    <x v="11"/>
    <s v="3Y Relative TSR"/>
    <n v="1"/>
  </r>
  <r>
    <x v="73"/>
    <x v="0"/>
    <x v="7"/>
    <x v="36"/>
    <s v="Telecommunications Equipment"/>
    <x v="1"/>
    <s v="BBB"/>
    <s v="United States"/>
    <x v="0"/>
    <d v="2024-03-28T00:00:00"/>
    <x v="1"/>
    <x v="2"/>
    <x v="1"/>
    <m/>
    <s v="Performance Stock"/>
    <n v="0.22333333333333336"/>
    <x v="0"/>
    <s v="Modifier/Threshold"/>
    <x v="12"/>
    <s v="3Y Absolute TSR"/>
    <m/>
  </r>
  <r>
    <x v="73"/>
    <x v="0"/>
    <x v="7"/>
    <x v="36"/>
    <s v="Telecommunications Equipment"/>
    <x v="1"/>
    <s v="BBB"/>
    <s v="United States"/>
    <x v="0"/>
    <d v="2024-03-28T00:00:00"/>
    <x v="1"/>
    <x v="2"/>
    <x v="1"/>
    <n v="0.22333333333333336"/>
    <s v="Performance Stock Options"/>
    <n v="0.22333333333333336"/>
    <x v="0"/>
    <m/>
    <x v="0"/>
    <m/>
    <m/>
  </r>
  <r>
    <x v="73"/>
    <x v="0"/>
    <x v="7"/>
    <x v="36"/>
    <s v="Telecommunications Equipment"/>
    <x v="1"/>
    <s v="BBB"/>
    <s v="United States"/>
    <x v="0"/>
    <d v="2024-03-28T00:00:00"/>
    <x v="1"/>
    <x v="2"/>
    <x v="1"/>
    <n v="0.22333333333333336"/>
    <s v="Market Stock Units"/>
    <n v="0.22333333333333336"/>
    <x v="0"/>
    <m/>
    <x v="0"/>
    <m/>
    <m/>
  </r>
  <r>
    <x v="74"/>
    <x v="0"/>
    <x v="0"/>
    <x v="37"/>
    <s v="Professional Services"/>
    <x v="0"/>
    <s v="AA-"/>
    <s v="United States"/>
    <x v="0"/>
    <d v="2023-12-13T00:00:00"/>
    <x v="0"/>
    <x v="0"/>
    <x v="0"/>
    <n v="6.0999999999999999E-2"/>
    <s v="Base Salary"/>
    <n v="6.0999999999999999E-2"/>
    <x v="0"/>
    <m/>
    <x v="0"/>
    <m/>
    <m/>
  </r>
  <r>
    <x v="74"/>
    <x v="0"/>
    <x v="0"/>
    <x v="37"/>
    <s v="Professional Services"/>
    <x v="0"/>
    <s v="AA-"/>
    <s v="United States"/>
    <x v="0"/>
    <d v="2023-12-13T00:00:00"/>
    <x v="0"/>
    <x v="1"/>
    <x v="1"/>
    <n v="0.153"/>
    <s v="Cash Incentive"/>
    <n v="0.153"/>
    <x v="2"/>
    <s v="Strategy &amp; Operations"/>
    <x v="3"/>
    <s v="Company Performance "/>
    <n v="0.5"/>
  </r>
  <r>
    <x v="74"/>
    <x v="0"/>
    <x v="0"/>
    <x v="37"/>
    <s v="Professional Services"/>
    <x v="0"/>
    <s v="AA-"/>
    <s v="United States"/>
    <x v="0"/>
    <d v="2023-12-13T00:00:00"/>
    <x v="0"/>
    <x v="1"/>
    <x v="1"/>
    <m/>
    <s v="Cash Incentive"/>
    <n v="0.153"/>
    <x v="2"/>
    <s v="Individual Assessment"/>
    <x v="13"/>
    <s v="Individual Performance Assessment"/>
    <n v="0.5"/>
  </r>
  <r>
    <x v="74"/>
    <x v="0"/>
    <x v="0"/>
    <x v="37"/>
    <s v="Professional Services"/>
    <x v="0"/>
    <s v="AA-"/>
    <s v="United States"/>
    <x v="0"/>
    <d v="2023-12-13T00:00:00"/>
    <x v="0"/>
    <x v="2"/>
    <x v="1"/>
    <n v="0.58199999999999996"/>
    <s v="Performance Stock"/>
    <n v="0.58199999999999996"/>
    <x v="1"/>
    <s v="Profitability"/>
    <x v="2"/>
    <s v="Adjusted Operating Income"/>
    <n v="0.75"/>
  </r>
  <r>
    <x v="74"/>
    <x v="0"/>
    <x v="0"/>
    <x v="37"/>
    <s v="Professional Services"/>
    <x v="0"/>
    <s v="AA-"/>
    <s v="United States"/>
    <x v="0"/>
    <d v="2023-12-13T00:00:00"/>
    <x v="0"/>
    <x v="2"/>
    <x v="1"/>
    <m/>
    <s v="Performance Stock"/>
    <n v="0.58199999999999996"/>
    <x v="3"/>
    <s v="Stock Performance"/>
    <x v="11"/>
    <s v="3Y Relative TSR"/>
    <n v="0.25"/>
  </r>
  <r>
    <x v="74"/>
    <x v="0"/>
    <x v="0"/>
    <x v="37"/>
    <s v="Professional Services"/>
    <x v="0"/>
    <s v="AA-"/>
    <s v="United States"/>
    <x v="0"/>
    <d v="2023-12-13T00:00:00"/>
    <x v="0"/>
    <x v="2"/>
    <x v="1"/>
    <m/>
    <s v="Performance Stock"/>
    <n v="0.58199999999999996"/>
    <x v="0"/>
    <s v="Modifier/Threshold"/>
    <x v="53"/>
    <s v="Company Performance "/>
    <m/>
  </r>
  <r>
    <x v="74"/>
    <x v="0"/>
    <x v="0"/>
    <x v="37"/>
    <s v="Professional Services"/>
    <x v="0"/>
    <s v="AA-"/>
    <s v="United States"/>
    <x v="0"/>
    <d v="2023-12-13T00:00:00"/>
    <x v="0"/>
    <x v="2"/>
    <x v="1"/>
    <m/>
    <s v="Performance Stock"/>
    <n v="0.58199999999999996"/>
    <x v="0"/>
    <s v="Modifier/Threshold"/>
    <x v="78"/>
    <s v="3Y Relative TSR"/>
    <m/>
  </r>
  <r>
    <x v="74"/>
    <x v="0"/>
    <x v="0"/>
    <x v="37"/>
    <s v="Professional Services"/>
    <x v="0"/>
    <s v="AA-"/>
    <s v="United States"/>
    <x v="0"/>
    <d v="2023-12-13T00:00:00"/>
    <x v="0"/>
    <x v="2"/>
    <x v="0"/>
    <n v="0.20399999999999999"/>
    <s v="Time-Based Stock"/>
    <n v="0.20399999999999999"/>
    <x v="0"/>
    <m/>
    <x v="0"/>
    <m/>
    <m/>
  </r>
  <r>
    <x v="74"/>
    <x v="0"/>
    <x v="0"/>
    <x v="37"/>
    <s v="Professional Services"/>
    <x v="0"/>
    <s v="AA-"/>
    <s v="United States"/>
    <x v="0"/>
    <d v="2023-12-13T00:00:00"/>
    <x v="1"/>
    <x v="0"/>
    <x v="0"/>
    <n v="0.13300000000000001"/>
    <s v="Base Salary"/>
    <n v="0.13300000000000001"/>
    <x v="0"/>
    <m/>
    <x v="0"/>
    <m/>
    <m/>
  </r>
  <r>
    <x v="74"/>
    <x v="0"/>
    <x v="0"/>
    <x v="37"/>
    <s v="Professional Services"/>
    <x v="0"/>
    <s v="AA-"/>
    <s v="United States"/>
    <x v="0"/>
    <d v="2023-12-13T00:00:00"/>
    <x v="1"/>
    <x v="1"/>
    <x v="1"/>
    <n v="0.23300000000000001"/>
    <s v="Cash Incentive"/>
    <n v="0.23300000000000001"/>
    <x v="2"/>
    <s v="Strategy &amp; Operations"/>
    <x v="3"/>
    <s v="Company Performance "/>
    <n v="0.5"/>
  </r>
  <r>
    <x v="74"/>
    <x v="0"/>
    <x v="0"/>
    <x v="37"/>
    <s v="Professional Services"/>
    <x v="0"/>
    <s v="AA-"/>
    <s v="United States"/>
    <x v="0"/>
    <d v="2023-12-13T00:00:00"/>
    <x v="1"/>
    <x v="1"/>
    <x v="1"/>
    <m/>
    <s v="Cash Incentive"/>
    <n v="0.23300000000000001"/>
    <x v="2"/>
    <s v="Individual Assessment"/>
    <x v="13"/>
    <s v="Individual Performance Assessment"/>
    <n v="0.5"/>
  </r>
  <r>
    <x v="74"/>
    <x v="0"/>
    <x v="0"/>
    <x v="37"/>
    <s v="Professional Services"/>
    <x v="0"/>
    <s v="AA-"/>
    <s v="United States"/>
    <x v="0"/>
    <d v="2023-12-13T00:00:00"/>
    <x v="1"/>
    <x v="2"/>
    <x v="1"/>
    <n v="0.47199999999999998"/>
    <s v="Performance Stock"/>
    <n v="0.47199999999999998"/>
    <x v="1"/>
    <s v="Profitability"/>
    <x v="2"/>
    <s v="Adjusted Operating Income"/>
    <n v="0.75"/>
  </r>
  <r>
    <x v="74"/>
    <x v="0"/>
    <x v="0"/>
    <x v="37"/>
    <s v="Professional Services"/>
    <x v="0"/>
    <s v="AA-"/>
    <s v="United States"/>
    <x v="0"/>
    <d v="2023-12-13T00:00:00"/>
    <x v="1"/>
    <x v="2"/>
    <x v="1"/>
    <m/>
    <s v="Performance Stock"/>
    <n v="0.47199999999999998"/>
    <x v="3"/>
    <s v="Stock Performance"/>
    <x v="11"/>
    <s v="3Y Relative TSR"/>
    <n v="0.25"/>
  </r>
  <r>
    <x v="74"/>
    <x v="0"/>
    <x v="0"/>
    <x v="37"/>
    <s v="Professional Services"/>
    <x v="0"/>
    <s v="AA-"/>
    <s v="United States"/>
    <x v="0"/>
    <d v="2023-12-13T00:00:00"/>
    <x v="1"/>
    <x v="2"/>
    <x v="1"/>
    <m/>
    <s v="Performance Stock"/>
    <n v="0.47199999999999998"/>
    <x v="0"/>
    <s v="Modifier/Threshold"/>
    <x v="53"/>
    <s v="Company Performance "/>
    <m/>
  </r>
  <r>
    <x v="74"/>
    <x v="0"/>
    <x v="0"/>
    <x v="37"/>
    <s v="Professional Services"/>
    <x v="0"/>
    <s v="AA-"/>
    <s v="United States"/>
    <x v="0"/>
    <d v="2023-12-13T00:00:00"/>
    <x v="1"/>
    <x v="2"/>
    <x v="1"/>
    <m/>
    <s v="Performance Stock"/>
    <n v="0.47199999999999998"/>
    <x v="0"/>
    <s v="Modifier/Threshold"/>
    <x v="78"/>
    <s v="3Y Relative TSR"/>
    <m/>
  </r>
  <r>
    <x v="74"/>
    <x v="0"/>
    <x v="0"/>
    <x v="37"/>
    <s v="Professional Services"/>
    <x v="0"/>
    <s v="AA-"/>
    <s v="United States"/>
    <x v="0"/>
    <d v="2023-12-13T00:00:00"/>
    <x v="1"/>
    <x v="2"/>
    <x v="0"/>
    <n v="0.16200000000000001"/>
    <s v="Time-Based Stock"/>
    <n v="0.16200000000000001"/>
    <x v="0"/>
    <m/>
    <x v="0"/>
    <m/>
    <m/>
  </r>
  <r>
    <x v="75"/>
    <x v="2"/>
    <x v="21"/>
    <x v="38"/>
    <s v="Homebuilding"/>
    <x v="2"/>
    <s v="BBB+"/>
    <s v="United States"/>
    <x v="0"/>
    <d v="2023-12-15T00:00:00"/>
    <x v="0"/>
    <x v="0"/>
    <x v="0"/>
    <n v="0.02"/>
    <s v="Base Salary"/>
    <n v="0.02"/>
    <x v="0"/>
    <m/>
    <x v="0"/>
    <m/>
    <m/>
  </r>
  <r>
    <x v="75"/>
    <x v="2"/>
    <x v="21"/>
    <x v="38"/>
    <s v="Homebuilding"/>
    <x v="2"/>
    <s v="BBB+"/>
    <s v="United States"/>
    <x v="0"/>
    <d v="2023-12-15T00:00:00"/>
    <x v="0"/>
    <x v="1"/>
    <x v="1"/>
    <n v="0.2"/>
    <s v="Cash Incentive"/>
    <n v="0.2"/>
    <x v="1"/>
    <s v="Profitability"/>
    <x v="33"/>
    <s v="Pre-Tax Income"/>
    <n v="1"/>
  </r>
  <r>
    <x v="75"/>
    <x v="2"/>
    <x v="21"/>
    <x v="38"/>
    <s v="Homebuilding"/>
    <x v="2"/>
    <s v="BBB+"/>
    <s v="United States"/>
    <x v="0"/>
    <d v="2023-12-15T00:00:00"/>
    <x v="0"/>
    <x v="1"/>
    <x v="1"/>
    <m/>
    <s v="Cash Incentive"/>
    <n v="0.2"/>
    <x v="0"/>
    <s v="Modifier/Threshold"/>
    <x v="34"/>
    <s v="Discretionary Adjustment"/>
    <m/>
  </r>
  <r>
    <x v="75"/>
    <x v="2"/>
    <x v="21"/>
    <x v="38"/>
    <s v="Homebuilding"/>
    <x v="2"/>
    <s v="BBB+"/>
    <s v="United States"/>
    <x v="0"/>
    <d v="2023-12-15T00:00:00"/>
    <x v="0"/>
    <x v="1"/>
    <x v="1"/>
    <n v="0.2"/>
    <s v="Deferred Equity Grant"/>
    <n v="0.2"/>
    <x v="0"/>
    <m/>
    <x v="0"/>
    <m/>
    <m/>
  </r>
  <r>
    <x v="75"/>
    <x v="2"/>
    <x v="21"/>
    <x v="38"/>
    <s v="Homebuilding"/>
    <x v="2"/>
    <s v="BBB+"/>
    <s v="United States"/>
    <x v="0"/>
    <d v="2023-12-15T00:00:00"/>
    <x v="0"/>
    <x v="2"/>
    <x v="1"/>
    <n v="0.5"/>
    <s v="Performance Stock"/>
    <n v="0.5"/>
    <x v="3"/>
    <s v="Stock Performance"/>
    <x v="11"/>
    <s v="3Y Relative TSR"/>
    <n v="0.25"/>
  </r>
  <r>
    <x v="75"/>
    <x v="2"/>
    <x v="21"/>
    <x v="38"/>
    <s v="Homebuilding"/>
    <x v="2"/>
    <s v="BBB+"/>
    <s v="United States"/>
    <x v="0"/>
    <d v="2023-12-15T00:00:00"/>
    <x v="0"/>
    <x v="2"/>
    <x v="1"/>
    <m/>
    <s v="Performance Stock"/>
    <n v="0.5"/>
    <x v="1"/>
    <s v="Return"/>
    <x v="79"/>
    <s v="3Y Relative Return on Investment"/>
    <n v="0.25"/>
  </r>
  <r>
    <x v="75"/>
    <x v="2"/>
    <x v="21"/>
    <x v="38"/>
    <s v="Homebuilding"/>
    <x v="2"/>
    <s v="BBB+"/>
    <s v="United States"/>
    <x v="0"/>
    <d v="2023-12-15T00:00:00"/>
    <x v="0"/>
    <x v="2"/>
    <x v="1"/>
    <m/>
    <s v="Performance Stock"/>
    <n v="0.5"/>
    <x v="1"/>
    <s v="Profitability"/>
    <x v="3"/>
    <s v="3Y Relative SG&amp;A as % of Revenues "/>
    <n v="0.25"/>
  </r>
  <r>
    <x v="75"/>
    <x v="2"/>
    <x v="21"/>
    <x v="38"/>
    <s v="Homebuilding"/>
    <x v="2"/>
    <s v="BBB+"/>
    <s v="United States"/>
    <x v="0"/>
    <d v="2023-12-15T00:00:00"/>
    <x v="0"/>
    <x v="2"/>
    <x v="1"/>
    <m/>
    <s v="Performance Stock"/>
    <n v="0.5"/>
    <x v="1"/>
    <s v="Profitability"/>
    <x v="29"/>
    <s v="3Y Relative Homebuilding Segment Gross Margin"/>
    <n v="0.25"/>
  </r>
  <r>
    <x v="75"/>
    <x v="2"/>
    <x v="21"/>
    <x v="38"/>
    <s v="Homebuilding"/>
    <x v="2"/>
    <s v="BBB+"/>
    <s v="United States"/>
    <x v="0"/>
    <d v="2023-12-15T00:00:00"/>
    <x v="0"/>
    <x v="2"/>
    <x v="0"/>
    <n v="0.08"/>
    <s v="Time-Based Stock"/>
    <n v="0.08"/>
    <x v="0"/>
    <m/>
    <x v="0"/>
    <m/>
    <m/>
  </r>
  <r>
    <x v="75"/>
    <x v="2"/>
    <x v="21"/>
    <x v="38"/>
    <s v="Homebuilding"/>
    <x v="2"/>
    <s v="BBB+"/>
    <s v="United States"/>
    <x v="0"/>
    <d v="2023-12-15T00:00:00"/>
    <x v="1"/>
    <x v="0"/>
    <x v="0"/>
    <n v="0.04"/>
    <s v="Base Salary"/>
    <n v="0.04"/>
    <x v="0"/>
    <m/>
    <x v="0"/>
    <m/>
    <m/>
  </r>
  <r>
    <x v="75"/>
    <x v="2"/>
    <x v="21"/>
    <x v="38"/>
    <s v="Homebuilding"/>
    <x v="2"/>
    <s v="BBB+"/>
    <s v="United States"/>
    <x v="0"/>
    <d v="2023-12-15T00:00:00"/>
    <x v="1"/>
    <x v="1"/>
    <x v="1"/>
    <n v="0.215"/>
    <s v="Cash Incentive"/>
    <n v="0.215"/>
    <x v="1"/>
    <s v="Profitability"/>
    <x v="33"/>
    <s v="Pre-Tax Income"/>
    <n v="1"/>
  </r>
  <r>
    <x v="75"/>
    <x v="2"/>
    <x v="21"/>
    <x v="38"/>
    <s v="Homebuilding"/>
    <x v="2"/>
    <s v="BBB+"/>
    <s v="United States"/>
    <x v="0"/>
    <d v="2023-12-15T00:00:00"/>
    <x v="1"/>
    <x v="1"/>
    <x v="1"/>
    <m/>
    <s v="Cash Incentive"/>
    <n v="0.215"/>
    <x v="0"/>
    <s v="Modifier/Threshold"/>
    <x v="34"/>
    <s v="Discretionary Adjustment"/>
    <m/>
  </r>
  <r>
    <x v="75"/>
    <x v="2"/>
    <x v="21"/>
    <x v="38"/>
    <s v="Homebuilding"/>
    <x v="2"/>
    <s v="BBB+"/>
    <s v="United States"/>
    <x v="0"/>
    <d v="2023-12-15T00:00:00"/>
    <x v="1"/>
    <x v="1"/>
    <x v="1"/>
    <n v="0.215"/>
    <s v="Deferred Equity Grant"/>
    <n v="0.215"/>
    <x v="0"/>
    <m/>
    <x v="0"/>
    <m/>
    <m/>
  </r>
  <r>
    <x v="75"/>
    <x v="2"/>
    <x v="21"/>
    <x v="38"/>
    <s v="Homebuilding"/>
    <x v="2"/>
    <s v="BBB+"/>
    <s v="United States"/>
    <x v="0"/>
    <d v="2023-12-15T00:00:00"/>
    <x v="1"/>
    <x v="2"/>
    <x v="1"/>
    <n v="0.44"/>
    <s v="Performance Stock"/>
    <n v="0.44"/>
    <x v="3"/>
    <s v="Stock Performance"/>
    <x v="11"/>
    <s v="3Y Relative TSR"/>
    <n v="0.25"/>
  </r>
  <r>
    <x v="75"/>
    <x v="2"/>
    <x v="21"/>
    <x v="38"/>
    <s v="Homebuilding"/>
    <x v="2"/>
    <s v="BBB+"/>
    <s v="United States"/>
    <x v="0"/>
    <d v="2023-12-15T00:00:00"/>
    <x v="1"/>
    <x v="2"/>
    <x v="1"/>
    <m/>
    <s v="Performance Stock"/>
    <n v="0.44"/>
    <x v="1"/>
    <s v="Return"/>
    <x v="79"/>
    <s v="3Y Relative Return on Investment"/>
    <n v="0.25"/>
  </r>
  <r>
    <x v="75"/>
    <x v="2"/>
    <x v="21"/>
    <x v="38"/>
    <s v="Homebuilding"/>
    <x v="2"/>
    <s v="BBB+"/>
    <s v="United States"/>
    <x v="0"/>
    <d v="2023-12-15T00:00:00"/>
    <x v="1"/>
    <x v="2"/>
    <x v="1"/>
    <m/>
    <s v="Performance Stock"/>
    <n v="0.44"/>
    <x v="1"/>
    <s v="Profitability"/>
    <x v="3"/>
    <s v="3Y Relative SG&amp;A as % of Revenues "/>
    <n v="0.25"/>
  </r>
  <r>
    <x v="75"/>
    <x v="2"/>
    <x v="21"/>
    <x v="38"/>
    <s v="Homebuilding"/>
    <x v="2"/>
    <s v="BBB+"/>
    <s v="United States"/>
    <x v="0"/>
    <d v="2023-12-15T00:00:00"/>
    <x v="1"/>
    <x v="2"/>
    <x v="1"/>
    <m/>
    <s v="Performance Stock"/>
    <n v="0.44"/>
    <x v="1"/>
    <s v="Profitability"/>
    <x v="29"/>
    <s v="3Y Relative Homebuilding Segment Gross Margin"/>
    <n v="0.25"/>
  </r>
  <r>
    <x v="75"/>
    <x v="2"/>
    <x v="21"/>
    <x v="38"/>
    <s v="Homebuilding"/>
    <x v="2"/>
    <s v="BBB+"/>
    <s v="United States"/>
    <x v="0"/>
    <d v="2023-12-15T00:00:00"/>
    <x v="1"/>
    <x v="2"/>
    <x v="0"/>
    <n v="0.09"/>
    <s v="Time-Based Stock"/>
    <n v="0.09"/>
    <x v="0"/>
    <m/>
    <x v="0"/>
    <m/>
    <m/>
  </r>
  <r>
    <x v="76"/>
    <x v="5"/>
    <x v="15"/>
    <x v="23"/>
    <s v="Insurance"/>
    <x v="1"/>
    <s v="BBB"/>
    <s v="United States"/>
    <x v="0"/>
    <d v="2024-03-22T00:00:00"/>
    <x v="0"/>
    <x v="0"/>
    <x v="0"/>
    <n v="0.10717230008244023"/>
    <s v="Base Salary"/>
    <n v="0.10717230008244023"/>
    <x v="0"/>
    <m/>
    <x v="0"/>
    <m/>
    <m/>
  </r>
  <r>
    <x v="76"/>
    <x v="5"/>
    <x v="15"/>
    <x v="23"/>
    <s v="Insurance"/>
    <x v="1"/>
    <s v="BBB"/>
    <s v="United States"/>
    <x v="0"/>
    <d v="2024-03-22T00:00:00"/>
    <x v="0"/>
    <x v="1"/>
    <x v="1"/>
    <n v="0.24113767518549051"/>
    <s v="Cash Incentive"/>
    <n v="0.24113767518549051"/>
    <x v="1"/>
    <s v="Growth"/>
    <x v="1"/>
    <s v="Adjusted Revenue Growth"/>
    <n v="0.5"/>
  </r>
  <r>
    <x v="76"/>
    <x v="5"/>
    <x v="15"/>
    <x v="23"/>
    <s v="Insurance"/>
    <x v="1"/>
    <s v="BBB"/>
    <s v="United States"/>
    <x v="0"/>
    <d v="2024-03-22T00:00:00"/>
    <x v="0"/>
    <x v="1"/>
    <x v="1"/>
    <m/>
    <s v="Cash Incentive"/>
    <n v="0.24113767518549051"/>
    <x v="1"/>
    <s v="Profitability"/>
    <x v="32"/>
    <s v="Adjusted EBITDA"/>
    <n v="0.5"/>
  </r>
  <r>
    <x v="76"/>
    <x v="5"/>
    <x v="15"/>
    <x v="23"/>
    <s v="Insurance"/>
    <x v="1"/>
    <s v="BBB"/>
    <s v="United States"/>
    <x v="0"/>
    <d v="2024-03-22T00:00:00"/>
    <x v="0"/>
    <x v="1"/>
    <x v="1"/>
    <m/>
    <s v="Cash Incentive"/>
    <n v="0.24113767518549051"/>
    <x v="0"/>
    <s v="Modifier/Threshold"/>
    <x v="34"/>
    <s v="Discretionary Adjustment"/>
    <m/>
  </r>
  <r>
    <x v="76"/>
    <x v="5"/>
    <x v="15"/>
    <x v="23"/>
    <s v="Insurance"/>
    <x v="1"/>
    <s v="BBB"/>
    <s v="United States"/>
    <x v="0"/>
    <d v="2024-03-22T00:00:00"/>
    <x v="0"/>
    <x v="2"/>
    <x v="1"/>
    <n v="0.34964962901896118"/>
    <s v="Performance Stock"/>
    <n v="0.34964962901896118"/>
    <x v="1"/>
    <s v="Profitability"/>
    <x v="32"/>
    <s v="3Y Adjusted EBITDA"/>
    <n v="1"/>
  </r>
  <r>
    <x v="76"/>
    <x v="5"/>
    <x v="15"/>
    <x v="23"/>
    <s v="Insurance"/>
    <x v="1"/>
    <s v="BBB"/>
    <s v="United States"/>
    <x v="0"/>
    <d v="2024-03-22T00:00:00"/>
    <x v="0"/>
    <x v="2"/>
    <x v="0"/>
    <n v="0.11654987633965373"/>
    <s v="Stock Options"/>
    <n v="0.11654987633965373"/>
    <x v="0"/>
    <m/>
    <x v="0"/>
    <m/>
    <m/>
  </r>
  <r>
    <x v="76"/>
    <x v="5"/>
    <x v="15"/>
    <x v="23"/>
    <s v="Insurance"/>
    <x v="1"/>
    <s v="BBB"/>
    <s v="United States"/>
    <x v="0"/>
    <d v="2024-03-22T00:00:00"/>
    <x v="0"/>
    <x v="2"/>
    <x v="0"/>
    <n v="0.18549051937345423"/>
    <s v="Deferred Equity Grant"/>
    <n v="0.18549051937345423"/>
    <x v="0"/>
    <m/>
    <x v="0"/>
    <m/>
    <m/>
  </r>
  <r>
    <x v="76"/>
    <x v="5"/>
    <x v="15"/>
    <x v="23"/>
    <s v="Insurance"/>
    <x v="1"/>
    <s v="BBB"/>
    <s v="United States"/>
    <x v="0"/>
    <d v="2024-03-22T00:00:00"/>
    <x v="1"/>
    <x v="0"/>
    <x v="0"/>
    <n v="0.213023306481369"/>
    <s v="Base Salary"/>
    <n v="0.213023306481369"/>
    <x v="0"/>
    <m/>
    <x v="0"/>
    <m/>
    <m/>
  </r>
  <r>
    <x v="76"/>
    <x v="5"/>
    <x v="15"/>
    <x v="23"/>
    <s v="Insurance"/>
    <x v="1"/>
    <s v="BBB"/>
    <s v="United States"/>
    <x v="0"/>
    <d v="2024-03-22T00:00:00"/>
    <x v="1"/>
    <x v="1"/>
    <x v="1"/>
    <n v="0.26627913310171125"/>
    <s v="Cash Incentive"/>
    <n v="0.26627913310171125"/>
    <x v="1"/>
    <s v="Growth"/>
    <x v="1"/>
    <s v="Adjusted Revenue Growth"/>
    <n v="0.5"/>
  </r>
  <r>
    <x v="76"/>
    <x v="5"/>
    <x v="15"/>
    <x v="23"/>
    <s v="Insurance"/>
    <x v="1"/>
    <s v="BBB"/>
    <s v="United States"/>
    <x v="0"/>
    <d v="2024-03-22T00:00:00"/>
    <x v="1"/>
    <x v="1"/>
    <x v="1"/>
    <m/>
    <s v="Cash Incentive"/>
    <n v="0.26627913310171125"/>
    <x v="1"/>
    <s v="Profitability"/>
    <x v="32"/>
    <s v="Adjusted EBITDA"/>
    <n v="0.5"/>
  </r>
  <r>
    <x v="76"/>
    <x v="5"/>
    <x v="15"/>
    <x v="23"/>
    <s v="Insurance"/>
    <x v="1"/>
    <s v="BBB"/>
    <s v="United States"/>
    <x v="0"/>
    <d v="2024-03-22T00:00:00"/>
    <x v="1"/>
    <x v="1"/>
    <x v="1"/>
    <m/>
    <s v="Cash Incentive"/>
    <n v="0.26627913310171125"/>
    <x v="0"/>
    <s v="Modifier/Threshold"/>
    <x v="34"/>
    <s v="Discretionary Adjustment"/>
    <m/>
  </r>
  <r>
    <x v="76"/>
    <x v="5"/>
    <x v="15"/>
    <x v="23"/>
    <s v="Insurance"/>
    <x v="1"/>
    <s v="BBB"/>
    <s v="United States"/>
    <x v="0"/>
    <d v="2024-03-22T00:00:00"/>
    <x v="1"/>
    <x v="2"/>
    <x v="1"/>
    <n v="0.19172097583323211"/>
    <s v="Performance Stock"/>
    <n v="0.19172097583323211"/>
    <x v="1"/>
    <s v="Profitability"/>
    <x v="32"/>
    <s v="3Y Adjusted EBITDA"/>
    <n v="1"/>
  </r>
  <r>
    <x v="76"/>
    <x v="5"/>
    <x v="15"/>
    <x v="23"/>
    <s v="Insurance"/>
    <x v="1"/>
    <s v="BBB"/>
    <s v="United States"/>
    <x v="0"/>
    <d v="2024-03-22T00:00:00"/>
    <x v="1"/>
    <x v="2"/>
    <x v="0"/>
    <n v="0.1278139838888214"/>
    <s v="Stock Options"/>
    <n v="0.1278139838888214"/>
    <x v="0"/>
    <m/>
    <x v="0"/>
    <m/>
    <m/>
  </r>
  <r>
    <x v="76"/>
    <x v="5"/>
    <x v="15"/>
    <x v="23"/>
    <s v="Insurance"/>
    <x v="1"/>
    <s v="BBB"/>
    <s v="United States"/>
    <x v="0"/>
    <d v="2024-03-22T00:00:00"/>
    <x v="1"/>
    <x v="2"/>
    <x v="0"/>
    <n v="0.20116260069486619"/>
    <s v="Deferred Equity Grant"/>
    <n v="0.20116260069486619"/>
    <x v="0"/>
    <m/>
    <x v="0"/>
    <m/>
    <m/>
  </r>
  <r>
    <x v="77"/>
    <x v="3"/>
    <x v="4"/>
    <x v="14"/>
    <s v="Pharmaceuticals"/>
    <x v="0"/>
    <s v="BBB+"/>
    <s v="United States"/>
    <x v="0"/>
    <d v="2024-04-17T00:00:00"/>
    <x v="0"/>
    <x v="0"/>
    <x v="0"/>
    <n v="0.09"/>
    <s v="Base Salary"/>
    <n v="0.09"/>
    <x v="0"/>
    <m/>
    <x v="0"/>
    <m/>
    <m/>
  </r>
  <r>
    <x v="77"/>
    <x v="3"/>
    <x v="4"/>
    <x v="14"/>
    <s v="Pharmaceuticals"/>
    <x v="0"/>
    <s v="BBB+"/>
    <s v="United States"/>
    <x v="0"/>
    <d v="2024-04-17T00:00:00"/>
    <x v="0"/>
    <x v="1"/>
    <x v="1"/>
    <n v="0.13"/>
    <s v="Cash Incentive"/>
    <n v="0.13"/>
    <x v="1"/>
    <s v="Growth"/>
    <x v="1"/>
    <s v="Revenue "/>
    <n v="0.3"/>
  </r>
  <r>
    <x v="77"/>
    <x v="3"/>
    <x v="4"/>
    <x v="14"/>
    <s v="Pharmaceuticals"/>
    <x v="0"/>
    <s v="BBB+"/>
    <s v="United States"/>
    <x v="0"/>
    <d v="2024-04-17T00:00:00"/>
    <x v="0"/>
    <x v="1"/>
    <x v="1"/>
    <m/>
    <s v="Cash Incentive"/>
    <n v="0.13"/>
    <x v="1"/>
    <s v="Profitability"/>
    <x v="24"/>
    <s v="Adjusted Net Income"/>
    <n v="0.3"/>
  </r>
  <r>
    <x v="77"/>
    <x v="3"/>
    <x v="4"/>
    <x v="14"/>
    <s v="Pharmaceuticals"/>
    <x v="0"/>
    <s v="BBB+"/>
    <s v="United States"/>
    <x v="0"/>
    <d v="2024-04-17T00:00:00"/>
    <x v="0"/>
    <x v="1"/>
    <x v="1"/>
    <m/>
    <s v="Cash Incentive"/>
    <n v="0.13"/>
    <x v="2"/>
    <s v="Strategy &amp; Operations"/>
    <x v="15"/>
    <s v="Execute Key Clinical Studies and Regulatory Filings"/>
    <n v="0.2"/>
  </r>
  <r>
    <x v="77"/>
    <x v="3"/>
    <x v="4"/>
    <x v="14"/>
    <s v="Pharmaceuticals"/>
    <x v="0"/>
    <s v="BBB+"/>
    <s v="United States"/>
    <x v="0"/>
    <d v="2024-04-17T00:00:00"/>
    <x v="0"/>
    <x v="1"/>
    <x v="1"/>
    <m/>
    <s v="Cash Incentive"/>
    <n v="0.13"/>
    <x v="2"/>
    <s v="Strategy &amp; Operations"/>
    <x v="15"/>
    <s v="Advance Early Pipeline"/>
    <n v="0.1"/>
  </r>
  <r>
    <x v="77"/>
    <x v="3"/>
    <x v="4"/>
    <x v="14"/>
    <s v="Pharmaceuticals"/>
    <x v="0"/>
    <s v="BBB+"/>
    <s v="United States"/>
    <x v="0"/>
    <d v="2024-04-17T00:00:00"/>
    <x v="0"/>
    <x v="1"/>
    <x v="1"/>
    <m/>
    <s v="Cash Incentive"/>
    <n v="0.13"/>
    <x v="2"/>
    <s v="ESG"/>
    <x v="7"/>
    <s v="ESG"/>
    <n v="0.05"/>
  </r>
  <r>
    <x v="77"/>
    <x v="3"/>
    <x v="4"/>
    <x v="14"/>
    <s v="Pharmaceuticals"/>
    <x v="0"/>
    <s v="BBB+"/>
    <s v="United States"/>
    <x v="0"/>
    <d v="2024-04-17T00:00:00"/>
    <x v="0"/>
    <x v="1"/>
    <x v="1"/>
    <m/>
    <s v="Cash Incentive"/>
    <n v="0.13"/>
    <x v="2"/>
    <s v="Strategy &amp; Operations"/>
    <x v="3"/>
    <s v="Successful Integrations and Collaborations"/>
    <n v="0.05"/>
  </r>
  <r>
    <x v="77"/>
    <x v="3"/>
    <x v="4"/>
    <x v="14"/>
    <s v="Pharmaceuticals"/>
    <x v="0"/>
    <s v="BBB+"/>
    <s v="United States"/>
    <x v="0"/>
    <d v="2024-04-17T00:00:00"/>
    <x v="0"/>
    <x v="2"/>
    <x v="1"/>
    <n v="0.39"/>
    <s v="Performance Stock"/>
    <n v="0.39"/>
    <x v="1"/>
    <s v="Profitability"/>
    <x v="14"/>
    <s v="Adjusted EPS"/>
    <n v="0.5"/>
  </r>
  <r>
    <x v="77"/>
    <x v="3"/>
    <x v="4"/>
    <x v="14"/>
    <s v="Pharmaceuticals"/>
    <x v="0"/>
    <s v="BBB+"/>
    <s v="United States"/>
    <x v="0"/>
    <d v="2024-04-17T00:00:00"/>
    <x v="0"/>
    <x v="2"/>
    <x v="1"/>
    <m/>
    <s v="Performance Stock"/>
    <n v="0.39"/>
    <x v="1"/>
    <s v="Return"/>
    <x v="26"/>
    <s v="Adjusted ROIC"/>
    <n v="0.5"/>
  </r>
  <r>
    <x v="77"/>
    <x v="3"/>
    <x v="4"/>
    <x v="14"/>
    <s v="Pharmaceuticals"/>
    <x v="0"/>
    <s v="BBB+"/>
    <s v="United States"/>
    <x v="0"/>
    <d v="2024-04-17T00:00:00"/>
    <x v="0"/>
    <x v="2"/>
    <x v="1"/>
    <m/>
    <s v="Performance Stock"/>
    <n v="0.39"/>
    <x v="0"/>
    <s v="Modifier/Threshold"/>
    <x v="6"/>
    <s v="3Y Relative TSR"/>
    <m/>
  </r>
  <r>
    <x v="77"/>
    <x v="3"/>
    <x v="4"/>
    <x v="14"/>
    <s v="Pharmaceuticals"/>
    <x v="0"/>
    <s v="BBB+"/>
    <s v="United States"/>
    <x v="0"/>
    <d v="2024-04-17T00:00:00"/>
    <x v="0"/>
    <x v="2"/>
    <x v="1"/>
    <m/>
    <s v="Performance Stock"/>
    <n v="0.39"/>
    <x v="0"/>
    <s v="Modifier/Threshold"/>
    <x v="12"/>
    <s v="3Y Absolute TSR"/>
    <m/>
  </r>
  <r>
    <x v="77"/>
    <x v="3"/>
    <x v="4"/>
    <x v="14"/>
    <s v="Pharmaceuticals"/>
    <x v="0"/>
    <s v="BBB+"/>
    <s v="United States"/>
    <x v="0"/>
    <d v="2024-04-17T00:00:00"/>
    <x v="0"/>
    <x v="2"/>
    <x v="0"/>
    <n v="0.23399999999999999"/>
    <s v="Stock Options"/>
    <n v="0.23399999999999999"/>
    <x v="0"/>
    <m/>
    <x v="0"/>
    <m/>
    <m/>
  </r>
  <r>
    <x v="77"/>
    <x v="3"/>
    <x v="4"/>
    <x v="14"/>
    <s v="Pharmaceuticals"/>
    <x v="0"/>
    <s v="BBB+"/>
    <s v="United States"/>
    <x v="0"/>
    <d v="2024-04-17T00:00:00"/>
    <x v="0"/>
    <x v="2"/>
    <x v="0"/>
    <n v="0.15600000000000003"/>
    <s v="Time-Based Stock"/>
    <n v="0.15600000000000003"/>
    <x v="0"/>
    <m/>
    <x v="0"/>
    <m/>
    <m/>
  </r>
  <r>
    <x v="77"/>
    <x v="3"/>
    <x v="4"/>
    <x v="14"/>
    <s v="Pharmaceuticals"/>
    <x v="0"/>
    <s v="BBB+"/>
    <s v="United States"/>
    <x v="0"/>
    <d v="2024-04-17T00:00:00"/>
    <x v="1"/>
    <x v="0"/>
    <x v="0"/>
    <n v="0.17"/>
    <s v="Base Salary"/>
    <n v="0.17"/>
    <x v="0"/>
    <m/>
    <x v="0"/>
    <m/>
    <m/>
  </r>
  <r>
    <x v="77"/>
    <x v="3"/>
    <x v="4"/>
    <x v="14"/>
    <s v="Pharmaceuticals"/>
    <x v="0"/>
    <s v="BBB+"/>
    <s v="United States"/>
    <x v="0"/>
    <d v="2024-04-17T00:00:00"/>
    <x v="1"/>
    <x v="1"/>
    <x v="1"/>
    <n v="0.16"/>
    <s v="Cash Incentive"/>
    <n v="0.16"/>
    <x v="1"/>
    <s v="Growth"/>
    <x v="1"/>
    <s v="Revenue "/>
    <n v="0.3"/>
  </r>
  <r>
    <x v="77"/>
    <x v="3"/>
    <x v="4"/>
    <x v="14"/>
    <s v="Pharmaceuticals"/>
    <x v="0"/>
    <s v="BBB+"/>
    <s v="United States"/>
    <x v="0"/>
    <d v="2024-04-17T00:00:00"/>
    <x v="1"/>
    <x v="1"/>
    <x v="1"/>
    <m/>
    <s v="Cash Incentive"/>
    <n v="0.16"/>
    <x v="1"/>
    <s v="Profitability"/>
    <x v="24"/>
    <s v="Adjusted Net Income"/>
    <n v="0.3"/>
  </r>
  <r>
    <x v="77"/>
    <x v="3"/>
    <x v="4"/>
    <x v="14"/>
    <s v="Pharmaceuticals"/>
    <x v="0"/>
    <s v="BBB+"/>
    <s v="United States"/>
    <x v="0"/>
    <d v="2024-04-17T00:00:00"/>
    <x v="1"/>
    <x v="1"/>
    <x v="1"/>
    <m/>
    <s v="Cash Incentive"/>
    <n v="0.16"/>
    <x v="2"/>
    <s v="Strategy &amp; Operations"/>
    <x v="15"/>
    <s v="Execute Key Clinical Studies and Regulatory Filings"/>
    <n v="0.2"/>
  </r>
  <r>
    <x v="77"/>
    <x v="3"/>
    <x v="4"/>
    <x v="14"/>
    <s v="Pharmaceuticals"/>
    <x v="0"/>
    <s v="BBB+"/>
    <s v="United States"/>
    <x v="0"/>
    <d v="2024-04-17T00:00:00"/>
    <x v="1"/>
    <x v="1"/>
    <x v="1"/>
    <m/>
    <s v="Cash Incentive"/>
    <n v="0.16"/>
    <x v="2"/>
    <s v="Strategy &amp; Operations"/>
    <x v="15"/>
    <s v="Advance Early Pipeline"/>
    <n v="0.1"/>
  </r>
  <r>
    <x v="77"/>
    <x v="3"/>
    <x v="4"/>
    <x v="14"/>
    <s v="Pharmaceuticals"/>
    <x v="0"/>
    <s v="BBB+"/>
    <s v="United States"/>
    <x v="0"/>
    <d v="2024-04-17T00:00:00"/>
    <x v="1"/>
    <x v="1"/>
    <x v="1"/>
    <m/>
    <s v="Cash Incentive"/>
    <n v="0.16"/>
    <x v="2"/>
    <s v="ESG"/>
    <x v="7"/>
    <s v="ESG"/>
    <n v="0.05"/>
  </r>
  <r>
    <x v="77"/>
    <x v="3"/>
    <x v="4"/>
    <x v="14"/>
    <s v="Pharmaceuticals"/>
    <x v="0"/>
    <s v="BBB+"/>
    <s v="United States"/>
    <x v="0"/>
    <d v="2024-04-17T00:00:00"/>
    <x v="1"/>
    <x v="1"/>
    <x v="1"/>
    <m/>
    <s v="Cash Incentive"/>
    <n v="0.16"/>
    <x v="2"/>
    <s v="Strategy &amp; Operations"/>
    <x v="3"/>
    <s v="Successful Integrations and Collaborations"/>
    <n v="0.05"/>
  </r>
  <r>
    <x v="77"/>
    <x v="3"/>
    <x v="4"/>
    <x v="14"/>
    <s v="Pharmaceuticals"/>
    <x v="0"/>
    <s v="BBB+"/>
    <s v="United States"/>
    <x v="0"/>
    <d v="2024-04-17T00:00:00"/>
    <x v="1"/>
    <x v="2"/>
    <x v="1"/>
    <n v="0.33500000000000002"/>
    <s v="Performance Stock"/>
    <n v="0.33500000000000002"/>
    <x v="1"/>
    <s v="Profitability"/>
    <x v="14"/>
    <s v="Adjusted EPS"/>
    <n v="0.5"/>
  </r>
  <r>
    <x v="77"/>
    <x v="3"/>
    <x v="4"/>
    <x v="14"/>
    <s v="Pharmaceuticals"/>
    <x v="0"/>
    <s v="BBB+"/>
    <s v="United States"/>
    <x v="0"/>
    <d v="2024-04-17T00:00:00"/>
    <x v="1"/>
    <x v="2"/>
    <x v="1"/>
    <m/>
    <s v="Performance Stock"/>
    <n v="0.33500000000000002"/>
    <x v="1"/>
    <s v="Return"/>
    <x v="26"/>
    <s v="Adjusted ROIC"/>
    <n v="0.5"/>
  </r>
  <r>
    <x v="77"/>
    <x v="3"/>
    <x v="4"/>
    <x v="14"/>
    <s v="Pharmaceuticals"/>
    <x v="0"/>
    <s v="BBB+"/>
    <s v="United States"/>
    <x v="0"/>
    <d v="2024-04-17T00:00:00"/>
    <x v="1"/>
    <x v="2"/>
    <x v="1"/>
    <m/>
    <s v="Performance Stock"/>
    <n v="0.33500000000000002"/>
    <x v="0"/>
    <s v="Modifier/Threshold"/>
    <x v="6"/>
    <s v="3Y Relative TSR"/>
    <m/>
  </r>
  <r>
    <x v="77"/>
    <x v="3"/>
    <x v="4"/>
    <x v="14"/>
    <s v="Pharmaceuticals"/>
    <x v="0"/>
    <s v="BBB+"/>
    <s v="United States"/>
    <x v="0"/>
    <d v="2024-04-17T00:00:00"/>
    <x v="1"/>
    <x v="2"/>
    <x v="1"/>
    <m/>
    <s v="Performance Stock"/>
    <n v="0.33500000000000002"/>
    <x v="0"/>
    <s v="Modifier/Threshold"/>
    <x v="12"/>
    <s v="3Y Absolute TSR"/>
    <m/>
  </r>
  <r>
    <x v="77"/>
    <x v="3"/>
    <x v="4"/>
    <x v="14"/>
    <s v="Pharmaceuticals"/>
    <x v="0"/>
    <s v="BBB+"/>
    <s v="United States"/>
    <x v="0"/>
    <d v="2024-04-17T00:00:00"/>
    <x v="1"/>
    <x v="2"/>
    <x v="0"/>
    <n v="0.20100000000000001"/>
    <s v="Stock Options"/>
    <n v="0.20100000000000001"/>
    <x v="0"/>
    <m/>
    <x v="0"/>
    <m/>
    <m/>
  </r>
  <r>
    <x v="77"/>
    <x v="3"/>
    <x v="4"/>
    <x v="14"/>
    <s v="Pharmaceuticals"/>
    <x v="0"/>
    <s v="BBB+"/>
    <s v="United States"/>
    <x v="0"/>
    <d v="2024-04-17T00:00:00"/>
    <x v="1"/>
    <x v="2"/>
    <x v="0"/>
    <n v="0.13400000000000001"/>
    <s v="Time-Based Stock"/>
    <n v="0.13400000000000001"/>
    <x v="0"/>
    <m/>
    <x v="0"/>
    <m/>
    <m/>
  </r>
  <r>
    <x v="78"/>
    <x v="4"/>
    <x v="5"/>
    <x v="5"/>
    <s v="Tobacco"/>
    <x v="1"/>
    <s v="BBB"/>
    <s v="United States"/>
    <x v="0"/>
    <d v="2024-04-04T00:00:00"/>
    <x v="0"/>
    <x v="0"/>
    <x v="0"/>
    <n v="0.10315186246418338"/>
    <s v="Base Salary"/>
    <n v="0.10315186246418338"/>
    <x v="0"/>
    <m/>
    <x v="0"/>
    <m/>
    <m/>
  </r>
  <r>
    <x v="78"/>
    <x v="4"/>
    <x v="5"/>
    <x v="5"/>
    <s v="Tobacco"/>
    <x v="1"/>
    <s v="BBB"/>
    <s v="United States"/>
    <x v="0"/>
    <d v="2024-04-04T00:00:00"/>
    <x v="0"/>
    <x v="1"/>
    <x v="1"/>
    <n v="0.17020057306590258"/>
    <s v="Cash Incentive"/>
    <n v="0.17020057306590258"/>
    <x v="1"/>
    <s v="Profitability"/>
    <x v="14"/>
    <s v="Adjusted EPS"/>
    <n v="0.3"/>
  </r>
  <r>
    <x v="78"/>
    <x v="4"/>
    <x v="5"/>
    <x v="5"/>
    <s v="Tobacco"/>
    <x v="1"/>
    <s v="BBB"/>
    <s v="United States"/>
    <x v="0"/>
    <d v="2024-04-04T00:00:00"/>
    <x v="0"/>
    <x v="1"/>
    <x v="1"/>
    <m/>
    <s v="Cash Incentive"/>
    <n v="0.17020057306590258"/>
    <x v="1"/>
    <s v="Profitability"/>
    <x v="2"/>
    <s v="Adjusted Operating Companies Income"/>
    <n v="0.3"/>
  </r>
  <r>
    <x v="78"/>
    <x v="4"/>
    <x v="5"/>
    <x v="5"/>
    <s v="Tobacco"/>
    <x v="1"/>
    <s v="BBB"/>
    <s v="United States"/>
    <x v="0"/>
    <d v="2024-04-04T00:00:00"/>
    <x v="0"/>
    <x v="1"/>
    <x v="1"/>
    <m/>
    <s v="Cash Incentive"/>
    <n v="0.17020057306590258"/>
    <x v="1"/>
    <s v="Cash Flow"/>
    <x v="25"/>
    <s v="Adjusted Discretionary Cash Flow"/>
    <n v="0.25"/>
  </r>
  <r>
    <x v="78"/>
    <x v="4"/>
    <x v="5"/>
    <x v="5"/>
    <s v="Tobacco"/>
    <x v="1"/>
    <s v="BBB"/>
    <s v="United States"/>
    <x v="0"/>
    <d v="2024-04-04T00:00:00"/>
    <x v="0"/>
    <x v="1"/>
    <x v="1"/>
    <m/>
    <s v="Cash Incentive"/>
    <n v="0.17020057306590258"/>
    <x v="2"/>
    <s v="Strategy &amp; Operations"/>
    <x v="3"/>
    <s v="Strategic Initiatives"/>
    <n v="0.15"/>
  </r>
  <r>
    <x v="78"/>
    <x v="4"/>
    <x v="5"/>
    <x v="5"/>
    <s v="Tobacco"/>
    <x v="1"/>
    <s v="BBB"/>
    <s v="United States"/>
    <x v="0"/>
    <d v="2024-04-04T00:00:00"/>
    <x v="0"/>
    <x v="1"/>
    <x v="1"/>
    <m/>
    <s v="Cash Incentive"/>
    <n v="0.17020057306590258"/>
    <x v="0"/>
    <s v="Modifier/Threshold"/>
    <x v="20"/>
    <s v="Individual Performance Factor"/>
    <m/>
  </r>
  <r>
    <x v="78"/>
    <x v="4"/>
    <x v="5"/>
    <x v="5"/>
    <s v="Tobacco"/>
    <x v="1"/>
    <s v="BBB"/>
    <s v="United States"/>
    <x v="0"/>
    <d v="2024-04-04T00:00:00"/>
    <x v="0"/>
    <x v="2"/>
    <x v="1"/>
    <n v="0.2681948424068768"/>
    <s v="Long-Term Cash Incentive"/>
    <n v="0.2681948424068768"/>
    <x v="2"/>
    <s v="Strategy &amp; Operations"/>
    <x v="3"/>
    <s v="Strategic Initiatives/Other Considerations"/>
    <n v="0.5"/>
  </r>
  <r>
    <x v="78"/>
    <x v="4"/>
    <x v="5"/>
    <x v="5"/>
    <s v="Tobacco"/>
    <x v="1"/>
    <s v="BBB"/>
    <s v="United States"/>
    <x v="0"/>
    <d v="2024-04-04T00:00:00"/>
    <x v="0"/>
    <x v="2"/>
    <x v="1"/>
    <m/>
    <s v="Long-Term Cash Incentive"/>
    <n v="0.2681948424068768"/>
    <x v="1"/>
    <s v="Profitability"/>
    <x v="14"/>
    <s v="3Y Adjusted EPS Growth"/>
    <n v="0.375"/>
  </r>
  <r>
    <x v="78"/>
    <x v="4"/>
    <x v="5"/>
    <x v="5"/>
    <s v="Tobacco"/>
    <x v="1"/>
    <s v="BBB"/>
    <s v="United States"/>
    <x v="0"/>
    <d v="2024-04-04T00:00:00"/>
    <x v="0"/>
    <x v="2"/>
    <x v="1"/>
    <m/>
    <s v="Long-Term Cash Incentive"/>
    <n v="0.2681948424068768"/>
    <x v="1"/>
    <s v="Cash Flow"/>
    <x v="50"/>
    <s v="3Y Adjusted Cash Conversion"/>
    <n v="0.125"/>
  </r>
  <r>
    <x v="78"/>
    <x v="4"/>
    <x v="5"/>
    <x v="5"/>
    <s v="Tobacco"/>
    <x v="1"/>
    <s v="BBB"/>
    <s v="United States"/>
    <x v="0"/>
    <d v="2024-04-04T00:00:00"/>
    <x v="0"/>
    <x v="2"/>
    <x v="1"/>
    <m/>
    <s v="Long-Term Cash Incentive"/>
    <n v="0.2681948424068768"/>
    <x v="0"/>
    <s v="Modifier/Threshold"/>
    <x v="6"/>
    <s v="3Y Relative TSR"/>
    <m/>
  </r>
  <r>
    <x v="78"/>
    <x v="4"/>
    <x v="5"/>
    <x v="5"/>
    <s v="Tobacco"/>
    <x v="1"/>
    <s v="BBB"/>
    <s v="United States"/>
    <x v="0"/>
    <d v="2024-04-04T00:00:00"/>
    <x v="0"/>
    <x v="2"/>
    <x v="1"/>
    <m/>
    <s v="Long-Term Cash Incentive"/>
    <n v="0.2681948424068768"/>
    <x v="0"/>
    <s v="Modifier/Threshold"/>
    <x v="20"/>
    <s v="Individual Performance Factor"/>
    <m/>
  </r>
  <r>
    <x v="78"/>
    <x v="4"/>
    <x v="5"/>
    <x v="5"/>
    <s v="Tobacco"/>
    <x v="1"/>
    <s v="BBB"/>
    <s v="United States"/>
    <x v="0"/>
    <d v="2024-04-04T00:00:00"/>
    <x v="0"/>
    <x v="2"/>
    <x v="1"/>
    <m/>
    <s v="Long-Term Cash Incentive"/>
    <n v="0.2681948424068768"/>
    <x v="0"/>
    <s v="Modifier/Threshold"/>
    <x v="34"/>
    <s v="Discretionary Adjustment"/>
    <m/>
  </r>
  <r>
    <x v="78"/>
    <x v="4"/>
    <x v="5"/>
    <x v="5"/>
    <s v="Tobacco"/>
    <x v="1"/>
    <s v="BBB"/>
    <s v="United States"/>
    <x v="0"/>
    <d v="2024-04-04T00:00:00"/>
    <x v="0"/>
    <x v="2"/>
    <x v="1"/>
    <n v="0.22922636103151864"/>
    <s v="Performance Stock"/>
    <n v="0.22922636103151864"/>
    <x v="0"/>
    <m/>
    <x v="0"/>
    <m/>
    <m/>
  </r>
  <r>
    <x v="78"/>
    <x v="4"/>
    <x v="5"/>
    <x v="5"/>
    <s v="Tobacco"/>
    <x v="1"/>
    <s v="BBB"/>
    <s v="United States"/>
    <x v="0"/>
    <d v="2024-04-04T00:00:00"/>
    <x v="0"/>
    <x v="2"/>
    <x v="0"/>
    <n v="0.22922636103151864"/>
    <s v="Time-Based Stock"/>
    <n v="0.22922636103151864"/>
    <x v="0"/>
    <m/>
    <x v="0"/>
    <m/>
    <m/>
  </r>
  <r>
    <x v="78"/>
    <x v="4"/>
    <x v="5"/>
    <x v="5"/>
    <s v="Tobacco"/>
    <x v="1"/>
    <s v="BBB"/>
    <s v="United States"/>
    <x v="0"/>
    <d v="2024-04-04T00:00:00"/>
    <x v="1"/>
    <x v="0"/>
    <x v="0"/>
    <n v="0.19"/>
    <s v="Base Salary"/>
    <n v="0.19"/>
    <x v="0"/>
    <m/>
    <x v="0"/>
    <m/>
    <m/>
  </r>
  <r>
    <x v="78"/>
    <x v="4"/>
    <x v="5"/>
    <x v="5"/>
    <s v="Tobacco"/>
    <x v="1"/>
    <s v="BBB"/>
    <s v="United States"/>
    <x v="0"/>
    <d v="2024-04-04T00:00:00"/>
    <x v="1"/>
    <x v="1"/>
    <x v="1"/>
    <n v="0.18"/>
    <s v="Cash Incentive"/>
    <n v="0.18"/>
    <x v="1"/>
    <s v="Profitability"/>
    <x v="14"/>
    <s v="Adjusted EPS"/>
    <n v="0.3"/>
  </r>
  <r>
    <x v="78"/>
    <x v="4"/>
    <x v="5"/>
    <x v="5"/>
    <s v="Tobacco"/>
    <x v="1"/>
    <s v="BBB"/>
    <s v="United States"/>
    <x v="0"/>
    <d v="2024-04-04T00:00:00"/>
    <x v="1"/>
    <x v="1"/>
    <x v="1"/>
    <m/>
    <s v="Cash Incentive"/>
    <n v="0.18"/>
    <x v="1"/>
    <s v="Profitability"/>
    <x v="2"/>
    <s v="Adjusted Operating Companies Income"/>
    <n v="0.3"/>
  </r>
  <r>
    <x v="78"/>
    <x v="4"/>
    <x v="5"/>
    <x v="5"/>
    <s v="Tobacco"/>
    <x v="1"/>
    <s v="BBB"/>
    <s v="United States"/>
    <x v="0"/>
    <d v="2024-04-04T00:00:00"/>
    <x v="1"/>
    <x v="1"/>
    <x v="1"/>
    <m/>
    <s v="Cash Incentive"/>
    <n v="0.18"/>
    <x v="1"/>
    <s v="Cash Flow"/>
    <x v="25"/>
    <s v="Adjusted Discretionary Cash Flow"/>
    <n v="0.25"/>
  </r>
  <r>
    <x v="78"/>
    <x v="4"/>
    <x v="5"/>
    <x v="5"/>
    <s v="Tobacco"/>
    <x v="1"/>
    <s v="BBB"/>
    <s v="United States"/>
    <x v="0"/>
    <d v="2024-04-04T00:00:00"/>
    <x v="1"/>
    <x v="1"/>
    <x v="1"/>
    <m/>
    <s v="Cash Incentive"/>
    <n v="0.18"/>
    <x v="2"/>
    <s v="Strategy &amp; Operations"/>
    <x v="3"/>
    <s v="Strategic Initiatives"/>
    <n v="0.15"/>
  </r>
  <r>
    <x v="78"/>
    <x v="4"/>
    <x v="5"/>
    <x v="5"/>
    <s v="Tobacco"/>
    <x v="1"/>
    <s v="BBB"/>
    <s v="United States"/>
    <x v="0"/>
    <d v="2024-04-04T00:00:00"/>
    <x v="1"/>
    <x v="1"/>
    <x v="1"/>
    <m/>
    <s v="Cash Incentive"/>
    <n v="0.18"/>
    <x v="0"/>
    <s v="Modifier/Threshold"/>
    <x v="20"/>
    <s v="Individual Performance Factor"/>
    <m/>
  </r>
  <r>
    <x v="78"/>
    <x v="4"/>
    <x v="5"/>
    <x v="5"/>
    <s v="Tobacco"/>
    <x v="1"/>
    <s v="BBB"/>
    <s v="United States"/>
    <x v="0"/>
    <d v="2024-04-04T00:00:00"/>
    <x v="1"/>
    <x v="2"/>
    <x v="1"/>
    <n v="0.25"/>
    <s v="Long-Term Cash Incentive"/>
    <n v="0.25"/>
    <x v="2"/>
    <s v="Strategy &amp; Operations"/>
    <x v="3"/>
    <s v="Strategic Initiatives/Other Considerations"/>
    <n v="0.5"/>
  </r>
  <r>
    <x v="78"/>
    <x v="4"/>
    <x v="5"/>
    <x v="5"/>
    <s v="Tobacco"/>
    <x v="1"/>
    <s v="BBB"/>
    <s v="United States"/>
    <x v="0"/>
    <d v="2024-04-04T00:00:00"/>
    <x v="1"/>
    <x v="2"/>
    <x v="1"/>
    <m/>
    <s v="Long-Term Cash Incentive"/>
    <n v="0.25"/>
    <x v="1"/>
    <s v="Profitability"/>
    <x v="14"/>
    <s v="3Y Adjusted EPS Growth"/>
    <n v="0.375"/>
  </r>
  <r>
    <x v="78"/>
    <x v="4"/>
    <x v="5"/>
    <x v="5"/>
    <s v="Tobacco"/>
    <x v="1"/>
    <s v="BBB"/>
    <s v="United States"/>
    <x v="0"/>
    <d v="2024-04-04T00:00:00"/>
    <x v="1"/>
    <x v="2"/>
    <x v="1"/>
    <m/>
    <s v="Long-Term Cash Incentive"/>
    <n v="0.25"/>
    <x v="1"/>
    <s v="Cash Flow"/>
    <x v="50"/>
    <s v="3Y Adjusted Cash Conversion"/>
    <n v="0.125"/>
  </r>
  <r>
    <x v="78"/>
    <x v="4"/>
    <x v="5"/>
    <x v="5"/>
    <s v="Tobacco"/>
    <x v="1"/>
    <s v="BBB"/>
    <s v="United States"/>
    <x v="0"/>
    <d v="2024-04-04T00:00:00"/>
    <x v="1"/>
    <x v="2"/>
    <x v="1"/>
    <m/>
    <s v="Long-Term Cash Incentive"/>
    <n v="0.25"/>
    <x v="0"/>
    <s v="Modifier/Threshold"/>
    <x v="6"/>
    <s v="3Y Relative TSR"/>
    <m/>
  </r>
  <r>
    <x v="78"/>
    <x v="4"/>
    <x v="5"/>
    <x v="5"/>
    <s v="Tobacco"/>
    <x v="1"/>
    <s v="BBB"/>
    <s v="United States"/>
    <x v="0"/>
    <d v="2024-04-04T00:00:00"/>
    <x v="1"/>
    <x v="2"/>
    <x v="1"/>
    <m/>
    <s v="Long-Term Cash Incentive"/>
    <n v="0.25"/>
    <x v="0"/>
    <s v="Modifier/Threshold"/>
    <x v="20"/>
    <s v="Individual Performance Factor"/>
    <m/>
  </r>
  <r>
    <x v="78"/>
    <x v="4"/>
    <x v="5"/>
    <x v="5"/>
    <s v="Tobacco"/>
    <x v="1"/>
    <s v="BBB"/>
    <s v="United States"/>
    <x v="0"/>
    <d v="2024-04-04T00:00:00"/>
    <x v="1"/>
    <x v="2"/>
    <x v="1"/>
    <m/>
    <s v="Long-Term Cash Incentive"/>
    <n v="0.25"/>
    <x v="0"/>
    <s v="Modifier/Threshold"/>
    <x v="34"/>
    <s v="Discretionary Adjustment"/>
    <m/>
  </r>
  <r>
    <x v="78"/>
    <x v="4"/>
    <x v="5"/>
    <x v="5"/>
    <s v="Tobacco"/>
    <x v="1"/>
    <s v="BBB"/>
    <s v="United States"/>
    <x v="0"/>
    <d v="2024-04-04T00:00:00"/>
    <x v="1"/>
    <x v="2"/>
    <x v="0"/>
    <n v="0.23"/>
    <s v="Time-Based Stock"/>
    <n v="0.23"/>
    <x v="0"/>
    <m/>
    <x v="0"/>
    <m/>
    <m/>
  </r>
  <r>
    <x v="78"/>
    <x v="4"/>
    <x v="5"/>
    <x v="5"/>
    <s v="Tobacco"/>
    <x v="1"/>
    <s v="BBB"/>
    <s v="United States"/>
    <x v="0"/>
    <d v="2024-04-04T00:00:00"/>
    <x v="1"/>
    <x v="2"/>
    <x v="1"/>
    <n v="0.15"/>
    <s v="Performance Stock"/>
    <n v="0.15"/>
    <x v="0"/>
    <m/>
    <x v="0"/>
    <m/>
    <m/>
  </r>
  <r>
    <x v="79"/>
    <x v="4"/>
    <x v="18"/>
    <x v="32"/>
    <s v="Specialty Store"/>
    <x v="1"/>
    <s v="A"/>
    <s v="United States"/>
    <x v="0"/>
    <d v="2024-04-29T00:00:00"/>
    <x v="0"/>
    <x v="0"/>
    <x v="0"/>
    <n v="0.08"/>
    <s v="Base Salary"/>
    <n v="0.08"/>
    <x v="0"/>
    <m/>
    <x v="0"/>
    <m/>
    <m/>
  </r>
  <r>
    <x v="79"/>
    <x v="4"/>
    <x v="18"/>
    <x v="32"/>
    <s v="Specialty Store"/>
    <x v="1"/>
    <s v="A"/>
    <s v="United States"/>
    <x v="0"/>
    <d v="2024-04-29T00:00:00"/>
    <x v="0"/>
    <x v="1"/>
    <x v="1"/>
    <n v="0.15"/>
    <s v="Cash Incentive"/>
    <n v="0.15"/>
    <x v="1"/>
    <s v="Growth"/>
    <x v="1"/>
    <s v="Revenue "/>
    <n v="0.33500000000000002"/>
  </r>
  <r>
    <x v="79"/>
    <x v="4"/>
    <x v="18"/>
    <x v="32"/>
    <s v="Specialty Store"/>
    <x v="1"/>
    <s v="A"/>
    <s v="United States"/>
    <x v="0"/>
    <d v="2024-04-29T00:00:00"/>
    <x v="0"/>
    <x v="1"/>
    <x v="1"/>
    <m/>
    <s v="Cash Incentive"/>
    <n v="0.15"/>
    <x v="1"/>
    <s v="Profitability"/>
    <x v="2"/>
    <s v="Adjusted Operating Income"/>
    <n v="0.33500000000000002"/>
  </r>
  <r>
    <x v="79"/>
    <x v="4"/>
    <x v="18"/>
    <x v="32"/>
    <s v="Specialty Store"/>
    <x v="1"/>
    <s v="A"/>
    <s v="United States"/>
    <x v="0"/>
    <d v="2024-04-29T00:00:00"/>
    <x v="0"/>
    <x v="1"/>
    <x v="1"/>
    <m/>
    <s v="Cash Incentive"/>
    <n v="0.15"/>
    <x v="2"/>
    <s v="Strategy &amp; Operations"/>
    <x v="3"/>
    <s v="Team Scorecard"/>
    <n v="0.33"/>
  </r>
  <r>
    <x v="79"/>
    <x v="4"/>
    <x v="18"/>
    <x v="32"/>
    <s v="Specialty Store"/>
    <x v="1"/>
    <s v="A"/>
    <s v="United States"/>
    <x v="0"/>
    <d v="2024-04-29T00:00:00"/>
    <x v="0"/>
    <x v="2"/>
    <x v="1"/>
    <n v="0.77"/>
    <s v="Performance Stock"/>
    <n v="0.77"/>
    <x v="3"/>
    <s v="Stock Performance"/>
    <x v="11"/>
    <s v="3Y Relative TSR"/>
    <n v="0.40259740259740262"/>
  </r>
  <r>
    <x v="79"/>
    <x v="4"/>
    <x v="18"/>
    <x v="32"/>
    <s v="Specialty Store"/>
    <x v="1"/>
    <s v="A"/>
    <s v="United States"/>
    <x v="0"/>
    <d v="2024-04-29T00:00:00"/>
    <x v="0"/>
    <x v="2"/>
    <x v="1"/>
    <m/>
    <s v="Performance Stock"/>
    <n v="0.77"/>
    <x v="1"/>
    <s v="Growth"/>
    <x v="1"/>
    <s v="3Y Relative Adjusted Revenue CAGR"/>
    <n v="0.19913419913419911"/>
  </r>
  <r>
    <x v="79"/>
    <x v="4"/>
    <x v="18"/>
    <x v="32"/>
    <s v="Specialty Store"/>
    <x v="1"/>
    <s v="A"/>
    <s v="United States"/>
    <x v="0"/>
    <d v="2024-04-29T00:00:00"/>
    <x v="0"/>
    <x v="2"/>
    <x v="1"/>
    <m/>
    <s v="Performance Stock"/>
    <n v="0.77"/>
    <x v="1"/>
    <s v="Profitability"/>
    <x v="80"/>
    <s v="3Y Relative EPS CAGR"/>
    <n v="0.19913419913419911"/>
  </r>
  <r>
    <x v="79"/>
    <x v="4"/>
    <x v="18"/>
    <x v="32"/>
    <s v="Specialty Store"/>
    <x v="1"/>
    <s v="A"/>
    <s v="United States"/>
    <x v="0"/>
    <d v="2024-04-29T00:00:00"/>
    <x v="0"/>
    <x v="2"/>
    <x v="1"/>
    <m/>
    <s v="Performance Stock"/>
    <n v="0.77"/>
    <x v="1"/>
    <s v="Return"/>
    <x v="81"/>
    <s v="3Y Relative Adjusted ROIC"/>
    <n v="0.19913419913419911"/>
  </r>
  <r>
    <x v="79"/>
    <x v="4"/>
    <x v="18"/>
    <x v="32"/>
    <s v="Specialty Store"/>
    <x v="1"/>
    <s v="A"/>
    <s v="United States"/>
    <x v="0"/>
    <d v="2024-04-29T00:00:00"/>
    <x v="1"/>
    <x v="0"/>
    <x v="0"/>
    <n v="0.16"/>
    <s v="Base Salary"/>
    <n v="0.16"/>
    <x v="0"/>
    <m/>
    <x v="0"/>
    <m/>
    <m/>
  </r>
  <r>
    <x v="79"/>
    <x v="4"/>
    <x v="18"/>
    <x v="32"/>
    <s v="Specialty Store"/>
    <x v="1"/>
    <s v="A"/>
    <s v="United States"/>
    <x v="0"/>
    <d v="2024-04-29T00:00:00"/>
    <x v="1"/>
    <x v="1"/>
    <x v="1"/>
    <n v="0.16"/>
    <s v="Cash Incentive"/>
    <n v="0.16"/>
    <x v="1"/>
    <s v="Growth"/>
    <x v="1"/>
    <s v="Revenue "/>
    <n v="0.33500000000000002"/>
  </r>
  <r>
    <x v="79"/>
    <x v="4"/>
    <x v="18"/>
    <x v="32"/>
    <s v="Specialty Store"/>
    <x v="1"/>
    <s v="A"/>
    <s v="United States"/>
    <x v="0"/>
    <d v="2024-04-29T00:00:00"/>
    <x v="1"/>
    <x v="1"/>
    <x v="1"/>
    <m/>
    <s v="Cash Incentive"/>
    <n v="0.16"/>
    <x v="1"/>
    <s v="Profitability"/>
    <x v="2"/>
    <s v="Adjusted Operating Income"/>
    <n v="0.33500000000000002"/>
  </r>
  <r>
    <x v="79"/>
    <x v="4"/>
    <x v="18"/>
    <x v="32"/>
    <s v="Specialty Store"/>
    <x v="1"/>
    <s v="A"/>
    <s v="United States"/>
    <x v="0"/>
    <d v="2024-04-29T00:00:00"/>
    <x v="1"/>
    <x v="1"/>
    <x v="1"/>
    <m/>
    <s v="Cash Incentive"/>
    <n v="0.16"/>
    <x v="2"/>
    <s v="Strategy &amp; Operations"/>
    <x v="3"/>
    <s v="Team Scorecard"/>
    <n v="0.33"/>
  </r>
  <r>
    <x v="79"/>
    <x v="4"/>
    <x v="18"/>
    <x v="32"/>
    <s v="Specialty Store"/>
    <x v="1"/>
    <s v="A"/>
    <s v="United States"/>
    <x v="0"/>
    <d v="2024-04-29T00:00:00"/>
    <x v="1"/>
    <x v="2"/>
    <x v="1"/>
    <n v="0.68"/>
    <s v="Performance Stock"/>
    <n v="0.68"/>
    <x v="3"/>
    <s v="Stock Performance"/>
    <x v="11"/>
    <s v="3Y Relative TSR"/>
    <n v="0.40259740259740262"/>
  </r>
  <r>
    <x v="79"/>
    <x v="4"/>
    <x v="18"/>
    <x v="32"/>
    <s v="Specialty Store"/>
    <x v="1"/>
    <s v="A"/>
    <s v="United States"/>
    <x v="0"/>
    <d v="2024-04-29T00:00:00"/>
    <x v="1"/>
    <x v="2"/>
    <x v="1"/>
    <m/>
    <s v="Performance Stock"/>
    <n v="0.68"/>
    <x v="1"/>
    <s v="Growth"/>
    <x v="1"/>
    <s v="3Y Relative Adjusted Revenue CAGR"/>
    <n v="0.19913419913419911"/>
  </r>
  <r>
    <x v="79"/>
    <x v="4"/>
    <x v="18"/>
    <x v="32"/>
    <s v="Specialty Store"/>
    <x v="1"/>
    <s v="A"/>
    <s v="United States"/>
    <x v="0"/>
    <d v="2024-04-29T00:00:00"/>
    <x v="1"/>
    <x v="2"/>
    <x v="1"/>
    <m/>
    <s v="Performance Stock"/>
    <n v="0.68"/>
    <x v="1"/>
    <s v="Profitability"/>
    <x v="80"/>
    <s v="3Y Relative EPS CAGR"/>
    <n v="0.19913419913419911"/>
  </r>
  <r>
    <x v="79"/>
    <x v="4"/>
    <x v="18"/>
    <x v="32"/>
    <s v="Specialty Store"/>
    <x v="1"/>
    <s v="A"/>
    <s v="United States"/>
    <x v="0"/>
    <d v="2024-04-29T00:00:00"/>
    <x v="1"/>
    <x v="2"/>
    <x v="1"/>
    <m/>
    <s v="Performance Stock"/>
    <n v="0.68"/>
    <x v="1"/>
    <s v="Return"/>
    <x v="81"/>
    <s v="3Y Relative Adjusted ROIC"/>
    <n v="0.19913419913419911"/>
  </r>
  <r>
    <x v="80"/>
    <x v="0"/>
    <x v="1"/>
    <x v="1"/>
    <s v="Semiconductors"/>
    <x v="0"/>
    <s v="A-"/>
    <s v="United States"/>
    <x v="0"/>
    <d v="2024-03-28T00:00:00"/>
    <x v="0"/>
    <x v="0"/>
    <x v="0"/>
    <n v="0.05"/>
    <s v="Base Salary"/>
    <n v="0.05"/>
    <x v="0"/>
    <m/>
    <x v="0"/>
    <m/>
    <m/>
  </r>
  <r>
    <x v="80"/>
    <x v="0"/>
    <x v="1"/>
    <x v="1"/>
    <s v="Semiconductors"/>
    <x v="0"/>
    <s v="A-"/>
    <s v="United States"/>
    <x v="0"/>
    <d v="2024-03-28T00:00:00"/>
    <x v="0"/>
    <x v="1"/>
    <x v="1"/>
    <n v="0.13"/>
    <s v="Cash Incentive"/>
    <n v="0.13"/>
    <x v="1"/>
    <s v="Growth"/>
    <x v="1"/>
    <s v="Adjusted Revenue"/>
    <n v="0.25"/>
  </r>
  <r>
    <x v="80"/>
    <x v="0"/>
    <x v="1"/>
    <x v="1"/>
    <s v="Semiconductors"/>
    <x v="0"/>
    <s v="A-"/>
    <s v="United States"/>
    <x v="0"/>
    <d v="2024-03-28T00:00:00"/>
    <x v="0"/>
    <x v="1"/>
    <x v="1"/>
    <m/>
    <s v="Cash Incentive"/>
    <n v="0.13"/>
    <x v="1"/>
    <s v="Profitability"/>
    <x v="29"/>
    <s v="Adjusted Gross Margin"/>
    <n v="0.25"/>
  </r>
  <r>
    <x v="80"/>
    <x v="0"/>
    <x v="1"/>
    <x v="1"/>
    <s v="Semiconductors"/>
    <x v="0"/>
    <s v="A-"/>
    <s v="United States"/>
    <x v="0"/>
    <d v="2024-03-28T00:00:00"/>
    <x v="0"/>
    <x v="1"/>
    <x v="1"/>
    <m/>
    <s v="Cash Incentive"/>
    <n v="0.13"/>
    <x v="1"/>
    <s v="Profitability"/>
    <x v="2"/>
    <s v="Adjusted Operating Income"/>
    <n v="0.25"/>
  </r>
  <r>
    <x v="80"/>
    <x v="0"/>
    <x v="1"/>
    <x v="1"/>
    <s v="Semiconductors"/>
    <x v="0"/>
    <s v="A-"/>
    <s v="United States"/>
    <x v="0"/>
    <d v="2024-03-28T00:00:00"/>
    <x v="0"/>
    <x v="1"/>
    <x v="1"/>
    <m/>
    <s v="Cash Incentive"/>
    <n v="0.13"/>
    <x v="1"/>
    <s v="Strategy &amp; Operations"/>
    <x v="3"/>
    <s v="One Intel Operational Goals (Financial)"/>
    <n v="0.11874999999999999"/>
  </r>
  <r>
    <x v="80"/>
    <x v="0"/>
    <x v="1"/>
    <x v="1"/>
    <s v="Semiconductors"/>
    <x v="0"/>
    <s v="A-"/>
    <s v="United States"/>
    <x v="0"/>
    <d v="2024-03-28T00:00:00"/>
    <x v="0"/>
    <x v="1"/>
    <x v="1"/>
    <m/>
    <s v="Cash Incentive"/>
    <n v="0.13"/>
    <x v="2"/>
    <s v="Strategy &amp; Operations"/>
    <x v="3"/>
    <s v="One Intel Operational Goals (Strategic)"/>
    <n v="0.13125000000000001"/>
  </r>
  <r>
    <x v="80"/>
    <x v="0"/>
    <x v="1"/>
    <x v="1"/>
    <s v="Semiconductors"/>
    <x v="0"/>
    <s v="A-"/>
    <s v="United States"/>
    <x v="0"/>
    <d v="2024-03-28T00:00:00"/>
    <x v="0"/>
    <x v="1"/>
    <x v="1"/>
    <m/>
    <s v="Cash Incentive"/>
    <n v="0.13"/>
    <x v="0"/>
    <s v="Modifier/Threshold"/>
    <x v="20"/>
    <s v="One Intel Operational Goals (ESG) Modifier"/>
    <m/>
  </r>
  <r>
    <x v="80"/>
    <x v="0"/>
    <x v="1"/>
    <x v="1"/>
    <s v="Semiconductors"/>
    <x v="0"/>
    <s v="A-"/>
    <s v="United States"/>
    <x v="0"/>
    <d v="2024-03-28T00:00:00"/>
    <x v="0"/>
    <x v="1"/>
    <x v="1"/>
    <m/>
    <s v="Cash Incentive"/>
    <n v="0.13"/>
    <x v="0"/>
    <s v="Modifier/Threshold"/>
    <x v="34"/>
    <s v="Discretionary Adjustment"/>
    <m/>
  </r>
  <r>
    <x v="80"/>
    <x v="0"/>
    <x v="1"/>
    <x v="1"/>
    <s v="Semiconductors"/>
    <x v="0"/>
    <s v="A-"/>
    <s v="United States"/>
    <x v="0"/>
    <d v="2024-03-28T00:00:00"/>
    <x v="0"/>
    <x v="2"/>
    <x v="1"/>
    <n v="0.66"/>
    <s v="Performance Stock"/>
    <n v="0.66"/>
    <x v="1"/>
    <s v="Growth"/>
    <x v="1"/>
    <s v="Adjusted Revenue Growth"/>
    <n v="0.6"/>
  </r>
  <r>
    <x v="80"/>
    <x v="0"/>
    <x v="1"/>
    <x v="1"/>
    <s v="Semiconductors"/>
    <x v="0"/>
    <s v="A-"/>
    <s v="United States"/>
    <x v="0"/>
    <d v="2024-03-28T00:00:00"/>
    <x v="0"/>
    <x v="2"/>
    <x v="1"/>
    <m/>
    <s v="Performance Stock"/>
    <n v="0.66"/>
    <x v="1"/>
    <s v="Cash Flow"/>
    <x v="18"/>
    <s v="Operating Cash Flow"/>
    <n v="0.4"/>
  </r>
  <r>
    <x v="80"/>
    <x v="0"/>
    <x v="1"/>
    <x v="1"/>
    <s v="Semiconductors"/>
    <x v="0"/>
    <s v="A-"/>
    <s v="United States"/>
    <x v="0"/>
    <d v="2024-03-28T00:00:00"/>
    <x v="0"/>
    <x v="2"/>
    <x v="1"/>
    <m/>
    <s v="Performance Stock"/>
    <n v="0.66"/>
    <x v="0"/>
    <s v="Modifier/Threshold"/>
    <x v="6"/>
    <s v="3Y Relative TSR"/>
    <m/>
  </r>
  <r>
    <x v="80"/>
    <x v="0"/>
    <x v="1"/>
    <x v="1"/>
    <s v="Semiconductors"/>
    <x v="0"/>
    <s v="A-"/>
    <s v="United States"/>
    <x v="0"/>
    <d v="2024-03-28T00:00:00"/>
    <x v="0"/>
    <x v="2"/>
    <x v="1"/>
    <m/>
    <s v="Performance Stock"/>
    <n v="0.66"/>
    <x v="0"/>
    <s v="Modifier/Threshold"/>
    <x v="44"/>
    <s v="3Y Revenue CAGR"/>
    <m/>
  </r>
  <r>
    <x v="80"/>
    <x v="0"/>
    <x v="1"/>
    <x v="1"/>
    <s v="Semiconductors"/>
    <x v="0"/>
    <s v="A-"/>
    <s v="United States"/>
    <x v="0"/>
    <d v="2024-03-28T00:00:00"/>
    <x v="0"/>
    <x v="2"/>
    <x v="1"/>
    <m/>
    <s v="Performance Stock"/>
    <n v="0.66"/>
    <x v="0"/>
    <s v="Modifier/Threshold"/>
    <x v="12"/>
    <s v="3Y Absolute TSR"/>
    <m/>
  </r>
  <r>
    <x v="80"/>
    <x v="0"/>
    <x v="1"/>
    <x v="1"/>
    <s v="Semiconductors"/>
    <x v="0"/>
    <s v="A-"/>
    <s v="United States"/>
    <x v="0"/>
    <d v="2024-03-28T00:00:00"/>
    <x v="0"/>
    <x v="2"/>
    <x v="0"/>
    <n v="0.16"/>
    <s v="Time-Based Stock"/>
    <n v="0.16"/>
    <x v="0"/>
    <m/>
    <x v="0"/>
    <m/>
    <m/>
  </r>
  <r>
    <x v="80"/>
    <x v="0"/>
    <x v="1"/>
    <x v="1"/>
    <s v="Semiconductors"/>
    <x v="0"/>
    <s v="A-"/>
    <s v="United States"/>
    <x v="0"/>
    <d v="2024-03-28T00:00:00"/>
    <x v="1"/>
    <x v="0"/>
    <x v="0"/>
    <n v="7.0000000000000007E-2"/>
    <s v="Base Salary"/>
    <n v="7.0000000000000007E-2"/>
    <x v="0"/>
    <m/>
    <x v="0"/>
    <m/>
    <m/>
  </r>
  <r>
    <x v="80"/>
    <x v="0"/>
    <x v="1"/>
    <x v="1"/>
    <s v="Semiconductors"/>
    <x v="0"/>
    <s v="A-"/>
    <s v="United States"/>
    <x v="0"/>
    <d v="2024-03-28T00:00:00"/>
    <x v="1"/>
    <x v="1"/>
    <x v="1"/>
    <n v="0.12"/>
    <s v="Cash Incentive"/>
    <n v="0.12"/>
    <x v="1"/>
    <s v="Growth"/>
    <x v="1"/>
    <s v="Adjusted Revenue"/>
    <n v="0.2"/>
  </r>
  <r>
    <x v="80"/>
    <x v="0"/>
    <x v="1"/>
    <x v="1"/>
    <s v="Semiconductors"/>
    <x v="0"/>
    <s v="A-"/>
    <s v="United States"/>
    <x v="0"/>
    <d v="2024-03-28T00:00:00"/>
    <x v="1"/>
    <x v="1"/>
    <x v="1"/>
    <m/>
    <s v="Cash Incentive"/>
    <n v="0.12"/>
    <x v="1"/>
    <s v="Profitability"/>
    <x v="29"/>
    <s v="Adjusted Gross Margin"/>
    <n v="0.2"/>
  </r>
  <r>
    <x v="80"/>
    <x v="0"/>
    <x v="1"/>
    <x v="1"/>
    <s v="Semiconductors"/>
    <x v="0"/>
    <s v="A-"/>
    <s v="United States"/>
    <x v="0"/>
    <d v="2024-03-28T00:00:00"/>
    <x v="1"/>
    <x v="1"/>
    <x v="1"/>
    <m/>
    <s v="Cash Incentive"/>
    <n v="0.12"/>
    <x v="1"/>
    <s v="Profitability"/>
    <x v="2"/>
    <s v="Adjusted Operating Income"/>
    <n v="0.2"/>
  </r>
  <r>
    <x v="80"/>
    <x v="0"/>
    <x v="1"/>
    <x v="1"/>
    <s v="Semiconductors"/>
    <x v="0"/>
    <s v="A-"/>
    <s v="United States"/>
    <x v="0"/>
    <d v="2024-03-28T00:00:00"/>
    <x v="1"/>
    <x v="1"/>
    <x v="1"/>
    <m/>
    <s v="Cash Incentive"/>
    <n v="0.12"/>
    <x v="1"/>
    <s v="Strategy &amp; Operations"/>
    <x v="3"/>
    <s v="One Intel Operational Goals (Financial)"/>
    <n v="9.5000000000000001E-2"/>
  </r>
  <r>
    <x v="80"/>
    <x v="0"/>
    <x v="1"/>
    <x v="1"/>
    <s v="Semiconductors"/>
    <x v="0"/>
    <s v="A-"/>
    <s v="United States"/>
    <x v="0"/>
    <d v="2024-03-28T00:00:00"/>
    <x v="1"/>
    <x v="1"/>
    <x v="1"/>
    <m/>
    <s v="Cash Incentive"/>
    <n v="0.12"/>
    <x v="2"/>
    <s v="Strategy &amp; Operations"/>
    <x v="3"/>
    <s v="One Intel Operational Goals (Financial)"/>
    <n v="0.10500000000000001"/>
  </r>
  <r>
    <x v="80"/>
    <x v="0"/>
    <x v="1"/>
    <x v="1"/>
    <s v="Semiconductors"/>
    <x v="0"/>
    <s v="A-"/>
    <s v="United States"/>
    <x v="0"/>
    <d v="2024-03-28T00:00:00"/>
    <x v="1"/>
    <x v="1"/>
    <x v="1"/>
    <m/>
    <s v="Cash Incentive"/>
    <n v="0.12"/>
    <x v="2"/>
    <s v="Individual Assessment"/>
    <x v="13"/>
    <s v="Individual Performance Assessment"/>
    <n v="0.2"/>
  </r>
  <r>
    <x v="80"/>
    <x v="0"/>
    <x v="1"/>
    <x v="1"/>
    <s v="Semiconductors"/>
    <x v="0"/>
    <s v="A-"/>
    <s v="United States"/>
    <x v="0"/>
    <d v="2024-03-28T00:00:00"/>
    <x v="1"/>
    <x v="1"/>
    <x v="1"/>
    <m/>
    <s v="Cash Incentive"/>
    <n v="0.12"/>
    <x v="0"/>
    <s v="Modifier/Threshold"/>
    <x v="20"/>
    <s v="One Intel Operational Goals (ESG) Modifier"/>
    <m/>
  </r>
  <r>
    <x v="80"/>
    <x v="0"/>
    <x v="1"/>
    <x v="1"/>
    <s v="Semiconductors"/>
    <x v="0"/>
    <s v="A-"/>
    <s v="United States"/>
    <x v="0"/>
    <d v="2024-03-28T00:00:00"/>
    <x v="1"/>
    <x v="1"/>
    <x v="1"/>
    <m/>
    <s v="Cash Incentive"/>
    <n v="0.12"/>
    <x v="0"/>
    <s v="Modifier/Threshold"/>
    <x v="34"/>
    <s v="Discretionary Adjustment"/>
    <m/>
  </r>
  <r>
    <x v="80"/>
    <x v="0"/>
    <x v="1"/>
    <x v="1"/>
    <s v="Semiconductors"/>
    <x v="0"/>
    <s v="A-"/>
    <s v="United States"/>
    <x v="0"/>
    <d v="2024-03-28T00:00:00"/>
    <x v="1"/>
    <x v="2"/>
    <x v="1"/>
    <n v="0.49"/>
    <s v="Performance Stock"/>
    <n v="0.49"/>
    <x v="1"/>
    <s v="Growth"/>
    <x v="1"/>
    <s v="Adjusted Revenue Growth"/>
    <n v="0.6"/>
  </r>
  <r>
    <x v="80"/>
    <x v="0"/>
    <x v="1"/>
    <x v="1"/>
    <s v="Semiconductors"/>
    <x v="0"/>
    <s v="A-"/>
    <s v="United States"/>
    <x v="0"/>
    <d v="2024-03-28T00:00:00"/>
    <x v="1"/>
    <x v="2"/>
    <x v="1"/>
    <m/>
    <s v="Performance Stock"/>
    <n v="0.49"/>
    <x v="1"/>
    <s v="Cash Flow"/>
    <x v="18"/>
    <s v="Operating Cash Flow"/>
    <n v="0.4"/>
  </r>
  <r>
    <x v="80"/>
    <x v="0"/>
    <x v="1"/>
    <x v="1"/>
    <s v="Semiconductors"/>
    <x v="0"/>
    <s v="A-"/>
    <s v="United States"/>
    <x v="0"/>
    <d v="2024-03-28T00:00:00"/>
    <x v="1"/>
    <x v="2"/>
    <x v="1"/>
    <m/>
    <s v="Performance Stock"/>
    <n v="0.49"/>
    <x v="0"/>
    <s v="Modifier/Threshold"/>
    <x v="6"/>
    <s v="3Y Relative TSR"/>
    <m/>
  </r>
  <r>
    <x v="80"/>
    <x v="0"/>
    <x v="1"/>
    <x v="1"/>
    <s v="Semiconductors"/>
    <x v="0"/>
    <s v="A-"/>
    <s v="United States"/>
    <x v="0"/>
    <d v="2024-03-28T00:00:00"/>
    <x v="1"/>
    <x v="2"/>
    <x v="1"/>
    <m/>
    <s v="Performance Stock"/>
    <n v="0.49"/>
    <x v="0"/>
    <s v="Modifier/Threshold"/>
    <x v="44"/>
    <s v="3Y Revenue CAGR"/>
    <m/>
  </r>
  <r>
    <x v="80"/>
    <x v="0"/>
    <x v="1"/>
    <x v="1"/>
    <s v="Semiconductors"/>
    <x v="0"/>
    <s v="A-"/>
    <s v="United States"/>
    <x v="0"/>
    <d v="2024-03-28T00:00:00"/>
    <x v="1"/>
    <x v="2"/>
    <x v="1"/>
    <m/>
    <s v="Performance Stock"/>
    <n v="0.49"/>
    <x v="0"/>
    <s v="Modifier/Threshold"/>
    <x v="12"/>
    <s v="3Y Absolute TSR"/>
    <m/>
  </r>
  <r>
    <x v="80"/>
    <x v="0"/>
    <x v="1"/>
    <x v="1"/>
    <s v="Semiconductors"/>
    <x v="0"/>
    <s v="A-"/>
    <s v="United States"/>
    <x v="0"/>
    <d v="2024-03-28T00:00:00"/>
    <x v="1"/>
    <x v="2"/>
    <x v="0"/>
    <n v="0.32"/>
    <s v="Time-Based Stock"/>
    <n v="0.32"/>
    <x v="0"/>
    <m/>
    <x v="0"/>
    <m/>
    <m/>
  </r>
  <r>
    <x v="81"/>
    <x v="10"/>
    <x v="22"/>
    <x v="39"/>
    <s v="REIT"/>
    <x v="2"/>
    <s v="BBB-"/>
    <s v="United States"/>
    <x v="0"/>
    <d v="2024-03-14T00:00:00"/>
    <x v="0"/>
    <x v="0"/>
    <x v="0"/>
    <n v="0.108"/>
    <s v="Base Salary"/>
    <n v="0.108"/>
    <x v="0"/>
    <m/>
    <x v="0"/>
    <m/>
    <m/>
  </r>
  <r>
    <x v="81"/>
    <x v="10"/>
    <x v="22"/>
    <x v="39"/>
    <s v="REIT"/>
    <x v="2"/>
    <s v="BBB-"/>
    <s v="United States"/>
    <x v="0"/>
    <d v="2024-03-14T00:00:00"/>
    <x v="0"/>
    <x v="1"/>
    <x v="1"/>
    <n v="0.216"/>
    <s v="Cash Incentive"/>
    <n v="0.216"/>
    <x v="1"/>
    <s v="Cash Flow"/>
    <x v="82"/>
    <s v="2Y Adjusted Funds from Operations per Share Growth"/>
    <n v="1"/>
  </r>
  <r>
    <x v="81"/>
    <x v="10"/>
    <x v="22"/>
    <x v="39"/>
    <s v="REIT"/>
    <x v="2"/>
    <s v="BBB-"/>
    <s v="United States"/>
    <x v="0"/>
    <d v="2024-03-14T00:00:00"/>
    <x v="0"/>
    <x v="2"/>
    <x v="1"/>
    <n v="0.40560000000000002"/>
    <s v="Performance Stock"/>
    <n v="0.40560000000000002"/>
    <x v="3"/>
    <s v="Stock Performance"/>
    <x v="8"/>
    <s v="3Y Absolute TSR"/>
    <n v="0.5"/>
  </r>
  <r>
    <x v="81"/>
    <x v="10"/>
    <x v="22"/>
    <x v="39"/>
    <s v="REIT"/>
    <x v="2"/>
    <s v="BBB-"/>
    <s v="United States"/>
    <x v="0"/>
    <d v="2024-03-14T00:00:00"/>
    <x v="0"/>
    <x v="2"/>
    <x v="1"/>
    <m/>
    <s v="Performance Stock"/>
    <n v="0.40560000000000002"/>
    <x v="3"/>
    <s v="Stock Performance"/>
    <x v="11"/>
    <s v="3Y Relative TSR"/>
    <n v="0.5"/>
  </r>
  <r>
    <x v="81"/>
    <x v="10"/>
    <x v="22"/>
    <x v="39"/>
    <s v="REIT"/>
    <x v="2"/>
    <s v="BBB-"/>
    <s v="United States"/>
    <x v="0"/>
    <d v="2024-03-14T00:00:00"/>
    <x v="0"/>
    <x v="2"/>
    <x v="0"/>
    <n v="0.27040000000000003"/>
    <s v="Time-Based Stock"/>
    <n v="0.27040000000000003"/>
    <x v="0"/>
    <m/>
    <x v="0"/>
    <m/>
    <m/>
  </r>
  <r>
    <x v="81"/>
    <x v="10"/>
    <x v="22"/>
    <x v="39"/>
    <s v="REIT"/>
    <x v="2"/>
    <s v="BBB-"/>
    <s v="United States"/>
    <x v="0"/>
    <d v="2024-03-14T00:00:00"/>
    <x v="1"/>
    <x v="0"/>
    <x v="0"/>
    <n v="0.22"/>
    <s v="Base Salary"/>
    <n v="0.22"/>
    <x v="0"/>
    <m/>
    <x v="0"/>
    <m/>
    <m/>
  </r>
  <r>
    <x v="81"/>
    <x v="10"/>
    <x v="22"/>
    <x v="39"/>
    <s v="REIT"/>
    <x v="2"/>
    <s v="BBB-"/>
    <s v="United States"/>
    <x v="0"/>
    <d v="2024-03-14T00:00:00"/>
    <x v="1"/>
    <x v="1"/>
    <x v="1"/>
    <n v="0.25"/>
    <s v="Cash Incentive"/>
    <n v="0.25"/>
    <x v="1"/>
    <s v="Cash Flow"/>
    <x v="82"/>
    <s v="2Y Adjusted Funds from Operations per Share Growth"/>
    <n v="1"/>
  </r>
  <r>
    <x v="81"/>
    <x v="10"/>
    <x v="22"/>
    <x v="39"/>
    <s v="REIT"/>
    <x v="2"/>
    <s v="BBB-"/>
    <s v="United States"/>
    <x v="0"/>
    <d v="2024-03-14T00:00:00"/>
    <x v="1"/>
    <x v="2"/>
    <x v="1"/>
    <n v="0.32"/>
    <s v="Performance Stock"/>
    <n v="0.32"/>
    <x v="3"/>
    <s v="Stock Performance"/>
    <x v="8"/>
    <s v="3Y Absolute TSR"/>
    <n v="0.5"/>
  </r>
  <r>
    <x v="81"/>
    <x v="10"/>
    <x v="22"/>
    <x v="39"/>
    <s v="REIT"/>
    <x v="2"/>
    <s v="BBB-"/>
    <s v="United States"/>
    <x v="0"/>
    <d v="2024-03-14T00:00:00"/>
    <x v="1"/>
    <x v="2"/>
    <x v="1"/>
    <m/>
    <s v="Performance Stock"/>
    <n v="0.32"/>
    <x v="3"/>
    <s v="Stock Performance"/>
    <x v="11"/>
    <s v="3Y Relative TSR"/>
    <n v="0.5"/>
  </r>
  <r>
    <x v="81"/>
    <x v="10"/>
    <x v="22"/>
    <x v="39"/>
    <s v="REIT"/>
    <x v="2"/>
    <s v="BBB-"/>
    <s v="United States"/>
    <x v="0"/>
    <d v="2024-03-14T00:00:00"/>
    <x v="1"/>
    <x v="2"/>
    <x v="0"/>
    <n v="0.21"/>
    <s v="Time-Based Stock"/>
    <n v="0.21"/>
    <x v="0"/>
    <m/>
    <x v="0"/>
    <m/>
    <m/>
  </r>
  <r>
    <x v="82"/>
    <x v="4"/>
    <x v="18"/>
    <x v="32"/>
    <s v="Food Retail"/>
    <x v="0"/>
    <s v="A+"/>
    <s v="United States"/>
    <x v="0"/>
    <d v="2023-12-07T00:00:00"/>
    <x v="0"/>
    <x v="0"/>
    <x v="0"/>
    <n v="6.9000000000000006E-2"/>
    <s v="Base Salary"/>
    <n v="6.9000000000000006E-2"/>
    <x v="0"/>
    <m/>
    <x v="0"/>
    <m/>
    <m/>
  </r>
  <r>
    <x v="82"/>
    <x v="4"/>
    <x v="18"/>
    <x v="32"/>
    <s v="Food Retail"/>
    <x v="0"/>
    <s v="A+"/>
    <s v="United States"/>
    <x v="0"/>
    <d v="2023-12-07T00:00:00"/>
    <x v="0"/>
    <x v="1"/>
    <x v="1"/>
    <n v="3.5999999999999997E-2"/>
    <s v="Cash Incentive"/>
    <n v="3.5999999999999997E-2"/>
    <x v="1"/>
    <s v="Profitability"/>
    <x v="33"/>
    <s v="Adjusted Pre-Tax Income"/>
    <n v="0.41666666666666669"/>
  </r>
  <r>
    <x v="82"/>
    <x v="4"/>
    <x v="18"/>
    <x v="32"/>
    <s v="Food Retail"/>
    <x v="0"/>
    <s v="A+"/>
    <s v="United States"/>
    <x v="0"/>
    <d v="2023-12-07T00:00:00"/>
    <x v="0"/>
    <x v="1"/>
    <x v="1"/>
    <m/>
    <s v="Cash Incentive"/>
    <n v="3.5999999999999997E-2"/>
    <x v="1"/>
    <s v="Growth"/>
    <x v="1"/>
    <s v="Adjusted Revenue "/>
    <n v="0.41666666666666669"/>
  </r>
  <r>
    <x v="82"/>
    <x v="4"/>
    <x v="18"/>
    <x v="32"/>
    <s v="Food Retail"/>
    <x v="0"/>
    <s v="A+"/>
    <s v="United States"/>
    <x v="0"/>
    <d v="2023-12-07T00:00:00"/>
    <x v="0"/>
    <x v="1"/>
    <x v="1"/>
    <m/>
    <s v="Cash Incentive"/>
    <n v="3.5999999999999997E-2"/>
    <x v="2"/>
    <s v="ESG"/>
    <x v="7"/>
    <s v="ESG"/>
    <n v="0.16666666666666666"/>
  </r>
  <r>
    <x v="82"/>
    <x v="4"/>
    <x v="18"/>
    <x v="32"/>
    <s v="Food Retail"/>
    <x v="0"/>
    <s v="A+"/>
    <s v="United States"/>
    <x v="0"/>
    <d v="2023-12-07T00:00:00"/>
    <x v="0"/>
    <x v="2"/>
    <x v="1"/>
    <n v="0.89500000000000002"/>
    <s v="Performance Stock"/>
    <n v="0.89500000000000002"/>
    <x v="1"/>
    <s v="Modifier/Threshold"/>
    <x v="76"/>
    <s v="Adjusted Revenue Growth"/>
    <n v="0.5"/>
  </r>
  <r>
    <x v="82"/>
    <x v="4"/>
    <x v="18"/>
    <x v="32"/>
    <s v="Food Retail"/>
    <x v="0"/>
    <s v="A+"/>
    <s v="United States"/>
    <x v="0"/>
    <d v="2023-12-07T00:00:00"/>
    <x v="0"/>
    <x v="2"/>
    <x v="1"/>
    <m/>
    <s v="Performance Stock"/>
    <n v="0.89500000000000002"/>
    <x v="1"/>
    <s v="Modifier/Threshold"/>
    <x v="83"/>
    <s v="Adjusted Pre-Tax Income Growth"/>
    <n v="0.5"/>
  </r>
  <r>
    <x v="82"/>
    <x v="4"/>
    <x v="18"/>
    <x v="32"/>
    <s v="Food Retail"/>
    <x v="0"/>
    <s v="A+"/>
    <s v="United States"/>
    <x v="0"/>
    <d v="2023-12-07T00:00:00"/>
    <x v="1"/>
    <x v="0"/>
    <x v="0"/>
    <n v="0.13749664676948048"/>
    <s v="Base Salary"/>
    <n v="0.13749664676948048"/>
    <x v="0"/>
    <m/>
    <x v="0"/>
    <m/>
    <m/>
  </r>
  <r>
    <x v="82"/>
    <x v="4"/>
    <x v="18"/>
    <x v="32"/>
    <s v="Food Retail"/>
    <x v="0"/>
    <s v="A+"/>
    <s v="United States"/>
    <x v="0"/>
    <d v="2023-12-07T00:00:00"/>
    <x v="1"/>
    <x v="1"/>
    <x v="1"/>
    <n v="4.1090639125030311E-2"/>
    <s v="Cash Incentive"/>
    <n v="4.1090639125030311E-2"/>
    <x v="1"/>
    <s v="Profitability"/>
    <x v="33"/>
    <s v="Adjusted Pre-Tax Income"/>
    <n v="0.41666666666666669"/>
  </r>
  <r>
    <x v="82"/>
    <x v="4"/>
    <x v="18"/>
    <x v="32"/>
    <s v="Food Retail"/>
    <x v="0"/>
    <s v="A+"/>
    <s v="United States"/>
    <x v="0"/>
    <d v="2023-12-07T00:00:00"/>
    <x v="1"/>
    <x v="1"/>
    <x v="1"/>
    <m/>
    <s v="Cash Incentive"/>
    <n v="4.1090639125030311E-2"/>
    <x v="1"/>
    <s v="Growth"/>
    <x v="1"/>
    <s v="Adjusted Revenue "/>
    <n v="0.41666666666666669"/>
  </r>
  <r>
    <x v="82"/>
    <x v="4"/>
    <x v="18"/>
    <x v="32"/>
    <s v="Food Retail"/>
    <x v="0"/>
    <s v="A+"/>
    <s v="United States"/>
    <x v="0"/>
    <d v="2023-12-07T00:00:00"/>
    <x v="1"/>
    <x v="1"/>
    <x v="1"/>
    <m/>
    <s v="Cash Incentive"/>
    <n v="4.1090639125030311E-2"/>
    <x v="2"/>
    <s v="ESG"/>
    <x v="7"/>
    <s v="ESG"/>
    <n v="0.16666666666666666"/>
  </r>
  <r>
    <x v="82"/>
    <x v="4"/>
    <x v="18"/>
    <x v="32"/>
    <s v="Food Retail"/>
    <x v="0"/>
    <s v="A+"/>
    <s v="United States"/>
    <x v="0"/>
    <d v="2023-12-07T00:00:00"/>
    <x v="1"/>
    <x v="2"/>
    <x v="1"/>
    <n v="0.82141271410548933"/>
    <s v="Performance Stock"/>
    <n v="0.82141271410548933"/>
    <x v="0"/>
    <s v="Modifier/Threshold"/>
    <x v="76"/>
    <s v="Adjusted Revenue Growth"/>
    <n v="0.5"/>
  </r>
  <r>
    <x v="82"/>
    <x v="4"/>
    <x v="18"/>
    <x v="32"/>
    <s v="Food Retail"/>
    <x v="0"/>
    <s v="A+"/>
    <s v="United States"/>
    <x v="0"/>
    <d v="2023-12-07T00:00:00"/>
    <x v="1"/>
    <x v="2"/>
    <x v="1"/>
    <m/>
    <s v="Performance Stock"/>
    <n v="0.82141271410548933"/>
    <x v="0"/>
    <s v="Modifier/Threshold"/>
    <x v="83"/>
    <s v="Adjusted Pre-Tax Income Growth"/>
    <n v="0.5"/>
  </r>
  <r>
    <x v="83"/>
    <x v="0"/>
    <x v="1"/>
    <x v="1"/>
    <s v="Semiconductors"/>
    <x v="0"/>
    <s v="A-"/>
    <s v="United States"/>
    <x v="0"/>
    <d v="2023-09-21T00:00:00"/>
    <x v="0"/>
    <x v="0"/>
    <x v="0"/>
    <n v="0.06"/>
    <s v="Base Salary"/>
    <n v="0.06"/>
    <x v="0"/>
    <m/>
    <x v="0"/>
    <m/>
    <m/>
  </r>
  <r>
    <x v="83"/>
    <x v="0"/>
    <x v="1"/>
    <x v="1"/>
    <s v="Semiconductors"/>
    <x v="0"/>
    <s v="A-"/>
    <s v="United States"/>
    <x v="0"/>
    <d v="2023-09-21T00:00:00"/>
    <x v="0"/>
    <x v="1"/>
    <x v="1"/>
    <n v="0.09"/>
    <s v="Cash Incentive"/>
    <n v="0.09"/>
    <x v="1"/>
    <s v="Profitability"/>
    <x v="2"/>
    <s v="Adjusted Operating Income"/>
    <n v="0.5"/>
  </r>
  <r>
    <x v="83"/>
    <x v="0"/>
    <x v="1"/>
    <x v="1"/>
    <s v="Semiconductors"/>
    <x v="0"/>
    <s v="A-"/>
    <s v="United States"/>
    <x v="0"/>
    <d v="2023-09-21T00:00:00"/>
    <x v="0"/>
    <x v="1"/>
    <x v="1"/>
    <m/>
    <s v="Cash Incentive"/>
    <n v="0.09"/>
    <x v="2"/>
    <s v="Strategy &amp; Operations"/>
    <x v="3"/>
    <s v="Balanced Scorecard "/>
    <n v="0.5"/>
  </r>
  <r>
    <x v="83"/>
    <x v="0"/>
    <x v="1"/>
    <x v="1"/>
    <s v="Semiconductors"/>
    <x v="0"/>
    <s v="A-"/>
    <s v="United States"/>
    <x v="0"/>
    <d v="2023-09-21T00:00:00"/>
    <x v="0"/>
    <x v="1"/>
    <x v="1"/>
    <m/>
    <s v="Cash Incentive"/>
    <n v="0.09"/>
    <x v="0"/>
    <s v="Modifier/Threshold"/>
    <x v="10"/>
    <s v="Individual Performance Factor"/>
    <m/>
  </r>
  <r>
    <x v="83"/>
    <x v="0"/>
    <x v="1"/>
    <x v="1"/>
    <s v="Semiconductors"/>
    <x v="0"/>
    <s v="A-"/>
    <s v="United States"/>
    <x v="0"/>
    <d v="2023-09-21T00:00:00"/>
    <x v="0"/>
    <x v="2"/>
    <x v="1"/>
    <n v="0.51"/>
    <s v="Performance Stock"/>
    <n v="0.51"/>
    <x v="1"/>
    <s v="Cash Flow"/>
    <x v="25"/>
    <s v="3Y Relative Free Cash Flow Margin"/>
    <n v="1"/>
  </r>
  <r>
    <x v="83"/>
    <x v="0"/>
    <x v="1"/>
    <x v="1"/>
    <s v="Semiconductors"/>
    <x v="0"/>
    <s v="A-"/>
    <s v="United States"/>
    <x v="0"/>
    <d v="2023-09-21T00:00:00"/>
    <x v="0"/>
    <x v="2"/>
    <x v="0"/>
    <n v="0.34"/>
    <s v="Time-Based Stock"/>
    <n v="0.34"/>
    <x v="0"/>
    <m/>
    <x v="0"/>
    <m/>
    <m/>
  </r>
  <r>
    <x v="83"/>
    <x v="0"/>
    <x v="1"/>
    <x v="1"/>
    <s v="Semiconductors"/>
    <x v="0"/>
    <s v="A-"/>
    <s v="United States"/>
    <x v="0"/>
    <d v="2023-09-21T00:00:00"/>
    <x v="1"/>
    <x v="0"/>
    <x v="0"/>
    <n v="0.15"/>
    <s v="Base Salary"/>
    <n v="0.15"/>
    <x v="0"/>
    <m/>
    <x v="0"/>
    <m/>
    <m/>
  </r>
  <r>
    <x v="83"/>
    <x v="0"/>
    <x v="1"/>
    <x v="1"/>
    <s v="Semiconductors"/>
    <x v="0"/>
    <s v="A-"/>
    <s v="United States"/>
    <x v="0"/>
    <d v="2023-09-21T00:00:00"/>
    <x v="1"/>
    <x v="1"/>
    <x v="1"/>
    <n v="0.13"/>
    <s v="Cash Incentive"/>
    <n v="0.13"/>
    <x v="1"/>
    <s v="Profitability"/>
    <x v="2"/>
    <s v="Adjusted Operating Income"/>
    <n v="0.5"/>
  </r>
  <r>
    <x v="83"/>
    <x v="0"/>
    <x v="1"/>
    <x v="1"/>
    <s v="Semiconductors"/>
    <x v="0"/>
    <s v="A-"/>
    <s v="United States"/>
    <x v="0"/>
    <d v="2023-09-21T00:00:00"/>
    <x v="1"/>
    <x v="1"/>
    <x v="1"/>
    <m/>
    <s v="Cash Incentive"/>
    <n v="0.13"/>
    <x v="2"/>
    <s v="Strategy &amp; Operations"/>
    <x v="3"/>
    <s v="Balanced Scorecard "/>
    <n v="0.5"/>
  </r>
  <r>
    <x v="83"/>
    <x v="0"/>
    <x v="1"/>
    <x v="1"/>
    <s v="Semiconductors"/>
    <x v="0"/>
    <s v="A-"/>
    <s v="United States"/>
    <x v="0"/>
    <d v="2023-09-21T00:00:00"/>
    <x v="1"/>
    <x v="1"/>
    <x v="1"/>
    <m/>
    <s v="Cash Incentive"/>
    <n v="0.13"/>
    <x v="0"/>
    <s v="Modifier/Threshold"/>
    <x v="10"/>
    <s v="Individual Performance Factor"/>
    <m/>
  </r>
  <r>
    <x v="83"/>
    <x v="0"/>
    <x v="1"/>
    <x v="1"/>
    <s v="Semiconductors"/>
    <x v="0"/>
    <s v="A-"/>
    <s v="United States"/>
    <x v="0"/>
    <d v="2023-09-21T00:00:00"/>
    <x v="1"/>
    <x v="2"/>
    <x v="1"/>
    <n v="0.36"/>
    <s v="Performance Stock"/>
    <n v="0.36"/>
    <x v="1"/>
    <s v="Cash Flow"/>
    <x v="25"/>
    <s v="3Y Relative Free Cash Flow Margin"/>
    <n v="1"/>
  </r>
  <r>
    <x v="83"/>
    <x v="0"/>
    <x v="1"/>
    <x v="1"/>
    <s v="Semiconductors"/>
    <x v="0"/>
    <s v="A-"/>
    <s v="United States"/>
    <x v="0"/>
    <d v="2023-09-21T00:00:00"/>
    <x v="1"/>
    <x v="2"/>
    <x v="0"/>
    <n v="0.36"/>
    <s v="Time-Based Stock"/>
    <n v="0.36"/>
    <x v="0"/>
    <m/>
    <x v="0"/>
    <m/>
    <m/>
  </r>
  <r>
    <x v="84"/>
    <x v="0"/>
    <x v="7"/>
    <x v="36"/>
    <s v="Information Technology"/>
    <x v="0"/>
    <m/>
    <s v="United States"/>
    <x v="0"/>
    <d v="2024-06-11T00:00:00"/>
    <x v="0"/>
    <x v="0"/>
    <x v="0"/>
    <n v="2.3E-2"/>
    <s v="Base Salary"/>
    <n v="2.3E-2"/>
    <x v="0"/>
    <m/>
    <x v="0"/>
    <m/>
    <m/>
  </r>
  <r>
    <x v="84"/>
    <x v="0"/>
    <x v="7"/>
    <x v="36"/>
    <s v="Information Technology"/>
    <x v="0"/>
    <m/>
    <s v="United States"/>
    <x v="0"/>
    <d v="2024-06-11T00:00:00"/>
    <x v="0"/>
    <x v="1"/>
    <x v="1"/>
    <n v="2.3E-2"/>
    <s v="Cash Incentive"/>
    <n v="2.3E-2"/>
    <x v="1"/>
    <s v="Growth"/>
    <x v="1"/>
    <s v="Revenue "/>
    <n v="0.5"/>
  </r>
  <r>
    <x v="84"/>
    <x v="0"/>
    <x v="7"/>
    <x v="36"/>
    <s v="Information Technology"/>
    <x v="0"/>
    <m/>
    <s v="United States"/>
    <x v="0"/>
    <d v="2024-06-11T00:00:00"/>
    <x v="0"/>
    <x v="1"/>
    <x v="1"/>
    <m/>
    <s v="Cash Incentive"/>
    <n v="2.3E-2"/>
    <x v="1"/>
    <s v="Profitability"/>
    <x v="2"/>
    <s v="Adjusted Operating Income"/>
    <n v="0.5"/>
  </r>
  <r>
    <x v="84"/>
    <x v="0"/>
    <x v="7"/>
    <x v="36"/>
    <s v="Information Technology"/>
    <x v="0"/>
    <m/>
    <s v="United States"/>
    <x v="0"/>
    <d v="2024-06-11T00:00:00"/>
    <x v="0"/>
    <x v="1"/>
    <x v="1"/>
    <m/>
    <s v="Cash Incentive"/>
    <n v="2.3E-2"/>
    <x v="0"/>
    <s v="Modifier/Threshold"/>
    <x v="10"/>
    <s v="Individual Performance Factor"/>
    <m/>
  </r>
  <r>
    <x v="84"/>
    <x v="0"/>
    <x v="7"/>
    <x v="36"/>
    <s v="Information Technology"/>
    <x v="0"/>
    <m/>
    <s v="United States"/>
    <x v="0"/>
    <d v="2024-06-11T00:00:00"/>
    <x v="0"/>
    <x v="1"/>
    <x v="1"/>
    <m/>
    <s v="Cash Incentive"/>
    <n v="2.3E-2"/>
    <x v="0"/>
    <s v="Modifier/Threshold"/>
    <x v="76"/>
    <s v="Revenue "/>
    <m/>
  </r>
  <r>
    <x v="84"/>
    <x v="0"/>
    <x v="7"/>
    <x v="36"/>
    <s v="Information Technology"/>
    <x v="0"/>
    <m/>
    <s v="United States"/>
    <x v="0"/>
    <d v="2024-06-11T00:00:00"/>
    <x v="0"/>
    <x v="2"/>
    <x v="1"/>
    <n v="0.95399999999999996"/>
    <s v="Performance Stock"/>
    <n v="0.95399999999999996"/>
    <x v="1"/>
    <s v="Growth"/>
    <x v="1"/>
    <s v="Revenue "/>
    <n v="0.4"/>
  </r>
  <r>
    <x v="84"/>
    <x v="0"/>
    <x v="7"/>
    <x v="36"/>
    <s v="Information Technology"/>
    <x v="0"/>
    <m/>
    <s v="United States"/>
    <x v="0"/>
    <d v="2024-06-11T00:00:00"/>
    <x v="0"/>
    <x v="2"/>
    <x v="1"/>
    <m/>
    <s v="Performance Stock"/>
    <n v="0.95399999999999996"/>
    <x v="1"/>
    <s v="Profitability"/>
    <x v="2"/>
    <s v="Adjusted Operating Income"/>
    <n v="0.4"/>
  </r>
  <r>
    <x v="84"/>
    <x v="0"/>
    <x v="7"/>
    <x v="36"/>
    <s v="Information Technology"/>
    <x v="0"/>
    <m/>
    <s v="United States"/>
    <x v="0"/>
    <d v="2024-06-11T00:00:00"/>
    <x v="0"/>
    <x v="2"/>
    <x v="1"/>
    <m/>
    <s v="Performance Stock"/>
    <n v="0.95399999999999996"/>
    <x v="1"/>
    <s v="Profitability"/>
    <x v="29"/>
    <s v="2Y Adjusted Gross Margin"/>
    <n v="0.2"/>
  </r>
  <r>
    <x v="84"/>
    <x v="0"/>
    <x v="7"/>
    <x v="36"/>
    <s v="Information Technology"/>
    <x v="0"/>
    <m/>
    <s v="United States"/>
    <x v="0"/>
    <d v="2024-06-11T00:00:00"/>
    <x v="1"/>
    <x v="0"/>
    <x v="0"/>
    <n v="6.6726582724304068E-2"/>
    <s v="Base Salary"/>
    <n v="6.6726582724304068E-2"/>
    <x v="0"/>
    <m/>
    <x v="0"/>
    <m/>
    <m/>
  </r>
  <r>
    <x v="84"/>
    <x v="0"/>
    <x v="7"/>
    <x v="36"/>
    <s v="Information Technology"/>
    <x v="0"/>
    <m/>
    <s v="United States"/>
    <x v="0"/>
    <d v="2024-06-11T00:00:00"/>
    <x v="1"/>
    <x v="1"/>
    <x v="1"/>
    <n v="4.0035949634582436E-2"/>
    <s v="Cash Incentive"/>
    <n v="4.0035949634582436E-2"/>
    <x v="1"/>
    <s v="Growth"/>
    <x v="1"/>
    <s v="Revenue "/>
    <n v="0.5"/>
  </r>
  <r>
    <x v="84"/>
    <x v="0"/>
    <x v="7"/>
    <x v="36"/>
    <s v="Information Technology"/>
    <x v="0"/>
    <m/>
    <s v="United States"/>
    <x v="0"/>
    <d v="2024-06-11T00:00:00"/>
    <x v="1"/>
    <x v="1"/>
    <x v="1"/>
    <m/>
    <s v="Cash Incentive"/>
    <n v="4.0035949634582436E-2"/>
    <x v="1"/>
    <s v="Profitability"/>
    <x v="2"/>
    <s v="Adjusted Operating Income"/>
    <n v="0.5"/>
  </r>
  <r>
    <x v="84"/>
    <x v="0"/>
    <x v="7"/>
    <x v="36"/>
    <s v="Information Technology"/>
    <x v="0"/>
    <m/>
    <s v="United States"/>
    <x v="0"/>
    <d v="2024-06-11T00:00:00"/>
    <x v="1"/>
    <x v="1"/>
    <x v="1"/>
    <m/>
    <s v="Cash Incentive"/>
    <n v="4.0035949634582436E-2"/>
    <x v="0"/>
    <s v="Modifier/Threshold"/>
    <x v="10"/>
    <s v="Individual Performance Factor"/>
    <m/>
  </r>
  <r>
    <x v="84"/>
    <x v="0"/>
    <x v="7"/>
    <x v="36"/>
    <s v="Information Technology"/>
    <x v="0"/>
    <m/>
    <s v="United States"/>
    <x v="0"/>
    <d v="2024-06-11T00:00:00"/>
    <x v="1"/>
    <x v="1"/>
    <x v="1"/>
    <m/>
    <s v="Cash Incentive"/>
    <n v="4.0035949634582436E-2"/>
    <x v="0"/>
    <s v="Modifier/Threshold"/>
    <x v="76"/>
    <s v="Revenue "/>
    <m/>
  </r>
  <r>
    <x v="84"/>
    <x v="0"/>
    <x v="7"/>
    <x v="36"/>
    <s v="Information Technology"/>
    <x v="0"/>
    <m/>
    <s v="United States"/>
    <x v="0"/>
    <d v="2024-06-11T00:00:00"/>
    <x v="1"/>
    <x v="2"/>
    <x v="1"/>
    <n v="0.44661873382055678"/>
    <s v="Performance Stock"/>
    <n v="0.44661873382055678"/>
    <x v="1"/>
    <s v="Growth"/>
    <x v="1"/>
    <s v="Revenue "/>
    <n v="0.5"/>
  </r>
  <r>
    <x v="84"/>
    <x v="0"/>
    <x v="7"/>
    <x v="36"/>
    <s v="Information Technology"/>
    <x v="0"/>
    <m/>
    <s v="United States"/>
    <x v="0"/>
    <d v="2024-06-11T00:00:00"/>
    <x v="1"/>
    <x v="2"/>
    <x v="1"/>
    <m/>
    <s v="Performance Stock"/>
    <n v="0.44661873382055678"/>
    <x v="1"/>
    <s v="Profitability"/>
    <x v="2"/>
    <s v="Adjusted Operating Income"/>
    <n v="0.5"/>
  </r>
  <r>
    <x v="84"/>
    <x v="0"/>
    <x v="7"/>
    <x v="36"/>
    <s v="Information Technology"/>
    <x v="0"/>
    <m/>
    <s v="United States"/>
    <x v="0"/>
    <d v="2024-06-11T00:00:00"/>
    <x v="1"/>
    <x v="2"/>
    <x v="0"/>
    <n v="0.44661873382055678"/>
    <s v="Time-Based Stock"/>
    <n v="0.44661873382055678"/>
    <x v="0"/>
    <m/>
    <x v="0"/>
    <m/>
    <m/>
  </r>
  <r>
    <x v="85"/>
    <x v="3"/>
    <x v="4"/>
    <x v="4"/>
    <s v="Pharmaceuticals"/>
    <x v="1"/>
    <s v="A"/>
    <s v="United States"/>
    <x v="0"/>
    <d v="2024-03-28T00:00:00"/>
    <x v="0"/>
    <x v="0"/>
    <x v="0"/>
    <n v="0.16"/>
    <s v="Base Salary"/>
    <n v="0.16"/>
    <x v="0"/>
    <m/>
    <x v="0"/>
    <m/>
    <m/>
  </r>
  <r>
    <x v="85"/>
    <x v="3"/>
    <x v="4"/>
    <x v="4"/>
    <s v="Pharmaceuticals"/>
    <x v="1"/>
    <s v="A"/>
    <s v="United States"/>
    <x v="0"/>
    <d v="2024-03-28T00:00:00"/>
    <x v="0"/>
    <x v="1"/>
    <x v="1"/>
    <n v="0.19"/>
    <s v="Cash Incentive"/>
    <n v="0.19"/>
    <x v="1"/>
    <s v="Growth"/>
    <x v="1"/>
    <s v="Adjusted Growth Portfolio Revenue "/>
    <n v="0.35"/>
  </r>
  <r>
    <x v="85"/>
    <x v="3"/>
    <x v="4"/>
    <x v="4"/>
    <s v="Pharmaceuticals"/>
    <x v="1"/>
    <s v="A"/>
    <s v="United States"/>
    <x v="0"/>
    <d v="2024-03-28T00:00:00"/>
    <x v="0"/>
    <x v="1"/>
    <x v="1"/>
    <m/>
    <s v="Cash Incentive"/>
    <n v="0.19"/>
    <x v="1"/>
    <s v="Profitability"/>
    <x v="2"/>
    <s v="Operating Income"/>
    <n v="0.3"/>
  </r>
  <r>
    <x v="85"/>
    <x v="3"/>
    <x v="4"/>
    <x v="4"/>
    <s v="Pharmaceuticals"/>
    <x v="1"/>
    <s v="A"/>
    <s v="United States"/>
    <x v="0"/>
    <d v="2024-03-28T00:00:00"/>
    <x v="0"/>
    <x v="1"/>
    <x v="1"/>
    <m/>
    <s v="Cash Incentive"/>
    <n v="0.19"/>
    <x v="2"/>
    <s v="Strategy &amp; Operations"/>
    <x v="15"/>
    <s v="Pipeline"/>
    <n v="0.25"/>
  </r>
  <r>
    <x v="85"/>
    <x v="3"/>
    <x v="4"/>
    <x v="4"/>
    <s v="Pharmaceuticals"/>
    <x v="1"/>
    <s v="A"/>
    <s v="United States"/>
    <x v="0"/>
    <d v="2024-03-28T00:00:00"/>
    <x v="0"/>
    <x v="1"/>
    <x v="1"/>
    <m/>
    <s v="Cash Incentive"/>
    <n v="0.19"/>
    <x v="2"/>
    <s v="ESG"/>
    <x v="7"/>
    <s v="ESG Scorecard"/>
    <n v="0.1"/>
  </r>
  <r>
    <x v="85"/>
    <x v="3"/>
    <x v="4"/>
    <x v="4"/>
    <s v="Pharmaceuticals"/>
    <x v="1"/>
    <s v="A"/>
    <s v="United States"/>
    <x v="0"/>
    <d v="2024-03-28T00:00:00"/>
    <x v="0"/>
    <x v="2"/>
    <x v="1"/>
    <n v="0.4"/>
    <s v="Performance Stock"/>
    <n v="0.4"/>
    <x v="1"/>
    <s v="Growth"/>
    <x v="1"/>
    <s v="3Y Cumulative Adjusted Growth Portfolio Revenue"/>
    <n v="0.4"/>
  </r>
  <r>
    <x v="85"/>
    <x v="3"/>
    <x v="4"/>
    <x v="4"/>
    <s v="Pharmaceuticals"/>
    <x v="1"/>
    <s v="A"/>
    <s v="United States"/>
    <x v="0"/>
    <d v="2024-03-28T00:00:00"/>
    <x v="0"/>
    <x v="2"/>
    <x v="1"/>
    <m/>
    <s v="Performance Stock"/>
    <n v="0.4"/>
    <x v="3"/>
    <s v="Stock Performance"/>
    <x v="11"/>
    <s v="3Y Relative TSR CAGR"/>
    <n v="0.35"/>
  </r>
  <r>
    <x v="85"/>
    <x v="3"/>
    <x v="4"/>
    <x v="4"/>
    <s v="Pharmaceuticals"/>
    <x v="1"/>
    <s v="A"/>
    <s v="United States"/>
    <x v="0"/>
    <d v="2024-03-28T00:00:00"/>
    <x v="0"/>
    <x v="2"/>
    <x v="1"/>
    <m/>
    <s v="Performance Stock"/>
    <n v="0.4"/>
    <x v="1"/>
    <s v="Profitability"/>
    <x v="9"/>
    <s v="3Y Cumulative Adjusted Operating Margin"/>
    <n v="0.25"/>
  </r>
  <r>
    <x v="85"/>
    <x v="3"/>
    <x v="4"/>
    <x v="4"/>
    <s v="Pharmaceuticals"/>
    <x v="1"/>
    <s v="A"/>
    <s v="United States"/>
    <x v="0"/>
    <d v="2024-03-28T00:00:00"/>
    <x v="0"/>
    <x v="2"/>
    <x v="1"/>
    <n v="0.25"/>
    <s v="Market Stock Units"/>
    <n v="0.25"/>
    <x v="0"/>
    <m/>
    <x v="0"/>
    <m/>
    <m/>
  </r>
  <r>
    <x v="85"/>
    <x v="3"/>
    <x v="4"/>
    <x v="4"/>
    <s v="Pharmaceuticals"/>
    <x v="1"/>
    <s v="A"/>
    <s v="United States"/>
    <x v="0"/>
    <d v="2024-03-28T00:00:00"/>
    <x v="0"/>
    <x v="2"/>
    <x v="1"/>
    <m/>
    <s v="Market Stock Units"/>
    <n v="0.25"/>
    <x v="0"/>
    <s v="Modifier/Threshold"/>
    <x v="84"/>
    <s v="Absolute TSR"/>
    <m/>
  </r>
  <r>
    <x v="85"/>
    <x v="3"/>
    <x v="4"/>
    <x v="4"/>
    <s v="Pharmaceuticals"/>
    <x v="1"/>
    <s v="A"/>
    <s v="United States"/>
    <x v="0"/>
    <d v="2024-03-28T00:00:00"/>
    <x v="1"/>
    <x v="0"/>
    <x v="0"/>
    <n v="0.2"/>
    <s v="Base Salary"/>
    <n v="0.2"/>
    <x v="0"/>
    <m/>
    <x v="0"/>
    <m/>
    <m/>
  </r>
  <r>
    <x v="85"/>
    <x v="3"/>
    <x v="4"/>
    <x v="4"/>
    <s v="Pharmaceuticals"/>
    <x v="1"/>
    <s v="A"/>
    <s v="United States"/>
    <x v="0"/>
    <d v="2024-03-28T00:00:00"/>
    <x v="1"/>
    <x v="1"/>
    <x v="1"/>
    <n v="0.19"/>
    <s v="Cash Incentive"/>
    <n v="0.19"/>
    <x v="1"/>
    <s v="Growth"/>
    <x v="85"/>
    <s v="Adjusted Growth Portfolio Revenue "/>
    <n v="0.35"/>
  </r>
  <r>
    <x v="85"/>
    <x v="3"/>
    <x v="4"/>
    <x v="4"/>
    <s v="Pharmaceuticals"/>
    <x v="1"/>
    <s v="A"/>
    <s v="United States"/>
    <x v="0"/>
    <d v="2024-03-28T00:00:00"/>
    <x v="1"/>
    <x v="1"/>
    <x v="1"/>
    <m/>
    <s v="Cash Incentive"/>
    <n v="0.19"/>
    <x v="1"/>
    <s v="Profitability"/>
    <x v="2"/>
    <s v="Operating Income"/>
    <n v="0.3"/>
  </r>
  <r>
    <x v="85"/>
    <x v="3"/>
    <x v="4"/>
    <x v="4"/>
    <s v="Pharmaceuticals"/>
    <x v="1"/>
    <s v="A"/>
    <s v="United States"/>
    <x v="0"/>
    <d v="2024-03-28T00:00:00"/>
    <x v="1"/>
    <x v="1"/>
    <x v="1"/>
    <m/>
    <s v="Cash Incentive"/>
    <n v="0.19"/>
    <x v="2"/>
    <s v="Strategy &amp; Operations"/>
    <x v="15"/>
    <s v="Pipeline"/>
    <n v="0.25"/>
  </r>
  <r>
    <x v="85"/>
    <x v="3"/>
    <x v="4"/>
    <x v="4"/>
    <s v="Pharmaceuticals"/>
    <x v="1"/>
    <s v="A"/>
    <s v="United States"/>
    <x v="0"/>
    <d v="2024-03-28T00:00:00"/>
    <x v="1"/>
    <x v="1"/>
    <x v="1"/>
    <m/>
    <s v="Cash Incentive"/>
    <n v="0.19"/>
    <x v="2"/>
    <s v="ESG"/>
    <x v="7"/>
    <s v="ESG Scorecard"/>
    <n v="0.1"/>
  </r>
  <r>
    <x v="85"/>
    <x v="3"/>
    <x v="4"/>
    <x v="4"/>
    <s v="Pharmaceuticals"/>
    <x v="1"/>
    <s v="A"/>
    <s v="United States"/>
    <x v="0"/>
    <d v="2024-03-28T00:00:00"/>
    <x v="1"/>
    <x v="2"/>
    <x v="1"/>
    <n v="0.38"/>
    <s v="Performance Stock"/>
    <n v="0.38"/>
    <x v="1"/>
    <s v="Growth"/>
    <x v="1"/>
    <s v="3Y Cumulative Adjusted Growth Portfolio Revenue"/>
    <n v="0.4"/>
  </r>
  <r>
    <x v="85"/>
    <x v="3"/>
    <x v="4"/>
    <x v="4"/>
    <s v="Pharmaceuticals"/>
    <x v="1"/>
    <s v="A"/>
    <s v="United States"/>
    <x v="0"/>
    <d v="2024-03-28T00:00:00"/>
    <x v="1"/>
    <x v="2"/>
    <x v="1"/>
    <m/>
    <s v="Performance Stock"/>
    <n v="0.38"/>
    <x v="3"/>
    <s v="Stock Performance"/>
    <x v="11"/>
    <s v="3Y Relative TSR CAGR"/>
    <n v="0.35"/>
  </r>
  <r>
    <x v="85"/>
    <x v="3"/>
    <x v="4"/>
    <x v="4"/>
    <s v="Pharmaceuticals"/>
    <x v="1"/>
    <s v="A"/>
    <s v="United States"/>
    <x v="0"/>
    <d v="2024-03-28T00:00:00"/>
    <x v="1"/>
    <x v="2"/>
    <x v="1"/>
    <m/>
    <s v="Performance Stock"/>
    <n v="0.38"/>
    <x v="1"/>
    <s v="Profitability"/>
    <x v="9"/>
    <s v="3Y Cumulative Adjusted Operating Margin"/>
    <n v="0.25"/>
  </r>
  <r>
    <x v="85"/>
    <x v="3"/>
    <x v="4"/>
    <x v="4"/>
    <s v="Pharmaceuticals"/>
    <x v="1"/>
    <s v="A"/>
    <s v="United States"/>
    <x v="0"/>
    <d v="2024-03-28T00:00:00"/>
    <x v="1"/>
    <x v="2"/>
    <x v="1"/>
    <m/>
    <s v="Performance Stock"/>
    <n v="0.38"/>
    <x v="0"/>
    <s v="Modifier/Threshold"/>
    <x v="10"/>
    <s v="Individual Performance Factor"/>
    <m/>
  </r>
  <r>
    <x v="85"/>
    <x v="3"/>
    <x v="4"/>
    <x v="4"/>
    <s v="Pharmaceuticals"/>
    <x v="1"/>
    <s v="A"/>
    <s v="United States"/>
    <x v="0"/>
    <d v="2024-03-28T00:00:00"/>
    <x v="1"/>
    <x v="2"/>
    <x v="1"/>
    <n v="0.23"/>
    <s v="Market Stock Units"/>
    <n v="0.23"/>
    <x v="0"/>
    <m/>
    <x v="0"/>
    <m/>
    <m/>
  </r>
  <r>
    <x v="85"/>
    <x v="3"/>
    <x v="4"/>
    <x v="4"/>
    <s v="Pharmaceuticals"/>
    <x v="1"/>
    <s v="A"/>
    <s v="United States"/>
    <x v="0"/>
    <d v="2024-03-28T00:00:00"/>
    <x v="1"/>
    <x v="2"/>
    <x v="1"/>
    <m/>
    <s v="Market Stock Units"/>
    <n v="0.23"/>
    <x v="0"/>
    <s v="Modifier/Threshold"/>
    <x v="84"/>
    <s v="Absolute TSR"/>
    <m/>
  </r>
  <r>
    <x v="85"/>
    <x v="3"/>
    <x v="4"/>
    <x v="4"/>
    <s v="Pharmaceuticals"/>
    <x v="1"/>
    <s v="A"/>
    <s v="United States"/>
    <x v="0"/>
    <d v="2024-03-28T00:00:00"/>
    <x v="1"/>
    <x v="2"/>
    <x v="1"/>
    <m/>
    <s v="Market Stock Units"/>
    <n v="0.23"/>
    <x v="0"/>
    <s v="Modifier/Threshold"/>
    <x v="10"/>
    <s v="Individual Performance Factor"/>
    <m/>
  </r>
  <r>
    <x v="86"/>
    <x v="6"/>
    <x v="23"/>
    <x v="40"/>
    <s v="Credit Rating Agency"/>
    <x v="2"/>
    <s v="BBB"/>
    <s v="United States"/>
    <x v="0"/>
    <d v="2024-03-22T00:00:00"/>
    <x v="0"/>
    <x v="0"/>
    <x v="0"/>
    <n v="0.112"/>
    <s v="Base Salary"/>
    <n v="0.112"/>
    <x v="0"/>
    <m/>
    <x v="0"/>
    <m/>
    <m/>
  </r>
  <r>
    <x v="86"/>
    <x v="6"/>
    <x v="23"/>
    <x v="40"/>
    <s v="Credit Rating Agency"/>
    <x v="2"/>
    <s v="BBB"/>
    <s v="United States"/>
    <x v="0"/>
    <d v="2024-03-22T00:00:00"/>
    <x v="0"/>
    <x v="1"/>
    <x v="1"/>
    <n v="0.13400000000000001"/>
    <s v="Cash Incentive"/>
    <n v="0.13400000000000001"/>
    <x v="1"/>
    <s v="Profitability"/>
    <x v="14"/>
    <s v="Adjusted EPS"/>
    <n v="0.81"/>
  </r>
  <r>
    <x v="86"/>
    <x v="6"/>
    <x v="23"/>
    <x v="40"/>
    <s v="Credit Rating Agency"/>
    <x v="2"/>
    <s v="BBB"/>
    <s v="United States"/>
    <x v="0"/>
    <d v="2024-03-22T00:00:00"/>
    <x v="0"/>
    <x v="1"/>
    <x v="1"/>
    <m/>
    <s v="Cash Incentive"/>
    <n v="0.13400000000000001"/>
    <x v="1"/>
    <s v="Growth"/>
    <x v="1"/>
    <s v="Adjusted Revenue "/>
    <n v="0.19"/>
  </r>
  <r>
    <x v="86"/>
    <x v="6"/>
    <x v="23"/>
    <x v="40"/>
    <s v="Credit Rating Agency"/>
    <x v="2"/>
    <s v="BBB"/>
    <s v="United States"/>
    <x v="0"/>
    <d v="2024-03-22T00:00:00"/>
    <x v="0"/>
    <x v="1"/>
    <x v="1"/>
    <m/>
    <s v="Cash Incentive"/>
    <n v="0.13400000000000001"/>
    <x v="0"/>
    <s v="Modifier/Threshold"/>
    <x v="34"/>
    <s v="Discretionary Adjustment"/>
    <m/>
  </r>
  <r>
    <x v="86"/>
    <x v="6"/>
    <x v="23"/>
    <x v="40"/>
    <s v="Credit Rating Agency"/>
    <x v="2"/>
    <s v="BBB"/>
    <s v="United States"/>
    <x v="0"/>
    <d v="2024-03-22T00:00:00"/>
    <x v="0"/>
    <x v="2"/>
    <x v="1"/>
    <n v="0.45200000000000001"/>
    <s v="Performance Stock"/>
    <n v="0.45200000000000001"/>
    <x v="3"/>
    <s v="Stock Performance"/>
    <x v="11"/>
    <s v="3Y Relative TSR"/>
    <n v="0.5"/>
  </r>
  <r>
    <x v="86"/>
    <x v="6"/>
    <x v="23"/>
    <x v="40"/>
    <s v="Credit Rating Agency"/>
    <x v="2"/>
    <s v="BBB"/>
    <s v="United States"/>
    <x v="0"/>
    <d v="2024-03-22T00:00:00"/>
    <x v="0"/>
    <x v="2"/>
    <x v="1"/>
    <m/>
    <s v="Performance Stock"/>
    <n v="0.45200000000000001"/>
    <x v="1"/>
    <s v="Profitability"/>
    <x v="32"/>
    <s v="Adjusted EBITDA"/>
    <n v="0.5"/>
  </r>
  <r>
    <x v="86"/>
    <x v="6"/>
    <x v="23"/>
    <x v="40"/>
    <s v="Credit Rating Agency"/>
    <x v="2"/>
    <s v="BBB"/>
    <s v="United States"/>
    <x v="0"/>
    <d v="2024-03-22T00:00:00"/>
    <x v="0"/>
    <x v="2"/>
    <x v="1"/>
    <m/>
    <s v="Performance Stock"/>
    <n v="0.45200000000000001"/>
    <x v="0"/>
    <s v="Modifier/Threshold"/>
    <x v="12"/>
    <s v="3Y Absolute TSR"/>
    <m/>
  </r>
  <r>
    <x v="86"/>
    <x v="6"/>
    <x v="23"/>
    <x v="40"/>
    <s v="Credit Rating Agency"/>
    <x v="2"/>
    <s v="BBB"/>
    <s v="United States"/>
    <x v="0"/>
    <d v="2024-03-22T00:00:00"/>
    <x v="0"/>
    <x v="2"/>
    <x v="1"/>
    <n v="0.151"/>
    <s v="Stock Options"/>
    <n v="0.151"/>
    <x v="0"/>
    <m/>
    <x v="0"/>
    <m/>
    <m/>
  </r>
  <r>
    <x v="86"/>
    <x v="6"/>
    <x v="23"/>
    <x v="40"/>
    <s v="Credit Rating Agency"/>
    <x v="2"/>
    <s v="BBB"/>
    <s v="United States"/>
    <x v="0"/>
    <d v="2024-03-22T00:00:00"/>
    <x v="0"/>
    <x v="2"/>
    <x v="0"/>
    <n v="0.151"/>
    <s v="Time-Based Stock"/>
    <n v="0.151"/>
    <x v="0"/>
    <m/>
    <x v="0"/>
    <m/>
    <m/>
  </r>
  <r>
    <x v="86"/>
    <x v="6"/>
    <x v="23"/>
    <x v="40"/>
    <s v="Credit Rating Agency"/>
    <x v="2"/>
    <s v="BBB"/>
    <s v="United States"/>
    <x v="0"/>
    <d v="2024-03-22T00:00:00"/>
    <x v="1"/>
    <x v="0"/>
    <x v="0"/>
    <n v="0.14480000000000001"/>
    <s v="Base Salary"/>
    <n v="0.14480000000000001"/>
    <x v="0"/>
    <m/>
    <x v="0"/>
    <m/>
    <m/>
  </r>
  <r>
    <x v="86"/>
    <x v="6"/>
    <x v="23"/>
    <x v="40"/>
    <s v="Credit Rating Agency"/>
    <x v="2"/>
    <s v="BBB"/>
    <s v="United States"/>
    <x v="0"/>
    <d v="2024-03-22T00:00:00"/>
    <x v="1"/>
    <x v="1"/>
    <x v="1"/>
    <n v="0.14480000000000001"/>
    <s v="Cash Incentive"/>
    <n v="0.14480000000000001"/>
    <x v="1"/>
    <s v="Profitability"/>
    <x v="14"/>
    <s v="Adjusted EPS"/>
    <n v="0.48"/>
  </r>
  <r>
    <x v="86"/>
    <x v="6"/>
    <x v="23"/>
    <x v="40"/>
    <s v="Credit Rating Agency"/>
    <x v="2"/>
    <s v="BBB"/>
    <s v="United States"/>
    <x v="0"/>
    <d v="2024-03-22T00:00:00"/>
    <x v="1"/>
    <x v="1"/>
    <x v="1"/>
    <m/>
    <s v="Cash Incentive"/>
    <n v="0.14480000000000001"/>
    <x v="1"/>
    <s v="Growth"/>
    <x v="1"/>
    <s v="Adjusted Revenue "/>
    <n v="0.23"/>
  </r>
  <r>
    <x v="86"/>
    <x v="6"/>
    <x v="23"/>
    <x v="40"/>
    <s v="Credit Rating Agency"/>
    <x v="2"/>
    <s v="BBB"/>
    <s v="United States"/>
    <x v="0"/>
    <d v="2024-03-22T00:00:00"/>
    <x v="1"/>
    <x v="1"/>
    <x v="1"/>
    <m/>
    <s v="Cash Incentive"/>
    <n v="0.14480000000000001"/>
    <x v="1"/>
    <s v="Profitability"/>
    <x v="2"/>
    <s v="Business Unit Operating Income"/>
    <n v="0.1"/>
  </r>
  <r>
    <x v="86"/>
    <x v="6"/>
    <x v="23"/>
    <x v="40"/>
    <s v="Credit Rating Agency"/>
    <x v="2"/>
    <s v="BBB"/>
    <s v="United States"/>
    <x v="0"/>
    <d v="2024-03-22T00:00:00"/>
    <x v="1"/>
    <x v="1"/>
    <x v="1"/>
    <m/>
    <s v="Cash Incentive"/>
    <n v="0.14480000000000001"/>
    <x v="2"/>
    <s v="Individual Assessment"/>
    <x v="13"/>
    <s v="Individual Performance Assessment"/>
    <n v="0.2"/>
  </r>
  <r>
    <x v="86"/>
    <x v="6"/>
    <x v="23"/>
    <x v="40"/>
    <s v="Credit Rating Agency"/>
    <x v="2"/>
    <s v="BBB"/>
    <s v="United States"/>
    <x v="0"/>
    <d v="2024-03-22T00:00:00"/>
    <x v="1"/>
    <x v="1"/>
    <x v="1"/>
    <m/>
    <s v="Cash Incentive"/>
    <n v="0.14480000000000001"/>
    <x v="0"/>
    <s v="Modifier/Threshold"/>
    <x v="34"/>
    <s v="Discretionary Adjustment"/>
    <m/>
  </r>
  <r>
    <x v="86"/>
    <x v="6"/>
    <x v="23"/>
    <x v="40"/>
    <s v="Credit Rating Agency"/>
    <x v="2"/>
    <s v="BBB"/>
    <s v="United States"/>
    <x v="0"/>
    <d v="2024-03-22T00:00:00"/>
    <x v="1"/>
    <x v="2"/>
    <x v="1"/>
    <n v="0.35520000000000002"/>
    <s v="Performance Stock"/>
    <n v="0.35520000000000002"/>
    <x v="3"/>
    <s v="Stock Performance"/>
    <x v="11"/>
    <s v="3Y Relative TSR"/>
    <n v="0.5"/>
  </r>
  <r>
    <x v="86"/>
    <x v="6"/>
    <x v="23"/>
    <x v="40"/>
    <s v="Credit Rating Agency"/>
    <x v="2"/>
    <s v="BBB"/>
    <s v="United States"/>
    <x v="0"/>
    <d v="2024-03-22T00:00:00"/>
    <x v="1"/>
    <x v="2"/>
    <x v="1"/>
    <m/>
    <s v="Performance Stock"/>
    <n v="0.35520000000000002"/>
    <x v="1"/>
    <s v="Profitability"/>
    <x v="32"/>
    <s v="Adjusted EBITDA"/>
    <n v="0.5"/>
  </r>
  <r>
    <x v="86"/>
    <x v="6"/>
    <x v="23"/>
    <x v="40"/>
    <s v="Credit Rating Agency"/>
    <x v="2"/>
    <s v="BBB"/>
    <s v="United States"/>
    <x v="0"/>
    <d v="2024-03-22T00:00:00"/>
    <x v="1"/>
    <x v="2"/>
    <x v="1"/>
    <m/>
    <s v="Performance Stock"/>
    <n v="0.35520000000000002"/>
    <x v="0"/>
    <s v="Modifier/Threshold"/>
    <x v="12"/>
    <s v="3Y Absolute TSR"/>
    <m/>
  </r>
  <r>
    <x v="86"/>
    <x v="6"/>
    <x v="23"/>
    <x v="40"/>
    <s v="Credit Rating Agency"/>
    <x v="2"/>
    <s v="BBB"/>
    <s v="United States"/>
    <x v="0"/>
    <d v="2024-03-22T00:00:00"/>
    <x v="1"/>
    <x v="2"/>
    <x v="0"/>
    <n v="0.17760000000000001"/>
    <s v="Stock Options"/>
    <n v="0.17760000000000001"/>
    <x v="0"/>
    <m/>
    <x v="0"/>
    <m/>
    <m/>
  </r>
  <r>
    <x v="86"/>
    <x v="6"/>
    <x v="23"/>
    <x v="40"/>
    <s v="Credit Rating Agency"/>
    <x v="2"/>
    <s v="BBB"/>
    <s v="United States"/>
    <x v="0"/>
    <d v="2024-03-22T00:00:00"/>
    <x v="1"/>
    <x v="2"/>
    <x v="0"/>
    <n v="0.17760000000000001"/>
    <s v="Time-Based Stock"/>
    <n v="0.17760000000000001"/>
    <x v="0"/>
    <m/>
    <x v="0"/>
    <m/>
    <m/>
  </r>
  <r>
    <x v="87"/>
    <x v="5"/>
    <x v="8"/>
    <x v="8"/>
    <s v="Bank"/>
    <x v="2"/>
    <s v="A-"/>
    <s v="United States"/>
    <x v="0"/>
    <d v="2024-03-13T00:00:00"/>
    <x v="0"/>
    <x v="0"/>
    <x v="0"/>
    <n v="7.0000000000000007E-2"/>
    <s v="Base Salary"/>
    <n v="7.0000000000000007E-2"/>
    <x v="0"/>
    <m/>
    <x v="0"/>
    <m/>
    <m/>
  </r>
  <r>
    <x v="87"/>
    <x v="5"/>
    <x v="8"/>
    <x v="8"/>
    <s v="Bank"/>
    <x v="2"/>
    <s v="A-"/>
    <s v="United States"/>
    <x v="0"/>
    <d v="2024-03-13T00:00:00"/>
    <x v="0"/>
    <x v="1"/>
    <x v="1"/>
    <n v="0.23"/>
    <s v="Cash Incentive"/>
    <n v="0.23"/>
    <x v="2"/>
    <s v="Strategy &amp; Operations"/>
    <x v="3"/>
    <s v="Corporate Assessment"/>
    <n v="1"/>
  </r>
  <r>
    <x v="87"/>
    <x v="5"/>
    <x v="8"/>
    <x v="8"/>
    <s v="Bank"/>
    <x v="2"/>
    <s v="A-"/>
    <s v="United States"/>
    <x v="0"/>
    <d v="2024-03-13T00:00:00"/>
    <x v="0"/>
    <x v="1"/>
    <x v="1"/>
    <m/>
    <s v="Cash Incentive"/>
    <n v="0.23"/>
    <x v="0"/>
    <s v="Modifier/Threshold"/>
    <x v="10"/>
    <s v="Individual Performance Factor"/>
    <m/>
  </r>
  <r>
    <x v="87"/>
    <x v="5"/>
    <x v="8"/>
    <x v="8"/>
    <s v="Bank"/>
    <x v="2"/>
    <s v="A-"/>
    <s v="United States"/>
    <x v="0"/>
    <d v="2024-03-13T00:00:00"/>
    <x v="0"/>
    <x v="1"/>
    <x v="1"/>
    <m/>
    <s v="Cash Incentive"/>
    <n v="0.23"/>
    <x v="0"/>
    <s v="Modifier/Threshold"/>
    <x v="34"/>
    <s v="Discretionary Adjustment"/>
    <m/>
  </r>
  <r>
    <x v="87"/>
    <x v="5"/>
    <x v="8"/>
    <x v="8"/>
    <s v="Bank"/>
    <x v="2"/>
    <s v="A-"/>
    <s v="United States"/>
    <x v="0"/>
    <d v="2024-03-13T00:00:00"/>
    <x v="0"/>
    <x v="2"/>
    <x v="1"/>
    <n v="0.42"/>
    <s v="Performance Stock"/>
    <n v="0.42"/>
    <x v="1"/>
    <s v="Profitability"/>
    <x v="80"/>
    <s v="3Y Relative Average Adjusted EPS Growth "/>
    <n v="0.5"/>
  </r>
  <r>
    <x v="87"/>
    <x v="5"/>
    <x v="8"/>
    <x v="8"/>
    <s v="Bank"/>
    <x v="2"/>
    <s v="A-"/>
    <s v="United States"/>
    <x v="0"/>
    <d v="2024-03-13T00:00:00"/>
    <x v="0"/>
    <x v="2"/>
    <x v="1"/>
    <m/>
    <s v="Performance Stock"/>
    <n v="0.42"/>
    <x v="1"/>
    <s v="Return"/>
    <x v="21"/>
    <s v="3Y Average Adjusted Return on Equity"/>
    <n v="0.5"/>
  </r>
  <r>
    <x v="87"/>
    <x v="5"/>
    <x v="8"/>
    <x v="8"/>
    <s v="Bank"/>
    <x v="2"/>
    <s v="A-"/>
    <s v="United States"/>
    <x v="0"/>
    <d v="2024-03-13T00:00:00"/>
    <x v="0"/>
    <x v="2"/>
    <x v="1"/>
    <m/>
    <s v="Performance Stock"/>
    <n v="0.42"/>
    <x v="0"/>
    <s v="Modifier/Threshold"/>
    <x v="34"/>
    <s v="Discretionary Adjustment"/>
    <m/>
  </r>
  <r>
    <x v="87"/>
    <x v="5"/>
    <x v="8"/>
    <x v="8"/>
    <s v="Bank"/>
    <x v="2"/>
    <s v="A-"/>
    <s v="United States"/>
    <x v="0"/>
    <d v="2024-03-13T00:00:00"/>
    <x v="0"/>
    <x v="2"/>
    <x v="1"/>
    <m/>
    <s v="Performance Stock"/>
    <n v="0.42"/>
    <x v="0"/>
    <s v="Modifier/Threshold"/>
    <x v="23"/>
    <s v="Common Equity Tier 1 Capital Ratio"/>
    <m/>
  </r>
  <r>
    <x v="87"/>
    <x v="5"/>
    <x v="8"/>
    <x v="8"/>
    <s v="Bank"/>
    <x v="2"/>
    <s v="A-"/>
    <s v="United States"/>
    <x v="0"/>
    <d v="2024-03-13T00:00:00"/>
    <x v="0"/>
    <x v="2"/>
    <x v="1"/>
    <n v="0.28000000000000003"/>
    <s v="Time-Based Stock"/>
    <n v="0.28000000000000003"/>
    <x v="0"/>
    <s v="Modifier/Threshold"/>
    <x v="23"/>
    <s v="Common Equity Tier 1 Capital Ratio"/>
    <m/>
  </r>
  <r>
    <x v="87"/>
    <x v="5"/>
    <x v="8"/>
    <x v="8"/>
    <s v="Bank"/>
    <x v="2"/>
    <s v="A-"/>
    <s v="United States"/>
    <x v="0"/>
    <d v="2024-03-13T00:00:00"/>
    <x v="1"/>
    <x v="0"/>
    <x v="0"/>
    <n v="0.11"/>
    <s v="Base Salary"/>
    <n v="0.11"/>
    <x v="0"/>
    <m/>
    <x v="0"/>
    <m/>
    <m/>
  </r>
  <r>
    <x v="87"/>
    <x v="5"/>
    <x v="8"/>
    <x v="8"/>
    <s v="Bank"/>
    <x v="2"/>
    <s v="A-"/>
    <s v="United States"/>
    <x v="0"/>
    <d v="2024-03-13T00:00:00"/>
    <x v="1"/>
    <x v="1"/>
    <x v="1"/>
    <n v="0.34"/>
    <s v="Cash Incentive"/>
    <n v="0.34"/>
    <x v="2"/>
    <s v="Strategy &amp; Operations"/>
    <x v="3"/>
    <s v="Corporate Assessment"/>
    <n v="1"/>
  </r>
  <r>
    <x v="87"/>
    <x v="5"/>
    <x v="8"/>
    <x v="8"/>
    <s v="Bank"/>
    <x v="2"/>
    <s v="A-"/>
    <s v="United States"/>
    <x v="0"/>
    <d v="2024-03-13T00:00:00"/>
    <x v="1"/>
    <x v="1"/>
    <x v="1"/>
    <m/>
    <s v="Cash Incentive"/>
    <n v="0.34"/>
    <x v="0"/>
    <s v="Modifier/Threshold"/>
    <x v="10"/>
    <s v="Individual Performance Factor"/>
    <m/>
  </r>
  <r>
    <x v="87"/>
    <x v="5"/>
    <x v="8"/>
    <x v="8"/>
    <s v="Bank"/>
    <x v="2"/>
    <s v="A-"/>
    <s v="United States"/>
    <x v="0"/>
    <d v="2024-03-13T00:00:00"/>
    <x v="1"/>
    <x v="1"/>
    <x v="1"/>
    <m/>
    <s v="Cash Incentive"/>
    <n v="0.34"/>
    <x v="0"/>
    <s v="Modifier/Threshold"/>
    <x v="34"/>
    <s v="Discretionary Adjustment"/>
    <m/>
  </r>
  <r>
    <x v="87"/>
    <x v="5"/>
    <x v="8"/>
    <x v="8"/>
    <s v="Bank"/>
    <x v="2"/>
    <s v="A-"/>
    <s v="United States"/>
    <x v="0"/>
    <d v="2024-03-13T00:00:00"/>
    <x v="1"/>
    <x v="2"/>
    <x v="1"/>
    <n v="0.33"/>
    <s v="Performance Stock"/>
    <n v="0.33"/>
    <x v="1"/>
    <s v="Profitability"/>
    <x v="80"/>
    <s v="3Y Relative Average Adjusted EPS Growth "/>
    <n v="0.5"/>
  </r>
  <r>
    <x v="87"/>
    <x v="5"/>
    <x v="8"/>
    <x v="8"/>
    <s v="Bank"/>
    <x v="2"/>
    <s v="A-"/>
    <s v="United States"/>
    <x v="0"/>
    <d v="2024-03-13T00:00:00"/>
    <x v="1"/>
    <x v="2"/>
    <x v="1"/>
    <m/>
    <s v="Performance Stock"/>
    <n v="0.33"/>
    <x v="1"/>
    <s v="Return"/>
    <x v="21"/>
    <s v="3Y Average Adjusted Return on Equity"/>
    <n v="0.5"/>
  </r>
  <r>
    <x v="87"/>
    <x v="5"/>
    <x v="8"/>
    <x v="8"/>
    <s v="Bank"/>
    <x v="2"/>
    <s v="A-"/>
    <s v="United States"/>
    <x v="0"/>
    <d v="2024-03-13T00:00:00"/>
    <x v="1"/>
    <x v="2"/>
    <x v="1"/>
    <m/>
    <s v="Performance Stock"/>
    <n v="0.33"/>
    <x v="0"/>
    <s v="Modifier/Threshold"/>
    <x v="34"/>
    <s v="Discretionary Adjustment"/>
    <m/>
  </r>
  <r>
    <x v="87"/>
    <x v="5"/>
    <x v="8"/>
    <x v="8"/>
    <s v="Bank"/>
    <x v="2"/>
    <s v="A-"/>
    <s v="United States"/>
    <x v="0"/>
    <d v="2024-03-13T00:00:00"/>
    <x v="1"/>
    <x v="2"/>
    <x v="1"/>
    <m/>
    <s v="Performance Stock"/>
    <n v="0.33"/>
    <x v="0"/>
    <s v="Modifier/Threshold"/>
    <x v="23"/>
    <s v="Common Equity Tier 1 Capital Ratio"/>
    <m/>
  </r>
  <r>
    <x v="87"/>
    <x v="5"/>
    <x v="8"/>
    <x v="8"/>
    <s v="Bank"/>
    <x v="2"/>
    <s v="A-"/>
    <s v="United States"/>
    <x v="0"/>
    <d v="2024-03-13T00:00:00"/>
    <x v="1"/>
    <x v="2"/>
    <x v="1"/>
    <n v="0.22"/>
    <s v="Time-Based Stock"/>
    <n v="0.22"/>
    <x v="0"/>
    <s v="Modifier/Threshold"/>
    <x v="23"/>
    <s v="Common Equity Tier 1 Capital Ratio"/>
    <m/>
  </r>
  <r>
    <x v="88"/>
    <x v="5"/>
    <x v="9"/>
    <x v="24"/>
    <s v="Financial Services"/>
    <x v="0"/>
    <s v="A3"/>
    <s v="United States"/>
    <x v="0"/>
    <d v="2024-03-19T00:00:00"/>
    <x v="0"/>
    <x v="0"/>
    <x v="0"/>
    <n v="7.0000000000000007E-2"/>
    <s v="Base Salary"/>
    <n v="7.0000000000000007E-2"/>
    <x v="0"/>
    <m/>
    <x v="0"/>
    <m/>
    <m/>
  </r>
  <r>
    <x v="88"/>
    <x v="5"/>
    <x v="9"/>
    <x v="24"/>
    <s v="Financial Services"/>
    <x v="0"/>
    <s v="A3"/>
    <s v="United States"/>
    <x v="0"/>
    <d v="2024-03-19T00:00:00"/>
    <x v="0"/>
    <x v="1"/>
    <x v="1"/>
    <n v="0.19"/>
    <s v="Cash Incentive"/>
    <n v="0.19"/>
    <x v="1"/>
    <s v="Growth"/>
    <x v="1"/>
    <s v="Adjusted Revenue Growth"/>
    <n v="0.24499999999999997"/>
  </r>
  <r>
    <x v="88"/>
    <x v="5"/>
    <x v="9"/>
    <x v="24"/>
    <s v="Financial Services"/>
    <x v="0"/>
    <s v="A3"/>
    <s v="United States"/>
    <x v="0"/>
    <d v="2024-03-19T00:00:00"/>
    <x v="0"/>
    <x v="1"/>
    <x v="1"/>
    <m/>
    <s v="Cash Incentive"/>
    <n v="0.19"/>
    <x v="1"/>
    <s v="Profitability"/>
    <x v="86"/>
    <s v="Adjusted EBITA Margin"/>
    <n v="0.24499999999999997"/>
  </r>
  <r>
    <x v="88"/>
    <x v="5"/>
    <x v="9"/>
    <x v="24"/>
    <s v="Financial Services"/>
    <x v="0"/>
    <s v="A3"/>
    <s v="United States"/>
    <x v="0"/>
    <d v="2024-03-19T00:00:00"/>
    <x v="0"/>
    <x v="1"/>
    <x v="1"/>
    <m/>
    <s v="Cash Incentive"/>
    <n v="0.19"/>
    <x v="2"/>
    <s v="Strategy &amp; Operations"/>
    <x v="3"/>
    <s v="Growth &amp; Innovation"/>
    <n v="4.1999999999999996E-2"/>
  </r>
  <r>
    <x v="88"/>
    <x v="5"/>
    <x v="9"/>
    <x v="24"/>
    <s v="Financial Services"/>
    <x v="0"/>
    <s v="A3"/>
    <s v="United States"/>
    <x v="0"/>
    <d v="2024-03-19T00:00:00"/>
    <x v="0"/>
    <x v="1"/>
    <x v="1"/>
    <m/>
    <s v="Cash Incentive"/>
    <n v="0.19"/>
    <x v="2"/>
    <s v="Strategy &amp; Operations"/>
    <x v="3"/>
    <s v="Customer at the Core"/>
    <n v="4.1999999999999996E-2"/>
  </r>
  <r>
    <x v="88"/>
    <x v="5"/>
    <x v="9"/>
    <x v="24"/>
    <s v="Financial Services"/>
    <x v="0"/>
    <s v="A3"/>
    <s v="United States"/>
    <x v="0"/>
    <d v="2024-03-19T00:00:00"/>
    <x v="0"/>
    <x v="1"/>
    <x v="1"/>
    <m/>
    <s v="Cash Incentive"/>
    <n v="0.19"/>
    <x v="2"/>
    <s v="Strategy &amp; Operations"/>
    <x v="3"/>
    <s v="Data &amp; Technology"/>
    <n v="4.1999999999999996E-2"/>
  </r>
  <r>
    <x v="88"/>
    <x v="5"/>
    <x v="9"/>
    <x v="24"/>
    <s v="Financial Services"/>
    <x v="0"/>
    <s v="A3"/>
    <s v="United States"/>
    <x v="0"/>
    <d v="2024-03-19T00:00:00"/>
    <x v="0"/>
    <x v="1"/>
    <x v="1"/>
    <m/>
    <s v="Cash Incentive"/>
    <n v="0.19"/>
    <x v="2"/>
    <s v="Strategy &amp; Operations"/>
    <x v="3"/>
    <s v="Lead &amp; Inspire "/>
    <n v="4.1999999999999996E-2"/>
  </r>
  <r>
    <x v="88"/>
    <x v="5"/>
    <x v="9"/>
    <x v="24"/>
    <s v="Financial Services"/>
    <x v="0"/>
    <s v="A3"/>
    <s v="United States"/>
    <x v="0"/>
    <d v="2024-03-19T00:00:00"/>
    <x v="0"/>
    <x v="1"/>
    <x v="1"/>
    <m/>
    <s v="Cash Incentive"/>
    <n v="0.19"/>
    <x v="2"/>
    <s v="Strategy &amp; Operations"/>
    <x v="3"/>
    <s v="Execute &amp; Deliver"/>
    <n v="4.1999999999999996E-2"/>
  </r>
  <r>
    <x v="88"/>
    <x v="5"/>
    <x v="9"/>
    <x v="24"/>
    <s v="Financial Services"/>
    <x v="0"/>
    <s v="A3"/>
    <s v="United States"/>
    <x v="0"/>
    <d v="2024-03-19T00:00:00"/>
    <x v="0"/>
    <x v="1"/>
    <x v="1"/>
    <m/>
    <s v="Cash Incentive"/>
    <n v="0.19"/>
    <x v="2"/>
    <s v="Individual Assessment"/>
    <x v="13"/>
    <s v="Individual Performance Assessment"/>
    <n v="0.3"/>
  </r>
  <r>
    <x v="88"/>
    <x v="5"/>
    <x v="9"/>
    <x v="24"/>
    <s v="Financial Services"/>
    <x v="0"/>
    <s v="A3"/>
    <s v="United States"/>
    <x v="0"/>
    <d v="2024-03-19T00:00:00"/>
    <x v="0"/>
    <x v="2"/>
    <x v="1"/>
    <n v="0.51800000000000002"/>
    <s v="Performance Stock"/>
    <n v="0.51800000000000002"/>
    <x v="1"/>
    <s v="Profitability"/>
    <x v="14"/>
    <s v="Adjusted EPS"/>
    <n v="1"/>
  </r>
  <r>
    <x v="88"/>
    <x v="5"/>
    <x v="9"/>
    <x v="24"/>
    <s v="Financial Services"/>
    <x v="0"/>
    <s v="A3"/>
    <s v="United States"/>
    <x v="0"/>
    <d v="2024-03-19T00:00:00"/>
    <x v="0"/>
    <x v="2"/>
    <x v="0"/>
    <n v="0.222"/>
    <s v="Time-Based Stock"/>
    <n v="0.222"/>
    <x v="0"/>
    <m/>
    <x v="0"/>
    <m/>
    <m/>
  </r>
  <r>
    <x v="88"/>
    <x v="5"/>
    <x v="9"/>
    <x v="24"/>
    <s v="Financial Services"/>
    <x v="0"/>
    <s v="A3"/>
    <s v="United States"/>
    <x v="0"/>
    <d v="2024-03-19T00:00:00"/>
    <x v="1"/>
    <x v="0"/>
    <x v="0"/>
    <n v="0.14269406392694065"/>
    <s v="Base Salary"/>
    <n v="0.14269406392694065"/>
    <x v="0"/>
    <m/>
    <x v="0"/>
    <m/>
    <m/>
  </r>
  <r>
    <x v="88"/>
    <x v="5"/>
    <x v="9"/>
    <x v="24"/>
    <s v="Financial Services"/>
    <x v="0"/>
    <s v="A3"/>
    <s v="United States"/>
    <x v="0"/>
    <d v="2024-03-19T00:00:00"/>
    <x v="1"/>
    <x v="1"/>
    <x v="1"/>
    <n v="0.25799086757990869"/>
    <s v="Cash Incentive"/>
    <n v="0.25799086757990869"/>
    <x v="1"/>
    <s v="Growth"/>
    <x v="1"/>
    <s v="Adjusted Revenue Growth"/>
    <n v="0.24499999999999997"/>
  </r>
  <r>
    <x v="88"/>
    <x v="5"/>
    <x v="9"/>
    <x v="24"/>
    <s v="Financial Services"/>
    <x v="0"/>
    <s v="A3"/>
    <s v="United States"/>
    <x v="0"/>
    <d v="2024-03-19T00:00:00"/>
    <x v="1"/>
    <x v="1"/>
    <x v="1"/>
    <m/>
    <s v="Cash Incentive"/>
    <n v="0.25799086757990869"/>
    <x v="1"/>
    <s v="Profitability"/>
    <x v="86"/>
    <s v="Adjusted EBITA Margin"/>
    <n v="0.24499999999999997"/>
  </r>
  <r>
    <x v="88"/>
    <x v="5"/>
    <x v="9"/>
    <x v="24"/>
    <s v="Financial Services"/>
    <x v="0"/>
    <s v="A3"/>
    <s v="United States"/>
    <x v="0"/>
    <d v="2024-03-19T00:00:00"/>
    <x v="1"/>
    <x v="1"/>
    <x v="1"/>
    <m/>
    <s v="Cash Incentive"/>
    <n v="0.25799086757990869"/>
    <x v="2"/>
    <s v="Strategy &amp; Operations"/>
    <x v="3"/>
    <s v="Growth &amp; Innovation"/>
    <n v="4.1999999999999996E-2"/>
  </r>
  <r>
    <x v="88"/>
    <x v="5"/>
    <x v="9"/>
    <x v="24"/>
    <s v="Financial Services"/>
    <x v="0"/>
    <s v="A3"/>
    <s v="United States"/>
    <x v="0"/>
    <d v="2024-03-19T00:00:00"/>
    <x v="1"/>
    <x v="1"/>
    <x v="1"/>
    <m/>
    <s v="Cash Incentive"/>
    <n v="0.25799086757990869"/>
    <x v="2"/>
    <s v="Strategy &amp; Operations"/>
    <x v="3"/>
    <s v="Customer at the Core"/>
    <n v="4.1999999999999996E-2"/>
  </r>
  <r>
    <x v="88"/>
    <x v="5"/>
    <x v="9"/>
    <x v="24"/>
    <s v="Financial Services"/>
    <x v="0"/>
    <s v="A3"/>
    <s v="United States"/>
    <x v="0"/>
    <d v="2024-03-19T00:00:00"/>
    <x v="1"/>
    <x v="1"/>
    <x v="1"/>
    <m/>
    <s v="Cash Incentive"/>
    <n v="0.25799086757990869"/>
    <x v="2"/>
    <s v="Strategy &amp; Operations"/>
    <x v="3"/>
    <s v="Data &amp; Technology"/>
    <n v="4.1999999999999996E-2"/>
  </r>
  <r>
    <x v="88"/>
    <x v="5"/>
    <x v="9"/>
    <x v="24"/>
    <s v="Financial Services"/>
    <x v="0"/>
    <s v="A3"/>
    <s v="United States"/>
    <x v="0"/>
    <d v="2024-03-19T00:00:00"/>
    <x v="1"/>
    <x v="1"/>
    <x v="1"/>
    <m/>
    <s v="Cash Incentive"/>
    <n v="0.25799086757990869"/>
    <x v="2"/>
    <s v="Strategy &amp; Operations"/>
    <x v="3"/>
    <s v="Lead &amp; Inspire "/>
    <n v="4.1999999999999996E-2"/>
  </r>
  <r>
    <x v="88"/>
    <x v="5"/>
    <x v="9"/>
    <x v="24"/>
    <s v="Financial Services"/>
    <x v="0"/>
    <s v="A3"/>
    <s v="United States"/>
    <x v="0"/>
    <d v="2024-03-19T00:00:00"/>
    <x v="1"/>
    <x v="1"/>
    <x v="1"/>
    <m/>
    <s v="Cash Incentive"/>
    <n v="0.25799086757990869"/>
    <x v="2"/>
    <s v="Strategy &amp; Operations"/>
    <x v="3"/>
    <s v="Execute &amp; Deliver"/>
    <n v="4.1999999999999996E-2"/>
  </r>
  <r>
    <x v="88"/>
    <x v="5"/>
    <x v="9"/>
    <x v="24"/>
    <s v="Financial Services"/>
    <x v="0"/>
    <s v="A3"/>
    <s v="United States"/>
    <x v="0"/>
    <d v="2024-03-19T00:00:00"/>
    <x v="1"/>
    <x v="1"/>
    <x v="1"/>
    <m/>
    <s v="Cash Incentive"/>
    <n v="0.25799086757990869"/>
    <x v="2"/>
    <s v="Individual Assessment"/>
    <x v="13"/>
    <s v="Individual Performance Assessment"/>
    <n v="0.3"/>
  </r>
  <r>
    <x v="88"/>
    <x v="5"/>
    <x v="9"/>
    <x v="24"/>
    <s v="Financial Services"/>
    <x v="0"/>
    <s v="A3"/>
    <s v="United States"/>
    <x v="0"/>
    <d v="2024-03-19T00:00:00"/>
    <x v="1"/>
    <x v="2"/>
    <x v="1"/>
    <n v="0.34280821917808219"/>
    <s v="Performance Stock"/>
    <n v="0.34280821917808219"/>
    <x v="1"/>
    <s v="Profitability"/>
    <x v="14"/>
    <s v="Adjusted EPS"/>
    <n v="1"/>
  </r>
  <r>
    <x v="88"/>
    <x v="5"/>
    <x v="9"/>
    <x v="24"/>
    <s v="Financial Services"/>
    <x v="0"/>
    <s v="A3"/>
    <s v="United States"/>
    <x v="0"/>
    <d v="2024-03-19T00:00:00"/>
    <x v="1"/>
    <x v="2"/>
    <x v="1"/>
    <n v="0.1095890410958904"/>
    <s v="Long-Term Cash Incentive"/>
    <n v="0.1095890410958904"/>
    <x v="1"/>
    <s v="Profitability"/>
    <x v="87"/>
    <s v="3Y S&amp;P Dow Jones Indices Adjusted EBITA Growth"/>
    <n v="1"/>
  </r>
  <r>
    <x v="88"/>
    <x v="5"/>
    <x v="9"/>
    <x v="24"/>
    <s v="Financial Services"/>
    <x v="0"/>
    <s v="A3"/>
    <s v="United States"/>
    <x v="0"/>
    <d v="2024-03-19T00:00:00"/>
    <x v="1"/>
    <x v="2"/>
    <x v="0"/>
    <n v="0.14691780821917808"/>
    <s v="Time-Based Stock"/>
    <n v="0.14691780821917808"/>
    <x v="0"/>
    <m/>
    <x v="0"/>
    <m/>
    <m/>
  </r>
  <r>
    <x v="89"/>
    <x v="10"/>
    <x v="22"/>
    <x v="41"/>
    <s v="REIT"/>
    <x v="1"/>
    <s v="BBB+"/>
    <s v="United States"/>
    <x v="0"/>
    <d v="2024-04-12T00:00:00"/>
    <x v="0"/>
    <x v="0"/>
    <x v="0"/>
    <n v="0.09"/>
    <s v="Base Salary"/>
    <n v="0.09"/>
    <x v="0"/>
    <m/>
    <x v="0"/>
    <m/>
    <m/>
  </r>
  <r>
    <x v="89"/>
    <x v="10"/>
    <x v="22"/>
    <x v="41"/>
    <s v="REIT"/>
    <x v="1"/>
    <s v="BBB+"/>
    <s v="United States"/>
    <x v="0"/>
    <d v="2024-04-12T00:00:00"/>
    <x v="0"/>
    <x v="1"/>
    <x v="1"/>
    <n v="0.21"/>
    <s v="Cash Incentive"/>
    <n v="0.21"/>
    <x v="1"/>
    <s v="Profitability"/>
    <x v="82"/>
    <s v="Adjusted Funds from Operations per Share"/>
    <n v="0.35"/>
  </r>
  <r>
    <x v="89"/>
    <x v="10"/>
    <x v="22"/>
    <x v="41"/>
    <s v="REIT"/>
    <x v="1"/>
    <s v="BBB+"/>
    <s v="United States"/>
    <x v="0"/>
    <d v="2024-04-12T00:00:00"/>
    <x v="0"/>
    <x v="1"/>
    <x v="1"/>
    <m/>
    <s v="Cash Incentive"/>
    <n v="0.21"/>
    <x v="1"/>
    <s v="Profitability"/>
    <x v="3"/>
    <s v="Adjusted Fixed Charge Coverage"/>
    <n v="0.15"/>
  </r>
  <r>
    <x v="89"/>
    <x v="10"/>
    <x v="22"/>
    <x v="41"/>
    <s v="REIT"/>
    <x v="1"/>
    <s v="BBB+"/>
    <s v="United States"/>
    <x v="0"/>
    <d v="2024-04-12T00:00:00"/>
    <x v="0"/>
    <x v="1"/>
    <x v="1"/>
    <m/>
    <s v="Cash Incentive"/>
    <n v="0.21"/>
    <x v="1"/>
    <s v="Profitability"/>
    <x v="3"/>
    <s v="General and Administrative Expense Controls"/>
    <n v="0.15"/>
  </r>
  <r>
    <x v="89"/>
    <x v="10"/>
    <x v="22"/>
    <x v="41"/>
    <s v="REIT"/>
    <x v="1"/>
    <s v="BBB+"/>
    <s v="United States"/>
    <x v="0"/>
    <d v="2024-04-12T00:00:00"/>
    <x v="0"/>
    <x v="1"/>
    <x v="1"/>
    <m/>
    <s v="Cash Incentive"/>
    <n v="0.21"/>
    <x v="2"/>
    <s v="ESG"/>
    <x v="7"/>
    <s v="ESG Measures"/>
    <n v="0.1"/>
  </r>
  <r>
    <x v="89"/>
    <x v="10"/>
    <x v="22"/>
    <x v="41"/>
    <s v="REIT"/>
    <x v="1"/>
    <s v="BBB+"/>
    <s v="United States"/>
    <x v="0"/>
    <d v="2024-04-12T00:00:00"/>
    <x v="0"/>
    <x v="1"/>
    <x v="1"/>
    <m/>
    <s v="Cash Incentive"/>
    <n v="0.21"/>
    <x v="2"/>
    <s v="Individual Assessment"/>
    <x v="13"/>
    <s v="Individual Performance Assessment"/>
    <n v="0.25"/>
  </r>
  <r>
    <x v="89"/>
    <x v="10"/>
    <x v="22"/>
    <x v="41"/>
    <s v="REIT"/>
    <x v="1"/>
    <s v="BBB+"/>
    <s v="United States"/>
    <x v="0"/>
    <d v="2024-04-12T00:00:00"/>
    <x v="0"/>
    <x v="2"/>
    <x v="1"/>
    <n v="0.49"/>
    <s v="Performance Stock"/>
    <n v="0.49"/>
    <x v="3"/>
    <s v="Stock Performance"/>
    <x v="11"/>
    <s v="3Y Relative TSR"/>
    <n v="0.8"/>
  </r>
  <r>
    <x v="89"/>
    <x v="10"/>
    <x v="22"/>
    <x v="41"/>
    <s v="REIT"/>
    <x v="1"/>
    <s v="BBB+"/>
    <s v="United States"/>
    <x v="0"/>
    <d v="2024-04-12T00:00:00"/>
    <x v="0"/>
    <x v="2"/>
    <x v="1"/>
    <m/>
    <s v="Performance Stock"/>
    <n v="0.49"/>
    <x v="1"/>
    <s v="Leverage"/>
    <x v="88"/>
    <s v="(Net Debt + Preferred)/Annualized Adjusted EBITDA"/>
    <n v="0.2"/>
  </r>
  <r>
    <x v="89"/>
    <x v="10"/>
    <x v="22"/>
    <x v="41"/>
    <s v="REIT"/>
    <x v="1"/>
    <s v="BBB+"/>
    <s v="United States"/>
    <x v="0"/>
    <d v="2024-04-12T00:00:00"/>
    <x v="0"/>
    <x v="2"/>
    <x v="0"/>
    <n v="0.21"/>
    <s v="Time-Based Stock"/>
    <n v="0.21"/>
    <x v="0"/>
    <m/>
    <x v="0"/>
    <m/>
    <m/>
  </r>
  <r>
    <x v="89"/>
    <x v="10"/>
    <x v="22"/>
    <x v="41"/>
    <s v="REIT"/>
    <x v="1"/>
    <s v="BBB+"/>
    <s v="United States"/>
    <x v="0"/>
    <d v="2024-04-12T00:00:00"/>
    <x v="1"/>
    <x v="0"/>
    <x v="0"/>
    <n v="0.16400000000000001"/>
    <s v="Base Salary"/>
    <n v="0.16400000000000001"/>
    <x v="0"/>
    <m/>
    <x v="0"/>
    <m/>
    <m/>
  </r>
  <r>
    <x v="89"/>
    <x v="10"/>
    <x v="22"/>
    <x v="41"/>
    <s v="REIT"/>
    <x v="1"/>
    <s v="BBB+"/>
    <s v="United States"/>
    <x v="0"/>
    <d v="2024-04-12T00:00:00"/>
    <x v="1"/>
    <x v="1"/>
    <x v="1"/>
    <n v="0.218"/>
    <s v="Cash Incentive"/>
    <n v="0.218"/>
    <x v="1"/>
    <s v="Profitability"/>
    <x v="82"/>
    <s v="Adjusted Funds from Operations per Share"/>
    <n v="0.35"/>
  </r>
  <r>
    <x v="89"/>
    <x v="10"/>
    <x v="22"/>
    <x v="41"/>
    <s v="REIT"/>
    <x v="1"/>
    <s v="BBB+"/>
    <s v="United States"/>
    <x v="0"/>
    <d v="2024-04-12T00:00:00"/>
    <x v="1"/>
    <x v="1"/>
    <x v="1"/>
    <m/>
    <s v="Cash Incentive"/>
    <n v="0.218"/>
    <x v="1"/>
    <s v="Profitability"/>
    <x v="3"/>
    <s v="Adjusted Fixed Charge Coverage"/>
    <n v="0.15"/>
  </r>
  <r>
    <x v="89"/>
    <x v="10"/>
    <x v="22"/>
    <x v="41"/>
    <s v="REIT"/>
    <x v="1"/>
    <s v="BBB+"/>
    <s v="United States"/>
    <x v="0"/>
    <d v="2024-04-12T00:00:00"/>
    <x v="1"/>
    <x v="1"/>
    <x v="1"/>
    <m/>
    <s v="Cash Incentive"/>
    <n v="0.218"/>
    <x v="1"/>
    <s v="Profitability"/>
    <x v="3"/>
    <s v="General and Administrative Expense Controls"/>
    <n v="0.15"/>
  </r>
  <r>
    <x v="89"/>
    <x v="10"/>
    <x v="22"/>
    <x v="41"/>
    <s v="REIT"/>
    <x v="1"/>
    <s v="BBB+"/>
    <s v="United States"/>
    <x v="0"/>
    <d v="2024-04-12T00:00:00"/>
    <x v="1"/>
    <x v="1"/>
    <x v="1"/>
    <m/>
    <s v="Cash Incentive"/>
    <n v="0.218"/>
    <x v="2"/>
    <s v="ESG"/>
    <x v="7"/>
    <s v="ESG Measures"/>
    <n v="0.1"/>
  </r>
  <r>
    <x v="89"/>
    <x v="10"/>
    <x v="22"/>
    <x v="41"/>
    <s v="REIT"/>
    <x v="1"/>
    <s v="BBB+"/>
    <s v="United States"/>
    <x v="0"/>
    <d v="2024-04-12T00:00:00"/>
    <x v="1"/>
    <x v="1"/>
    <x v="1"/>
    <m/>
    <s v="Cash Incentive"/>
    <n v="0.218"/>
    <x v="2"/>
    <s v="Individual Assessment"/>
    <x v="13"/>
    <s v="Individual Performance Assessment"/>
    <n v="0.25"/>
  </r>
  <r>
    <x v="89"/>
    <x v="10"/>
    <x v="22"/>
    <x v="41"/>
    <s v="REIT"/>
    <x v="1"/>
    <s v="BBB+"/>
    <s v="United States"/>
    <x v="0"/>
    <d v="2024-04-12T00:00:00"/>
    <x v="1"/>
    <x v="2"/>
    <x v="1"/>
    <n v="0.433"/>
    <s v="Performance Stock"/>
    <n v="0.433"/>
    <x v="3"/>
    <s v="Stock Performance"/>
    <x v="11"/>
    <s v="3Y Relative TSR"/>
    <n v="0.8"/>
  </r>
  <r>
    <x v="89"/>
    <x v="10"/>
    <x v="22"/>
    <x v="41"/>
    <s v="REIT"/>
    <x v="1"/>
    <s v="BBB+"/>
    <s v="United States"/>
    <x v="0"/>
    <d v="2024-04-12T00:00:00"/>
    <x v="1"/>
    <x v="2"/>
    <x v="1"/>
    <m/>
    <s v="Performance Stock"/>
    <n v="0.433"/>
    <x v="1"/>
    <s v="Leverage"/>
    <x v="88"/>
    <s v="(Net Debt + Preferred)/Annualized Adjusted EBITDA"/>
    <n v="0.2"/>
  </r>
  <r>
    <x v="89"/>
    <x v="10"/>
    <x v="22"/>
    <x v="41"/>
    <s v="REIT"/>
    <x v="1"/>
    <s v="BBB+"/>
    <s v="United States"/>
    <x v="0"/>
    <d v="2024-04-12T00:00:00"/>
    <x v="1"/>
    <x v="2"/>
    <x v="0"/>
    <n v="0.154"/>
    <s v="Time-Based Stock"/>
    <n v="0.154"/>
    <x v="0"/>
    <m/>
    <x v="0"/>
    <m/>
    <m/>
  </r>
  <r>
    <x v="89"/>
    <x v="10"/>
    <x v="22"/>
    <x v="41"/>
    <s v="REIT"/>
    <x v="1"/>
    <s v="BBB+"/>
    <s v="United States"/>
    <x v="0"/>
    <d v="2024-04-12T00:00:00"/>
    <x v="1"/>
    <x v="2"/>
    <x v="0"/>
    <n v="3.1E-2"/>
    <s v="Stock Options"/>
    <n v="3.1E-2"/>
    <x v="0"/>
    <m/>
    <x v="0"/>
    <m/>
    <m/>
  </r>
  <r>
    <x v="90"/>
    <x v="6"/>
    <x v="23"/>
    <x v="40"/>
    <s v="Data Processing Services"/>
    <x v="2"/>
    <m/>
    <s v="United States"/>
    <x v="0"/>
    <d v="2023-09-01T00:00:00"/>
    <x v="0"/>
    <x v="0"/>
    <x v="0"/>
    <n v="0.13"/>
    <s v="Base Salary"/>
    <n v="0.13"/>
    <x v="0"/>
    <m/>
    <x v="0"/>
    <m/>
    <m/>
  </r>
  <r>
    <x v="90"/>
    <x v="6"/>
    <x v="23"/>
    <x v="40"/>
    <s v="Data Processing Services"/>
    <x v="2"/>
    <m/>
    <s v="United States"/>
    <x v="0"/>
    <d v="2023-09-01T00:00:00"/>
    <x v="0"/>
    <x v="1"/>
    <x v="1"/>
    <n v="0.13"/>
    <s v="Cash Incentive"/>
    <n v="0.13"/>
    <x v="1"/>
    <s v="Growth"/>
    <x v="1"/>
    <s v="Annualized New Business Revenue"/>
    <n v="0.36499999999999999"/>
  </r>
  <r>
    <x v="90"/>
    <x v="6"/>
    <x v="23"/>
    <x v="40"/>
    <s v="Data Processing Services"/>
    <x v="2"/>
    <m/>
    <s v="United States"/>
    <x v="0"/>
    <d v="2023-09-01T00:00:00"/>
    <x v="0"/>
    <x v="1"/>
    <x v="1"/>
    <m/>
    <s v="Cash Incentive"/>
    <n v="0.13"/>
    <x v="1"/>
    <s v="Profitability"/>
    <x v="2"/>
    <s v="Adjusted Operating Income"/>
    <n v="0.253"/>
  </r>
  <r>
    <x v="90"/>
    <x v="6"/>
    <x v="23"/>
    <x v="40"/>
    <s v="Data Processing Services"/>
    <x v="2"/>
    <m/>
    <s v="United States"/>
    <x v="0"/>
    <d v="2023-09-01T00:00:00"/>
    <x v="0"/>
    <x v="1"/>
    <x v="1"/>
    <m/>
    <s v="Cash Incentive"/>
    <n v="0.13"/>
    <x v="1"/>
    <s v="Growth"/>
    <x v="1"/>
    <s v="Service Revenue"/>
    <n v="0.253"/>
  </r>
  <r>
    <x v="90"/>
    <x v="6"/>
    <x v="23"/>
    <x v="40"/>
    <s v="Data Processing Services"/>
    <x v="2"/>
    <m/>
    <s v="United States"/>
    <x v="0"/>
    <d v="2023-09-01T00:00:00"/>
    <x v="0"/>
    <x v="1"/>
    <x v="1"/>
    <m/>
    <s v="Cash Incentive"/>
    <n v="0.13"/>
    <x v="2"/>
    <s v="Individual Assessment"/>
    <x v="13"/>
    <s v="Individual Performance Assessment"/>
    <n v="0.129"/>
  </r>
  <r>
    <x v="90"/>
    <x v="6"/>
    <x v="23"/>
    <x v="40"/>
    <s v="Data Processing Services"/>
    <x v="2"/>
    <m/>
    <s v="United States"/>
    <x v="0"/>
    <d v="2023-09-01T00:00:00"/>
    <x v="0"/>
    <x v="1"/>
    <x v="1"/>
    <m/>
    <s v="Cash Incentive"/>
    <n v="0.13"/>
    <x v="0"/>
    <s v="Modifier/Threshold"/>
    <x v="34"/>
    <s v="Discretionary Adjustment"/>
    <m/>
  </r>
  <r>
    <x v="90"/>
    <x v="6"/>
    <x v="23"/>
    <x v="40"/>
    <s v="Data Processing Services"/>
    <x v="2"/>
    <m/>
    <s v="United States"/>
    <x v="0"/>
    <d v="2023-09-01T00:00:00"/>
    <x v="0"/>
    <x v="2"/>
    <x v="1"/>
    <n v="0.37"/>
    <s v="Performance Stock"/>
    <n v="0.37"/>
    <x v="1"/>
    <s v="Growth"/>
    <x v="1"/>
    <s v="2Y Adjusted Service Revenue"/>
    <n v="0.5"/>
  </r>
  <r>
    <x v="90"/>
    <x v="6"/>
    <x v="23"/>
    <x v="40"/>
    <s v="Data Processing Services"/>
    <x v="2"/>
    <m/>
    <s v="United States"/>
    <x v="0"/>
    <d v="2023-09-01T00:00:00"/>
    <x v="0"/>
    <x v="2"/>
    <x v="1"/>
    <m/>
    <s v="Performance Stock"/>
    <n v="0.37"/>
    <x v="1"/>
    <s v="Growth"/>
    <x v="2"/>
    <s v="2Y Adjusted Operating Income"/>
    <n v="0.5"/>
  </r>
  <r>
    <x v="90"/>
    <x v="6"/>
    <x v="23"/>
    <x v="40"/>
    <s v="Data Processing Services"/>
    <x v="2"/>
    <m/>
    <s v="United States"/>
    <x v="0"/>
    <d v="2023-09-01T00:00:00"/>
    <x v="0"/>
    <x v="2"/>
    <x v="0"/>
    <n v="0.222"/>
    <s v="Stock Options"/>
    <n v="0.222"/>
    <x v="0"/>
    <m/>
    <x v="0"/>
    <m/>
    <m/>
  </r>
  <r>
    <x v="90"/>
    <x v="6"/>
    <x v="23"/>
    <x v="40"/>
    <s v="Data Processing Services"/>
    <x v="2"/>
    <m/>
    <s v="United States"/>
    <x v="0"/>
    <d v="2023-09-01T00:00:00"/>
    <x v="0"/>
    <x v="2"/>
    <x v="0"/>
    <n v="0.14799999999999999"/>
    <s v="Time-Based Stock"/>
    <n v="0.14799999999999999"/>
    <x v="0"/>
    <m/>
    <x v="0"/>
    <m/>
    <m/>
  </r>
  <r>
    <x v="90"/>
    <x v="6"/>
    <x v="23"/>
    <x v="40"/>
    <s v="Data Processing Services"/>
    <x v="2"/>
    <m/>
    <s v="United States"/>
    <x v="0"/>
    <d v="2023-09-01T00:00:00"/>
    <x v="1"/>
    <x v="0"/>
    <x v="0"/>
    <n v="0.2"/>
    <s v="Base Salary"/>
    <n v="0.2"/>
    <x v="0"/>
    <m/>
    <x v="0"/>
    <m/>
    <m/>
  </r>
  <r>
    <x v="90"/>
    <x v="6"/>
    <x v="23"/>
    <x v="40"/>
    <s v="Data Processing Services"/>
    <x v="2"/>
    <m/>
    <s v="United States"/>
    <x v="0"/>
    <d v="2023-09-01T00:00:00"/>
    <x v="1"/>
    <x v="1"/>
    <x v="1"/>
    <n v="0.2"/>
    <s v="Cash Incentive"/>
    <n v="0.2"/>
    <x v="1"/>
    <s v="Growth"/>
    <x v="1"/>
    <s v="Annualized New Business Revenue"/>
    <n v="0.28699999999999998"/>
  </r>
  <r>
    <x v="90"/>
    <x v="6"/>
    <x v="23"/>
    <x v="40"/>
    <s v="Data Processing Services"/>
    <x v="2"/>
    <m/>
    <s v="United States"/>
    <x v="0"/>
    <d v="2023-09-01T00:00:00"/>
    <x v="1"/>
    <x v="1"/>
    <x v="1"/>
    <m/>
    <s v="Cash Incentive"/>
    <n v="0.2"/>
    <x v="1"/>
    <s v="Profitability"/>
    <x v="2"/>
    <s v="Adjusted Operating Income"/>
    <n v="0.32900000000000001"/>
  </r>
  <r>
    <x v="90"/>
    <x v="6"/>
    <x v="23"/>
    <x v="40"/>
    <s v="Data Processing Services"/>
    <x v="2"/>
    <m/>
    <s v="United States"/>
    <x v="0"/>
    <d v="2023-09-01T00:00:00"/>
    <x v="1"/>
    <x v="1"/>
    <x v="1"/>
    <m/>
    <s v="Cash Incentive"/>
    <n v="0.2"/>
    <x v="1"/>
    <s v="Growth"/>
    <x v="1"/>
    <s v="Service Revenue"/>
    <n v="0.27600000000000002"/>
  </r>
  <r>
    <x v="90"/>
    <x v="6"/>
    <x v="23"/>
    <x v="40"/>
    <s v="Data Processing Services"/>
    <x v="2"/>
    <m/>
    <s v="United States"/>
    <x v="0"/>
    <d v="2023-09-01T00:00:00"/>
    <x v="1"/>
    <x v="1"/>
    <x v="1"/>
    <m/>
    <s v="Cash Incentive"/>
    <n v="0.2"/>
    <x v="2"/>
    <s v="Individual Assessment"/>
    <x v="13"/>
    <s v="Individual Performance Assessment"/>
    <n v="0.107"/>
  </r>
  <r>
    <x v="90"/>
    <x v="6"/>
    <x v="23"/>
    <x v="40"/>
    <s v="Data Processing Services"/>
    <x v="2"/>
    <m/>
    <s v="United States"/>
    <x v="0"/>
    <d v="2023-09-01T00:00:00"/>
    <x v="1"/>
    <x v="1"/>
    <x v="1"/>
    <m/>
    <s v="Cash Incentive"/>
    <n v="0.2"/>
    <x v="0"/>
    <s v="Modifier/Threshold"/>
    <x v="34"/>
    <s v="Discretionary Adjustment"/>
    <m/>
  </r>
  <r>
    <x v="90"/>
    <x v="6"/>
    <x v="23"/>
    <x v="40"/>
    <s v="Data Processing Services"/>
    <x v="2"/>
    <m/>
    <s v="United States"/>
    <x v="0"/>
    <d v="2023-09-01T00:00:00"/>
    <x v="1"/>
    <x v="2"/>
    <x v="1"/>
    <n v="0.3"/>
    <s v="Performance Stock"/>
    <n v="0.3"/>
    <x v="1"/>
    <s v="Growth"/>
    <x v="1"/>
    <s v="2Y Adjusted Service Revenue"/>
    <n v="0.5"/>
  </r>
  <r>
    <x v="90"/>
    <x v="6"/>
    <x v="23"/>
    <x v="40"/>
    <s v="Data Processing Services"/>
    <x v="2"/>
    <m/>
    <s v="United States"/>
    <x v="0"/>
    <d v="2023-09-01T00:00:00"/>
    <x v="1"/>
    <x v="2"/>
    <x v="1"/>
    <m/>
    <s v="Performance Stock"/>
    <n v="0.3"/>
    <x v="1"/>
    <s v="Growth"/>
    <x v="2"/>
    <s v="2Y Adjusted Operating Income"/>
    <n v="0.5"/>
  </r>
  <r>
    <x v="90"/>
    <x v="6"/>
    <x v="23"/>
    <x v="40"/>
    <s v="Data Processing Services"/>
    <x v="2"/>
    <m/>
    <s v="United States"/>
    <x v="0"/>
    <d v="2023-09-01T00:00:00"/>
    <x v="1"/>
    <x v="2"/>
    <x v="0"/>
    <n v="0.18"/>
    <s v="Stock Options"/>
    <n v="0.18"/>
    <x v="0"/>
    <m/>
    <x v="0"/>
    <m/>
    <m/>
  </r>
  <r>
    <x v="90"/>
    <x v="6"/>
    <x v="23"/>
    <x v="40"/>
    <s v="Data Processing Services"/>
    <x v="2"/>
    <m/>
    <s v="United States"/>
    <x v="0"/>
    <d v="2023-09-01T00:00:00"/>
    <x v="1"/>
    <x v="2"/>
    <x v="0"/>
    <n v="0.12"/>
    <s v="Time-Based Stock"/>
    <n v="0.12"/>
    <x v="0"/>
    <m/>
    <x v="0"/>
    <m/>
    <m/>
  </r>
  <r>
    <x v="91"/>
    <x v="4"/>
    <x v="24"/>
    <x v="42"/>
    <s v="Household/Personal Care"/>
    <x v="0"/>
    <s v="AA-"/>
    <s v="United States"/>
    <x v="0"/>
    <d v="2023-08-25T00:00:00"/>
    <x v="0"/>
    <x v="0"/>
    <x v="0"/>
    <n v="7.8E-2"/>
    <s v="Base Salary"/>
    <n v="7.8E-2"/>
    <x v="0"/>
    <m/>
    <x v="0"/>
    <m/>
    <m/>
  </r>
  <r>
    <x v="91"/>
    <x v="4"/>
    <x v="24"/>
    <x v="42"/>
    <s v="Household/Personal Care"/>
    <x v="0"/>
    <s v="AA-"/>
    <s v="United States"/>
    <x v="0"/>
    <d v="2023-08-25T00:00:00"/>
    <x v="0"/>
    <x v="1"/>
    <x v="1"/>
    <n v="0.22600000000000001"/>
    <s v="Cash Incentive"/>
    <n v="0.22600000000000001"/>
    <x v="2"/>
    <s v="Strategy &amp; Operations"/>
    <x v="3"/>
    <s v="Business Unit Performance Factor"/>
    <n v="0.7"/>
  </r>
  <r>
    <x v="91"/>
    <x v="4"/>
    <x v="24"/>
    <x v="42"/>
    <s v="Household/Personal Care"/>
    <x v="0"/>
    <s v="AA-"/>
    <s v="United States"/>
    <x v="0"/>
    <d v="2023-08-25T00:00:00"/>
    <x v="0"/>
    <x v="1"/>
    <x v="1"/>
    <m/>
    <s v="Cash Incentive"/>
    <n v="0.22600000000000001"/>
    <x v="1"/>
    <s v="Growth"/>
    <x v="1"/>
    <s v="Adjusted Revenue Growth"/>
    <n v="0.15"/>
  </r>
  <r>
    <x v="91"/>
    <x v="4"/>
    <x v="24"/>
    <x v="42"/>
    <s v="Household/Personal Care"/>
    <x v="0"/>
    <s v="AA-"/>
    <s v="United States"/>
    <x v="0"/>
    <d v="2023-08-25T00:00:00"/>
    <x v="0"/>
    <x v="1"/>
    <x v="1"/>
    <m/>
    <s v="Cash Incentive"/>
    <n v="0.22600000000000001"/>
    <x v="1"/>
    <s v="Profitability"/>
    <x v="14"/>
    <s v="Adjusted EPS Growth"/>
    <n v="0.15"/>
  </r>
  <r>
    <x v="91"/>
    <x v="4"/>
    <x v="24"/>
    <x v="42"/>
    <s v="Household/Personal Care"/>
    <x v="0"/>
    <s v="AA-"/>
    <s v="United States"/>
    <x v="0"/>
    <d v="2023-08-25T00:00:00"/>
    <x v="0"/>
    <x v="1"/>
    <x v="1"/>
    <m/>
    <s v="Cash Incentive"/>
    <n v="0.22600000000000001"/>
    <x v="0"/>
    <s v="Modifier/Threshold"/>
    <x v="20"/>
    <s v="ESG Factor"/>
    <m/>
  </r>
  <r>
    <x v="91"/>
    <x v="4"/>
    <x v="24"/>
    <x v="42"/>
    <s v="Household/Personal Care"/>
    <x v="0"/>
    <s v="AA-"/>
    <s v="United States"/>
    <x v="0"/>
    <d v="2023-08-25T00:00:00"/>
    <x v="0"/>
    <x v="1"/>
    <x v="1"/>
    <m/>
    <s v="Cash Incentive"/>
    <n v="0.22600000000000001"/>
    <x v="0"/>
    <s v="Modifier/Threshold"/>
    <x v="34"/>
    <s v="Discretionary Adjustment"/>
    <m/>
  </r>
  <r>
    <x v="91"/>
    <x v="4"/>
    <x v="24"/>
    <x v="42"/>
    <s v="Household/Personal Care"/>
    <x v="0"/>
    <s v="AA-"/>
    <s v="United States"/>
    <x v="0"/>
    <d v="2023-08-25T00:00:00"/>
    <x v="0"/>
    <x v="2"/>
    <x v="1"/>
    <n v="0.34799999999999998"/>
    <s v="Performance Stock"/>
    <n v="0.34799999999999998"/>
    <x v="1"/>
    <s v="Growth"/>
    <x v="89"/>
    <s v="3Y Relative Adjusted Revenue CAGR"/>
    <n v="0.3"/>
  </r>
  <r>
    <x v="91"/>
    <x v="4"/>
    <x v="24"/>
    <x v="42"/>
    <s v="Household/Personal Care"/>
    <x v="0"/>
    <s v="AA-"/>
    <s v="United States"/>
    <x v="0"/>
    <d v="2023-08-25T00:00:00"/>
    <x v="0"/>
    <x v="2"/>
    <x v="1"/>
    <m/>
    <s v="Performance Stock"/>
    <n v="0.34799999999999998"/>
    <x v="1"/>
    <s v="Profitability"/>
    <x v="14"/>
    <s v="3Y Adjusted EPS CAGR"/>
    <n v="0.3"/>
  </r>
  <r>
    <x v="91"/>
    <x v="4"/>
    <x v="24"/>
    <x v="42"/>
    <s v="Household/Personal Care"/>
    <x v="0"/>
    <s v="AA-"/>
    <s v="United States"/>
    <x v="0"/>
    <d v="2023-08-25T00:00:00"/>
    <x v="0"/>
    <x v="2"/>
    <x v="1"/>
    <m/>
    <s v="Performance Stock"/>
    <n v="0.34799999999999998"/>
    <x v="1"/>
    <s v="Profitability"/>
    <x v="2"/>
    <s v="3Y Adjusted Operating Income CAGR"/>
    <n v="0.2"/>
  </r>
  <r>
    <x v="91"/>
    <x v="4"/>
    <x v="24"/>
    <x v="42"/>
    <s v="Household/Personal Care"/>
    <x v="0"/>
    <s v="AA-"/>
    <s v="United States"/>
    <x v="0"/>
    <d v="2023-08-25T00:00:00"/>
    <x v="0"/>
    <x v="2"/>
    <x v="1"/>
    <m/>
    <s v="Performance Stock"/>
    <n v="0.34799999999999998"/>
    <x v="1"/>
    <s v="Cash Flow"/>
    <x v="50"/>
    <s v="3Y Adjusted Free Cash Flow Productivity "/>
    <n v="0.2"/>
  </r>
  <r>
    <x v="91"/>
    <x v="4"/>
    <x v="24"/>
    <x v="42"/>
    <s v="Household/Personal Care"/>
    <x v="0"/>
    <s v="AA-"/>
    <s v="United States"/>
    <x v="0"/>
    <d v="2023-08-25T00:00:00"/>
    <x v="0"/>
    <x v="2"/>
    <x v="1"/>
    <m/>
    <s v="Performance Stock"/>
    <n v="0.34799999999999998"/>
    <x v="0"/>
    <s v="Modifier/Threshold"/>
    <x v="6"/>
    <s v="3Y Relative TSR"/>
    <m/>
  </r>
  <r>
    <x v="91"/>
    <x v="4"/>
    <x v="24"/>
    <x v="42"/>
    <s v="Household/Personal Care"/>
    <x v="0"/>
    <s v="AA-"/>
    <s v="United States"/>
    <x v="0"/>
    <d v="2023-08-25T00:00:00"/>
    <x v="0"/>
    <x v="2"/>
    <x v="1"/>
    <m/>
    <s v="Performance Stock"/>
    <n v="0.34799999999999998"/>
    <x v="0"/>
    <s v="Modifier/Threshold"/>
    <x v="34"/>
    <s v="Discretionary Adjustment"/>
    <m/>
  </r>
  <r>
    <x v="91"/>
    <x v="4"/>
    <x v="24"/>
    <x v="42"/>
    <s v="Household/Personal Care"/>
    <x v="0"/>
    <s v="AA-"/>
    <s v="United States"/>
    <x v="0"/>
    <d v="2023-08-25T00:00:00"/>
    <x v="0"/>
    <x v="2"/>
    <x v="0"/>
    <n v="0.17399999999999999"/>
    <s v="Stock Options"/>
    <n v="0.17399999999999999"/>
    <x v="0"/>
    <m/>
    <x v="0"/>
    <m/>
    <m/>
  </r>
  <r>
    <x v="91"/>
    <x v="4"/>
    <x v="24"/>
    <x v="42"/>
    <s v="Household/Personal Care"/>
    <x v="0"/>
    <s v="AA-"/>
    <s v="United States"/>
    <x v="0"/>
    <d v="2023-08-25T00:00:00"/>
    <x v="0"/>
    <x v="2"/>
    <x v="0"/>
    <n v="0.17399999999999999"/>
    <s v="Time-Based Stock"/>
    <n v="0.17399999999999999"/>
    <x v="0"/>
    <m/>
    <x v="0"/>
    <m/>
    <m/>
  </r>
  <r>
    <x v="91"/>
    <x v="4"/>
    <x v="24"/>
    <x v="42"/>
    <s v="Household/Personal Care"/>
    <x v="0"/>
    <s v="AA-"/>
    <s v="United States"/>
    <x v="0"/>
    <d v="2023-08-25T00:00:00"/>
    <x v="1"/>
    <x v="0"/>
    <x v="0"/>
    <n v="0.13800000000000001"/>
    <s v="Base Salary"/>
    <n v="0.13800000000000001"/>
    <x v="0"/>
    <m/>
    <x v="0"/>
    <m/>
    <m/>
  </r>
  <r>
    <x v="91"/>
    <x v="4"/>
    <x v="24"/>
    <x v="42"/>
    <s v="Household/Personal Care"/>
    <x v="0"/>
    <s v="AA-"/>
    <s v="United States"/>
    <x v="0"/>
    <d v="2023-08-25T00:00:00"/>
    <x v="1"/>
    <x v="1"/>
    <x v="1"/>
    <n v="0.23799999999999999"/>
    <s v="Cash Incentive"/>
    <n v="0.23799999999999999"/>
    <x v="2"/>
    <s v="Strategy &amp; Operations"/>
    <x v="3"/>
    <s v="Business Unit Performance Factor"/>
    <n v="0.7"/>
  </r>
  <r>
    <x v="91"/>
    <x v="4"/>
    <x v="24"/>
    <x v="42"/>
    <s v="Household/Personal Care"/>
    <x v="0"/>
    <s v="AA-"/>
    <s v="United States"/>
    <x v="0"/>
    <d v="2023-08-25T00:00:00"/>
    <x v="1"/>
    <x v="1"/>
    <x v="1"/>
    <m/>
    <s v="Cash Incentive"/>
    <n v="0.23799999999999999"/>
    <x v="1"/>
    <s v="Growth"/>
    <x v="1"/>
    <s v="Adjusted Revenue Growth"/>
    <n v="0.15"/>
  </r>
  <r>
    <x v="91"/>
    <x v="4"/>
    <x v="24"/>
    <x v="42"/>
    <s v="Household/Personal Care"/>
    <x v="0"/>
    <s v="AA-"/>
    <s v="United States"/>
    <x v="0"/>
    <d v="2023-08-25T00:00:00"/>
    <x v="1"/>
    <x v="1"/>
    <x v="1"/>
    <m/>
    <s v="Cash Incentive"/>
    <n v="0.23799999999999999"/>
    <x v="1"/>
    <s v="Profitability"/>
    <x v="14"/>
    <s v="Adjusted EPS Growth"/>
    <n v="0.15"/>
  </r>
  <r>
    <x v="91"/>
    <x v="4"/>
    <x v="24"/>
    <x v="42"/>
    <s v="Household/Personal Care"/>
    <x v="0"/>
    <s v="AA-"/>
    <s v="United States"/>
    <x v="0"/>
    <d v="2023-08-25T00:00:00"/>
    <x v="1"/>
    <x v="1"/>
    <x v="1"/>
    <m/>
    <s v="Cash Incentive"/>
    <n v="0.23799999999999999"/>
    <x v="0"/>
    <s v="Modifier/Threshold"/>
    <x v="20"/>
    <s v="ESG Factor"/>
    <m/>
  </r>
  <r>
    <x v="91"/>
    <x v="4"/>
    <x v="24"/>
    <x v="42"/>
    <s v="Household/Personal Care"/>
    <x v="0"/>
    <s v="AA-"/>
    <s v="United States"/>
    <x v="0"/>
    <d v="2023-08-25T00:00:00"/>
    <x v="1"/>
    <x v="1"/>
    <x v="1"/>
    <m/>
    <s v="Cash Incentive"/>
    <n v="0.23799999999999999"/>
    <x v="0"/>
    <s v="Modifier/Threshold"/>
    <x v="34"/>
    <s v="Discretionary Adjustment"/>
    <m/>
  </r>
  <r>
    <x v="91"/>
    <x v="4"/>
    <x v="24"/>
    <x v="42"/>
    <s v="Household/Personal Care"/>
    <x v="0"/>
    <s v="AA-"/>
    <s v="United States"/>
    <x v="0"/>
    <d v="2023-08-25T00:00:00"/>
    <x v="1"/>
    <x v="2"/>
    <x v="1"/>
    <n v="0.312"/>
    <s v="Performance Stock"/>
    <n v="0.312"/>
    <x v="1"/>
    <s v="Growth"/>
    <x v="89"/>
    <s v="3Y Relative Adjusted Revenue CAGR"/>
    <n v="0.3"/>
  </r>
  <r>
    <x v="91"/>
    <x v="4"/>
    <x v="24"/>
    <x v="42"/>
    <s v="Household/Personal Care"/>
    <x v="0"/>
    <s v="AA-"/>
    <s v="United States"/>
    <x v="0"/>
    <d v="2023-08-25T00:00:00"/>
    <x v="1"/>
    <x v="2"/>
    <x v="1"/>
    <m/>
    <s v="Performance Stock"/>
    <n v="0.312"/>
    <x v="1"/>
    <s v="Profitability"/>
    <x v="14"/>
    <s v="3Y Adjusted EPS CAGR"/>
    <n v="0.3"/>
  </r>
  <r>
    <x v="91"/>
    <x v="4"/>
    <x v="24"/>
    <x v="42"/>
    <s v="Household/Personal Care"/>
    <x v="0"/>
    <s v="AA-"/>
    <s v="United States"/>
    <x v="0"/>
    <d v="2023-08-25T00:00:00"/>
    <x v="1"/>
    <x v="2"/>
    <x v="1"/>
    <m/>
    <s v="Performance Stock"/>
    <n v="0.312"/>
    <x v="1"/>
    <s v="Profitability"/>
    <x v="2"/>
    <s v="3Y Adjusted Operating Income CAGR"/>
    <n v="0.2"/>
  </r>
  <r>
    <x v="91"/>
    <x v="4"/>
    <x v="24"/>
    <x v="42"/>
    <s v="Household/Personal Care"/>
    <x v="0"/>
    <s v="AA-"/>
    <s v="United States"/>
    <x v="0"/>
    <d v="2023-08-25T00:00:00"/>
    <x v="1"/>
    <x v="2"/>
    <x v="1"/>
    <m/>
    <s v="Performance Stock"/>
    <n v="0.312"/>
    <x v="1"/>
    <s v="Cash Flow"/>
    <x v="50"/>
    <s v="3Y Adjusted Free Cash Flow Productivity "/>
    <n v="0.2"/>
  </r>
  <r>
    <x v="91"/>
    <x v="4"/>
    <x v="24"/>
    <x v="42"/>
    <s v="Household/Personal Care"/>
    <x v="0"/>
    <s v="AA-"/>
    <s v="United States"/>
    <x v="0"/>
    <d v="2023-08-25T00:00:00"/>
    <x v="1"/>
    <x v="2"/>
    <x v="1"/>
    <m/>
    <s v="Performance Stock"/>
    <n v="0.312"/>
    <x v="0"/>
    <s v="Modifier/Threshold"/>
    <x v="6"/>
    <s v="3Y Relative TSR"/>
    <m/>
  </r>
  <r>
    <x v="91"/>
    <x v="4"/>
    <x v="24"/>
    <x v="42"/>
    <s v="Household/Personal Care"/>
    <x v="0"/>
    <s v="AA-"/>
    <s v="United States"/>
    <x v="0"/>
    <d v="2023-08-25T00:00:00"/>
    <x v="1"/>
    <x v="2"/>
    <x v="1"/>
    <m/>
    <s v="Performance Stock"/>
    <n v="0.312"/>
    <x v="0"/>
    <s v="Modifier/Threshold"/>
    <x v="34"/>
    <s v="Discretionary Adjustment"/>
    <m/>
  </r>
  <r>
    <x v="91"/>
    <x v="4"/>
    <x v="24"/>
    <x v="42"/>
    <s v="Household/Personal Care"/>
    <x v="0"/>
    <s v="AA-"/>
    <s v="United States"/>
    <x v="0"/>
    <d v="2023-08-25T00:00:00"/>
    <x v="1"/>
    <x v="2"/>
    <x v="0"/>
    <n v="0.21527999999999997"/>
    <s v="Stock Options"/>
    <n v="0.21527999999999997"/>
    <x v="0"/>
    <m/>
    <x v="0"/>
    <m/>
    <m/>
  </r>
  <r>
    <x v="91"/>
    <x v="4"/>
    <x v="24"/>
    <x v="42"/>
    <s v="Household/Personal Care"/>
    <x v="0"/>
    <s v="AA-"/>
    <s v="United States"/>
    <x v="0"/>
    <d v="2023-08-25T00:00:00"/>
    <x v="1"/>
    <x v="2"/>
    <x v="0"/>
    <n v="9.672E-2"/>
    <s v="Time-Based Stock"/>
    <n v="9.672E-2"/>
    <x v="0"/>
    <m/>
    <x v="0"/>
    <m/>
    <m/>
  </r>
  <r>
    <x v="92"/>
    <x v="5"/>
    <x v="15"/>
    <x v="23"/>
    <s v="Insurance"/>
    <x v="2"/>
    <s v="BBB+"/>
    <s v="United States"/>
    <x v="0"/>
    <d v="2024-04-02T00:00:00"/>
    <x v="0"/>
    <x v="0"/>
    <x v="0"/>
    <n v="7.4999999999999997E-2"/>
    <s v="Base Salary"/>
    <n v="7.4999999999999997E-2"/>
    <x v="0"/>
    <m/>
    <x v="0"/>
    <m/>
    <m/>
  </r>
  <r>
    <x v="92"/>
    <x v="5"/>
    <x v="15"/>
    <x v="23"/>
    <s v="Insurance"/>
    <x v="2"/>
    <s v="BBB+"/>
    <s v="United States"/>
    <x v="0"/>
    <d v="2024-04-02T00:00:00"/>
    <x v="0"/>
    <x v="1"/>
    <x v="1"/>
    <n v="0.22500000000000001"/>
    <s v="Cash Incentive"/>
    <n v="0.22500000000000001"/>
    <x v="1"/>
    <s v="Strategy &amp; Operations"/>
    <x v="3"/>
    <s v="Adjusted Accident Year Combined Ratio"/>
    <n v="0.25"/>
  </r>
  <r>
    <x v="92"/>
    <x v="5"/>
    <x v="15"/>
    <x v="23"/>
    <s v="Insurance"/>
    <x v="2"/>
    <s v="BBB+"/>
    <s v="United States"/>
    <x v="0"/>
    <d v="2024-04-02T00:00:00"/>
    <x v="0"/>
    <x v="1"/>
    <x v="1"/>
    <m/>
    <s v="Cash Incentive"/>
    <n v="0.22500000000000001"/>
    <x v="1"/>
    <s v="Profitability"/>
    <x v="14"/>
    <s v="Adjusted EPS"/>
    <n v="0.25"/>
  </r>
  <r>
    <x v="92"/>
    <x v="5"/>
    <x v="15"/>
    <x v="23"/>
    <s v="Insurance"/>
    <x v="2"/>
    <s v="BBB+"/>
    <s v="United States"/>
    <x v="0"/>
    <d v="2024-04-02T00:00:00"/>
    <x v="0"/>
    <x v="1"/>
    <x v="1"/>
    <m/>
    <s v="Cash Incentive"/>
    <n v="0.22500000000000001"/>
    <x v="1"/>
    <s v="Return"/>
    <x v="21"/>
    <s v="Adjusted Return on Common Equity "/>
    <n v="0.25"/>
  </r>
  <r>
    <x v="92"/>
    <x v="5"/>
    <x v="15"/>
    <x v="23"/>
    <s v="Insurance"/>
    <x v="2"/>
    <s v="BBB+"/>
    <s v="United States"/>
    <x v="0"/>
    <d v="2024-04-02T00:00:00"/>
    <x v="0"/>
    <x v="1"/>
    <x v="1"/>
    <m/>
    <s v="Cash Incentive"/>
    <n v="0.22500000000000001"/>
    <x v="1"/>
    <s v="Profitability"/>
    <x v="3"/>
    <s v="Achievement of AIG Parent Exit-Run-Rate General Operating Expense Targets"/>
    <n v="0.25"/>
  </r>
  <r>
    <x v="92"/>
    <x v="5"/>
    <x v="15"/>
    <x v="23"/>
    <s v="Insurance"/>
    <x v="2"/>
    <s v="BBB+"/>
    <s v="United States"/>
    <x v="0"/>
    <d v="2024-04-02T00:00:00"/>
    <x v="0"/>
    <x v="1"/>
    <x v="1"/>
    <m/>
    <s v="Cash Incentive"/>
    <n v="0.22500000000000001"/>
    <x v="0"/>
    <s v="Modifier/Threshold"/>
    <x v="10"/>
    <s v="Individual Performance Factor"/>
    <m/>
  </r>
  <r>
    <x v="92"/>
    <x v="5"/>
    <x v="15"/>
    <x v="23"/>
    <s v="Insurance"/>
    <x v="2"/>
    <s v="BBB+"/>
    <s v="United States"/>
    <x v="0"/>
    <d v="2024-04-02T00:00:00"/>
    <x v="0"/>
    <x v="2"/>
    <x v="1"/>
    <n v="0.52499999999999991"/>
    <s v="Performance Stock"/>
    <n v="0.52499999999999991"/>
    <x v="1"/>
    <s v="Strategy &amp; Operations"/>
    <x v="3"/>
    <s v="Adjusted Accident Year Combined Ratio"/>
    <n v="0.25"/>
  </r>
  <r>
    <x v="92"/>
    <x v="5"/>
    <x v="15"/>
    <x v="23"/>
    <s v="Insurance"/>
    <x v="2"/>
    <s v="BBB+"/>
    <s v="United States"/>
    <x v="0"/>
    <d v="2024-04-02T00:00:00"/>
    <x v="0"/>
    <x v="2"/>
    <x v="1"/>
    <m/>
    <s v="Performance Stock"/>
    <n v="0.52499999999999991"/>
    <x v="1"/>
    <s v="Profitability"/>
    <x v="3"/>
    <s v="3Y Achievement of AIG Parent Exit-Run-Rate General Operating Expense Targets"/>
    <n v="0.25"/>
  </r>
  <r>
    <x v="92"/>
    <x v="5"/>
    <x v="15"/>
    <x v="23"/>
    <s v="Insurance"/>
    <x v="2"/>
    <s v="BBB+"/>
    <s v="United States"/>
    <x v="0"/>
    <d v="2024-04-02T00:00:00"/>
    <x v="0"/>
    <x v="2"/>
    <x v="1"/>
    <m/>
    <s v="Performance Stock"/>
    <n v="0.52499999999999991"/>
    <x v="1"/>
    <s v="Profitability"/>
    <x v="14"/>
    <s v="Adjusted EPS"/>
    <n v="0.25"/>
  </r>
  <r>
    <x v="92"/>
    <x v="5"/>
    <x v="15"/>
    <x v="23"/>
    <s v="Insurance"/>
    <x v="2"/>
    <s v="BBB+"/>
    <s v="United States"/>
    <x v="0"/>
    <d v="2024-04-02T00:00:00"/>
    <x v="0"/>
    <x v="2"/>
    <x v="1"/>
    <m/>
    <s v="Performance Stock"/>
    <n v="0.52499999999999991"/>
    <x v="3"/>
    <s v="Stock Performance"/>
    <x v="11"/>
    <s v="3Y Relative TSR"/>
    <n v="0.25"/>
  </r>
  <r>
    <x v="92"/>
    <x v="5"/>
    <x v="15"/>
    <x v="23"/>
    <s v="Insurance"/>
    <x v="2"/>
    <s v="BBB+"/>
    <s v="United States"/>
    <x v="0"/>
    <d v="2024-04-02T00:00:00"/>
    <x v="0"/>
    <x v="2"/>
    <x v="0"/>
    <n v="0.17499999999999999"/>
    <s v="Stock Options"/>
    <n v="0.17499999999999999"/>
    <x v="0"/>
    <m/>
    <x v="0"/>
    <m/>
    <m/>
  </r>
  <r>
    <x v="92"/>
    <x v="5"/>
    <x v="15"/>
    <x v="23"/>
    <s v="Insurance"/>
    <x v="2"/>
    <s v="BBB+"/>
    <s v="United States"/>
    <x v="0"/>
    <d v="2024-04-02T00:00:00"/>
    <x v="1"/>
    <x v="0"/>
    <x v="0"/>
    <n v="0.17499999999999999"/>
    <s v="Base Salary"/>
    <n v="0.17499999999999999"/>
    <x v="0"/>
    <m/>
    <x v="0"/>
    <m/>
    <m/>
  </r>
  <r>
    <x v="92"/>
    <x v="5"/>
    <x v="15"/>
    <x v="23"/>
    <s v="Insurance"/>
    <x v="2"/>
    <s v="BBB+"/>
    <s v="United States"/>
    <x v="0"/>
    <d v="2024-04-02T00:00:00"/>
    <x v="1"/>
    <x v="1"/>
    <x v="1"/>
    <n v="0.34499999999999997"/>
    <s v="Cash Incentive"/>
    <n v="0.34499999999999997"/>
    <x v="1"/>
    <s v="Strategy &amp; Operations"/>
    <x v="3"/>
    <s v="Adjusted Accident Year Combined Ratio"/>
    <n v="0.25"/>
  </r>
  <r>
    <x v="92"/>
    <x v="5"/>
    <x v="15"/>
    <x v="23"/>
    <s v="Insurance"/>
    <x v="2"/>
    <s v="BBB+"/>
    <s v="United States"/>
    <x v="0"/>
    <d v="2024-04-02T00:00:00"/>
    <x v="1"/>
    <x v="1"/>
    <x v="1"/>
    <m/>
    <s v="Cash Incentive"/>
    <n v="0.34499999999999997"/>
    <x v="1"/>
    <s v="Profitability"/>
    <x v="14"/>
    <s v="Adjusted EPS"/>
    <n v="0.25"/>
  </r>
  <r>
    <x v="92"/>
    <x v="5"/>
    <x v="15"/>
    <x v="23"/>
    <s v="Insurance"/>
    <x v="2"/>
    <s v="BBB+"/>
    <s v="United States"/>
    <x v="0"/>
    <d v="2024-04-02T00:00:00"/>
    <x v="1"/>
    <x v="1"/>
    <x v="1"/>
    <m/>
    <s v="Cash Incentive"/>
    <n v="0.34499999999999997"/>
    <x v="1"/>
    <s v="Return"/>
    <x v="21"/>
    <s v="Adjusted Return on Common Equity "/>
    <n v="0.25"/>
  </r>
  <r>
    <x v="92"/>
    <x v="5"/>
    <x v="15"/>
    <x v="23"/>
    <s v="Insurance"/>
    <x v="2"/>
    <s v="BBB+"/>
    <s v="United States"/>
    <x v="0"/>
    <d v="2024-04-02T00:00:00"/>
    <x v="1"/>
    <x v="1"/>
    <x v="1"/>
    <m/>
    <s v="Cash Incentive"/>
    <n v="0.34499999999999997"/>
    <x v="1"/>
    <s v="Profitability"/>
    <x v="3"/>
    <s v="Achievement of AIG Parent Exit-Run-Rate General Operating Expense Targets"/>
    <n v="0.25"/>
  </r>
  <r>
    <x v="92"/>
    <x v="5"/>
    <x v="15"/>
    <x v="23"/>
    <s v="Insurance"/>
    <x v="2"/>
    <s v="BBB+"/>
    <s v="United States"/>
    <x v="0"/>
    <d v="2024-04-02T00:00:00"/>
    <x v="1"/>
    <x v="1"/>
    <x v="1"/>
    <m/>
    <s v="Cash Incentive"/>
    <n v="0.34499999999999997"/>
    <x v="0"/>
    <s v="Modifier/Threshold"/>
    <x v="10"/>
    <s v="Individual Performance Factor"/>
    <m/>
  </r>
  <r>
    <x v="92"/>
    <x v="5"/>
    <x v="15"/>
    <x v="23"/>
    <s v="Insurance"/>
    <x v="2"/>
    <s v="BBB+"/>
    <s v="United States"/>
    <x v="0"/>
    <d v="2024-04-02T00:00:00"/>
    <x v="1"/>
    <x v="2"/>
    <x v="1"/>
    <n v="0.24"/>
    <s v="Performance Stock"/>
    <n v="0.24"/>
    <x v="1"/>
    <s v="Strategy &amp; Operations"/>
    <x v="3"/>
    <s v="Adjusted Accident Year Combined Ratio"/>
    <n v="0.25"/>
  </r>
  <r>
    <x v="92"/>
    <x v="5"/>
    <x v="15"/>
    <x v="23"/>
    <s v="Insurance"/>
    <x v="2"/>
    <s v="BBB+"/>
    <s v="United States"/>
    <x v="0"/>
    <d v="2024-04-02T00:00:00"/>
    <x v="1"/>
    <x v="2"/>
    <x v="1"/>
    <m/>
    <s v="Performance Stock"/>
    <n v="0.24"/>
    <x v="1"/>
    <s v="Profitability"/>
    <x v="3"/>
    <s v="3Y Achievement of AIG Parent Exit-Run-Rate General Operating Expense Targets"/>
    <n v="0.25"/>
  </r>
  <r>
    <x v="92"/>
    <x v="5"/>
    <x v="15"/>
    <x v="23"/>
    <s v="Insurance"/>
    <x v="2"/>
    <s v="BBB+"/>
    <s v="United States"/>
    <x v="0"/>
    <d v="2024-04-02T00:00:00"/>
    <x v="1"/>
    <x v="2"/>
    <x v="1"/>
    <m/>
    <s v="Performance Stock"/>
    <n v="0.24"/>
    <x v="1"/>
    <s v="Profitability"/>
    <x v="14"/>
    <s v="Adjusted EPS"/>
    <n v="0.25"/>
  </r>
  <r>
    <x v="92"/>
    <x v="5"/>
    <x v="15"/>
    <x v="23"/>
    <s v="Insurance"/>
    <x v="2"/>
    <s v="BBB+"/>
    <s v="United States"/>
    <x v="0"/>
    <d v="2024-04-02T00:00:00"/>
    <x v="1"/>
    <x v="2"/>
    <x v="1"/>
    <m/>
    <s v="Performance Stock"/>
    <n v="0.24"/>
    <x v="3"/>
    <s v="Stock Performance"/>
    <x v="11"/>
    <s v="3Y Relative TSR"/>
    <n v="0.25"/>
  </r>
  <r>
    <x v="92"/>
    <x v="5"/>
    <x v="15"/>
    <x v="23"/>
    <s v="Insurance"/>
    <x v="2"/>
    <s v="BBB+"/>
    <s v="United States"/>
    <x v="0"/>
    <d v="2024-04-02T00:00:00"/>
    <x v="1"/>
    <x v="2"/>
    <x v="0"/>
    <n v="0.12"/>
    <s v="Stock Options"/>
    <n v="0.12"/>
    <x v="0"/>
    <m/>
    <x v="0"/>
    <m/>
    <m/>
  </r>
  <r>
    <x v="92"/>
    <x v="5"/>
    <x v="15"/>
    <x v="23"/>
    <s v="Insurance"/>
    <x v="2"/>
    <s v="BBB+"/>
    <s v="United States"/>
    <x v="0"/>
    <d v="2024-04-02T00:00:00"/>
    <x v="1"/>
    <x v="2"/>
    <x v="0"/>
    <n v="0.12"/>
    <s v="Time-Based Stock"/>
    <n v="0.12"/>
    <x v="0"/>
    <m/>
    <x v="0"/>
    <m/>
    <m/>
  </r>
  <r>
    <x v="93"/>
    <x v="3"/>
    <x v="6"/>
    <x v="11"/>
    <s v="Medical Specialties"/>
    <x v="0"/>
    <m/>
    <s v="United States"/>
    <x v="0"/>
    <d v="2024-03-08T00:00:00"/>
    <x v="0"/>
    <x v="0"/>
    <x v="0"/>
    <n v="0.08"/>
    <s v="Base Salary"/>
    <n v="0.08"/>
    <x v="0"/>
    <m/>
    <x v="0"/>
    <m/>
    <m/>
  </r>
  <r>
    <x v="93"/>
    <x v="3"/>
    <x v="6"/>
    <x v="11"/>
    <s v="Medical Specialties"/>
    <x v="0"/>
    <m/>
    <s v="United States"/>
    <x v="0"/>
    <d v="2024-03-08T00:00:00"/>
    <x v="0"/>
    <x v="1"/>
    <x v="1"/>
    <n v="0.12"/>
    <s v="Cash Incentive"/>
    <n v="0.12"/>
    <x v="1"/>
    <s v="Profitability"/>
    <x v="2"/>
    <s v="Adjusted Operating Income"/>
    <n v="0.5"/>
  </r>
  <r>
    <x v="93"/>
    <x v="3"/>
    <x v="6"/>
    <x v="11"/>
    <s v="Medical Specialties"/>
    <x v="0"/>
    <m/>
    <s v="United States"/>
    <x v="0"/>
    <d v="2024-03-08T00:00:00"/>
    <x v="0"/>
    <x v="1"/>
    <x v="1"/>
    <m/>
    <s v="Cash Incentive"/>
    <n v="0.12"/>
    <x v="2"/>
    <s v="Strategy &amp; Operations"/>
    <x v="3"/>
    <s v="Corporate Performance Goals"/>
    <n v="0.5"/>
  </r>
  <r>
    <x v="93"/>
    <x v="3"/>
    <x v="6"/>
    <x v="11"/>
    <s v="Medical Specialties"/>
    <x v="0"/>
    <m/>
    <s v="United States"/>
    <x v="0"/>
    <d v="2024-03-08T00:00:00"/>
    <x v="0"/>
    <x v="1"/>
    <x v="1"/>
    <m/>
    <s v="Cash Incentive"/>
    <n v="0.12"/>
    <x v="0"/>
    <s v="Modifier/Threshold"/>
    <x v="35"/>
    <s v="Adjusted Operating Income"/>
    <m/>
  </r>
  <r>
    <x v="93"/>
    <x v="3"/>
    <x v="6"/>
    <x v="11"/>
    <s v="Medical Specialties"/>
    <x v="0"/>
    <m/>
    <s v="United States"/>
    <x v="0"/>
    <d v="2024-03-08T00:00:00"/>
    <x v="0"/>
    <x v="2"/>
    <x v="1"/>
    <n v="0.4"/>
    <s v="Performance Stock"/>
    <n v="0.4"/>
    <x v="3"/>
    <s v="Stock Performance"/>
    <x v="11"/>
    <s v="3Y Relative TSR"/>
    <n v="0.33333333333333331"/>
  </r>
  <r>
    <x v="93"/>
    <x v="3"/>
    <x v="6"/>
    <x v="11"/>
    <s v="Medical Specialties"/>
    <x v="0"/>
    <m/>
    <s v="United States"/>
    <x v="0"/>
    <d v="2024-03-08T00:00:00"/>
    <x v="0"/>
    <x v="2"/>
    <x v="1"/>
    <m/>
    <s v="Performance Stock"/>
    <n v="0.4"/>
    <x v="1"/>
    <s v="Growth"/>
    <x v="17"/>
    <s v="2Y Procedure Count Growth"/>
    <n v="0.33333333333333331"/>
  </r>
  <r>
    <x v="93"/>
    <x v="3"/>
    <x v="6"/>
    <x v="11"/>
    <s v="Medical Specialties"/>
    <x v="0"/>
    <m/>
    <s v="United States"/>
    <x v="0"/>
    <d v="2024-03-08T00:00:00"/>
    <x v="0"/>
    <x v="2"/>
    <x v="1"/>
    <m/>
    <s v="Performance Stock"/>
    <n v="0.4"/>
    <x v="1"/>
    <s v="Growth"/>
    <x v="17"/>
    <s v="3Y Procedure Count Growth"/>
    <n v="0.33333333333333331"/>
  </r>
  <r>
    <x v="93"/>
    <x v="3"/>
    <x v="6"/>
    <x v="11"/>
    <s v="Medical Specialties"/>
    <x v="0"/>
    <m/>
    <s v="United States"/>
    <x v="0"/>
    <d v="2024-03-08T00:00:00"/>
    <x v="0"/>
    <x v="2"/>
    <x v="0"/>
    <n v="0.4"/>
    <s v="Time-Based Stock"/>
    <n v="0.4"/>
    <x v="0"/>
    <m/>
    <x v="0"/>
    <m/>
    <m/>
  </r>
  <r>
    <x v="93"/>
    <x v="3"/>
    <x v="6"/>
    <x v="11"/>
    <s v="Medical Specialties"/>
    <x v="0"/>
    <m/>
    <s v="United States"/>
    <x v="0"/>
    <d v="2024-03-08T00:00:00"/>
    <x v="1"/>
    <x v="0"/>
    <x v="0"/>
    <n v="0.11"/>
    <s v="Base Salary"/>
    <n v="0.11"/>
    <x v="0"/>
    <m/>
    <x v="0"/>
    <m/>
    <m/>
  </r>
  <r>
    <x v="93"/>
    <x v="3"/>
    <x v="6"/>
    <x v="11"/>
    <s v="Medical Specialties"/>
    <x v="0"/>
    <m/>
    <s v="United States"/>
    <x v="0"/>
    <d v="2024-03-08T00:00:00"/>
    <x v="1"/>
    <x v="1"/>
    <x v="1"/>
    <n v="0.09"/>
    <s v="Cash Incentive"/>
    <n v="0.09"/>
    <x v="1"/>
    <s v="Profitability"/>
    <x v="2"/>
    <s v="Adjusted Operating Income"/>
    <n v="0.5"/>
  </r>
  <r>
    <x v="93"/>
    <x v="3"/>
    <x v="6"/>
    <x v="11"/>
    <s v="Medical Specialties"/>
    <x v="0"/>
    <m/>
    <s v="United States"/>
    <x v="0"/>
    <d v="2024-03-08T00:00:00"/>
    <x v="1"/>
    <x v="1"/>
    <x v="1"/>
    <m/>
    <s v="Cash Incentive"/>
    <n v="0.09"/>
    <x v="2"/>
    <s v="Strategy &amp; Operations"/>
    <x v="3"/>
    <s v="Corporate Performance Goals"/>
    <n v="0.5"/>
  </r>
  <r>
    <x v="93"/>
    <x v="3"/>
    <x v="6"/>
    <x v="11"/>
    <s v="Medical Specialties"/>
    <x v="0"/>
    <m/>
    <s v="United States"/>
    <x v="0"/>
    <d v="2024-03-08T00:00:00"/>
    <x v="1"/>
    <x v="1"/>
    <x v="1"/>
    <m/>
    <s v="Cash Incentive"/>
    <n v="0.09"/>
    <x v="0"/>
    <s v="Modifier/Threshold"/>
    <x v="35"/>
    <s v="Adjusted Operating Income"/>
    <m/>
  </r>
  <r>
    <x v="93"/>
    <x v="3"/>
    <x v="6"/>
    <x v="11"/>
    <s v="Medical Specialties"/>
    <x v="0"/>
    <m/>
    <s v="United States"/>
    <x v="0"/>
    <d v="2024-03-08T00:00:00"/>
    <x v="1"/>
    <x v="2"/>
    <x v="1"/>
    <n v="0.4"/>
    <s v="Performance Stock"/>
    <n v="0.4"/>
    <x v="3"/>
    <s v="Stock Performance"/>
    <x v="11"/>
    <s v="3Y Relative TSR"/>
    <n v="0.33333333333333331"/>
  </r>
  <r>
    <x v="93"/>
    <x v="3"/>
    <x v="6"/>
    <x v="11"/>
    <s v="Medical Specialties"/>
    <x v="0"/>
    <m/>
    <s v="United States"/>
    <x v="0"/>
    <d v="2024-03-08T00:00:00"/>
    <x v="1"/>
    <x v="2"/>
    <x v="1"/>
    <m/>
    <s v="Performance Stock"/>
    <n v="0.4"/>
    <x v="1"/>
    <s v="Growth"/>
    <x v="17"/>
    <s v="2Y Procedure Count Growth"/>
    <n v="0.33333333333333331"/>
  </r>
  <r>
    <x v="93"/>
    <x v="3"/>
    <x v="6"/>
    <x v="11"/>
    <s v="Medical Specialties"/>
    <x v="0"/>
    <m/>
    <s v="United States"/>
    <x v="0"/>
    <d v="2024-03-08T00:00:00"/>
    <x v="1"/>
    <x v="2"/>
    <x v="1"/>
    <m/>
    <s v="Performance Stock"/>
    <n v="0.4"/>
    <x v="1"/>
    <s v="Growth"/>
    <x v="17"/>
    <s v="3Y Procedure Count Growth"/>
    <n v="0.33333333333333331"/>
  </r>
  <r>
    <x v="93"/>
    <x v="3"/>
    <x v="6"/>
    <x v="11"/>
    <s v="Medical Specialties"/>
    <x v="0"/>
    <m/>
    <s v="United States"/>
    <x v="0"/>
    <d v="2024-03-08T00:00:00"/>
    <x v="1"/>
    <x v="2"/>
    <x v="0"/>
    <n v="0.4"/>
    <s v="Time-Based Stock"/>
    <n v="0.4"/>
    <x v="0"/>
    <m/>
    <x v="0"/>
    <m/>
    <m/>
  </r>
  <r>
    <x v="94"/>
    <x v="3"/>
    <x v="6"/>
    <x v="11"/>
    <s v="Medical Specialties"/>
    <x v="0"/>
    <s v="BBB+"/>
    <s v="United States"/>
    <x v="0"/>
    <d v="2024-03-26T00:00:00"/>
    <x v="0"/>
    <x v="0"/>
    <x v="0"/>
    <n v="0.08"/>
    <s v="Base Salary"/>
    <n v="0.08"/>
    <x v="0"/>
    <m/>
    <x v="0"/>
    <m/>
    <m/>
  </r>
  <r>
    <x v="94"/>
    <x v="3"/>
    <x v="6"/>
    <x v="11"/>
    <s v="Medical Specialties"/>
    <x v="0"/>
    <s v="BBB+"/>
    <s v="United States"/>
    <x v="0"/>
    <d v="2024-03-26T00:00:00"/>
    <x v="0"/>
    <x v="1"/>
    <x v="1"/>
    <n v="0.11"/>
    <s v="Cash Incentive"/>
    <n v="0.11"/>
    <x v="1"/>
    <s v="Growth"/>
    <x v="1"/>
    <s v="Adjusted Revenue"/>
    <n v="0.4"/>
  </r>
  <r>
    <x v="94"/>
    <x v="3"/>
    <x v="6"/>
    <x v="11"/>
    <s v="Medical Specialties"/>
    <x v="0"/>
    <s v="BBB+"/>
    <s v="United States"/>
    <x v="0"/>
    <d v="2024-03-26T00:00:00"/>
    <x v="0"/>
    <x v="1"/>
    <x v="1"/>
    <m/>
    <s v="Cash Incentive"/>
    <n v="0.11"/>
    <x v="1"/>
    <s v="Profitability"/>
    <x v="2"/>
    <s v="Adjusted Operating Income"/>
    <n v="0.2"/>
  </r>
  <r>
    <x v="94"/>
    <x v="3"/>
    <x v="6"/>
    <x v="11"/>
    <s v="Medical Specialties"/>
    <x v="0"/>
    <s v="BBB+"/>
    <s v="United States"/>
    <x v="0"/>
    <d v="2024-03-26T00:00:00"/>
    <x v="0"/>
    <x v="1"/>
    <x v="1"/>
    <m/>
    <s v="Cash Incentive"/>
    <n v="0.11"/>
    <x v="1"/>
    <s v="Profitability"/>
    <x v="9"/>
    <s v="Adjusted Operating Margin"/>
    <n v="0.2"/>
  </r>
  <r>
    <x v="94"/>
    <x v="3"/>
    <x v="6"/>
    <x v="11"/>
    <s v="Medical Specialties"/>
    <x v="0"/>
    <s v="BBB+"/>
    <s v="United States"/>
    <x v="0"/>
    <d v="2024-03-26T00:00:00"/>
    <x v="0"/>
    <x v="1"/>
    <x v="1"/>
    <m/>
    <s v="Cash Incentive"/>
    <n v="0.11"/>
    <x v="1"/>
    <s v="Cash Flow"/>
    <x v="25"/>
    <s v="Adjusted Free Cash Flow"/>
    <n v="0.2"/>
  </r>
  <r>
    <x v="94"/>
    <x v="3"/>
    <x v="6"/>
    <x v="11"/>
    <s v="Medical Specialties"/>
    <x v="0"/>
    <s v="BBB+"/>
    <s v="United States"/>
    <x v="0"/>
    <d v="2024-03-26T00:00:00"/>
    <x v="0"/>
    <x v="1"/>
    <x v="1"/>
    <m/>
    <s v="Cash Incentive"/>
    <n v="0.11"/>
    <x v="0"/>
    <s v="Modifier/Threshold"/>
    <x v="46"/>
    <s v="Adjusted EPS"/>
    <m/>
  </r>
  <r>
    <x v="94"/>
    <x v="3"/>
    <x v="6"/>
    <x v="11"/>
    <s v="Medical Specialties"/>
    <x v="0"/>
    <s v="BBB+"/>
    <s v="United States"/>
    <x v="0"/>
    <d v="2024-03-26T00:00:00"/>
    <x v="0"/>
    <x v="1"/>
    <x v="1"/>
    <m/>
    <s v="Cash Incentive"/>
    <n v="0.11"/>
    <x v="0"/>
    <s v="Modifier/Threshold"/>
    <x v="20"/>
    <s v="Commitments Focused on Carbon Emissions and DE&amp;I"/>
    <m/>
  </r>
  <r>
    <x v="94"/>
    <x v="3"/>
    <x v="6"/>
    <x v="11"/>
    <s v="Medical Specialties"/>
    <x v="0"/>
    <s v="BBB+"/>
    <s v="United States"/>
    <x v="0"/>
    <d v="2024-03-26T00:00:00"/>
    <x v="0"/>
    <x v="1"/>
    <x v="1"/>
    <m/>
    <s v="Cash Incentive"/>
    <n v="0.11"/>
    <x v="0"/>
    <s v="Modifier/Threshold"/>
    <x v="35"/>
    <s v="Adjusted Operating Income"/>
    <m/>
  </r>
  <r>
    <x v="94"/>
    <x v="3"/>
    <x v="6"/>
    <x v="11"/>
    <s v="Medical Specialties"/>
    <x v="0"/>
    <s v="BBB+"/>
    <s v="United States"/>
    <x v="0"/>
    <d v="2024-03-26T00:00:00"/>
    <x v="0"/>
    <x v="1"/>
    <x v="1"/>
    <m/>
    <s v="Cash Incentive"/>
    <n v="0.11"/>
    <x v="0"/>
    <s v="Modifier/Threshold"/>
    <x v="34"/>
    <s v="Discretionary Adjustment"/>
    <m/>
  </r>
  <r>
    <x v="94"/>
    <x v="3"/>
    <x v="6"/>
    <x v="11"/>
    <s v="Medical Specialties"/>
    <x v="0"/>
    <s v="BBB+"/>
    <s v="United States"/>
    <x v="0"/>
    <d v="2024-03-26T00:00:00"/>
    <x v="0"/>
    <x v="2"/>
    <x v="1"/>
    <n v="0.36"/>
    <s v="Performance Stock"/>
    <n v="0.36"/>
    <x v="1"/>
    <s v="Profitability"/>
    <x v="14"/>
    <s v="3Y Average Adjusted EPS Growth"/>
    <n v="0.5"/>
  </r>
  <r>
    <x v="94"/>
    <x v="3"/>
    <x v="6"/>
    <x v="11"/>
    <s v="Medical Specialties"/>
    <x v="0"/>
    <s v="BBB+"/>
    <s v="United States"/>
    <x v="0"/>
    <d v="2024-03-26T00:00:00"/>
    <x v="0"/>
    <x v="2"/>
    <x v="1"/>
    <m/>
    <s v="Performance Stock"/>
    <n v="0.36"/>
    <x v="1"/>
    <s v="Profitability"/>
    <x v="89"/>
    <s v="3Y Relative Average Revenue Growth"/>
    <n v="0.5"/>
  </r>
  <r>
    <x v="94"/>
    <x v="3"/>
    <x v="6"/>
    <x v="11"/>
    <s v="Medical Specialties"/>
    <x v="0"/>
    <s v="BBB+"/>
    <s v="United States"/>
    <x v="0"/>
    <d v="2024-03-26T00:00:00"/>
    <x v="0"/>
    <x v="2"/>
    <x v="1"/>
    <m/>
    <s v="Performance Stock"/>
    <n v="0.36"/>
    <x v="0"/>
    <s v="Modifier/Threshold"/>
    <x v="14"/>
    <s v="3Y Average Adjusted EPS Growth"/>
    <m/>
  </r>
  <r>
    <x v="94"/>
    <x v="3"/>
    <x v="6"/>
    <x v="11"/>
    <s v="Medical Specialties"/>
    <x v="0"/>
    <s v="BBB+"/>
    <s v="United States"/>
    <x v="0"/>
    <d v="2024-03-26T00:00:00"/>
    <x v="0"/>
    <x v="2"/>
    <x v="0"/>
    <n v="0.45"/>
    <s v="Stock Options"/>
    <n v="0.45"/>
    <x v="0"/>
    <m/>
    <x v="0"/>
    <m/>
    <m/>
  </r>
  <r>
    <x v="94"/>
    <x v="3"/>
    <x v="6"/>
    <x v="11"/>
    <s v="Medical Specialties"/>
    <x v="0"/>
    <s v="BBB+"/>
    <s v="United States"/>
    <x v="0"/>
    <d v="2024-03-26T00:00:00"/>
    <x v="1"/>
    <x v="0"/>
    <x v="0"/>
    <n v="0.12"/>
    <s v="Base Salary"/>
    <n v="0.12"/>
    <x v="0"/>
    <m/>
    <x v="0"/>
    <m/>
    <m/>
  </r>
  <r>
    <x v="94"/>
    <x v="3"/>
    <x v="6"/>
    <x v="11"/>
    <s v="Medical Specialties"/>
    <x v="0"/>
    <s v="BBB+"/>
    <s v="United States"/>
    <x v="0"/>
    <d v="2024-03-26T00:00:00"/>
    <x v="1"/>
    <x v="1"/>
    <x v="1"/>
    <n v="0.1"/>
    <s v="Cash Incentive"/>
    <n v="0.1"/>
    <x v="1"/>
    <s v="Growth"/>
    <x v="1"/>
    <s v="Adjusted Revenue"/>
    <n v="0.4"/>
  </r>
  <r>
    <x v="94"/>
    <x v="3"/>
    <x v="6"/>
    <x v="11"/>
    <s v="Medical Specialties"/>
    <x v="0"/>
    <s v="BBB+"/>
    <s v="United States"/>
    <x v="0"/>
    <d v="2024-03-26T00:00:00"/>
    <x v="1"/>
    <x v="1"/>
    <x v="1"/>
    <m/>
    <s v="Cash Incentive"/>
    <n v="0.1"/>
    <x v="1"/>
    <s v="Profitability"/>
    <x v="2"/>
    <s v="Adjusted Operating Income"/>
    <n v="0.2"/>
  </r>
  <r>
    <x v="94"/>
    <x v="3"/>
    <x v="6"/>
    <x v="11"/>
    <s v="Medical Specialties"/>
    <x v="0"/>
    <s v="BBB+"/>
    <s v="United States"/>
    <x v="0"/>
    <d v="2024-03-26T00:00:00"/>
    <x v="1"/>
    <x v="1"/>
    <x v="1"/>
    <m/>
    <s v="Cash Incentive"/>
    <n v="0.1"/>
    <x v="1"/>
    <s v="Profitability"/>
    <x v="9"/>
    <s v="Adjusted Operating Margin"/>
    <n v="0.2"/>
  </r>
  <r>
    <x v="94"/>
    <x v="3"/>
    <x v="6"/>
    <x v="11"/>
    <s v="Medical Specialties"/>
    <x v="0"/>
    <s v="BBB+"/>
    <s v="United States"/>
    <x v="0"/>
    <d v="2024-03-26T00:00:00"/>
    <x v="1"/>
    <x v="1"/>
    <x v="1"/>
    <m/>
    <s v="Cash Incentive"/>
    <n v="0.1"/>
    <x v="1"/>
    <s v="Cash Flow"/>
    <x v="25"/>
    <s v="Adjusted Free Cash Flow"/>
    <n v="0.2"/>
  </r>
  <r>
    <x v="94"/>
    <x v="3"/>
    <x v="6"/>
    <x v="11"/>
    <s v="Medical Specialties"/>
    <x v="0"/>
    <s v="BBB+"/>
    <s v="United States"/>
    <x v="0"/>
    <d v="2024-03-26T00:00:00"/>
    <x v="1"/>
    <x v="1"/>
    <x v="1"/>
    <m/>
    <s v="Cash Incentive"/>
    <n v="0.1"/>
    <x v="0"/>
    <s v="Modifier/Threshold"/>
    <x v="46"/>
    <s v="Adjusted EPS"/>
    <m/>
  </r>
  <r>
    <x v="94"/>
    <x v="3"/>
    <x v="6"/>
    <x v="11"/>
    <s v="Medical Specialties"/>
    <x v="0"/>
    <s v="BBB+"/>
    <s v="United States"/>
    <x v="0"/>
    <d v="2024-03-26T00:00:00"/>
    <x v="1"/>
    <x v="1"/>
    <x v="1"/>
    <m/>
    <s v="Cash Incentive"/>
    <n v="0.1"/>
    <x v="0"/>
    <s v="Modifier/Threshold"/>
    <x v="20"/>
    <s v="Commitments Focused on Carbon Emissions and DE&amp;I"/>
    <m/>
  </r>
  <r>
    <x v="94"/>
    <x v="3"/>
    <x v="6"/>
    <x v="11"/>
    <s v="Medical Specialties"/>
    <x v="0"/>
    <s v="BBB+"/>
    <s v="United States"/>
    <x v="0"/>
    <d v="2024-03-26T00:00:00"/>
    <x v="1"/>
    <x v="1"/>
    <x v="1"/>
    <m/>
    <s v="Cash Incentive"/>
    <n v="0.1"/>
    <x v="0"/>
    <s v="Modifier/Threshold"/>
    <x v="35"/>
    <s v="Adjusted Operating Income"/>
    <m/>
  </r>
  <r>
    <x v="94"/>
    <x v="3"/>
    <x v="6"/>
    <x v="11"/>
    <s v="Medical Specialties"/>
    <x v="0"/>
    <s v="BBB+"/>
    <s v="United States"/>
    <x v="0"/>
    <d v="2024-03-26T00:00:00"/>
    <x v="1"/>
    <x v="1"/>
    <x v="1"/>
    <m/>
    <s v="Cash Incentive"/>
    <n v="0.1"/>
    <x v="0"/>
    <s v="Modifier/Threshold"/>
    <x v="34"/>
    <s v="Discretionary Adjustment"/>
    <m/>
  </r>
  <r>
    <x v="94"/>
    <x v="3"/>
    <x v="6"/>
    <x v="11"/>
    <s v="Medical Specialties"/>
    <x v="0"/>
    <s v="BBB+"/>
    <s v="United States"/>
    <x v="0"/>
    <d v="2024-03-26T00:00:00"/>
    <x v="1"/>
    <x v="2"/>
    <x v="1"/>
    <n v="0.35"/>
    <s v="Performance Stock"/>
    <n v="0.35"/>
    <x v="1"/>
    <s v="Profitability"/>
    <x v="14"/>
    <s v="3Y Average Adjusted EPS Growth"/>
    <n v="0.5"/>
  </r>
  <r>
    <x v="94"/>
    <x v="3"/>
    <x v="6"/>
    <x v="11"/>
    <s v="Medical Specialties"/>
    <x v="0"/>
    <s v="BBB+"/>
    <s v="United States"/>
    <x v="0"/>
    <d v="2024-03-26T00:00:00"/>
    <x v="1"/>
    <x v="2"/>
    <x v="1"/>
    <m/>
    <s v="Performance Stock"/>
    <n v="0.35"/>
    <x v="1"/>
    <s v="Profitability"/>
    <x v="89"/>
    <s v="3Y Relative Average Revenue Growth"/>
    <n v="0.5"/>
  </r>
  <r>
    <x v="94"/>
    <x v="3"/>
    <x v="6"/>
    <x v="11"/>
    <s v="Medical Specialties"/>
    <x v="0"/>
    <s v="BBB+"/>
    <s v="United States"/>
    <x v="0"/>
    <d v="2024-03-26T00:00:00"/>
    <x v="1"/>
    <x v="2"/>
    <x v="1"/>
    <m/>
    <s v="Performance Stock"/>
    <n v="0.35"/>
    <x v="0"/>
    <s v="Modifier/Threshold"/>
    <x v="14"/>
    <s v="3Y Average Adjusted EPS Growth"/>
    <m/>
  </r>
  <r>
    <x v="94"/>
    <x v="3"/>
    <x v="6"/>
    <x v="11"/>
    <s v="Medical Specialties"/>
    <x v="0"/>
    <s v="BBB+"/>
    <s v="United States"/>
    <x v="0"/>
    <d v="2024-03-26T00:00:00"/>
    <x v="1"/>
    <x v="2"/>
    <x v="0"/>
    <n v="0.43"/>
    <s v="Stock Options"/>
    <n v="0.43"/>
    <x v="0"/>
    <m/>
    <x v="0"/>
    <m/>
    <m/>
  </r>
  <r>
    <x v="95"/>
    <x v="3"/>
    <x v="6"/>
    <x v="6"/>
    <s v="Managed Health Care"/>
    <x v="2"/>
    <s v="BB"/>
    <s v="United States"/>
    <x v="0"/>
    <d v="2024-03-21T00:00:00"/>
    <x v="0"/>
    <x v="0"/>
    <x v="0"/>
    <n v="7.0000000000000007E-2"/>
    <s v="Base Salary"/>
    <n v="7.0000000000000007E-2"/>
    <x v="0"/>
    <m/>
    <x v="0"/>
    <m/>
    <m/>
  </r>
  <r>
    <x v="95"/>
    <x v="3"/>
    <x v="6"/>
    <x v="6"/>
    <s v="Managed Health Care"/>
    <x v="2"/>
    <s v="BB"/>
    <s v="United States"/>
    <x v="0"/>
    <d v="2024-03-21T00:00:00"/>
    <x v="0"/>
    <x v="1"/>
    <x v="1"/>
    <n v="0.21"/>
    <s v="Cash Incentive"/>
    <n v="0.21"/>
    <x v="1"/>
    <s v="Profitability"/>
    <x v="14"/>
    <s v="Adjusted EPS "/>
    <n v="0.7"/>
  </r>
  <r>
    <x v="95"/>
    <x v="3"/>
    <x v="6"/>
    <x v="6"/>
    <s v="Managed Health Care"/>
    <x v="2"/>
    <s v="BB"/>
    <s v="United States"/>
    <x v="0"/>
    <d v="2024-03-21T00:00:00"/>
    <x v="0"/>
    <x v="1"/>
    <x v="1"/>
    <m/>
    <s v="Cash Incentive"/>
    <n v="0.21"/>
    <x v="2"/>
    <s v="Individual Assessment"/>
    <x v="13"/>
    <s v="Individual Performance Assessment"/>
    <n v="0.3"/>
  </r>
  <r>
    <x v="95"/>
    <x v="3"/>
    <x v="6"/>
    <x v="6"/>
    <s v="Managed Health Care"/>
    <x v="2"/>
    <s v="BB"/>
    <s v="United States"/>
    <x v="0"/>
    <d v="2024-03-21T00:00:00"/>
    <x v="0"/>
    <x v="2"/>
    <x v="1"/>
    <n v="0.432"/>
    <s v="Performance Stock"/>
    <n v="0.432"/>
    <x v="1"/>
    <s v="Profitability"/>
    <x v="14"/>
    <s v="3Y Cumulative Adjusted EPS"/>
    <n v="1"/>
  </r>
  <r>
    <x v="95"/>
    <x v="3"/>
    <x v="6"/>
    <x v="6"/>
    <s v="Managed Health Care"/>
    <x v="2"/>
    <s v="BB"/>
    <s v="United States"/>
    <x v="0"/>
    <d v="2024-03-21T00:00:00"/>
    <x v="0"/>
    <x v="2"/>
    <x v="0"/>
    <n v="0.28799999999999998"/>
    <s v="Time-Based Stock"/>
    <n v="0.28799999999999998"/>
    <x v="0"/>
    <m/>
    <x v="0"/>
    <m/>
    <m/>
  </r>
  <r>
    <x v="95"/>
    <x v="3"/>
    <x v="6"/>
    <x v="6"/>
    <s v="Managed Health Care"/>
    <x v="2"/>
    <s v="BB"/>
    <s v="United States"/>
    <x v="0"/>
    <d v="2024-03-21T00:00:00"/>
    <x v="1"/>
    <x v="0"/>
    <x v="0"/>
    <n v="0.16"/>
    <s v="Base Salary"/>
    <n v="0.16"/>
    <x v="0"/>
    <m/>
    <x v="0"/>
    <m/>
    <m/>
  </r>
  <r>
    <x v="95"/>
    <x v="3"/>
    <x v="6"/>
    <x v="6"/>
    <s v="Managed Health Care"/>
    <x v="2"/>
    <s v="BB"/>
    <s v="United States"/>
    <x v="0"/>
    <d v="2024-03-21T00:00:00"/>
    <x v="1"/>
    <x v="1"/>
    <x v="1"/>
    <n v="0.18"/>
    <s v="Cash Incentive"/>
    <n v="0.18"/>
    <x v="1"/>
    <s v="Profitability"/>
    <x v="14"/>
    <s v="Adjusted EPS "/>
    <n v="0.7"/>
  </r>
  <r>
    <x v="95"/>
    <x v="3"/>
    <x v="6"/>
    <x v="6"/>
    <s v="Managed Health Care"/>
    <x v="2"/>
    <s v="BB"/>
    <s v="United States"/>
    <x v="0"/>
    <d v="2024-03-21T00:00:00"/>
    <x v="1"/>
    <x v="1"/>
    <x v="1"/>
    <m/>
    <s v="Cash Incentive"/>
    <n v="0.18"/>
    <x v="2"/>
    <s v="Individual Assessment"/>
    <x v="13"/>
    <s v="Individual Performance Assessment"/>
    <n v="0.3"/>
  </r>
  <r>
    <x v="95"/>
    <x v="3"/>
    <x v="6"/>
    <x v="6"/>
    <s v="Managed Health Care"/>
    <x v="2"/>
    <s v="BB"/>
    <s v="United States"/>
    <x v="0"/>
    <d v="2024-03-21T00:00:00"/>
    <x v="1"/>
    <x v="2"/>
    <x v="1"/>
    <n v="0.3795"/>
    <s v="Performance Stock"/>
    <n v="0.3795"/>
    <x v="1"/>
    <s v="Profitability"/>
    <x v="14"/>
    <s v="3Y Cumulative Adjusted EPS"/>
    <n v="1"/>
  </r>
  <r>
    <x v="95"/>
    <x v="3"/>
    <x v="6"/>
    <x v="6"/>
    <s v="Managed Health Care"/>
    <x v="2"/>
    <s v="BB"/>
    <s v="United States"/>
    <x v="0"/>
    <d v="2024-03-21T00:00:00"/>
    <x v="1"/>
    <x v="2"/>
    <x v="0"/>
    <n v="0.28050000000000003"/>
    <s v="Time-Based Stock"/>
    <n v="0.28050000000000003"/>
    <x v="0"/>
    <m/>
    <x v="0"/>
    <m/>
    <m/>
  </r>
  <r>
    <x v="96"/>
    <x v="1"/>
    <x v="2"/>
    <x v="18"/>
    <s v="Cable/Satellite TV"/>
    <x v="2"/>
    <s v="BB+"/>
    <s v="United States"/>
    <x v="0"/>
    <d v="2024-03-14T00:00:00"/>
    <x v="0"/>
    <x v="0"/>
    <x v="0"/>
    <n v="4.7E-2"/>
    <s v="Base Salary"/>
    <n v="4.7E-2"/>
    <x v="0"/>
    <m/>
    <x v="0"/>
    <m/>
    <m/>
  </r>
  <r>
    <x v="96"/>
    <x v="1"/>
    <x v="2"/>
    <x v="18"/>
    <s v="Cable/Satellite TV"/>
    <x v="2"/>
    <s v="BB+"/>
    <s v="United States"/>
    <x v="0"/>
    <d v="2024-03-14T00:00:00"/>
    <x v="0"/>
    <x v="1"/>
    <x v="1"/>
    <n v="0.11600000000000001"/>
    <s v="Cash Incentive"/>
    <n v="0.11600000000000001"/>
    <x v="1"/>
    <s v="Profitability"/>
    <x v="32"/>
    <s v="Adjusted EBITDA"/>
    <n v="0.6"/>
  </r>
  <r>
    <x v="96"/>
    <x v="1"/>
    <x v="2"/>
    <x v="18"/>
    <s v="Cable/Satellite TV"/>
    <x v="2"/>
    <s v="BB+"/>
    <s v="United States"/>
    <x v="0"/>
    <d v="2024-03-14T00:00:00"/>
    <x v="0"/>
    <x v="1"/>
    <x v="1"/>
    <m/>
    <s v="Cash Incentive"/>
    <n v="0.11600000000000001"/>
    <x v="1"/>
    <s v="Growth"/>
    <x v="1"/>
    <s v="Adjusted Revenue"/>
    <n v="0.2"/>
  </r>
  <r>
    <x v="96"/>
    <x v="1"/>
    <x v="2"/>
    <x v="18"/>
    <s v="Cable/Satellite TV"/>
    <x v="2"/>
    <s v="BB+"/>
    <s v="United States"/>
    <x v="0"/>
    <d v="2024-03-14T00:00:00"/>
    <x v="0"/>
    <x v="1"/>
    <x v="1"/>
    <m/>
    <s v="Cash Incentive"/>
    <n v="0.11600000000000001"/>
    <x v="2"/>
    <s v="Strategy &amp; Operations"/>
    <x v="3"/>
    <s v="Strategic Objectives "/>
    <n v="0.2"/>
  </r>
  <r>
    <x v="96"/>
    <x v="1"/>
    <x v="2"/>
    <x v="18"/>
    <s v="Cable/Satellite TV"/>
    <x v="2"/>
    <s v="BB+"/>
    <s v="United States"/>
    <x v="0"/>
    <d v="2024-03-14T00:00:00"/>
    <x v="0"/>
    <x v="1"/>
    <x v="1"/>
    <m/>
    <s v="Cash Incentive"/>
    <n v="0.11600000000000001"/>
    <x v="0"/>
    <s v="Modifier/Threshold"/>
    <x v="34"/>
    <s v="Discretionary Adjustment"/>
    <m/>
  </r>
  <r>
    <x v="96"/>
    <x v="1"/>
    <x v="2"/>
    <x v="18"/>
    <s v="Cable/Satellite TV"/>
    <x v="2"/>
    <s v="BB+"/>
    <s v="United States"/>
    <x v="0"/>
    <d v="2024-03-14T00:00:00"/>
    <x v="0"/>
    <x v="2"/>
    <x v="1"/>
    <n v="0.33500000000000002"/>
    <s v="Performance Stock Options"/>
    <n v="0.33500000000000002"/>
    <x v="3"/>
    <s v="Stock Performance"/>
    <x v="48"/>
    <s v="Stock Price"/>
    <n v="1"/>
  </r>
  <r>
    <x v="96"/>
    <x v="1"/>
    <x v="2"/>
    <x v="18"/>
    <s v="Cable/Satellite TV"/>
    <x v="2"/>
    <s v="BB+"/>
    <s v="United States"/>
    <x v="0"/>
    <d v="2024-03-14T00:00:00"/>
    <x v="0"/>
    <x v="2"/>
    <x v="1"/>
    <n v="3.6999999999999998E-2"/>
    <s v="Performance Stock"/>
    <n v="3.6999999999999998E-2"/>
    <x v="0"/>
    <m/>
    <x v="0"/>
    <m/>
    <m/>
  </r>
  <r>
    <x v="96"/>
    <x v="1"/>
    <x v="2"/>
    <x v="18"/>
    <s v="Cable/Satellite TV"/>
    <x v="2"/>
    <s v="BB+"/>
    <s v="United States"/>
    <x v="0"/>
    <d v="2024-03-14T00:00:00"/>
    <x v="0"/>
    <x v="2"/>
    <x v="0"/>
    <n v="0.46500000000000002"/>
    <s v="Stock Options"/>
    <n v="0.46500000000000002"/>
    <x v="0"/>
    <m/>
    <x v="0"/>
    <m/>
    <m/>
  </r>
  <r>
    <x v="96"/>
    <x v="1"/>
    <x v="2"/>
    <x v="18"/>
    <s v="Cable/Satellite TV"/>
    <x v="2"/>
    <s v="BB+"/>
    <s v="United States"/>
    <x v="0"/>
    <d v="2024-03-14T00:00:00"/>
    <x v="1"/>
    <x v="0"/>
    <x v="0"/>
    <n v="9.5000000000000001E-2"/>
    <s v="Base Salary"/>
    <n v="9.5000000000000001E-2"/>
    <x v="0"/>
    <m/>
    <x v="0"/>
    <m/>
    <m/>
  </r>
  <r>
    <x v="96"/>
    <x v="1"/>
    <x v="2"/>
    <x v="18"/>
    <s v="Cable/Satellite TV"/>
    <x v="2"/>
    <s v="BB+"/>
    <s v="United States"/>
    <x v="0"/>
    <d v="2024-03-14T00:00:00"/>
    <x v="1"/>
    <x v="1"/>
    <x v="1"/>
    <n v="0.125"/>
    <s v="Cash Incentive"/>
    <n v="0.125"/>
    <x v="1"/>
    <s v="Profitability"/>
    <x v="32"/>
    <s v="Adjusted EBITDA"/>
    <n v="0.6"/>
  </r>
  <r>
    <x v="96"/>
    <x v="1"/>
    <x v="2"/>
    <x v="18"/>
    <s v="Cable/Satellite TV"/>
    <x v="2"/>
    <s v="BB+"/>
    <s v="United States"/>
    <x v="0"/>
    <d v="2024-03-14T00:00:00"/>
    <x v="1"/>
    <x v="1"/>
    <x v="1"/>
    <m/>
    <s v="Cash Incentive"/>
    <n v="0.125"/>
    <x v="1"/>
    <s v="Growth"/>
    <x v="1"/>
    <s v="Adjusted Revenue"/>
    <n v="0.2"/>
  </r>
  <r>
    <x v="96"/>
    <x v="1"/>
    <x v="2"/>
    <x v="18"/>
    <s v="Cable/Satellite TV"/>
    <x v="2"/>
    <s v="BB+"/>
    <s v="United States"/>
    <x v="0"/>
    <d v="2024-03-14T00:00:00"/>
    <x v="1"/>
    <x v="1"/>
    <x v="1"/>
    <m/>
    <s v="Cash Incentive"/>
    <n v="0.125"/>
    <x v="1"/>
    <s v="Strategy &amp; Operations"/>
    <x v="3"/>
    <s v="Strategic Objectives"/>
    <n v="0.2"/>
  </r>
  <r>
    <x v="96"/>
    <x v="1"/>
    <x v="2"/>
    <x v="18"/>
    <s v="Cable/Satellite TV"/>
    <x v="2"/>
    <s v="BB+"/>
    <s v="United States"/>
    <x v="0"/>
    <d v="2024-03-14T00:00:00"/>
    <x v="1"/>
    <x v="1"/>
    <x v="1"/>
    <m/>
    <s v="Cash Incentive"/>
    <n v="0.125"/>
    <x v="0"/>
    <s v="Modifier/Threshold"/>
    <x v="34"/>
    <s v="Discretionary Adjustment"/>
    <m/>
  </r>
  <r>
    <x v="96"/>
    <x v="1"/>
    <x v="2"/>
    <x v="18"/>
    <s v="Cable/Satellite TV"/>
    <x v="2"/>
    <s v="BB+"/>
    <s v="United States"/>
    <x v="0"/>
    <d v="2024-03-14T00:00:00"/>
    <x v="1"/>
    <x v="2"/>
    <x v="1"/>
    <n v="0.312"/>
    <s v="Performance Stock Options"/>
    <n v="0.312"/>
    <x v="3"/>
    <s v="Stock Performance"/>
    <x v="48"/>
    <s v="Stock Price"/>
    <m/>
  </r>
  <r>
    <x v="96"/>
    <x v="1"/>
    <x v="2"/>
    <x v="18"/>
    <s v="Cable/Satellite TV"/>
    <x v="2"/>
    <s v="BB+"/>
    <s v="United States"/>
    <x v="0"/>
    <d v="2024-03-14T00:00:00"/>
    <x v="1"/>
    <x v="2"/>
    <x v="1"/>
    <n v="3.5000000000000003E-2"/>
    <s v="Performance Stock"/>
    <n v="3.5000000000000003E-2"/>
    <x v="0"/>
    <m/>
    <x v="0"/>
    <m/>
    <m/>
  </r>
  <r>
    <x v="96"/>
    <x v="1"/>
    <x v="2"/>
    <x v="18"/>
    <s v="Cable/Satellite TV"/>
    <x v="2"/>
    <s v="BB+"/>
    <s v="United States"/>
    <x v="0"/>
    <d v="2024-03-14T00:00:00"/>
    <x v="1"/>
    <x v="2"/>
    <x v="0"/>
    <n v="0.39"/>
    <s v="Stock Options"/>
    <n v="0.39"/>
    <x v="0"/>
    <m/>
    <x v="0"/>
    <m/>
    <m/>
  </r>
  <r>
    <x v="96"/>
    <x v="1"/>
    <x v="2"/>
    <x v="18"/>
    <s v="Cable/Satellite TV"/>
    <x v="2"/>
    <s v="BB+"/>
    <s v="United States"/>
    <x v="0"/>
    <d v="2024-03-14T00:00:00"/>
    <x v="1"/>
    <x v="2"/>
    <x v="0"/>
    <n v="4.2999999999999997E-2"/>
    <s v="Time-Based Stock"/>
    <n v="4.2999999999999997E-2"/>
    <x v="0"/>
    <m/>
    <x v="0"/>
    <m/>
    <m/>
  </r>
  <r>
    <x v="97"/>
    <x v="2"/>
    <x v="14"/>
    <x v="22"/>
    <s v="Restaurants"/>
    <x v="0"/>
    <s v="BBB+"/>
    <s v="United States"/>
    <x v="0"/>
    <d v="2024-04-08T00:00:00"/>
    <x v="0"/>
    <x v="0"/>
    <x v="0"/>
    <n v="0.08"/>
    <s v="Base Salary"/>
    <n v="0.08"/>
    <x v="0"/>
    <m/>
    <x v="0"/>
    <m/>
    <m/>
  </r>
  <r>
    <x v="97"/>
    <x v="2"/>
    <x v="14"/>
    <x v="22"/>
    <s v="Restaurants"/>
    <x v="0"/>
    <s v="BBB+"/>
    <s v="United States"/>
    <x v="0"/>
    <d v="2024-04-08T00:00:00"/>
    <x v="0"/>
    <x v="1"/>
    <x v="1"/>
    <n v="0.16"/>
    <s v="Cash Incentive"/>
    <n v="0.16"/>
    <x v="1"/>
    <s v="Profitability"/>
    <x v="2"/>
    <s v="Adjusted Operating Income Growth"/>
    <n v="0.4"/>
  </r>
  <r>
    <x v="97"/>
    <x v="2"/>
    <x v="14"/>
    <x v="22"/>
    <s v="Restaurants"/>
    <x v="0"/>
    <s v="BBB+"/>
    <s v="United States"/>
    <x v="0"/>
    <d v="2024-04-08T00:00:00"/>
    <x v="0"/>
    <x v="1"/>
    <x v="1"/>
    <m/>
    <s v="Cash Incentive"/>
    <n v="0.16"/>
    <x v="1"/>
    <s v="Growth"/>
    <x v="17"/>
    <s v="Systemwide Sales Growth"/>
    <n v="0.3"/>
  </r>
  <r>
    <x v="97"/>
    <x v="2"/>
    <x v="14"/>
    <x v="22"/>
    <s v="Restaurants"/>
    <x v="0"/>
    <s v="BBB+"/>
    <s v="United States"/>
    <x v="0"/>
    <d v="2024-04-08T00:00:00"/>
    <x v="0"/>
    <x v="1"/>
    <x v="1"/>
    <m/>
    <s v="Cash Incentive"/>
    <n v="0.16"/>
    <x v="1"/>
    <s v="Growth"/>
    <x v="58"/>
    <s v="New Restaurant Openings"/>
    <n v="0.15"/>
  </r>
  <r>
    <x v="97"/>
    <x v="2"/>
    <x v="14"/>
    <x v="22"/>
    <s v="Restaurants"/>
    <x v="0"/>
    <s v="BBB+"/>
    <s v="United States"/>
    <x v="0"/>
    <d v="2024-04-08T00:00:00"/>
    <x v="0"/>
    <x v="1"/>
    <x v="1"/>
    <m/>
    <s v="Cash Incentive"/>
    <n v="0.16"/>
    <x v="2"/>
    <s v="Strategy &amp; Operations"/>
    <x v="3"/>
    <s v="Strategic Scorecard"/>
    <n v="0.15"/>
  </r>
  <r>
    <x v="97"/>
    <x v="2"/>
    <x v="14"/>
    <x v="22"/>
    <s v="Restaurants"/>
    <x v="0"/>
    <s v="BBB+"/>
    <s v="United States"/>
    <x v="0"/>
    <d v="2024-04-08T00:00:00"/>
    <x v="0"/>
    <x v="2"/>
    <x v="1"/>
    <n v="0.38"/>
    <s v="Performance Stock"/>
    <n v="0.38"/>
    <x v="1"/>
    <s v="Profitability"/>
    <x v="14"/>
    <s v="3Y Adjusted EPS CAGR"/>
    <n v="0.75"/>
  </r>
  <r>
    <x v="97"/>
    <x v="2"/>
    <x v="14"/>
    <x v="22"/>
    <s v="Restaurants"/>
    <x v="0"/>
    <s v="BBB+"/>
    <s v="United States"/>
    <x v="0"/>
    <d v="2024-04-08T00:00:00"/>
    <x v="0"/>
    <x v="2"/>
    <x v="1"/>
    <m/>
    <s v="Performance Stock"/>
    <n v="0.38"/>
    <x v="1"/>
    <s v="Return"/>
    <x v="26"/>
    <s v="3Y Average Adjusted ROIC "/>
    <n v="0.25"/>
  </r>
  <r>
    <x v="97"/>
    <x v="2"/>
    <x v="14"/>
    <x v="22"/>
    <s v="Restaurants"/>
    <x v="0"/>
    <s v="BBB+"/>
    <s v="United States"/>
    <x v="0"/>
    <d v="2024-04-08T00:00:00"/>
    <x v="0"/>
    <x v="2"/>
    <x v="1"/>
    <m/>
    <s v="Performance Stock"/>
    <n v="0.38"/>
    <x v="0"/>
    <s v="Modifier/Threshold"/>
    <x v="6"/>
    <s v="3Y Relative TSR"/>
    <m/>
  </r>
  <r>
    <x v="97"/>
    <x v="2"/>
    <x v="14"/>
    <x v="22"/>
    <s v="Restaurants"/>
    <x v="0"/>
    <s v="BBB+"/>
    <s v="United States"/>
    <x v="0"/>
    <d v="2024-04-08T00:00:00"/>
    <x v="0"/>
    <x v="2"/>
    <x v="1"/>
    <m/>
    <s v="Performance Stock"/>
    <n v="0.38"/>
    <x v="0"/>
    <s v="Modifier/Threshold"/>
    <x v="12"/>
    <s v="3Y Absolute TSR"/>
    <m/>
  </r>
  <r>
    <x v="97"/>
    <x v="2"/>
    <x v="14"/>
    <x v="22"/>
    <s v="Restaurants"/>
    <x v="0"/>
    <s v="BBB+"/>
    <s v="United States"/>
    <x v="0"/>
    <d v="2024-04-08T00:00:00"/>
    <x v="0"/>
    <x v="2"/>
    <x v="0"/>
    <n v="0.38"/>
    <s v="Stock Options"/>
    <n v="0.38"/>
    <x v="0"/>
    <m/>
    <x v="0"/>
    <m/>
    <m/>
  </r>
  <r>
    <x v="97"/>
    <x v="2"/>
    <x v="14"/>
    <x v="22"/>
    <s v="Restaurants"/>
    <x v="0"/>
    <s v="BBB+"/>
    <s v="United States"/>
    <x v="0"/>
    <d v="2024-04-08T00:00:00"/>
    <x v="1"/>
    <x v="0"/>
    <x v="0"/>
    <n v="0.17"/>
    <s v="Base Salary"/>
    <n v="0.17"/>
    <x v="0"/>
    <m/>
    <x v="0"/>
    <m/>
    <m/>
  </r>
  <r>
    <x v="97"/>
    <x v="2"/>
    <x v="14"/>
    <x v="22"/>
    <s v="Restaurants"/>
    <x v="0"/>
    <s v="BBB+"/>
    <s v="United States"/>
    <x v="0"/>
    <d v="2024-04-08T00:00:00"/>
    <x v="1"/>
    <x v="1"/>
    <x v="1"/>
    <n v="0.19"/>
    <s v="Cash Incentive"/>
    <n v="0.19"/>
    <x v="1"/>
    <s v="Profitability"/>
    <x v="2"/>
    <s v="Adjusted Operating Income Growth"/>
    <n v="0.4"/>
  </r>
  <r>
    <x v="97"/>
    <x v="2"/>
    <x v="14"/>
    <x v="22"/>
    <s v="Restaurants"/>
    <x v="0"/>
    <s v="BBB+"/>
    <s v="United States"/>
    <x v="0"/>
    <d v="2024-04-08T00:00:00"/>
    <x v="1"/>
    <x v="1"/>
    <x v="1"/>
    <m/>
    <s v="Cash Incentive"/>
    <n v="0.19"/>
    <x v="1"/>
    <s v="Growth"/>
    <x v="17"/>
    <s v="Systemwide Sales Growth"/>
    <n v="0.3"/>
  </r>
  <r>
    <x v="97"/>
    <x v="2"/>
    <x v="14"/>
    <x v="22"/>
    <s v="Restaurants"/>
    <x v="0"/>
    <s v="BBB+"/>
    <s v="United States"/>
    <x v="0"/>
    <d v="2024-04-08T00:00:00"/>
    <x v="1"/>
    <x v="1"/>
    <x v="1"/>
    <m/>
    <s v="Cash Incentive"/>
    <n v="0.19"/>
    <x v="1"/>
    <s v="Growth"/>
    <x v="58"/>
    <s v="New Restaurant Openings"/>
    <n v="0.15"/>
  </r>
  <r>
    <x v="97"/>
    <x v="2"/>
    <x v="14"/>
    <x v="22"/>
    <s v="Restaurants"/>
    <x v="0"/>
    <s v="BBB+"/>
    <s v="United States"/>
    <x v="0"/>
    <d v="2024-04-08T00:00:00"/>
    <x v="1"/>
    <x v="1"/>
    <x v="1"/>
    <m/>
    <s v="Cash Incentive"/>
    <n v="0.19"/>
    <x v="2"/>
    <s v="Strategy &amp; Operations"/>
    <x v="3"/>
    <s v="Strategic Scorecard"/>
    <n v="0.15"/>
  </r>
  <r>
    <x v="97"/>
    <x v="2"/>
    <x v="14"/>
    <x v="22"/>
    <s v="Restaurants"/>
    <x v="0"/>
    <s v="BBB+"/>
    <s v="United States"/>
    <x v="0"/>
    <d v="2024-04-08T00:00:00"/>
    <x v="1"/>
    <x v="1"/>
    <x v="1"/>
    <m/>
    <s v="Cash Incentive"/>
    <n v="0.19"/>
    <x v="0"/>
    <s v="Modifier/Threshold"/>
    <x v="20"/>
    <s v="Conversion of Registered Franchise Applicants and Their Diversity"/>
    <m/>
  </r>
  <r>
    <x v="97"/>
    <x v="2"/>
    <x v="14"/>
    <x v="22"/>
    <s v="Restaurants"/>
    <x v="0"/>
    <s v="BBB+"/>
    <s v="United States"/>
    <x v="0"/>
    <d v="2024-04-08T00:00:00"/>
    <x v="1"/>
    <x v="2"/>
    <x v="1"/>
    <n v="0.32"/>
    <s v="Performance Stock"/>
    <n v="0.32"/>
    <x v="1"/>
    <s v="Profitability"/>
    <x v="14"/>
    <s v="3Y Adjusted EPS CAGR"/>
    <n v="0.75"/>
  </r>
  <r>
    <x v="97"/>
    <x v="2"/>
    <x v="14"/>
    <x v="22"/>
    <s v="Restaurants"/>
    <x v="0"/>
    <s v="BBB+"/>
    <s v="United States"/>
    <x v="0"/>
    <d v="2024-04-08T00:00:00"/>
    <x v="1"/>
    <x v="2"/>
    <x v="1"/>
    <m/>
    <s v="Performance Stock"/>
    <n v="0.32"/>
    <x v="1"/>
    <s v="Return"/>
    <x v="26"/>
    <s v="3Y Average Adjusted ROIC "/>
    <n v="0.25"/>
  </r>
  <r>
    <x v="97"/>
    <x v="2"/>
    <x v="14"/>
    <x v="22"/>
    <s v="Restaurants"/>
    <x v="0"/>
    <s v="BBB+"/>
    <s v="United States"/>
    <x v="0"/>
    <d v="2024-04-08T00:00:00"/>
    <x v="1"/>
    <x v="2"/>
    <x v="1"/>
    <m/>
    <s v="Performance Stock"/>
    <n v="0.32"/>
    <x v="0"/>
    <s v="Modifier/Threshold"/>
    <x v="6"/>
    <s v="3Y Relative TSR"/>
    <m/>
  </r>
  <r>
    <x v="97"/>
    <x v="2"/>
    <x v="14"/>
    <x v="22"/>
    <s v="Restaurants"/>
    <x v="0"/>
    <s v="BBB+"/>
    <s v="United States"/>
    <x v="0"/>
    <d v="2024-04-08T00:00:00"/>
    <x v="0"/>
    <x v="2"/>
    <x v="1"/>
    <m/>
    <s v="Performance Stock"/>
    <n v="0.32"/>
    <x v="0"/>
    <s v="Modifier/Threshold"/>
    <x v="12"/>
    <s v="3Y Absolute TSR"/>
    <m/>
  </r>
  <r>
    <x v="97"/>
    <x v="2"/>
    <x v="14"/>
    <x v="22"/>
    <s v="Restaurants"/>
    <x v="0"/>
    <s v="BBB+"/>
    <s v="United States"/>
    <x v="0"/>
    <d v="2024-04-08T00:00:00"/>
    <x v="1"/>
    <x v="2"/>
    <x v="1"/>
    <n v="0.32"/>
    <s v="Stock Options"/>
    <n v="0.32"/>
    <x v="0"/>
    <m/>
    <x v="0"/>
    <m/>
    <m/>
  </r>
  <r>
    <x v="98"/>
    <x v="3"/>
    <x v="4"/>
    <x v="4"/>
    <s v="Pharmaceuticals"/>
    <x v="0"/>
    <s v="A+"/>
    <s v="United States"/>
    <x v="0"/>
    <d v="2024-04-11T00:00:00"/>
    <x v="0"/>
    <x v="0"/>
    <x v="0"/>
    <n v="0.08"/>
    <s v="Base Salary"/>
    <n v="0.08"/>
    <x v="0"/>
    <m/>
    <x v="0"/>
    <m/>
    <m/>
  </r>
  <r>
    <x v="98"/>
    <x v="3"/>
    <x v="4"/>
    <x v="4"/>
    <s v="Pharmaceuticals"/>
    <x v="0"/>
    <s v="A+"/>
    <s v="United States"/>
    <x v="0"/>
    <d v="2024-04-11T00:00:00"/>
    <x v="0"/>
    <x v="1"/>
    <x v="1"/>
    <n v="0.12"/>
    <s v="Cash Incentive"/>
    <n v="0.12"/>
    <x v="1"/>
    <s v="Growth"/>
    <x v="1"/>
    <s v="Adjusted Revenue"/>
    <n v="0.35"/>
  </r>
  <r>
    <x v="98"/>
    <x v="3"/>
    <x v="4"/>
    <x v="4"/>
    <s v="Pharmaceuticals"/>
    <x v="0"/>
    <s v="A+"/>
    <s v="United States"/>
    <x v="0"/>
    <d v="2024-04-11T00:00:00"/>
    <x v="0"/>
    <x v="1"/>
    <x v="1"/>
    <m/>
    <s v="Cash Incentive"/>
    <n v="0.12"/>
    <x v="1"/>
    <s v="Profitability"/>
    <x v="33"/>
    <s v="Adjusted Pre-Tax Income"/>
    <n v="0.35"/>
  </r>
  <r>
    <x v="98"/>
    <x v="3"/>
    <x v="4"/>
    <x v="4"/>
    <s v="Pharmaceuticals"/>
    <x v="0"/>
    <s v="A+"/>
    <s v="United States"/>
    <x v="0"/>
    <d v="2024-04-11T00:00:00"/>
    <x v="0"/>
    <x v="1"/>
    <x v="1"/>
    <m/>
    <s v="Cash Incentive"/>
    <n v="0.12"/>
    <x v="2"/>
    <s v="Strategy &amp; Operations"/>
    <x v="15"/>
    <s v="Pipeline"/>
    <n v="0.2"/>
  </r>
  <r>
    <x v="98"/>
    <x v="3"/>
    <x v="4"/>
    <x v="4"/>
    <s v="Pharmaceuticals"/>
    <x v="0"/>
    <s v="A+"/>
    <s v="United States"/>
    <x v="0"/>
    <d v="2024-04-11T00:00:00"/>
    <x v="0"/>
    <x v="1"/>
    <x v="1"/>
    <m/>
    <s v="Cash Incentive"/>
    <n v="0.12"/>
    <x v="2"/>
    <s v="ESG"/>
    <x v="7"/>
    <s v="Sustainability "/>
    <n v="0.1"/>
  </r>
  <r>
    <x v="98"/>
    <x v="3"/>
    <x v="4"/>
    <x v="4"/>
    <s v="Pharmaceuticals"/>
    <x v="0"/>
    <s v="A+"/>
    <s v="United States"/>
    <x v="0"/>
    <d v="2024-04-11T00:00:00"/>
    <x v="0"/>
    <x v="2"/>
    <x v="1"/>
    <n v="0.56000000000000005"/>
    <s v="Performance Stock"/>
    <n v="0.56000000000000005"/>
    <x v="1"/>
    <s v="Profitability"/>
    <x v="14"/>
    <s v="3Y Adjusted Cumulative EPS"/>
    <n v="0.5"/>
  </r>
  <r>
    <x v="98"/>
    <x v="3"/>
    <x v="4"/>
    <x v="4"/>
    <s v="Pharmaceuticals"/>
    <x v="0"/>
    <s v="A+"/>
    <s v="United States"/>
    <x v="0"/>
    <d v="2024-04-11T00:00:00"/>
    <x v="0"/>
    <x v="2"/>
    <x v="1"/>
    <m/>
    <s v="Performance Stock"/>
    <n v="0.56000000000000005"/>
    <x v="3"/>
    <s v="Stock Performance"/>
    <x v="11"/>
    <s v="3Y Relative Average TSR "/>
    <n v="0.5"/>
  </r>
  <r>
    <x v="98"/>
    <x v="3"/>
    <x v="4"/>
    <x v="4"/>
    <s v="Pharmaceuticals"/>
    <x v="0"/>
    <s v="A+"/>
    <s v="United States"/>
    <x v="0"/>
    <d v="2024-04-11T00:00:00"/>
    <x v="0"/>
    <x v="2"/>
    <x v="1"/>
    <m/>
    <s v="Performance Stock"/>
    <n v="0.56000000000000005"/>
    <x v="0"/>
    <s v="Modifier/Threshold"/>
    <x v="8"/>
    <s v="3Y Average Absolute TSR"/>
    <m/>
  </r>
  <r>
    <x v="98"/>
    <x v="3"/>
    <x v="4"/>
    <x v="4"/>
    <s v="Pharmaceuticals"/>
    <x v="0"/>
    <s v="A+"/>
    <s v="United States"/>
    <x v="0"/>
    <d v="2024-04-11T00:00:00"/>
    <x v="0"/>
    <x v="2"/>
    <x v="0"/>
    <n v="0.24"/>
    <s v="Stock Options"/>
    <n v="0.24"/>
    <x v="0"/>
    <m/>
    <x v="0"/>
    <m/>
    <m/>
  </r>
  <r>
    <x v="98"/>
    <x v="3"/>
    <x v="4"/>
    <x v="4"/>
    <s v="Pharmaceuticals"/>
    <x v="0"/>
    <s v="A+"/>
    <s v="United States"/>
    <x v="0"/>
    <d v="2024-04-11T00:00:00"/>
    <x v="1"/>
    <x v="0"/>
    <x v="0"/>
    <n v="0.18"/>
    <s v="Base Salary"/>
    <n v="0.18"/>
    <x v="0"/>
    <m/>
    <x v="0"/>
    <m/>
    <m/>
  </r>
  <r>
    <x v="98"/>
    <x v="3"/>
    <x v="4"/>
    <x v="4"/>
    <s v="Pharmaceuticals"/>
    <x v="0"/>
    <s v="A+"/>
    <s v="United States"/>
    <x v="0"/>
    <d v="2024-04-11T00:00:00"/>
    <x v="1"/>
    <x v="1"/>
    <x v="1"/>
    <n v="0.18"/>
    <s v="Cash Incentive"/>
    <n v="0.18"/>
    <x v="1"/>
    <s v="Growth"/>
    <x v="1"/>
    <s v="Adjusted Revenue"/>
    <n v="0.35"/>
  </r>
  <r>
    <x v="98"/>
    <x v="3"/>
    <x v="4"/>
    <x v="4"/>
    <s v="Pharmaceuticals"/>
    <x v="0"/>
    <s v="A+"/>
    <s v="United States"/>
    <x v="0"/>
    <d v="2024-04-11T00:00:00"/>
    <x v="1"/>
    <x v="1"/>
    <x v="1"/>
    <m/>
    <s v="Cash Incentive"/>
    <n v="0.18"/>
    <x v="1"/>
    <s v="Profitability"/>
    <x v="33"/>
    <s v="Adjusted Pre-Tax Income"/>
    <n v="0.35"/>
  </r>
  <r>
    <x v="98"/>
    <x v="3"/>
    <x v="4"/>
    <x v="4"/>
    <s v="Pharmaceuticals"/>
    <x v="0"/>
    <s v="A+"/>
    <s v="United States"/>
    <x v="0"/>
    <d v="2024-04-11T00:00:00"/>
    <x v="1"/>
    <x v="1"/>
    <x v="1"/>
    <m/>
    <s v="Cash Incentive"/>
    <n v="0.18"/>
    <x v="2"/>
    <s v="Strategy &amp; Operations"/>
    <x v="15"/>
    <s v="Pipeline"/>
    <n v="0.2"/>
  </r>
  <r>
    <x v="98"/>
    <x v="3"/>
    <x v="4"/>
    <x v="4"/>
    <s v="Pharmaceuticals"/>
    <x v="0"/>
    <s v="A+"/>
    <s v="United States"/>
    <x v="0"/>
    <d v="2024-04-11T00:00:00"/>
    <x v="1"/>
    <x v="1"/>
    <x v="1"/>
    <m/>
    <s v="Cash Incentive"/>
    <n v="0.18"/>
    <x v="2"/>
    <s v="ESG"/>
    <x v="7"/>
    <s v="Sustainability "/>
    <n v="0.1"/>
  </r>
  <r>
    <x v="98"/>
    <x v="3"/>
    <x v="4"/>
    <x v="4"/>
    <s v="Pharmaceuticals"/>
    <x v="0"/>
    <s v="A+"/>
    <s v="United States"/>
    <x v="0"/>
    <d v="2024-04-11T00:00:00"/>
    <x v="1"/>
    <x v="2"/>
    <x v="1"/>
    <n v="0.45"/>
    <s v="Performance Stock"/>
    <n v="0.45"/>
    <x v="1"/>
    <s v="Profitability"/>
    <x v="14"/>
    <s v="3Y Adjusted Cumulative EPS"/>
    <n v="0.5"/>
  </r>
  <r>
    <x v="98"/>
    <x v="3"/>
    <x v="4"/>
    <x v="4"/>
    <s v="Pharmaceuticals"/>
    <x v="0"/>
    <s v="A+"/>
    <s v="United States"/>
    <x v="0"/>
    <d v="2024-04-11T00:00:00"/>
    <x v="1"/>
    <x v="2"/>
    <x v="1"/>
    <m/>
    <s v="Performance Stock"/>
    <n v="0.45"/>
    <x v="3"/>
    <s v="Stock Performance"/>
    <x v="11"/>
    <s v="3Y Relative Average TSR "/>
    <n v="0.5"/>
  </r>
  <r>
    <x v="98"/>
    <x v="3"/>
    <x v="4"/>
    <x v="4"/>
    <s v="Pharmaceuticals"/>
    <x v="0"/>
    <s v="A+"/>
    <s v="United States"/>
    <x v="0"/>
    <d v="2024-04-11T00:00:00"/>
    <x v="1"/>
    <x v="2"/>
    <x v="1"/>
    <m/>
    <s v="Performance Stock"/>
    <n v="0.45"/>
    <x v="0"/>
    <s v="Modifier/Threshold"/>
    <x v="8"/>
    <s v="3Y Average Absolute TSR"/>
    <m/>
  </r>
  <r>
    <x v="98"/>
    <x v="3"/>
    <x v="4"/>
    <x v="4"/>
    <s v="Pharmaceuticals"/>
    <x v="0"/>
    <s v="A+"/>
    <s v="United States"/>
    <x v="0"/>
    <d v="2024-04-11T00:00:00"/>
    <x v="1"/>
    <x v="2"/>
    <x v="0"/>
    <n v="0.19"/>
    <s v="Stock Options"/>
    <n v="0.19"/>
    <x v="0"/>
    <m/>
    <x v="0"/>
    <m/>
    <m/>
  </r>
  <r>
    <x v="99"/>
    <x v="10"/>
    <x v="22"/>
    <x v="39"/>
    <s v="REIT"/>
    <x v="2"/>
    <s v="BBB+"/>
    <s v="United States"/>
    <x v="0"/>
    <d v="2024-04-03T00:00:00"/>
    <x v="0"/>
    <x v="0"/>
    <x v="0"/>
    <n v="0.08"/>
    <s v="Base Salary"/>
    <n v="0.08"/>
    <x v="0"/>
    <m/>
    <x v="0"/>
    <m/>
    <m/>
  </r>
  <r>
    <x v="99"/>
    <x v="10"/>
    <x v="22"/>
    <x v="39"/>
    <s v="REIT"/>
    <x v="2"/>
    <s v="BBB+"/>
    <s v="United States"/>
    <x v="0"/>
    <d v="2024-04-03T00:00:00"/>
    <x v="0"/>
    <x v="1"/>
    <x v="1"/>
    <n v="0.14000000000000001"/>
    <s v="Cash Incentive"/>
    <n v="0.14000000000000001"/>
    <x v="1"/>
    <s v="Profitability"/>
    <x v="82"/>
    <s v="Adjusted Funds from Operations per Share"/>
    <n v="0.5"/>
  </r>
  <r>
    <x v="99"/>
    <x v="10"/>
    <x v="22"/>
    <x v="39"/>
    <s v="REIT"/>
    <x v="2"/>
    <s v="BBB+"/>
    <s v="United States"/>
    <x v="0"/>
    <d v="2024-04-03T00:00:00"/>
    <x v="0"/>
    <x v="1"/>
    <x v="1"/>
    <m/>
    <s v="Cash Incentive"/>
    <n v="0.14000000000000001"/>
    <x v="1"/>
    <s v="Strategy &amp; Operations"/>
    <x v="3"/>
    <s v="Corporate Assessment"/>
    <n v="0.5"/>
  </r>
  <r>
    <x v="99"/>
    <x v="10"/>
    <x v="22"/>
    <x v="39"/>
    <s v="REIT"/>
    <x v="2"/>
    <s v="BBB+"/>
    <s v="United States"/>
    <x v="0"/>
    <d v="2024-04-03T00:00:00"/>
    <x v="0"/>
    <x v="1"/>
    <x v="1"/>
    <m/>
    <s v="Cash Incentive"/>
    <n v="0.14000000000000001"/>
    <x v="0"/>
    <s v="Modifier/Threshold"/>
    <x v="10"/>
    <s v="Individual Performance Factor"/>
    <m/>
  </r>
  <r>
    <x v="99"/>
    <x v="10"/>
    <x v="22"/>
    <x v="39"/>
    <s v="REIT"/>
    <x v="2"/>
    <s v="BBB+"/>
    <s v="United States"/>
    <x v="0"/>
    <d v="2024-04-03T00:00:00"/>
    <x v="0"/>
    <x v="2"/>
    <x v="1"/>
    <n v="0.62"/>
    <s v="Performance Stock"/>
    <n v="0.62"/>
    <x v="3"/>
    <s v="Stock Performance"/>
    <x v="11"/>
    <s v="3Y Relative TSR"/>
    <n v="0.5"/>
  </r>
  <r>
    <x v="99"/>
    <x v="10"/>
    <x v="22"/>
    <x v="39"/>
    <s v="REIT"/>
    <x v="2"/>
    <s v="BBB+"/>
    <s v="United States"/>
    <x v="0"/>
    <d v="2024-04-03T00:00:00"/>
    <x v="0"/>
    <x v="2"/>
    <x v="1"/>
    <m/>
    <s v="Performance Stock"/>
    <n v="0.62"/>
    <x v="1"/>
    <s v="Profitability"/>
    <x v="82"/>
    <s v="3Y Cumulative Adjusted Funds from Operations Per Share"/>
    <n v="0.5"/>
  </r>
  <r>
    <x v="99"/>
    <x v="10"/>
    <x v="22"/>
    <x v="39"/>
    <s v="REIT"/>
    <x v="2"/>
    <s v="BBB+"/>
    <s v="United States"/>
    <x v="0"/>
    <d v="2024-04-03T00:00:00"/>
    <x v="0"/>
    <x v="2"/>
    <x v="0"/>
    <n v="0.16"/>
    <s v="Time-Based Stock"/>
    <n v="0.16"/>
    <x v="0"/>
    <m/>
    <x v="0"/>
    <m/>
    <m/>
  </r>
  <r>
    <x v="99"/>
    <x v="10"/>
    <x v="22"/>
    <x v="39"/>
    <s v="REIT"/>
    <x v="2"/>
    <s v="BBB+"/>
    <s v="United States"/>
    <x v="0"/>
    <d v="2024-04-03T00:00:00"/>
    <x v="1"/>
    <x v="0"/>
    <x v="0"/>
    <n v="0.13634060909808277"/>
    <s v="Base Salary"/>
    <n v="0.13634060909808277"/>
    <x v="0"/>
    <m/>
    <x v="0"/>
    <m/>
    <m/>
  </r>
  <r>
    <x v="99"/>
    <x v="10"/>
    <x v="22"/>
    <x v="39"/>
    <s v="REIT"/>
    <x v="2"/>
    <s v="BBB+"/>
    <s v="United States"/>
    <x v="0"/>
    <d v="2024-04-03T00:00:00"/>
    <x v="1"/>
    <x v="1"/>
    <x v="1"/>
    <n v="0.14520661187846123"/>
    <s v="Cash Incentive"/>
    <n v="0.14520661187846123"/>
    <x v="1"/>
    <s v="Profitability"/>
    <x v="82"/>
    <s v="Adjusted Funds from Operations per Share"/>
    <n v="0.5"/>
  </r>
  <r>
    <x v="99"/>
    <x v="10"/>
    <x v="22"/>
    <x v="39"/>
    <s v="REIT"/>
    <x v="2"/>
    <s v="BBB+"/>
    <s v="United States"/>
    <x v="0"/>
    <d v="2024-04-03T00:00:00"/>
    <x v="1"/>
    <x v="1"/>
    <x v="1"/>
    <m/>
    <s v="Cash Incentive"/>
    <n v="0.14520661187846123"/>
    <x v="1"/>
    <s v="Strategy &amp; Operations"/>
    <x v="3"/>
    <s v="Corporate Assessment"/>
    <n v="0.5"/>
  </r>
  <r>
    <x v="99"/>
    <x v="10"/>
    <x v="22"/>
    <x v="39"/>
    <s v="REIT"/>
    <x v="2"/>
    <s v="BBB+"/>
    <s v="United States"/>
    <x v="0"/>
    <d v="2024-04-03T00:00:00"/>
    <x v="1"/>
    <x v="1"/>
    <x v="1"/>
    <m/>
    <s v="Cash Incentive"/>
    <n v="0.14520661187846123"/>
    <x v="0"/>
    <s v="Modifier/Threshold"/>
    <x v="10"/>
    <s v="Individual Performance Factor"/>
    <m/>
  </r>
  <r>
    <x v="99"/>
    <x v="10"/>
    <x v="22"/>
    <x v="39"/>
    <s v="REIT"/>
    <x v="2"/>
    <s v="BBB+"/>
    <s v="United States"/>
    <x v="0"/>
    <d v="2024-04-03T00:00:00"/>
    <x v="1"/>
    <x v="2"/>
    <x v="1"/>
    <n v="0.56875763379973132"/>
    <s v="Performance Stock"/>
    <n v="0.56875763379973132"/>
    <x v="3"/>
    <s v="Stock Performance"/>
    <x v="11"/>
    <s v="3Y Relative TSR"/>
    <n v="0.5"/>
  </r>
  <r>
    <x v="99"/>
    <x v="10"/>
    <x v="22"/>
    <x v="39"/>
    <s v="REIT"/>
    <x v="2"/>
    <s v="BBB+"/>
    <s v="United States"/>
    <x v="0"/>
    <d v="2024-04-03T00:00:00"/>
    <x v="1"/>
    <x v="2"/>
    <x v="1"/>
    <m/>
    <s v="Performance Stock"/>
    <n v="0.56875763379973132"/>
    <x v="1"/>
    <s v="Profitability"/>
    <x v="82"/>
    <s v="3Y Cumulative Adjusted Funds from Operations Per Share"/>
    <n v="0.5"/>
  </r>
  <r>
    <x v="99"/>
    <x v="10"/>
    <x v="22"/>
    <x v="39"/>
    <s v="REIT"/>
    <x v="2"/>
    <s v="BBB+"/>
    <s v="United States"/>
    <x v="0"/>
    <d v="2024-04-03T00:00:00"/>
    <x v="1"/>
    <x v="2"/>
    <x v="0"/>
    <n v="0.14969514522372465"/>
    <s v="Time-Based Stock"/>
    <n v="0.14969514522372465"/>
    <x v="0"/>
    <m/>
    <x v="0"/>
    <m/>
    <m/>
  </r>
  <r>
    <x v="100"/>
    <x v="9"/>
    <x v="16"/>
    <x v="25"/>
    <s v="Utilities"/>
    <x v="2"/>
    <s v="BBB"/>
    <s v="United States"/>
    <x v="0"/>
    <d v="2024-03-29T00:00:00"/>
    <x v="0"/>
    <x v="0"/>
    <x v="0"/>
    <n v="0.11"/>
    <s v="Base Salary"/>
    <n v="0.11"/>
    <x v="0"/>
    <m/>
    <x v="0"/>
    <m/>
    <m/>
  </r>
  <r>
    <x v="100"/>
    <x v="9"/>
    <x v="16"/>
    <x v="25"/>
    <s v="Utilities"/>
    <x v="2"/>
    <s v="BBB"/>
    <s v="United States"/>
    <x v="0"/>
    <d v="2024-03-29T00:00:00"/>
    <x v="0"/>
    <x v="1"/>
    <x v="1"/>
    <n v="0.16"/>
    <s v="Cash Incentive"/>
    <n v="0.16"/>
    <x v="1"/>
    <s v="Profitability"/>
    <x v="24"/>
    <s v="Adjusted Net Income"/>
    <n v="0.35"/>
  </r>
  <r>
    <x v="100"/>
    <x v="9"/>
    <x v="16"/>
    <x v="25"/>
    <s v="Utilities"/>
    <x v="2"/>
    <s v="BBB"/>
    <s v="United States"/>
    <x v="0"/>
    <d v="2024-03-29T00:00:00"/>
    <x v="0"/>
    <x v="1"/>
    <x v="1"/>
    <m/>
    <s v="Cash Incentive"/>
    <n v="0.16"/>
    <x v="1"/>
    <s v="Profitability"/>
    <x v="3"/>
    <s v="Baseline Operations and Maintenance"/>
    <n v="0.25"/>
  </r>
  <r>
    <x v="100"/>
    <x v="9"/>
    <x v="16"/>
    <x v="25"/>
    <s v="Utilities"/>
    <x v="2"/>
    <s v="BBB"/>
    <s v="United States"/>
    <x v="0"/>
    <d v="2024-03-29T00:00:00"/>
    <x v="0"/>
    <x v="1"/>
    <x v="1"/>
    <m/>
    <s v="Cash Incentive"/>
    <n v="0.16"/>
    <x v="2"/>
    <s v="Strategy &amp; Operations"/>
    <x v="3"/>
    <s v="Operations"/>
    <n v="0.15"/>
  </r>
  <r>
    <x v="100"/>
    <x v="9"/>
    <x v="16"/>
    <x v="25"/>
    <s v="Utilities"/>
    <x v="2"/>
    <s v="BBB"/>
    <s v="United States"/>
    <x v="0"/>
    <d v="2024-03-29T00:00:00"/>
    <x v="0"/>
    <x v="1"/>
    <x v="1"/>
    <m/>
    <s v="Cash Incentive"/>
    <n v="0.16"/>
    <x v="2"/>
    <s v="ESG"/>
    <x v="40"/>
    <s v="Safety"/>
    <n v="0.15"/>
  </r>
  <r>
    <x v="100"/>
    <x v="9"/>
    <x v="16"/>
    <x v="25"/>
    <s v="Utilities"/>
    <x v="2"/>
    <s v="BBB"/>
    <s v="United States"/>
    <x v="0"/>
    <d v="2024-03-29T00:00:00"/>
    <x v="0"/>
    <x v="1"/>
    <x v="1"/>
    <m/>
    <s v="Cash Incentive"/>
    <n v="0.16"/>
    <x v="2"/>
    <s v="ESG"/>
    <x v="7"/>
    <s v="DE&amp;I"/>
    <n v="0.1"/>
  </r>
  <r>
    <x v="100"/>
    <x v="9"/>
    <x v="16"/>
    <x v="25"/>
    <s v="Utilities"/>
    <x v="2"/>
    <s v="BBB"/>
    <s v="United States"/>
    <x v="0"/>
    <d v="2024-03-29T00:00:00"/>
    <x v="0"/>
    <x v="1"/>
    <x v="1"/>
    <m/>
    <s v="Cash Incentive"/>
    <n v="0.16"/>
    <x v="0"/>
    <s v="Modifier/Threshold"/>
    <x v="42"/>
    <s v="Adjusted Net Income"/>
    <m/>
  </r>
  <r>
    <x v="100"/>
    <x v="9"/>
    <x v="16"/>
    <x v="25"/>
    <s v="Utilities"/>
    <x v="2"/>
    <s v="BBB"/>
    <s v="United States"/>
    <x v="0"/>
    <d v="2024-03-29T00:00:00"/>
    <x v="0"/>
    <x v="1"/>
    <x v="1"/>
    <m/>
    <s v="Cash Incentive"/>
    <n v="0.16"/>
    <x v="0"/>
    <s v="Modifier/Threshold"/>
    <x v="90"/>
    <s v="Employee Fatality"/>
    <m/>
  </r>
  <r>
    <x v="100"/>
    <x v="9"/>
    <x v="16"/>
    <x v="25"/>
    <s v="Utilities"/>
    <x v="2"/>
    <s v="BBB"/>
    <s v="United States"/>
    <x v="0"/>
    <d v="2024-03-29T00:00:00"/>
    <x v="0"/>
    <x v="1"/>
    <x v="1"/>
    <m/>
    <s v="Cash Incentive"/>
    <n v="0.16"/>
    <x v="0"/>
    <s v="Modifier/Threshold"/>
    <x v="19"/>
    <s v="Ethics and Compliance"/>
    <m/>
  </r>
  <r>
    <x v="100"/>
    <x v="9"/>
    <x v="16"/>
    <x v="25"/>
    <s v="Utilities"/>
    <x v="2"/>
    <s v="BBB"/>
    <s v="United States"/>
    <x v="0"/>
    <d v="2024-03-29T00:00:00"/>
    <x v="0"/>
    <x v="1"/>
    <x v="1"/>
    <m/>
    <s v="Cash Incentive"/>
    <n v="0.16"/>
    <x v="0"/>
    <s v="Modifier/Threshold"/>
    <x v="34"/>
    <s v="Discretionary Adjustment"/>
    <m/>
  </r>
  <r>
    <x v="100"/>
    <x v="9"/>
    <x v="16"/>
    <x v="25"/>
    <s v="Utilities"/>
    <x v="2"/>
    <s v="BBB"/>
    <s v="United States"/>
    <x v="0"/>
    <d v="2024-03-29T00:00:00"/>
    <x v="0"/>
    <x v="2"/>
    <x v="1"/>
    <n v="0.48666666666666664"/>
    <s v="Performance Stock"/>
    <n v="0.48666666666666664"/>
    <x v="1"/>
    <s v="Profitability"/>
    <x v="14"/>
    <s v="3Y Cumulative Adjusted EPS"/>
    <n v="0.65"/>
  </r>
  <r>
    <x v="100"/>
    <x v="9"/>
    <x v="16"/>
    <x v="25"/>
    <s v="Utilities"/>
    <x v="2"/>
    <s v="BBB"/>
    <s v="United States"/>
    <x v="0"/>
    <d v="2024-03-29T00:00:00"/>
    <x v="0"/>
    <x v="2"/>
    <x v="1"/>
    <m/>
    <s v="Performance Stock"/>
    <n v="0.48666666666666664"/>
    <x v="3"/>
    <s v="Stock Performance"/>
    <x v="11"/>
    <s v="3Y Relative TSR"/>
    <n v="0.35"/>
  </r>
  <r>
    <x v="100"/>
    <x v="9"/>
    <x v="16"/>
    <x v="25"/>
    <s v="Utilities"/>
    <x v="2"/>
    <s v="BBB"/>
    <s v="United States"/>
    <x v="0"/>
    <d v="2024-03-29T00:00:00"/>
    <x v="0"/>
    <x v="2"/>
    <x v="1"/>
    <m/>
    <s v="Performance Stock"/>
    <n v="0.48666666666666664"/>
    <x v="0"/>
    <s v="Modifier/Threshold"/>
    <x v="12"/>
    <s v="3Y Absolute TSR"/>
    <m/>
  </r>
  <r>
    <x v="100"/>
    <x v="9"/>
    <x v="16"/>
    <x v="25"/>
    <s v="Utilities"/>
    <x v="2"/>
    <s v="BBB"/>
    <s v="United States"/>
    <x v="0"/>
    <d v="2024-03-29T00:00:00"/>
    <x v="0"/>
    <x v="2"/>
    <x v="1"/>
    <n v="0.24333333333333332"/>
    <s v="Long-Term Cash Incentive"/>
    <n v="0.24333333333333332"/>
    <x v="0"/>
    <s v="Modifier/Threshold"/>
    <x v="12"/>
    <s v="3Y Absolute TSR"/>
    <m/>
  </r>
  <r>
    <x v="100"/>
    <x v="9"/>
    <x v="16"/>
    <x v="25"/>
    <s v="Utilities"/>
    <x v="2"/>
    <s v="BBB"/>
    <s v="United States"/>
    <x v="0"/>
    <d v="2024-03-29T00:00:00"/>
    <x v="1"/>
    <x v="0"/>
    <x v="0"/>
    <n v="0.23"/>
    <s v="Base Salary"/>
    <n v="0.23"/>
    <x v="0"/>
    <m/>
    <x v="0"/>
    <m/>
    <m/>
  </r>
  <r>
    <x v="100"/>
    <x v="9"/>
    <x v="16"/>
    <x v="25"/>
    <s v="Utilities"/>
    <x v="2"/>
    <s v="BBB"/>
    <s v="United States"/>
    <x v="0"/>
    <d v="2024-03-29T00:00:00"/>
    <x v="1"/>
    <x v="1"/>
    <x v="1"/>
    <n v="0.18"/>
    <s v="Cash Incentive"/>
    <n v="0.18"/>
    <x v="1"/>
    <s v="Profitability"/>
    <x v="24"/>
    <s v="Adjusted Net Income"/>
    <n v="0.35"/>
  </r>
  <r>
    <x v="100"/>
    <x v="9"/>
    <x v="16"/>
    <x v="25"/>
    <s v="Utilities"/>
    <x v="2"/>
    <s v="BBB"/>
    <s v="United States"/>
    <x v="0"/>
    <d v="2024-03-29T00:00:00"/>
    <x v="1"/>
    <x v="1"/>
    <x v="1"/>
    <m/>
    <s v="Cash Incentive"/>
    <n v="0.18"/>
    <x v="1"/>
    <s v="Profitability"/>
    <x v="3"/>
    <s v="Baseline Operations and Maintenance"/>
    <n v="0.25"/>
  </r>
  <r>
    <x v="100"/>
    <x v="9"/>
    <x v="16"/>
    <x v="25"/>
    <s v="Utilities"/>
    <x v="2"/>
    <s v="BBB"/>
    <s v="United States"/>
    <x v="0"/>
    <d v="2024-03-29T00:00:00"/>
    <x v="1"/>
    <x v="1"/>
    <x v="1"/>
    <m/>
    <s v="Cash Incentive"/>
    <n v="0.18"/>
    <x v="2"/>
    <s v="Strategy &amp; Operations"/>
    <x v="3"/>
    <s v="Operations"/>
    <n v="0.15"/>
  </r>
  <r>
    <x v="100"/>
    <x v="9"/>
    <x v="16"/>
    <x v="25"/>
    <s v="Utilities"/>
    <x v="2"/>
    <s v="BBB"/>
    <s v="United States"/>
    <x v="0"/>
    <d v="2024-03-29T00:00:00"/>
    <x v="1"/>
    <x v="1"/>
    <x v="1"/>
    <m/>
    <s v="Cash Incentive"/>
    <n v="0.18"/>
    <x v="2"/>
    <s v="ESG"/>
    <x v="40"/>
    <s v="Safety"/>
    <n v="0.15"/>
  </r>
  <r>
    <x v="100"/>
    <x v="9"/>
    <x v="16"/>
    <x v="25"/>
    <s v="Utilities"/>
    <x v="2"/>
    <s v="BBB"/>
    <s v="United States"/>
    <x v="0"/>
    <d v="2024-03-29T00:00:00"/>
    <x v="1"/>
    <x v="1"/>
    <x v="1"/>
    <m/>
    <s v="Cash Incentive"/>
    <n v="0.18"/>
    <x v="2"/>
    <s v="ESG"/>
    <x v="7"/>
    <s v="DE&amp;I"/>
    <n v="0.1"/>
  </r>
  <r>
    <x v="100"/>
    <x v="9"/>
    <x v="16"/>
    <x v="25"/>
    <s v="Utilities"/>
    <x v="2"/>
    <s v="BBB"/>
    <s v="United States"/>
    <x v="0"/>
    <d v="2024-03-29T00:00:00"/>
    <x v="1"/>
    <x v="1"/>
    <x v="1"/>
    <m/>
    <s v="Cash Incentive"/>
    <n v="0.18"/>
    <x v="0"/>
    <s v="Modifier/Threshold"/>
    <x v="42"/>
    <s v="Adjusted Net Income"/>
    <m/>
  </r>
  <r>
    <x v="100"/>
    <x v="9"/>
    <x v="16"/>
    <x v="25"/>
    <s v="Utilities"/>
    <x v="2"/>
    <s v="BBB"/>
    <s v="United States"/>
    <x v="0"/>
    <d v="2024-03-29T00:00:00"/>
    <x v="1"/>
    <x v="1"/>
    <x v="1"/>
    <m/>
    <s v="Cash Incentive"/>
    <n v="0.18"/>
    <x v="0"/>
    <s v="Modifier/Threshold"/>
    <x v="90"/>
    <s v="Employee Fatality"/>
    <m/>
  </r>
  <r>
    <x v="100"/>
    <x v="9"/>
    <x v="16"/>
    <x v="25"/>
    <s v="Utilities"/>
    <x v="2"/>
    <s v="BBB"/>
    <s v="United States"/>
    <x v="0"/>
    <d v="2024-03-29T00:00:00"/>
    <x v="1"/>
    <x v="1"/>
    <x v="1"/>
    <m/>
    <s v="Cash Incentive"/>
    <n v="0.18"/>
    <x v="0"/>
    <s v="Modifier/Threshold"/>
    <x v="34"/>
    <s v="Discretionary Adjustment"/>
    <m/>
  </r>
  <r>
    <x v="100"/>
    <x v="9"/>
    <x v="16"/>
    <x v="25"/>
    <s v="Utilities"/>
    <x v="2"/>
    <s v="BBB"/>
    <s v="United States"/>
    <x v="0"/>
    <d v="2024-03-29T00:00:00"/>
    <x v="1"/>
    <x v="1"/>
    <x v="1"/>
    <m/>
    <s v="Cash Incentive"/>
    <n v="0.18"/>
    <x v="0"/>
    <s v="Modifier/Threshold"/>
    <x v="19"/>
    <s v="Ethics and Compliance"/>
    <m/>
  </r>
  <r>
    <x v="100"/>
    <x v="9"/>
    <x v="16"/>
    <x v="25"/>
    <s v="Utilities"/>
    <x v="2"/>
    <s v="BBB"/>
    <s v="United States"/>
    <x v="0"/>
    <d v="2024-03-29T00:00:00"/>
    <x v="1"/>
    <x v="2"/>
    <x v="1"/>
    <n v="0.39333333333333331"/>
    <s v="Performance Stock"/>
    <n v="0.39333333333333331"/>
    <x v="1"/>
    <s v="Profitability"/>
    <x v="14"/>
    <s v="3Y Cumulative Adjusted EPS"/>
    <n v="0.65"/>
  </r>
  <r>
    <x v="100"/>
    <x v="9"/>
    <x v="16"/>
    <x v="25"/>
    <s v="Utilities"/>
    <x v="2"/>
    <s v="BBB"/>
    <s v="United States"/>
    <x v="0"/>
    <d v="2024-03-29T00:00:00"/>
    <x v="1"/>
    <x v="2"/>
    <x v="1"/>
    <m/>
    <s v="Performance Stock"/>
    <n v="0.39333333333333331"/>
    <x v="3"/>
    <s v="Stock Performance"/>
    <x v="11"/>
    <s v="3Y Relative TSR"/>
    <n v="0.35"/>
  </r>
  <r>
    <x v="100"/>
    <x v="9"/>
    <x v="16"/>
    <x v="25"/>
    <s v="Utilities"/>
    <x v="2"/>
    <s v="BBB"/>
    <s v="United States"/>
    <x v="0"/>
    <d v="2024-03-29T00:00:00"/>
    <x v="1"/>
    <x v="2"/>
    <x v="1"/>
    <m/>
    <s v="Performance Stock"/>
    <n v="0.39333333333333331"/>
    <x v="0"/>
    <s v="Modifier/Threshold"/>
    <x v="12"/>
    <s v="3Y Absolute TSR"/>
    <m/>
  </r>
  <r>
    <x v="100"/>
    <x v="9"/>
    <x v="16"/>
    <x v="25"/>
    <s v="Utilities"/>
    <x v="2"/>
    <s v="BBB"/>
    <s v="United States"/>
    <x v="0"/>
    <d v="2024-03-29T00:00:00"/>
    <x v="1"/>
    <x v="2"/>
    <x v="1"/>
    <n v="0.19666666666666666"/>
    <s v="Long-Term Cash Incentive"/>
    <n v="0.19666666666666666"/>
    <x v="0"/>
    <s v="Modifier/Threshold"/>
    <x v="12"/>
    <s v="3Y Absolute TSR"/>
    <m/>
  </r>
  <r>
    <x v="101"/>
    <x v="4"/>
    <x v="5"/>
    <x v="33"/>
    <s v="Consumer Packaged Goods"/>
    <x v="2"/>
    <s v="BBB"/>
    <s v="United States"/>
    <x v="0"/>
    <d v="2023-08-14T00:00:00"/>
    <x v="0"/>
    <x v="0"/>
    <x v="0"/>
    <n v="0.1"/>
    <s v="Base Salary"/>
    <n v="0.1"/>
    <x v="0"/>
    <m/>
    <x v="0"/>
    <m/>
    <m/>
  </r>
  <r>
    <x v="101"/>
    <x v="4"/>
    <x v="5"/>
    <x v="33"/>
    <s v="Consumer Packaged Goods"/>
    <x v="2"/>
    <s v="BBB"/>
    <s v="United States"/>
    <x v="0"/>
    <d v="2023-08-14T00:00:00"/>
    <x v="0"/>
    <x v="1"/>
    <x v="1"/>
    <n v="0.18"/>
    <s v="Cash Incentive"/>
    <n v="0.18"/>
    <x v="1"/>
    <s v="Growth"/>
    <x v="1"/>
    <s v="Adjusted Revenue Growth"/>
    <n v="0.4"/>
  </r>
  <r>
    <x v="101"/>
    <x v="4"/>
    <x v="5"/>
    <x v="33"/>
    <s v="Consumer Packaged Goods"/>
    <x v="2"/>
    <s v="BBB"/>
    <s v="United States"/>
    <x v="0"/>
    <d v="2023-08-14T00:00:00"/>
    <x v="0"/>
    <x v="1"/>
    <x v="1"/>
    <m/>
    <s v="Cash Incentive"/>
    <n v="0.18"/>
    <x v="1"/>
    <s v="Profitability"/>
    <x v="2"/>
    <s v="Adjusted Operating Income Growth"/>
    <n v="0.4"/>
  </r>
  <r>
    <x v="101"/>
    <x v="4"/>
    <x v="5"/>
    <x v="33"/>
    <s v="Consumer Packaged Goods"/>
    <x v="2"/>
    <s v="BBB"/>
    <s v="United States"/>
    <x v="0"/>
    <d v="2023-08-14T00:00:00"/>
    <x v="0"/>
    <x v="1"/>
    <x v="1"/>
    <m/>
    <s v="Cash Incentive"/>
    <n v="0.18"/>
    <x v="2"/>
    <s v="Individual Assessment"/>
    <x v="13"/>
    <s v="Individual Performance Assessment"/>
    <n v="0.2"/>
  </r>
  <r>
    <x v="101"/>
    <x v="4"/>
    <x v="5"/>
    <x v="33"/>
    <s v="Consumer Packaged Goods"/>
    <x v="2"/>
    <s v="BBB"/>
    <s v="United States"/>
    <x v="0"/>
    <d v="2023-08-14T00:00:00"/>
    <x v="0"/>
    <x v="2"/>
    <x v="1"/>
    <n v="0.36"/>
    <s v="Performance Stock"/>
    <n v="0.36"/>
    <x v="1"/>
    <s v="Growth"/>
    <x v="1"/>
    <s v="3Y Adjusted Revenue CAGR"/>
    <n v="0.5"/>
  </r>
  <r>
    <x v="101"/>
    <x v="4"/>
    <x v="5"/>
    <x v="33"/>
    <s v="Consumer Packaged Goods"/>
    <x v="2"/>
    <s v="BBB"/>
    <s v="United States"/>
    <x v="0"/>
    <d v="2023-08-14T00:00:00"/>
    <x v="0"/>
    <x v="2"/>
    <x v="1"/>
    <m/>
    <s v="Performance Stock"/>
    <n v="0.36"/>
    <x v="1"/>
    <s v="Cash Flow"/>
    <x v="18"/>
    <s v="3Y Cumulative Operating Cash Flow"/>
    <n v="0.5"/>
  </r>
  <r>
    <x v="101"/>
    <x v="4"/>
    <x v="5"/>
    <x v="33"/>
    <s v="Consumer Packaged Goods"/>
    <x v="2"/>
    <s v="BBB"/>
    <s v="United States"/>
    <x v="0"/>
    <d v="2023-08-14T00:00:00"/>
    <x v="0"/>
    <x v="2"/>
    <x v="1"/>
    <m/>
    <s v="Performance Stock"/>
    <n v="0.36"/>
    <x v="0"/>
    <s v="Modifier/Threshold"/>
    <x v="6"/>
    <s v="3Y Relative TSR"/>
    <m/>
  </r>
  <r>
    <x v="101"/>
    <x v="4"/>
    <x v="5"/>
    <x v="33"/>
    <s v="Consumer Packaged Goods"/>
    <x v="2"/>
    <s v="BBB"/>
    <s v="United States"/>
    <x v="0"/>
    <d v="2023-08-14T00:00:00"/>
    <x v="0"/>
    <x v="2"/>
    <x v="0"/>
    <n v="0.18"/>
    <s v="Time-Based Stock"/>
    <n v="0.18"/>
    <x v="0"/>
    <m/>
    <x v="0"/>
    <m/>
    <m/>
  </r>
  <r>
    <x v="101"/>
    <x v="4"/>
    <x v="5"/>
    <x v="33"/>
    <s v="Consumer Packaged Goods"/>
    <x v="2"/>
    <s v="BBB"/>
    <s v="United States"/>
    <x v="0"/>
    <d v="2023-08-14T00:00:00"/>
    <x v="0"/>
    <x v="2"/>
    <x v="0"/>
    <n v="0.18"/>
    <s v="Stock Options"/>
    <n v="0.18"/>
    <x v="0"/>
    <m/>
    <x v="0"/>
    <m/>
    <m/>
  </r>
  <r>
    <x v="101"/>
    <x v="4"/>
    <x v="5"/>
    <x v="33"/>
    <s v="Consumer Packaged Goods"/>
    <x v="2"/>
    <s v="BBB"/>
    <s v="United States"/>
    <x v="0"/>
    <d v="2023-08-14T00:00:00"/>
    <x v="1"/>
    <x v="0"/>
    <x v="0"/>
    <n v="0.21732625421918489"/>
    <s v="Base Salary"/>
    <n v="0.21732625421918489"/>
    <x v="0"/>
    <m/>
    <x v="0"/>
    <m/>
    <m/>
  </r>
  <r>
    <x v="101"/>
    <x v="4"/>
    <x v="5"/>
    <x v="33"/>
    <s v="Consumer Packaged Goods"/>
    <x v="2"/>
    <s v="BBB"/>
    <s v="United States"/>
    <x v="0"/>
    <d v="2023-08-14T00:00:00"/>
    <x v="1"/>
    <x v="1"/>
    <x v="1"/>
    <n v="0.2034214054038101"/>
    <s v="Cash Incentive"/>
    <n v="0.2034214054038101"/>
    <x v="1"/>
    <s v="Growth"/>
    <x v="1"/>
    <s v="Adjusted Revenue Growth"/>
    <n v="0.4"/>
  </r>
  <r>
    <x v="101"/>
    <x v="4"/>
    <x v="5"/>
    <x v="33"/>
    <s v="Consumer Packaged Goods"/>
    <x v="2"/>
    <s v="BBB"/>
    <s v="United States"/>
    <x v="0"/>
    <d v="2023-08-14T00:00:00"/>
    <x v="1"/>
    <x v="1"/>
    <x v="1"/>
    <m/>
    <s v="Cash Incentive"/>
    <n v="0.2034214054038101"/>
    <x v="1"/>
    <s v="Profitability"/>
    <x v="2"/>
    <s v="Adjusted Operating Income Growth"/>
    <n v="0.4"/>
  </r>
  <r>
    <x v="101"/>
    <x v="4"/>
    <x v="5"/>
    <x v="33"/>
    <s v="Consumer Packaged Goods"/>
    <x v="2"/>
    <s v="BBB"/>
    <s v="United States"/>
    <x v="0"/>
    <d v="2023-08-14T00:00:00"/>
    <x v="1"/>
    <x v="1"/>
    <x v="1"/>
    <m/>
    <s v="Cash Incentive"/>
    <n v="0.2034214054038101"/>
    <x v="2"/>
    <s v="Individual Assessment"/>
    <x v="13"/>
    <s v="Individual Performance Assessment"/>
    <n v="0.2"/>
  </r>
  <r>
    <x v="101"/>
    <x v="4"/>
    <x v="5"/>
    <x v="33"/>
    <s v="Consumer Packaged Goods"/>
    <x v="2"/>
    <s v="BBB"/>
    <s v="United States"/>
    <x v="0"/>
    <d v="2023-08-14T00:00:00"/>
    <x v="1"/>
    <x v="2"/>
    <x v="1"/>
    <n v="0.28962617018850245"/>
    <s v="Performance Stock"/>
    <n v="0.28962617018850245"/>
    <x v="1"/>
    <s v="Growth"/>
    <x v="1"/>
    <s v="3Y Adjusted Revenue CAGR"/>
    <n v="0.5"/>
  </r>
  <r>
    <x v="101"/>
    <x v="4"/>
    <x v="5"/>
    <x v="33"/>
    <s v="Consumer Packaged Goods"/>
    <x v="2"/>
    <s v="BBB"/>
    <s v="United States"/>
    <x v="0"/>
    <d v="2023-08-14T00:00:00"/>
    <x v="1"/>
    <x v="2"/>
    <x v="1"/>
    <m/>
    <s v="Performance Stock"/>
    <n v="0.28962617018850245"/>
    <x v="1"/>
    <s v="Cash Flow"/>
    <x v="18"/>
    <s v="3Y Cumulative Operating Cash Flow"/>
    <n v="0.5"/>
  </r>
  <r>
    <x v="101"/>
    <x v="4"/>
    <x v="5"/>
    <x v="33"/>
    <s v="Consumer Packaged Goods"/>
    <x v="2"/>
    <s v="BBB"/>
    <s v="United States"/>
    <x v="0"/>
    <d v="2023-08-14T00:00:00"/>
    <x v="1"/>
    <x v="2"/>
    <x v="1"/>
    <m/>
    <s v="Performance Stock"/>
    <n v="0.28962617018850245"/>
    <x v="0"/>
    <s v="Modifier/Threshold"/>
    <x v="6"/>
    <s v="3Y Relative TSR"/>
    <m/>
  </r>
  <r>
    <x v="101"/>
    <x v="4"/>
    <x v="5"/>
    <x v="33"/>
    <s v="Consumer Packaged Goods"/>
    <x v="2"/>
    <s v="BBB"/>
    <s v="United States"/>
    <x v="0"/>
    <d v="2023-08-14T00:00:00"/>
    <x v="1"/>
    <x v="2"/>
    <x v="0"/>
    <n v="0.14481308509425123"/>
    <s v="Time-Based Stock"/>
    <n v="0.14481308509425123"/>
    <x v="0"/>
    <m/>
    <x v="0"/>
    <m/>
    <m/>
  </r>
  <r>
    <x v="101"/>
    <x v="4"/>
    <x v="5"/>
    <x v="33"/>
    <s v="Consumer Packaged Goods"/>
    <x v="2"/>
    <s v="BBB"/>
    <s v="United States"/>
    <x v="0"/>
    <d v="2023-08-14T00:00:00"/>
    <x v="1"/>
    <x v="2"/>
    <x v="0"/>
    <n v="0.14481308509425123"/>
    <s v="Stock Options"/>
    <n v="0.14481308509425123"/>
    <x v="0"/>
    <m/>
    <x v="0"/>
    <m/>
    <m/>
  </r>
  <r>
    <x v="102"/>
    <x v="3"/>
    <x v="4"/>
    <x v="14"/>
    <s v="Pharmaceuticals"/>
    <x v="2"/>
    <m/>
    <s v="United States"/>
    <x v="0"/>
    <d v="2024-04-01T00:00:00"/>
    <x v="0"/>
    <x v="0"/>
    <x v="0"/>
    <n v="0.06"/>
    <s v="Base Salary"/>
    <n v="0.06"/>
    <x v="0"/>
    <m/>
    <x v="0"/>
    <m/>
    <m/>
  </r>
  <r>
    <x v="102"/>
    <x v="3"/>
    <x v="4"/>
    <x v="14"/>
    <s v="Pharmaceuticals"/>
    <x v="2"/>
    <m/>
    <s v="United States"/>
    <x v="0"/>
    <d v="2024-04-01T00:00:00"/>
    <x v="0"/>
    <x v="1"/>
    <x v="1"/>
    <n v="7.0000000000000007E-2"/>
    <s v="Cash Incentive"/>
    <n v="7.0000000000000007E-2"/>
    <x v="2"/>
    <s v="Strategy &amp; Operations"/>
    <x v="3"/>
    <s v="Commercial Objectives"/>
    <n v="0.4"/>
  </r>
  <r>
    <x v="102"/>
    <x v="3"/>
    <x v="4"/>
    <x v="14"/>
    <s v="Pharmaceuticals"/>
    <x v="2"/>
    <m/>
    <s v="United States"/>
    <x v="0"/>
    <d v="2024-04-01T00:00:00"/>
    <x v="0"/>
    <x v="1"/>
    <x v="1"/>
    <m/>
    <s v="Cash Incentive"/>
    <n v="7.0000000000000007E-2"/>
    <x v="2"/>
    <s v="Strategy &amp; Operations"/>
    <x v="15"/>
    <s v="Pipeline and Development"/>
    <n v="0.4"/>
  </r>
  <r>
    <x v="102"/>
    <x v="3"/>
    <x v="4"/>
    <x v="14"/>
    <s v="Pharmaceuticals"/>
    <x v="2"/>
    <m/>
    <s v="United States"/>
    <x v="0"/>
    <d v="2024-04-01T00:00:00"/>
    <x v="0"/>
    <x v="1"/>
    <x v="1"/>
    <m/>
    <s v="Cash Incentive"/>
    <n v="7.0000000000000007E-2"/>
    <x v="2"/>
    <s v="ESG"/>
    <x v="7"/>
    <s v="Advance Culture"/>
    <n v="0.2"/>
  </r>
  <r>
    <x v="102"/>
    <x v="3"/>
    <x v="4"/>
    <x v="14"/>
    <s v="Pharmaceuticals"/>
    <x v="2"/>
    <m/>
    <s v="United States"/>
    <x v="0"/>
    <d v="2024-04-01T00:00:00"/>
    <x v="0"/>
    <x v="1"/>
    <x v="1"/>
    <m/>
    <s v="Cash Incentive"/>
    <n v="7.0000000000000007E-2"/>
    <x v="0"/>
    <s v="Modifier/Threshold"/>
    <x v="34"/>
    <s v="Discretionary Adjustment"/>
    <m/>
  </r>
  <r>
    <x v="102"/>
    <x v="3"/>
    <x v="4"/>
    <x v="14"/>
    <s v="Pharmaceuticals"/>
    <x v="2"/>
    <m/>
    <s v="United States"/>
    <x v="0"/>
    <d v="2024-04-01T00:00:00"/>
    <x v="0"/>
    <x v="2"/>
    <x v="1"/>
    <n v="0.43"/>
    <s v="Performance Stock"/>
    <n v="0.43"/>
    <x v="1"/>
    <s v="Strategy &amp; Operations"/>
    <x v="3"/>
    <s v="Performance Goals (Financial)"/>
    <n v="0.4"/>
  </r>
  <r>
    <x v="102"/>
    <x v="3"/>
    <x v="4"/>
    <x v="14"/>
    <s v="Pharmaceuticals"/>
    <x v="2"/>
    <m/>
    <s v="United States"/>
    <x v="0"/>
    <d v="2024-04-01T00:00:00"/>
    <x v="0"/>
    <x v="2"/>
    <x v="1"/>
    <m/>
    <s v="Performance Stock"/>
    <n v="0.43"/>
    <x v="2"/>
    <s v="Strategy &amp; Operations"/>
    <x v="15"/>
    <s v="Performance Goals (Pipeline)"/>
    <n v="0.6"/>
  </r>
  <r>
    <x v="102"/>
    <x v="3"/>
    <x v="4"/>
    <x v="14"/>
    <s v="Pharmaceuticals"/>
    <x v="2"/>
    <m/>
    <s v="United States"/>
    <x v="0"/>
    <d v="2024-04-01T00:00:00"/>
    <x v="0"/>
    <x v="2"/>
    <x v="0"/>
    <n v="0.22"/>
    <s v="Time-Based Stock"/>
    <n v="0.22"/>
    <x v="0"/>
    <m/>
    <x v="0"/>
    <m/>
    <m/>
  </r>
  <r>
    <x v="102"/>
    <x v="3"/>
    <x v="4"/>
    <x v="14"/>
    <s v="Pharmaceuticals"/>
    <x v="2"/>
    <m/>
    <s v="United States"/>
    <x v="0"/>
    <d v="2024-04-01T00:00:00"/>
    <x v="0"/>
    <x v="2"/>
    <x v="0"/>
    <n v="0.22"/>
    <s v="Stock Options"/>
    <n v="0.22"/>
    <x v="0"/>
    <m/>
    <x v="0"/>
    <m/>
    <m/>
  </r>
  <r>
    <x v="102"/>
    <x v="3"/>
    <x v="4"/>
    <x v="14"/>
    <s v="Pharmaceuticals"/>
    <x v="2"/>
    <m/>
    <s v="United States"/>
    <x v="0"/>
    <d v="2024-04-01T00:00:00"/>
    <x v="1"/>
    <x v="0"/>
    <x v="0"/>
    <n v="0.13"/>
    <s v="Base Salary"/>
    <n v="0.13"/>
    <x v="0"/>
    <m/>
    <x v="0"/>
    <m/>
    <m/>
  </r>
  <r>
    <x v="102"/>
    <x v="3"/>
    <x v="4"/>
    <x v="14"/>
    <s v="Pharmaceuticals"/>
    <x v="2"/>
    <m/>
    <s v="United States"/>
    <x v="0"/>
    <d v="2024-04-01T00:00:00"/>
    <x v="1"/>
    <x v="1"/>
    <x v="1"/>
    <n v="7.0000000000000007E-2"/>
    <s v="Cash Incentive"/>
    <n v="7.0000000000000007E-2"/>
    <x v="2"/>
    <s v="Strategy &amp; Operations"/>
    <x v="3"/>
    <s v="Commercial Objectives"/>
    <n v="0.4"/>
  </r>
  <r>
    <x v="102"/>
    <x v="3"/>
    <x v="4"/>
    <x v="14"/>
    <s v="Pharmaceuticals"/>
    <x v="2"/>
    <m/>
    <s v="United States"/>
    <x v="0"/>
    <d v="2024-04-01T00:00:00"/>
    <x v="1"/>
    <x v="1"/>
    <x v="1"/>
    <m/>
    <s v="Cash Incentive"/>
    <n v="7.0000000000000007E-2"/>
    <x v="2"/>
    <s v="Strategy &amp; Operations"/>
    <x v="15"/>
    <s v="Pipeline and Development"/>
    <n v="0.4"/>
  </r>
  <r>
    <x v="102"/>
    <x v="3"/>
    <x v="4"/>
    <x v="14"/>
    <s v="Pharmaceuticals"/>
    <x v="2"/>
    <m/>
    <s v="United States"/>
    <x v="0"/>
    <d v="2024-04-01T00:00:00"/>
    <x v="1"/>
    <x v="1"/>
    <x v="1"/>
    <m/>
    <s v="Cash Incentive"/>
    <n v="7.0000000000000007E-2"/>
    <x v="2"/>
    <s v="ESG"/>
    <x v="7"/>
    <s v="Advance Culture"/>
    <n v="0.2"/>
  </r>
  <r>
    <x v="102"/>
    <x v="3"/>
    <x v="4"/>
    <x v="14"/>
    <s v="Pharmaceuticals"/>
    <x v="2"/>
    <m/>
    <s v="United States"/>
    <x v="0"/>
    <d v="2024-04-01T00:00:00"/>
    <x v="1"/>
    <x v="1"/>
    <x v="1"/>
    <m/>
    <s v="Cash Incentive"/>
    <n v="7.0000000000000007E-2"/>
    <x v="0"/>
    <s v="Modifier/Threshold"/>
    <x v="34"/>
    <s v="Discretionary Adjustment"/>
    <m/>
  </r>
  <r>
    <x v="102"/>
    <x v="3"/>
    <x v="4"/>
    <x v="14"/>
    <s v="Pharmaceuticals"/>
    <x v="2"/>
    <m/>
    <s v="United States"/>
    <x v="0"/>
    <d v="2024-04-01T00:00:00"/>
    <x v="1"/>
    <x v="2"/>
    <x v="1"/>
    <n v="0.4"/>
    <s v="Performance Stock"/>
    <n v="0.4"/>
    <x v="1"/>
    <s v="Strategy &amp; Operations"/>
    <x v="3"/>
    <s v="Performance Goals (Financial)"/>
    <n v="0.4"/>
  </r>
  <r>
    <x v="102"/>
    <x v="3"/>
    <x v="4"/>
    <x v="14"/>
    <s v="Pharmaceuticals"/>
    <x v="2"/>
    <m/>
    <s v="United States"/>
    <x v="0"/>
    <d v="2024-04-01T00:00:00"/>
    <x v="1"/>
    <x v="2"/>
    <x v="1"/>
    <m/>
    <s v="Performance Stock"/>
    <n v="0.4"/>
    <x v="2"/>
    <s v="Strategy &amp; Operations"/>
    <x v="15"/>
    <s v="Performance Goals (Pipeline)"/>
    <n v="0.6"/>
  </r>
  <r>
    <x v="102"/>
    <x v="3"/>
    <x v="4"/>
    <x v="14"/>
    <s v="Pharmaceuticals"/>
    <x v="2"/>
    <m/>
    <s v="United States"/>
    <x v="0"/>
    <d v="2024-04-01T00:00:00"/>
    <x v="1"/>
    <x v="2"/>
    <x v="0"/>
    <n v="0.2"/>
    <s v="Time-Based Stock"/>
    <n v="0.2"/>
    <x v="0"/>
    <m/>
    <x v="0"/>
    <m/>
    <m/>
  </r>
  <r>
    <x v="102"/>
    <x v="3"/>
    <x v="4"/>
    <x v="14"/>
    <s v="Pharmaceuticals"/>
    <x v="2"/>
    <m/>
    <s v="United States"/>
    <x v="0"/>
    <d v="2024-04-01T00:00:00"/>
    <x v="1"/>
    <x v="2"/>
    <x v="0"/>
    <n v="0.2"/>
    <s v="Stock Options"/>
    <n v="0.2"/>
    <x v="0"/>
    <m/>
    <x v="0"/>
    <m/>
    <m/>
  </r>
  <r>
    <x v="103"/>
    <x v="2"/>
    <x v="3"/>
    <x v="15"/>
    <s v="Specialty Store"/>
    <x v="2"/>
    <s v="BBB"/>
    <s v="United States"/>
    <x v="0"/>
    <d v="2024-03-26T00:00:00"/>
    <x v="0"/>
    <x v="0"/>
    <x v="0"/>
    <n v="0.11"/>
    <s v="Base Salary"/>
    <n v="0.11"/>
    <x v="0"/>
    <m/>
    <x v="0"/>
    <m/>
    <m/>
  </r>
  <r>
    <x v="103"/>
    <x v="2"/>
    <x v="3"/>
    <x v="15"/>
    <s v="Specialty Store"/>
    <x v="2"/>
    <s v="BBB"/>
    <s v="United States"/>
    <x v="0"/>
    <d v="2024-03-26T00:00:00"/>
    <x v="0"/>
    <x v="1"/>
    <x v="1"/>
    <n v="0.16"/>
    <s v="Cash Incentive"/>
    <n v="0.16"/>
    <x v="1"/>
    <s v="Profitability"/>
    <x v="24"/>
    <s v="Net Income"/>
    <n v="0.75"/>
  </r>
  <r>
    <x v="103"/>
    <x v="2"/>
    <x v="3"/>
    <x v="15"/>
    <s v="Specialty Store"/>
    <x v="2"/>
    <s v="BBB"/>
    <s v="United States"/>
    <x v="0"/>
    <d v="2024-03-26T00:00:00"/>
    <x v="0"/>
    <x v="1"/>
    <x v="1"/>
    <m/>
    <s v="Cash Incentive"/>
    <n v="0.16"/>
    <x v="2"/>
    <s v="Strategy &amp; Operations"/>
    <x v="3"/>
    <s v="Strategic Objectives"/>
    <n v="0.25"/>
  </r>
  <r>
    <x v="103"/>
    <x v="2"/>
    <x v="3"/>
    <x v="15"/>
    <s v="Specialty Store"/>
    <x v="2"/>
    <s v="BBB"/>
    <s v="United States"/>
    <x v="0"/>
    <d v="2024-03-26T00:00:00"/>
    <x v="0"/>
    <x v="1"/>
    <x v="1"/>
    <m/>
    <s v="Cash Incentive"/>
    <n v="0.16"/>
    <x v="0"/>
    <s v="Modifier/Threshold"/>
    <x v="34"/>
    <s v="Discretionary Adjustment"/>
    <m/>
  </r>
  <r>
    <x v="103"/>
    <x v="2"/>
    <x v="3"/>
    <x v="15"/>
    <s v="Specialty Store"/>
    <x v="2"/>
    <s v="BBB"/>
    <s v="United States"/>
    <x v="0"/>
    <d v="2024-03-26T00:00:00"/>
    <x v="0"/>
    <x v="2"/>
    <x v="1"/>
    <n v="0.36499999999999999"/>
    <s v="Performance Stock"/>
    <n v="0.36499999999999999"/>
    <x v="1"/>
    <s v="Growth"/>
    <x v="1"/>
    <s v="Revenue in 3Y"/>
    <n v="0.5"/>
  </r>
  <r>
    <x v="103"/>
    <x v="2"/>
    <x v="3"/>
    <x v="15"/>
    <s v="Specialty Store"/>
    <x v="2"/>
    <s v="BBB"/>
    <s v="United States"/>
    <x v="0"/>
    <d v="2024-03-26T00:00:00"/>
    <x v="0"/>
    <x v="2"/>
    <x v="1"/>
    <m/>
    <s v="Performance Stock"/>
    <n v="0.36499999999999999"/>
    <x v="1"/>
    <s v="Profitability"/>
    <x v="14"/>
    <s v="EPS in 3Y"/>
    <n v="0.5"/>
  </r>
  <r>
    <x v="103"/>
    <x v="2"/>
    <x v="3"/>
    <x v="15"/>
    <s v="Specialty Store"/>
    <x v="2"/>
    <s v="BBB"/>
    <s v="United States"/>
    <x v="0"/>
    <d v="2024-03-26T00:00:00"/>
    <x v="0"/>
    <x v="2"/>
    <x v="1"/>
    <m/>
    <s v="Performance Stock"/>
    <n v="0.36499999999999999"/>
    <x v="0"/>
    <s v="Modifier/Threshold"/>
    <x v="6"/>
    <s v="3Y Relative TSR"/>
    <m/>
  </r>
  <r>
    <x v="103"/>
    <x v="2"/>
    <x v="3"/>
    <x v="15"/>
    <s v="Specialty Store"/>
    <x v="2"/>
    <s v="BBB"/>
    <s v="United States"/>
    <x v="0"/>
    <d v="2024-03-26T00:00:00"/>
    <x v="0"/>
    <x v="2"/>
    <x v="0"/>
    <n v="0.1825"/>
    <s v="Time-Based Stock"/>
    <n v="0.1825"/>
    <x v="0"/>
    <m/>
    <x v="0"/>
    <m/>
    <m/>
  </r>
  <r>
    <x v="103"/>
    <x v="2"/>
    <x v="3"/>
    <x v="15"/>
    <s v="Specialty Store"/>
    <x v="2"/>
    <s v="BBB"/>
    <s v="United States"/>
    <x v="0"/>
    <d v="2024-03-26T00:00:00"/>
    <x v="0"/>
    <x v="2"/>
    <x v="0"/>
    <n v="0.1825"/>
    <s v="Stock Options"/>
    <n v="0.1825"/>
    <x v="0"/>
    <m/>
    <x v="0"/>
    <m/>
    <m/>
  </r>
  <r>
    <x v="103"/>
    <x v="2"/>
    <x v="3"/>
    <x v="15"/>
    <s v="Specialty Store"/>
    <x v="2"/>
    <s v="BBB"/>
    <s v="United States"/>
    <x v="0"/>
    <d v="2024-03-26T00:00:00"/>
    <x v="1"/>
    <x v="0"/>
    <x v="0"/>
    <n v="0.3"/>
    <s v="Base Salary"/>
    <n v="0.3"/>
    <x v="0"/>
    <m/>
    <x v="0"/>
    <m/>
    <m/>
  </r>
  <r>
    <x v="103"/>
    <x v="2"/>
    <x v="3"/>
    <x v="15"/>
    <s v="Specialty Store"/>
    <x v="2"/>
    <s v="BBB"/>
    <s v="United States"/>
    <x v="0"/>
    <d v="2024-03-26T00:00:00"/>
    <x v="1"/>
    <x v="1"/>
    <x v="1"/>
    <n v="0.23"/>
    <s v="Cash Incentive"/>
    <n v="0.23"/>
    <x v="1"/>
    <s v="Profitability"/>
    <x v="24"/>
    <s v="Net Income"/>
    <n v="0.75"/>
  </r>
  <r>
    <x v="103"/>
    <x v="2"/>
    <x v="3"/>
    <x v="15"/>
    <s v="Specialty Store"/>
    <x v="2"/>
    <s v="BBB"/>
    <s v="United States"/>
    <x v="0"/>
    <d v="2024-03-26T00:00:00"/>
    <x v="1"/>
    <x v="1"/>
    <x v="1"/>
    <m/>
    <s v="Cash Incentive"/>
    <n v="0.23"/>
    <x v="2"/>
    <s v="Strategy &amp; Operations"/>
    <x v="3"/>
    <s v="Strategic Objectives"/>
    <n v="0.25"/>
  </r>
  <r>
    <x v="103"/>
    <x v="2"/>
    <x v="3"/>
    <x v="15"/>
    <s v="Specialty Store"/>
    <x v="2"/>
    <s v="BBB"/>
    <s v="United States"/>
    <x v="0"/>
    <d v="2024-03-26T00:00:00"/>
    <x v="1"/>
    <x v="1"/>
    <x v="1"/>
    <m/>
    <s v="Cash Incentive"/>
    <n v="0.23"/>
    <x v="0"/>
    <s v="Modifier/Threshold"/>
    <x v="34"/>
    <s v="Discretionary Adjustment"/>
    <m/>
  </r>
  <r>
    <x v="103"/>
    <x v="2"/>
    <x v="3"/>
    <x v="15"/>
    <s v="Specialty Store"/>
    <x v="2"/>
    <s v="BBB"/>
    <s v="United States"/>
    <x v="0"/>
    <d v="2024-03-26T00:00:00"/>
    <x v="1"/>
    <x v="2"/>
    <x v="1"/>
    <n v="0.23499999999999999"/>
    <s v="Performance Stock"/>
    <n v="0.23499999999999999"/>
    <x v="1"/>
    <s v="Growth"/>
    <x v="1"/>
    <s v="Revenue in 3Y"/>
    <n v="0.5"/>
  </r>
  <r>
    <x v="103"/>
    <x v="2"/>
    <x v="3"/>
    <x v="15"/>
    <s v="Specialty Store"/>
    <x v="2"/>
    <s v="BBB"/>
    <s v="United States"/>
    <x v="0"/>
    <d v="2024-03-26T00:00:00"/>
    <x v="1"/>
    <x v="2"/>
    <x v="1"/>
    <m/>
    <s v="Performance Stock"/>
    <n v="0.23499999999999999"/>
    <x v="1"/>
    <s v="Profitability"/>
    <x v="14"/>
    <s v="EPS in 3Y"/>
    <n v="0.5"/>
  </r>
  <r>
    <x v="103"/>
    <x v="2"/>
    <x v="3"/>
    <x v="15"/>
    <s v="Specialty Store"/>
    <x v="2"/>
    <s v="BBB"/>
    <s v="United States"/>
    <x v="0"/>
    <d v="2024-03-26T00:00:00"/>
    <x v="1"/>
    <x v="2"/>
    <x v="1"/>
    <m/>
    <s v="Performance Stock"/>
    <n v="0.23499999999999999"/>
    <x v="0"/>
    <s v="Modifier/Threshold"/>
    <x v="6"/>
    <s v="3Y Relative TSR"/>
    <m/>
  </r>
  <r>
    <x v="103"/>
    <x v="2"/>
    <x v="3"/>
    <x v="15"/>
    <s v="Specialty Store"/>
    <x v="2"/>
    <s v="BBB"/>
    <s v="United States"/>
    <x v="0"/>
    <d v="2024-03-26T00:00:00"/>
    <x v="1"/>
    <x v="2"/>
    <x v="0"/>
    <n v="0.11749999999999999"/>
    <s v="Time-Based Stock"/>
    <n v="0.11749999999999999"/>
    <x v="0"/>
    <m/>
    <x v="0"/>
    <m/>
    <m/>
  </r>
  <r>
    <x v="103"/>
    <x v="2"/>
    <x v="3"/>
    <x v="15"/>
    <s v="Specialty Store"/>
    <x v="2"/>
    <s v="BBB"/>
    <s v="United States"/>
    <x v="0"/>
    <d v="2024-03-26T00:00:00"/>
    <x v="1"/>
    <x v="2"/>
    <x v="0"/>
    <n v="0.11749999999999999"/>
    <s v="Stock Options"/>
    <n v="0.11749999999999999"/>
    <x v="0"/>
    <m/>
    <x v="0"/>
    <m/>
    <m/>
  </r>
  <r>
    <x v="104"/>
    <x v="5"/>
    <x v="9"/>
    <x v="9"/>
    <s v="Financial Services"/>
    <x v="1"/>
    <s v="BBB"/>
    <s v="United States"/>
    <x v="0"/>
    <d v="2024-04-03T00:00:00"/>
    <x v="0"/>
    <x v="0"/>
    <x v="0"/>
    <n v="0.06"/>
    <s v="Base Salary"/>
    <n v="0.06"/>
    <x v="0"/>
    <m/>
    <x v="0"/>
    <m/>
    <m/>
  </r>
  <r>
    <x v="104"/>
    <x v="5"/>
    <x v="9"/>
    <x v="9"/>
    <s v="Financial Services"/>
    <x v="1"/>
    <s v="BBB"/>
    <s v="United States"/>
    <x v="0"/>
    <d v="2024-04-03T00:00:00"/>
    <x v="0"/>
    <x v="1"/>
    <x v="1"/>
    <n v="0.1"/>
    <s v="Cash Incentive"/>
    <n v="0.1"/>
    <x v="1"/>
    <s v="Growth"/>
    <x v="1"/>
    <s v="Adjusted Revenue"/>
    <n v="0.5"/>
  </r>
  <r>
    <x v="104"/>
    <x v="5"/>
    <x v="9"/>
    <x v="9"/>
    <s v="Financial Services"/>
    <x v="1"/>
    <s v="BBB"/>
    <s v="United States"/>
    <x v="0"/>
    <d v="2024-04-03T00:00:00"/>
    <x v="0"/>
    <x v="1"/>
    <x v="1"/>
    <m/>
    <s v="Cash Incentive"/>
    <n v="0.1"/>
    <x v="1"/>
    <s v="Profitability"/>
    <x v="2"/>
    <s v="Adjusted Operating Income"/>
    <n v="0.5"/>
  </r>
  <r>
    <x v="104"/>
    <x v="5"/>
    <x v="9"/>
    <x v="9"/>
    <s v="Financial Services"/>
    <x v="1"/>
    <s v="BBB"/>
    <s v="United States"/>
    <x v="0"/>
    <d v="2024-04-03T00:00:00"/>
    <x v="0"/>
    <x v="1"/>
    <x v="1"/>
    <m/>
    <s v="Cash Incentive"/>
    <n v="0.1"/>
    <x v="0"/>
    <s v="Modifier/Threshold"/>
    <x v="34"/>
    <s v="Discretionary Adjustment"/>
    <m/>
  </r>
  <r>
    <x v="104"/>
    <x v="5"/>
    <x v="9"/>
    <x v="9"/>
    <s v="Financial Services"/>
    <x v="1"/>
    <s v="BBB"/>
    <s v="United States"/>
    <x v="0"/>
    <d v="2024-04-03T00:00:00"/>
    <x v="0"/>
    <x v="2"/>
    <x v="1"/>
    <n v="0.5"/>
    <s v="Performance Stock"/>
    <n v="0.5"/>
    <x v="3"/>
    <s v="Stock Performance"/>
    <x v="11"/>
    <s v="3Y Relative TSR"/>
    <n v="0.4"/>
  </r>
  <r>
    <x v="104"/>
    <x v="5"/>
    <x v="9"/>
    <x v="9"/>
    <s v="Financial Services"/>
    <x v="1"/>
    <s v="BBB"/>
    <s v="United States"/>
    <x v="0"/>
    <d v="2024-04-03T00:00:00"/>
    <x v="0"/>
    <x v="2"/>
    <x v="1"/>
    <m/>
    <s v="Performance Stock"/>
    <n v="0.5"/>
    <x v="1"/>
    <s v="Growth"/>
    <x v="1"/>
    <s v="Adjusted Revenue Growth"/>
    <n v="0.4"/>
  </r>
  <r>
    <x v="104"/>
    <x v="5"/>
    <x v="9"/>
    <x v="9"/>
    <s v="Financial Services"/>
    <x v="1"/>
    <s v="BBB"/>
    <s v="United States"/>
    <x v="0"/>
    <d v="2024-04-03T00:00:00"/>
    <x v="0"/>
    <x v="2"/>
    <x v="1"/>
    <m/>
    <s v="Performance Stock"/>
    <n v="0.5"/>
    <x v="1"/>
    <s v="Profitability"/>
    <x v="14"/>
    <s v="Adjusted EPS"/>
    <n v="0.2"/>
  </r>
  <r>
    <x v="104"/>
    <x v="5"/>
    <x v="9"/>
    <x v="9"/>
    <s v="Financial Services"/>
    <x v="1"/>
    <s v="BBB"/>
    <s v="United States"/>
    <x v="0"/>
    <d v="2024-04-03T00:00:00"/>
    <x v="0"/>
    <x v="2"/>
    <x v="1"/>
    <m/>
    <s v="Performance Stock"/>
    <n v="0.5"/>
    <x v="0"/>
    <s v="Modifier/Threshold"/>
    <x v="12"/>
    <s v="3Y Absolute TSR"/>
    <m/>
  </r>
  <r>
    <x v="104"/>
    <x v="5"/>
    <x v="9"/>
    <x v="9"/>
    <s v="Financial Services"/>
    <x v="1"/>
    <s v="BBB"/>
    <s v="United States"/>
    <x v="0"/>
    <d v="2024-04-03T00:00:00"/>
    <x v="0"/>
    <x v="2"/>
    <x v="0"/>
    <n v="0.34"/>
    <s v="Time-Based Stock"/>
    <n v="0.34"/>
    <x v="0"/>
    <m/>
    <x v="0"/>
    <m/>
    <m/>
  </r>
  <r>
    <x v="104"/>
    <x v="5"/>
    <x v="9"/>
    <x v="9"/>
    <s v="Financial Services"/>
    <x v="1"/>
    <s v="BBB"/>
    <s v="United States"/>
    <x v="0"/>
    <d v="2024-04-03T00:00:00"/>
    <x v="1"/>
    <x v="0"/>
    <x v="0"/>
    <n v="0.12"/>
    <s v="Base Salary"/>
    <n v="0.12"/>
    <x v="0"/>
    <m/>
    <x v="0"/>
    <m/>
    <m/>
  </r>
  <r>
    <x v="104"/>
    <x v="5"/>
    <x v="9"/>
    <x v="9"/>
    <s v="Financial Services"/>
    <x v="1"/>
    <s v="BBB"/>
    <s v="United States"/>
    <x v="0"/>
    <d v="2024-04-03T00:00:00"/>
    <x v="1"/>
    <x v="1"/>
    <x v="1"/>
    <n v="0.12"/>
    <s v="Cash Incentive"/>
    <n v="0.12"/>
    <x v="1"/>
    <s v="Growth"/>
    <x v="1"/>
    <s v="Adjusted Revenue"/>
    <n v="0.5"/>
  </r>
  <r>
    <x v="104"/>
    <x v="5"/>
    <x v="9"/>
    <x v="9"/>
    <s v="Financial Services"/>
    <x v="1"/>
    <s v="BBB"/>
    <s v="United States"/>
    <x v="0"/>
    <d v="2024-04-03T00:00:00"/>
    <x v="1"/>
    <x v="1"/>
    <x v="1"/>
    <m/>
    <s v="Cash Incentive"/>
    <n v="0.12"/>
    <x v="1"/>
    <s v="Profitability"/>
    <x v="2"/>
    <s v="Adjusted Operating Income"/>
    <n v="0.5"/>
  </r>
  <r>
    <x v="104"/>
    <x v="5"/>
    <x v="9"/>
    <x v="9"/>
    <s v="Financial Services"/>
    <x v="1"/>
    <s v="BBB"/>
    <s v="United States"/>
    <x v="0"/>
    <d v="2024-04-03T00:00:00"/>
    <x v="1"/>
    <x v="1"/>
    <x v="1"/>
    <m/>
    <s v="Cash Incentive"/>
    <n v="0.12"/>
    <x v="0"/>
    <s v="Modifier/Threshold"/>
    <x v="34"/>
    <s v="Discretionary Adjustment"/>
    <m/>
  </r>
  <r>
    <x v="104"/>
    <x v="5"/>
    <x v="9"/>
    <x v="9"/>
    <s v="Financial Services"/>
    <x v="1"/>
    <s v="BBB"/>
    <s v="United States"/>
    <x v="0"/>
    <d v="2024-04-03T00:00:00"/>
    <x v="1"/>
    <x v="2"/>
    <x v="1"/>
    <n v="0.38"/>
    <s v="Performance Stock"/>
    <n v="0.38"/>
    <x v="3"/>
    <s v="Stock Performance"/>
    <x v="11"/>
    <s v="3Y Relative TSR"/>
    <n v="0.4"/>
  </r>
  <r>
    <x v="104"/>
    <x v="5"/>
    <x v="9"/>
    <x v="9"/>
    <s v="Financial Services"/>
    <x v="1"/>
    <s v="BBB"/>
    <s v="United States"/>
    <x v="0"/>
    <d v="2024-04-03T00:00:00"/>
    <x v="1"/>
    <x v="2"/>
    <x v="1"/>
    <m/>
    <s v="Performance Stock"/>
    <n v="0.38"/>
    <x v="1"/>
    <s v="Growth"/>
    <x v="1"/>
    <s v="Adjusted Revenue Growth"/>
    <n v="0.4"/>
  </r>
  <r>
    <x v="104"/>
    <x v="5"/>
    <x v="9"/>
    <x v="9"/>
    <s v="Financial Services"/>
    <x v="1"/>
    <s v="BBB"/>
    <s v="United States"/>
    <x v="0"/>
    <d v="2024-04-03T00:00:00"/>
    <x v="1"/>
    <x v="2"/>
    <x v="1"/>
    <m/>
    <s v="Performance Stock"/>
    <n v="0.38"/>
    <x v="1"/>
    <s v="Profitability"/>
    <x v="14"/>
    <s v="Adjusted EPS"/>
    <n v="0.2"/>
  </r>
  <r>
    <x v="104"/>
    <x v="5"/>
    <x v="9"/>
    <x v="9"/>
    <s v="Financial Services"/>
    <x v="1"/>
    <s v="BBB"/>
    <s v="United States"/>
    <x v="0"/>
    <d v="2024-04-03T00:00:00"/>
    <x v="1"/>
    <x v="2"/>
    <x v="1"/>
    <m/>
    <s v="Performance Stock"/>
    <n v="0.38"/>
    <x v="0"/>
    <s v="Modifier/Threshold"/>
    <x v="12"/>
    <s v="3Y Absolute TSR"/>
    <m/>
  </r>
  <r>
    <x v="104"/>
    <x v="5"/>
    <x v="9"/>
    <x v="9"/>
    <s v="Financial Services"/>
    <x v="1"/>
    <s v="BBB"/>
    <s v="United States"/>
    <x v="0"/>
    <d v="2024-04-03T00:00:00"/>
    <x v="1"/>
    <x v="2"/>
    <x v="0"/>
    <n v="0.38"/>
    <s v="Time-Based Stock"/>
    <n v="0.38"/>
    <x v="0"/>
    <m/>
    <x v="0"/>
    <m/>
    <m/>
  </r>
  <r>
    <x v="105"/>
    <x v="5"/>
    <x v="15"/>
    <x v="23"/>
    <s v="Insurance"/>
    <x v="0"/>
    <s v="A"/>
    <s v="United States"/>
    <x v="0"/>
    <d v="2024-03-25T00:00:00"/>
    <x v="0"/>
    <x v="0"/>
    <x v="0"/>
    <n v="7.0000000000000007E-2"/>
    <s v="Base Salary"/>
    <n v="7.0000000000000007E-2"/>
    <x v="0"/>
    <m/>
    <x v="0"/>
    <m/>
    <m/>
  </r>
  <r>
    <x v="105"/>
    <x v="5"/>
    <x v="15"/>
    <x v="23"/>
    <s v="Insurance"/>
    <x v="0"/>
    <s v="A"/>
    <s v="United States"/>
    <x v="0"/>
    <d v="2024-03-25T00:00:00"/>
    <x v="0"/>
    <x v="1"/>
    <x v="1"/>
    <n v="0.19"/>
    <s v="Cash Incentive"/>
    <n v="0.19"/>
    <x v="1"/>
    <s v="Growth"/>
    <x v="17"/>
    <s v="Average Number of Policies in Force"/>
    <n v="0.5"/>
  </r>
  <r>
    <x v="105"/>
    <x v="5"/>
    <x v="15"/>
    <x v="23"/>
    <s v="Insurance"/>
    <x v="0"/>
    <s v="A"/>
    <s v="United States"/>
    <x v="0"/>
    <d v="2024-03-25T00:00:00"/>
    <x v="0"/>
    <x v="1"/>
    <x v="1"/>
    <m/>
    <s v="Cash Incentive"/>
    <n v="0.19"/>
    <x v="1"/>
    <s v="Profitability"/>
    <x v="3"/>
    <s v="Combined Ratio"/>
    <n v="0.5"/>
  </r>
  <r>
    <x v="105"/>
    <x v="5"/>
    <x v="15"/>
    <x v="23"/>
    <s v="Insurance"/>
    <x v="0"/>
    <s v="A"/>
    <s v="United States"/>
    <x v="0"/>
    <d v="2024-03-25T00:00:00"/>
    <x v="0"/>
    <x v="1"/>
    <x v="1"/>
    <m/>
    <s v="Cash Incentive"/>
    <n v="0.19"/>
    <x v="0"/>
    <s v="Modifier/Threshold"/>
    <x v="34"/>
    <s v="Discretionary Adjustment"/>
    <m/>
  </r>
  <r>
    <x v="105"/>
    <x v="5"/>
    <x v="15"/>
    <x v="23"/>
    <s v="Insurance"/>
    <x v="0"/>
    <s v="A"/>
    <s v="United States"/>
    <x v="0"/>
    <d v="2024-03-25T00:00:00"/>
    <x v="0"/>
    <x v="2"/>
    <x v="1"/>
    <n v="0.67"/>
    <s v="Performance Stock"/>
    <n v="0.67"/>
    <x v="1"/>
    <s v="Growth"/>
    <x v="3"/>
    <s v="3Y Relative Business Line Growth"/>
    <n v="0.89"/>
  </r>
  <r>
    <x v="105"/>
    <x v="5"/>
    <x v="15"/>
    <x v="23"/>
    <s v="Insurance"/>
    <x v="0"/>
    <s v="A"/>
    <s v="United States"/>
    <x v="0"/>
    <d v="2024-03-25T00:00:00"/>
    <x v="0"/>
    <x v="2"/>
    <x v="1"/>
    <m/>
    <s v="Performance Stock"/>
    <n v="0.67"/>
    <x v="1"/>
    <s v="Strategy &amp; Operations"/>
    <x v="3"/>
    <s v="3Y Relative Fixed Income Investment Results"/>
    <n v="0.11"/>
  </r>
  <r>
    <x v="105"/>
    <x v="5"/>
    <x v="15"/>
    <x v="23"/>
    <s v="Insurance"/>
    <x v="0"/>
    <s v="A"/>
    <s v="United States"/>
    <x v="0"/>
    <d v="2024-03-25T00:00:00"/>
    <x v="0"/>
    <x v="2"/>
    <x v="1"/>
    <m/>
    <s v="Performance Stock"/>
    <n v="0.67"/>
    <x v="0"/>
    <s v="Modifier/Threshold"/>
    <x v="67"/>
    <s v="Combined Ratio"/>
    <m/>
  </r>
  <r>
    <x v="105"/>
    <x v="5"/>
    <x v="15"/>
    <x v="23"/>
    <s v="Insurance"/>
    <x v="0"/>
    <s v="A"/>
    <s v="United States"/>
    <x v="0"/>
    <d v="2024-03-25T00:00:00"/>
    <x v="0"/>
    <x v="2"/>
    <x v="1"/>
    <m/>
    <s v="Performance Stock"/>
    <n v="0.67"/>
    <x v="0"/>
    <s v="Modifier/Threshold"/>
    <x v="34"/>
    <s v="Discretionary Adjustment"/>
    <m/>
  </r>
  <r>
    <x v="105"/>
    <x v="5"/>
    <x v="15"/>
    <x v="23"/>
    <s v="Insurance"/>
    <x v="0"/>
    <s v="A"/>
    <s v="United States"/>
    <x v="0"/>
    <d v="2024-03-25T00:00:00"/>
    <x v="0"/>
    <x v="2"/>
    <x v="0"/>
    <n v="7.0000000000000007E-2"/>
    <s v="Time-Based Stock"/>
    <n v="7.0000000000000007E-2"/>
    <x v="0"/>
    <m/>
    <x v="0"/>
    <m/>
    <m/>
  </r>
  <r>
    <x v="105"/>
    <x v="5"/>
    <x v="15"/>
    <x v="23"/>
    <s v="Insurance"/>
    <x v="0"/>
    <s v="A"/>
    <s v="United States"/>
    <x v="0"/>
    <d v="2024-03-25T00:00:00"/>
    <x v="1"/>
    <x v="0"/>
    <x v="0"/>
    <n v="0.19"/>
    <s v="Base Salary"/>
    <n v="0.19"/>
    <x v="0"/>
    <m/>
    <x v="0"/>
    <m/>
    <m/>
  </r>
  <r>
    <x v="105"/>
    <x v="5"/>
    <x v="15"/>
    <x v="23"/>
    <s v="Insurance"/>
    <x v="0"/>
    <s v="A"/>
    <s v="United States"/>
    <x v="0"/>
    <d v="2024-03-25T00:00:00"/>
    <x v="1"/>
    <x v="2"/>
    <x v="1"/>
    <n v="0.23"/>
    <s v="Cash Incentive"/>
    <n v="0.23"/>
    <x v="1"/>
    <s v="Growth"/>
    <x v="17"/>
    <s v="Average Number of Policies in Force"/>
    <n v="0.5"/>
  </r>
  <r>
    <x v="105"/>
    <x v="5"/>
    <x v="15"/>
    <x v="23"/>
    <s v="Insurance"/>
    <x v="0"/>
    <s v="A"/>
    <s v="United States"/>
    <x v="0"/>
    <d v="2024-03-25T00:00:00"/>
    <x v="1"/>
    <x v="2"/>
    <x v="1"/>
    <m/>
    <s v="Cash Incentive"/>
    <n v="0.23"/>
    <x v="1"/>
    <s v="Profitability"/>
    <x v="3"/>
    <s v="Combined Ratio"/>
    <n v="0.5"/>
  </r>
  <r>
    <x v="105"/>
    <x v="5"/>
    <x v="15"/>
    <x v="23"/>
    <s v="Insurance"/>
    <x v="0"/>
    <s v="A"/>
    <s v="United States"/>
    <x v="0"/>
    <d v="2024-03-25T00:00:00"/>
    <x v="1"/>
    <x v="2"/>
    <x v="1"/>
    <m/>
    <s v="Cash Incentive"/>
    <n v="0.23"/>
    <x v="0"/>
    <s v="Modifier/Threshold"/>
    <x v="34"/>
    <s v="Discretionary Adjustment"/>
    <m/>
  </r>
  <r>
    <x v="105"/>
    <x v="5"/>
    <x v="15"/>
    <x v="23"/>
    <s v="Insurance"/>
    <x v="0"/>
    <s v="A"/>
    <s v="United States"/>
    <x v="0"/>
    <d v="2024-03-25T00:00:00"/>
    <x v="1"/>
    <x v="2"/>
    <x v="1"/>
    <n v="0.39"/>
    <s v="Performance Stock"/>
    <n v="0.39"/>
    <x v="1"/>
    <s v="Growth"/>
    <x v="3"/>
    <s v="3Y Relative Business Line Growth"/>
    <n v="0.96"/>
  </r>
  <r>
    <x v="105"/>
    <x v="5"/>
    <x v="15"/>
    <x v="23"/>
    <s v="Insurance"/>
    <x v="0"/>
    <s v="A"/>
    <s v="United States"/>
    <x v="0"/>
    <d v="2024-03-25T00:00:00"/>
    <x v="1"/>
    <x v="2"/>
    <x v="1"/>
    <m/>
    <s v="Performance Stock"/>
    <n v="0.39"/>
    <x v="1"/>
    <s v="Strategy &amp; Operations"/>
    <x v="3"/>
    <s v="3Y Relative Fixed Income Investment Results"/>
    <n v="0.04"/>
  </r>
  <r>
    <x v="105"/>
    <x v="5"/>
    <x v="15"/>
    <x v="23"/>
    <s v="Insurance"/>
    <x v="0"/>
    <s v="A"/>
    <s v="United States"/>
    <x v="0"/>
    <d v="2024-03-25T00:00:00"/>
    <x v="1"/>
    <x v="2"/>
    <x v="1"/>
    <m/>
    <s v="Performance Stock"/>
    <n v="0.39"/>
    <x v="0"/>
    <s v="Modifier/Threshold"/>
    <x v="67"/>
    <s v="Combined Ratio"/>
    <m/>
  </r>
  <r>
    <x v="105"/>
    <x v="5"/>
    <x v="15"/>
    <x v="23"/>
    <s v="Insurance"/>
    <x v="0"/>
    <s v="A"/>
    <s v="United States"/>
    <x v="0"/>
    <d v="2024-03-25T00:00:00"/>
    <x v="1"/>
    <x v="2"/>
    <x v="1"/>
    <m/>
    <s v="Performance Stock"/>
    <n v="0.39"/>
    <x v="0"/>
    <s v="Modifier/Threshold"/>
    <x v="34"/>
    <s v="Discretionary Adjustment"/>
    <m/>
  </r>
  <r>
    <x v="105"/>
    <x v="5"/>
    <x v="15"/>
    <x v="23"/>
    <s v="Insurance"/>
    <x v="0"/>
    <s v="A"/>
    <s v="United States"/>
    <x v="0"/>
    <d v="2024-03-25T00:00:00"/>
    <x v="1"/>
    <x v="2"/>
    <x v="0"/>
    <n v="0.19"/>
    <s v="Time-Based Stock"/>
    <n v="0.19"/>
    <x v="0"/>
    <m/>
    <x v="0"/>
    <m/>
    <m/>
  </r>
  <r>
    <x v="106"/>
    <x v="9"/>
    <x v="16"/>
    <x v="35"/>
    <s v="Utilities"/>
    <x v="2"/>
    <s v="BBB+"/>
    <s v="United States"/>
    <x v="0"/>
    <d v="2024-03-15T00:00:00"/>
    <x v="0"/>
    <x v="0"/>
    <x v="0"/>
    <n v="0.14000000000000001"/>
    <s v="Base Salary"/>
    <n v="0.14000000000000001"/>
    <x v="0"/>
    <m/>
    <x v="0"/>
    <m/>
    <m/>
  </r>
  <r>
    <x v="106"/>
    <x v="9"/>
    <x v="16"/>
    <x v="35"/>
    <s v="Utilities"/>
    <x v="2"/>
    <s v="BBB+"/>
    <s v="United States"/>
    <x v="0"/>
    <d v="2024-03-15T00:00:00"/>
    <x v="0"/>
    <x v="1"/>
    <x v="1"/>
    <n v="0.17"/>
    <s v="Cash Incentive"/>
    <n v="0.17"/>
    <x v="1"/>
    <s v="Profitability"/>
    <x v="14"/>
    <s v="Adjusted EPS"/>
    <n v="1"/>
  </r>
  <r>
    <x v="106"/>
    <x v="9"/>
    <x v="16"/>
    <x v="35"/>
    <s v="Utilities"/>
    <x v="2"/>
    <s v="BBB+"/>
    <s v="United States"/>
    <x v="0"/>
    <d v="2024-03-15T00:00:00"/>
    <x v="0"/>
    <x v="1"/>
    <x v="1"/>
    <m/>
    <s v="Cash Incentive"/>
    <n v="0.17"/>
    <x v="0"/>
    <s v="Modifier/Threshold"/>
    <x v="20"/>
    <s v="DE&amp;I"/>
    <m/>
  </r>
  <r>
    <x v="106"/>
    <x v="9"/>
    <x v="16"/>
    <x v="35"/>
    <s v="Utilities"/>
    <x v="2"/>
    <s v="BBB+"/>
    <s v="United States"/>
    <x v="0"/>
    <d v="2024-03-15T00:00:00"/>
    <x v="0"/>
    <x v="1"/>
    <x v="1"/>
    <m/>
    <s v="Cash Incentive"/>
    <n v="0.17"/>
    <x v="0"/>
    <s v="Modifier/Threshold"/>
    <x v="34"/>
    <s v="Discretionary Adjustment"/>
    <m/>
  </r>
  <r>
    <x v="106"/>
    <x v="9"/>
    <x v="16"/>
    <x v="35"/>
    <s v="Utilities"/>
    <x v="2"/>
    <s v="BBB+"/>
    <s v="United States"/>
    <x v="0"/>
    <d v="2024-03-15T00:00:00"/>
    <x v="0"/>
    <x v="2"/>
    <x v="1"/>
    <n v="0.51749999999999996"/>
    <s v="Performance Stock"/>
    <n v="0.51749999999999996"/>
    <x v="3"/>
    <s v="Stock Performance"/>
    <x v="11"/>
    <s v="3Y Relative TSR"/>
    <n v="0.46666666666666667"/>
  </r>
  <r>
    <x v="106"/>
    <x v="9"/>
    <x v="16"/>
    <x v="35"/>
    <s v="Utilities"/>
    <x v="2"/>
    <s v="BBB+"/>
    <s v="United States"/>
    <x v="0"/>
    <d v="2024-03-15T00:00:00"/>
    <x v="0"/>
    <x v="2"/>
    <x v="1"/>
    <m/>
    <s v="Performance Stock"/>
    <n v="0.51749999999999996"/>
    <x v="1"/>
    <s v="Profitability"/>
    <x v="14"/>
    <s v="3Y Cumulative Adjusted EPS"/>
    <n v="0.46666666666666667"/>
  </r>
  <r>
    <x v="106"/>
    <x v="9"/>
    <x v="16"/>
    <x v="35"/>
    <s v="Utilities"/>
    <x v="2"/>
    <s v="BBB+"/>
    <s v="United States"/>
    <x v="0"/>
    <d v="2024-03-15T00:00:00"/>
    <x v="0"/>
    <x v="2"/>
    <x v="1"/>
    <m/>
    <s v="Performance Stock"/>
    <n v="0.51749999999999996"/>
    <x v="2"/>
    <s v="ESG"/>
    <x v="7"/>
    <s v="3Y Cumulative Carbon Emissions Reduction"/>
    <n v="6.6666666666666666E-2"/>
  </r>
  <r>
    <x v="106"/>
    <x v="9"/>
    <x v="16"/>
    <x v="35"/>
    <s v="Utilities"/>
    <x v="2"/>
    <s v="BBB+"/>
    <s v="United States"/>
    <x v="0"/>
    <d v="2024-03-15T00:00:00"/>
    <x v="0"/>
    <x v="2"/>
    <x v="1"/>
    <m/>
    <s v="Performance Stock"/>
    <n v="0.51749999999999996"/>
    <x v="0"/>
    <s v="Modifier/Threshold"/>
    <x v="3"/>
    <s v="P/E Modifier"/>
    <m/>
  </r>
  <r>
    <x v="106"/>
    <x v="9"/>
    <x v="16"/>
    <x v="35"/>
    <s v="Utilities"/>
    <x v="2"/>
    <s v="BBB+"/>
    <s v="United States"/>
    <x v="0"/>
    <d v="2024-03-15T00:00:00"/>
    <x v="0"/>
    <x v="2"/>
    <x v="0"/>
    <n v="0.17249999999999999"/>
    <s v="Time-Based Stock"/>
    <n v="0.17249999999999999"/>
    <x v="0"/>
    <m/>
    <x v="0"/>
    <m/>
    <m/>
  </r>
  <r>
    <x v="106"/>
    <x v="9"/>
    <x v="16"/>
    <x v="35"/>
    <s v="Utilities"/>
    <x v="2"/>
    <s v="BBB+"/>
    <s v="United States"/>
    <x v="0"/>
    <d v="2024-03-15T00:00:00"/>
    <x v="1"/>
    <x v="0"/>
    <x v="0"/>
    <n v="0.23"/>
    <s v="Base Salary"/>
    <n v="0.23"/>
    <x v="0"/>
    <m/>
    <x v="0"/>
    <m/>
    <m/>
  </r>
  <r>
    <x v="106"/>
    <x v="9"/>
    <x v="16"/>
    <x v="35"/>
    <s v="Utilities"/>
    <x v="2"/>
    <s v="BBB+"/>
    <s v="United States"/>
    <x v="0"/>
    <d v="2024-03-15T00:00:00"/>
    <x v="1"/>
    <x v="1"/>
    <x v="1"/>
    <n v="0.19"/>
    <s v="Cash Incentive"/>
    <n v="0.19"/>
    <x v="1"/>
    <s v="Profitability"/>
    <x v="14"/>
    <s v="Adjusted EPS"/>
    <n v="1"/>
  </r>
  <r>
    <x v="106"/>
    <x v="9"/>
    <x v="16"/>
    <x v="35"/>
    <s v="Utilities"/>
    <x v="2"/>
    <s v="BBB+"/>
    <s v="United States"/>
    <x v="0"/>
    <d v="2024-03-15T00:00:00"/>
    <x v="1"/>
    <x v="1"/>
    <x v="1"/>
    <m/>
    <s v="Cash Incentive"/>
    <n v="0.19"/>
    <x v="0"/>
    <s v="Modifier/Threshold"/>
    <x v="20"/>
    <s v="DE&amp;I"/>
    <m/>
  </r>
  <r>
    <x v="106"/>
    <x v="9"/>
    <x v="16"/>
    <x v="35"/>
    <s v="Utilities"/>
    <x v="2"/>
    <s v="BBB+"/>
    <s v="United States"/>
    <x v="0"/>
    <d v="2024-03-15T00:00:00"/>
    <x v="1"/>
    <x v="1"/>
    <x v="1"/>
    <m/>
    <s v="Cash Incentive"/>
    <n v="0.19"/>
    <x v="0"/>
    <s v="Modifier/Threshold"/>
    <x v="34"/>
    <s v="Discretionary Adjustment"/>
    <m/>
  </r>
  <r>
    <x v="106"/>
    <x v="9"/>
    <x v="16"/>
    <x v="35"/>
    <s v="Utilities"/>
    <x v="2"/>
    <s v="BBB+"/>
    <s v="United States"/>
    <x v="0"/>
    <d v="2024-03-15T00:00:00"/>
    <x v="1"/>
    <x v="2"/>
    <x v="1"/>
    <n v="0.43499999999999994"/>
    <s v="Performance Stock"/>
    <n v="0.43499999999999994"/>
    <x v="3"/>
    <s v="Stock Performance"/>
    <x v="11"/>
    <s v="3Y Relative TSR"/>
    <n v="0.46666666666666667"/>
  </r>
  <r>
    <x v="106"/>
    <x v="9"/>
    <x v="16"/>
    <x v="35"/>
    <s v="Utilities"/>
    <x v="2"/>
    <s v="BBB+"/>
    <s v="United States"/>
    <x v="0"/>
    <d v="2024-03-15T00:00:00"/>
    <x v="1"/>
    <x v="2"/>
    <x v="1"/>
    <m/>
    <s v="Performance Stock"/>
    <n v="0.43499999999999994"/>
    <x v="1"/>
    <s v="Profitability"/>
    <x v="14"/>
    <s v="3Y Cumulative Adjusted EPS"/>
    <n v="0.46666666666666667"/>
  </r>
  <r>
    <x v="106"/>
    <x v="9"/>
    <x v="16"/>
    <x v="35"/>
    <s v="Utilities"/>
    <x v="2"/>
    <s v="BBB+"/>
    <s v="United States"/>
    <x v="0"/>
    <d v="2024-03-15T00:00:00"/>
    <x v="1"/>
    <x v="2"/>
    <x v="1"/>
    <m/>
    <s v="Performance Stock"/>
    <n v="0.43499999999999994"/>
    <x v="2"/>
    <s v="ESG"/>
    <x v="7"/>
    <s v="3Y Cumulative Carbon Emissions Reduction"/>
    <n v="6.6666666666666666E-2"/>
  </r>
  <r>
    <x v="106"/>
    <x v="9"/>
    <x v="16"/>
    <x v="35"/>
    <s v="Utilities"/>
    <x v="2"/>
    <s v="BBB+"/>
    <s v="United States"/>
    <x v="0"/>
    <d v="2024-03-15T00:00:00"/>
    <x v="1"/>
    <x v="2"/>
    <x v="1"/>
    <m/>
    <s v="Performance Stock"/>
    <n v="0.43499999999999994"/>
    <x v="0"/>
    <s v="Modifier/Threshold"/>
    <x v="3"/>
    <s v="P/E Modifier"/>
    <m/>
  </r>
  <r>
    <x v="106"/>
    <x v="9"/>
    <x v="16"/>
    <x v="35"/>
    <s v="Utilities"/>
    <x v="2"/>
    <s v="BBB+"/>
    <s v="United States"/>
    <x v="0"/>
    <d v="2024-03-15T00:00:00"/>
    <x v="1"/>
    <x v="2"/>
    <x v="0"/>
    <n v="0.14499999999999999"/>
    <s v="Time-Based Stock"/>
    <n v="0.14499999999999999"/>
    <x v="0"/>
    <m/>
    <x v="0"/>
    <m/>
    <m/>
  </r>
  <r>
    <x v="107"/>
    <x v="2"/>
    <x v="12"/>
    <x v="20"/>
    <s v="Motor Vehicles"/>
    <x v="1"/>
    <s v="BBB"/>
    <s v="United States"/>
    <x v="0"/>
    <d v="2024-04-24T00:00:00"/>
    <x v="0"/>
    <x v="0"/>
    <x v="0"/>
    <n v="0.08"/>
    <s v="Base Salary"/>
    <n v="0.08"/>
    <x v="0"/>
    <m/>
    <x v="0"/>
    <m/>
    <m/>
  </r>
  <r>
    <x v="107"/>
    <x v="2"/>
    <x v="12"/>
    <x v="20"/>
    <s v="Motor Vehicles"/>
    <x v="1"/>
    <s v="BBB"/>
    <s v="United States"/>
    <x v="0"/>
    <d v="2024-04-24T00:00:00"/>
    <x v="0"/>
    <x v="1"/>
    <x v="1"/>
    <n v="0.16"/>
    <s v="Cash Incentive"/>
    <n v="0.16"/>
    <x v="1"/>
    <s v="Profitability"/>
    <x v="2"/>
    <s v="Adjusted Operating Income"/>
    <n v="0.35"/>
  </r>
  <r>
    <x v="107"/>
    <x v="2"/>
    <x v="12"/>
    <x v="20"/>
    <s v="Motor Vehicles"/>
    <x v="1"/>
    <s v="BBB"/>
    <s v="United States"/>
    <x v="0"/>
    <d v="2024-04-24T00:00:00"/>
    <x v="0"/>
    <x v="1"/>
    <x v="1"/>
    <m/>
    <s v="Cash Incentive"/>
    <n v="0.16"/>
    <x v="1"/>
    <s v="Cash Flow"/>
    <x v="25"/>
    <s v="Adjusted Automotive Free Cash Flow"/>
    <n v="0.25"/>
  </r>
  <r>
    <x v="107"/>
    <x v="2"/>
    <x v="12"/>
    <x v="20"/>
    <s v="Motor Vehicles"/>
    <x v="1"/>
    <s v="BBB"/>
    <s v="United States"/>
    <x v="0"/>
    <d v="2024-04-24T00:00:00"/>
    <x v="0"/>
    <x v="1"/>
    <x v="1"/>
    <m/>
    <s v="Cash Incentive"/>
    <n v="0.16"/>
    <x v="2"/>
    <s v="Strategy &amp; Operations"/>
    <x v="3"/>
    <s v="Electric Vehicle Strategic Goals"/>
    <n v="0.25"/>
  </r>
  <r>
    <x v="107"/>
    <x v="2"/>
    <x v="12"/>
    <x v="20"/>
    <s v="Motor Vehicles"/>
    <x v="1"/>
    <s v="BBB"/>
    <s v="United States"/>
    <x v="0"/>
    <d v="2024-04-24T00:00:00"/>
    <x v="0"/>
    <x v="1"/>
    <x v="1"/>
    <m/>
    <s v="Cash Incentive"/>
    <n v="0.16"/>
    <x v="2"/>
    <s v="Strategy &amp; Operations"/>
    <x v="3"/>
    <s v="Software and Services Strategic Goals"/>
    <n v="0.1"/>
  </r>
  <r>
    <x v="107"/>
    <x v="2"/>
    <x v="12"/>
    <x v="20"/>
    <s v="Motor Vehicles"/>
    <x v="1"/>
    <s v="BBB"/>
    <s v="United States"/>
    <x v="0"/>
    <d v="2024-04-24T00:00:00"/>
    <x v="0"/>
    <x v="1"/>
    <x v="1"/>
    <m/>
    <s v="Cash Incentive"/>
    <n v="0.16"/>
    <x v="2"/>
    <s v="Strategy &amp; Operations"/>
    <x v="3"/>
    <s v="Autonomous Vehicle Strategic Goals"/>
    <n v="0.05"/>
  </r>
  <r>
    <x v="107"/>
    <x v="2"/>
    <x v="12"/>
    <x v="20"/>
    <s v="Motor Vehicles"/>
    <x v="1"/>
    <s v="BBB"/>
    <s v="United States"/>
    <x v="0"/>
    <d v="2024-04-24T00:00:00"/>
    <x v="0"/>
    <x v="1"/>
    <x v="1"/>
    <m/>
    <s v="Cash Incentive"/>
    <n v="0.16"/>
    <x v="0"/>
    <s v="Modifier/Threshold"/>
    <x v="10"/>
    <s v="Individual Performance Factor"/>
    <m/>
  </r>
  <r>
    <x v="107"/>
    <x v="2"/>
    <x v="12"/>
    <x v="20"/>
    <s v="Motor Vehicles"/>
    <x v="1"/>
    <s v="BBB"/>
    <s v="United States"/>
    <x v="0"/>
    <d v="2024-04-24T00:00:00"/>
    <x v="0"/>
    <x v="1"/>
    <x v="1"/>
    <m/>
    <s v="Cash Incentive"/>
    <n v="0.16"/>
    <x v="0"/>
    <s v="Modifier/Threshold"/>
    <x v="3"/>
    <s v="Financial Metric Threshold"/>
    <m/>
  </r>
  <r>
    <x v="107"/>
    <x v="2"/>
    <x v="12"/>
    <x v="20"/>
    <s v="Motor Vehicles"/>
    <x v="1"/>
    <s v="BBB"/>
    <s v="United States"/>
    <x v="0"/>
    <d v="2024-04-24T00:00:00"/>
    <x v="0"/>
    <x v="2"/>
    <x v="1"/>
    <n v="0.57000000000000006"/>
    <s v="Performance Stock"/>
    <n v="0.57000000000000006"/>
    <x v="1"/>
    <s v="Cash Flow"/>
    <x v="18"/>
    <s v="3Y Cumulative Adjusted Automotive Operating Cash Flow"/>
    <n v="0.4"/>
  </r>
  <r>
    <x v="107"/>
    <x v="2"/>
    <x v="12"/>
    <x v="20"/>
    <s v="Motor Vehicles"/>
    <x v="1"/>
    <s v="BBB"/>
    <s v="United States"/>
    <x v="0"/>
    <d v="2024-04-24T00:00:00"/>
    <x v="0"/>
    <x v="2"/>
    <x v="1"/>
    <m/>
    <s v="Performance Stock"/>
    <n v="0.57000000000000006"/>
    <x v="3"/>
    <s v="Stock Performance"/>
    <x v="11"/>
    <s v="3Y Relative TSR"/>
    <n v="0.4"/>
  </r>
  <r>
    <x v="107"/>
    <x v="2"/>
    <x v="12"/>
    <x v="20"/>
    <s v="Motor Vehicles"/>
    <x v="1"/>
    <s v="BBB"/>
    <s v="United States"/>
    <x v="0"/>
    <d v="2024-04-24T00:00:00"/>
    <x v="0"/>
    <x v="2"/>
    <x v="1"/>
    <m/>
    <s v="Performance Stock"/>
    <n v="0.57000000000000006"/>
    <x v="1"/>
    <s v="Profitability"/>
    <x v="9"/>
    <s v="3Y Adjusted Operating Margin"/>
    <n v="0.2"/>
  </r>
  <r>
    <x v="107"/>
    <x v="2"/>
    <x v="12"/>
    <x v="20"/>
    <s v="Motor Vehicles"/>
    <x v="1"/>
    <s v="BBB"/>
    <s v="United States"/>
    <x v="0"/>
    <d v="2024-04-24T00:00:00"/>
    <x v="0"/>
    <x v="2"/>
    <x v="1"/>
    <m/>
    <s v="Performance Stock"/>
    <n v="0.57000000000000006"/>
    <x v="0"/>
    <s v="Modifier/Threshold"/>
    <x v="12"/>
    <s v="3Y Absolute TSR"/>
    <m/>
  </r>
  <r>
    <x v="107"/>
    <x v="2"/>
    <x v="12"/>
    <x v="20"/>
    <s v="Motor Vehicles"/>
    <x v="1"/>
    <s v="BBB"/>
    <s v="United States"/>
    <x v="0"/>
    <d v="2024-04-24T00:00:00"/>
    <x v="0"/>
    <x v="2"/>
    <x v="0"/>
    <n v="0.19"/>
    <s v="Time-Based Stock"/>
    <n v="0.19"/>
    <x v="0"/>
    <m/>
    <x v="0"/>
    <m/>
    <m/>
  </r>
  <r>
    <x v="107"/>
    <x v="2"/>
    <x v="12"/>
    <x v="20"/>
    <s v="Motor Vehicles"/>
    <x v="1"/>
    <s v="BBB"/>
    <s v="United States"/>
    <x v="0"/>
    <d v="2024-04-24T00:00:00"/>
    <x v="1"/>
    <x v="0"/>
    <x v="0"/>
    <n v="0.09"/>
    <s v="Base Salary"/>
    <n v="0.09"/>
    <x v="0"/>
    <m/>
    <x v="0"/>
    <m/>
    <m/>
  </r>
  <r>
    <x v="107"/>
    <x v="2"/>
    <x v="12"/>
    <x v="20"/>
    <s v="Motor Vehicles"/>
    <x v="1"/>
    <s v="BBB"/>
    <s v="United States"/>
    <x v="0"/>
    <d v="2024-04-24T00:00:00"/>
    <x v="1"/>
    <x v="1"/>
    <x v="1"/>
    <n v="0.11"/>
    <s v="Cash Incentive"/>
    <n v="0.11"/>
    <x v="1"/>
    <s v="Profitability"/>
    <x v="2"/>
    <s v="Adjusted Operating Income"/>
    <n v="0.35"/>
  </r>
  <r>
    <x v="107"/>
    <x v="2"/>
    <x v="12"/>
    <x v="20"/>
    <s v="Motor Vehicles"/>
    <x v="1"/>
    <s v="BBB"/>
    <s v="United States"/>
    <x v="0"/>
    <d v="2024-04-24T00:00:00"/>
    <x v="1"/>
    <x v="1"/>
    <x v="1"/>
    <m/>
    <s v="Cash Incentive"/>
    <n v="0.11"/>
    <x v="1"/>
    <s v="Cash Flow"/>
    <x v="25"/>
    <s v="Adjusted Automotive Free Cash Flow"/>
    <n v="0.25"/>
  </r>
  <r>
    <x v="107"/>
    <x v="2"/>
    <x v="12"/>
    <x v="20"/>
    <s v="Motor Vehicles"/>
    <x v="1"/>
    <s v="BBB"/>
    <s v="United States"/>
    <x v="0"/>
    <d v="2024-04-24T00:00:00"/>
    <x v="1"/>
    <x v="1"/>
    <x v="1"/>
    <m/>
    <s v="Cash Incentive"/>
    <n v="0.11"/>
    <x v="2"/>
    <s v="Strategy &amp; Operations"/>
    <x v="3"/>
    <s v="Electric Vehicle Strategic Goals"/>
    <n v="0.25"/>
  </r>
  <r>
    <x v="107"/>
    <x v="2"/>
    <x v="12"/>
    <x v="20"/>
    <s v="Motor Vehicles"/>
    <x v="1"/>
    <s v="BBB"/>
    <s v="United States"/>
    <x v="0"/>
    <d v="2024-04-24T00:00:00"/>
    <x v="1"/>
    <x v="1"/>
    <x v="1"/>
    <m/>
    <s v="Cash Incentive"/>
    <n v="0.11"/>
    <x v="2"/>
    <s v="Strategy &amp; Operations"/>
    <x v="3"/>
    <s v="Software and Services Strategic Goals"/>
    <n v="0.1"/>
  </r>
  <r>
    <x v="107"/>
    <x v="2"/>
    <x v="12"/>
    <x v="20"/>
    <s v="Motor Vehicles"/>
    <x v="1"/>
    <s v="BBB"/>
    <s v="United States"/>
    <x v="0"/>
    <d v="2024-04-24T00:00:00"/>
    <x v="1"/>
    <x v="1"/>
    <x v="1"/>
    <m/>
    <s v="Cash Incentive"/>
    <n v="0.11"/>
    <x v="2"/>
    <s v="Strategy &amp; Operations"/>
    <x v="3"/>
    <s v="Autonomous Vehicle Strategic Goals"/>
    <n v="0.05"/>
  </r>
  <r>
    <x v="107"/>
    <x v="2"/>
    <x v="12"/>
    <x v="20"/>
    <s v="Motor Vehicles"/>
    <x v="1"/>
    <s v="BBB"/>
    <s v="United States"/>
    <x v="0"/>
    <d v="2024-04-24T00:00:00"/>
    <x v="1"/>
    <x v="1"/>
    <x v="1"/>
    <m/>
    <s v="Cash Incentive"/>
    <n v="0.11"/>
    <x v="0"/>
    <s v="Modifier/Threshold"/>
    <x v="10"/>
    <s v="Individual Performance Factor"/>
    <m/>
  </r>
  <r>
    <x v="107"/>
    <x v="2"/>
    <x v="12"/>
    <x v="20"/>
    <s v="Motor Vehicles"/>
    <x v="1"/>
    <s v="BBB"/>
    <s v="United States"/>
    <x v="0"/>
    <d v="2024-04-24T00:00:00"/>
    <x v="1"/>
    <x v="1"/>
    <x v="1"/>
    <m/>
    <s v="Cash Incentive"/>
    <n v="0.11"/>
    <x v="0"/>
    <s v="Modifier/Threshold"/>
    <x v="3"/>
    <s v="Financial Metric Threshold"/>
    <m/>
  </r>
  <r>
    <x v="107"/>
    <x v="2"/>
    <x v="12"/>
    <x v="20"/>
    <s v="Motor Vehicles"/>
    <x v="1"/>
    <s v="BBB"/>
    <s v="United States"/>
    <x v="0"/>
    <d v="2024-04-24T00:00:00"/>
    <x v="1"/>
    <x v="2"/>
    <x v="1"/>
    <n v="0.60000000000000009"/>
    <s v="Performance Stock"/>
    <n v="0.60000000000000009"/>
    <x v="1"/>
    <s v="Cash Flow"/>
    <x v="18"/>
    <s v="3Y Cumulative Adjusted Automotive Operating Cash Flow"/>
    <n v="0.4"/>
  </r>
  <r>
    <x v="107"/>
    <x v="2"/>
    <x v="12"/>
    <x v="20"/>
    <s v="Motor Vehicles"/>
    <x v="1"/>
    <s v="BBB"/>
    <s v="United States"/>
    <x v="0"/>
    <d v="2024-04-24T00:00:00"/>
    <x v="1"/>
    <x v="2"/>
    <x v="1"/>
    <m/>
    <s v="Performance Stock"/>
    <n v="0.60000000000000009"/>
    <x v="3"/>
    <s v="Stock Performance"/>
    <x v="11"/>
    <s v="3Y Relative TSR"/>
    <n v="0.4"/>
  </r>
  <r>
    <x v="107"/>
    <x v="2"/>
    <x v="12"/>
    <x v="20"/>
    <s v="Motor Vehicles"/>
    <x v="1"/>
    <s v="BBB"/>
    <s v="United States"/>
    <x v="0"/>
    <d v="2024-04-24T00:00:00"/>
    <x v="1"/>
    <x v="2"/>
    <x v="1"/>
    <m/>
    <s v="Performance Stock"/>
    <n v="0.60000000000000009"/>
    <x v="1"/>
    <s v="Profitability"/>
    <x v="9"/>
    <s v="3Y Adjusted Operating Margin"/>
    <n v="0.2"/>
  </r>
  <r>
    <x v="107"/>
    <x v="2"/>
    <x v="12"/>
    <x v="20"/>
    <s v="Motor Vehicles"/>
    <x v="1"/>
    <s v="BBB"/>
    <s v="United States"/>
    <x v="0"/>
    <d v="2024-04-24T00:00:00"/>
    <x v="1"/>
    <x v="2"/>
    <x v="1"/>
    <m/>
    <s v="Performance Stock"/>
    <n v="0.60000000000000009"/>
    <x v="0"/>
    <s v="Modifier/Threshold"/>
    <x v="12"/>
    <s v="3Y Absolute TSR"/>
    <m/>
  </r>
  <r>
    <x v="107"/>
    <x v="2"/>
    <x v="12"/>
    <x v="20"/>
    <s v="Motor Vehicles"/>
    <x v="1"/>
    <s v="BBB"/>
    <s v="United States"/>
    <x v="0"/>
    <d v="2024-04-24T00:00:00"/>
    <x v="1"/>
    <x v="2"/>
    <x v="0"/>
    <n v="0.2"/>
    <s v="Time-Based Stock"/>
    <n v="0.2"/>
    <x v="0"/>
    <m/>
    <x v="0"/>
    <m/>
    <m/>
  </r>
  <r>
    <x v="108"/>
    <x v="6"/>
    <x v="10"/>
    <x v="10"/>
    <s v="Aerospace &amp; Defense"/>
    <x v="2"/>
    <s v="BBB"/>
    <s v="United States"/>
    <x v="0"/>
    <d v="2024-03-08T00:00:00"/>
    <x v="0"/>
    <x v="0"/>
    <x v="0"/>
    <n v="0.08"/>
    <s v="Base Salary"/>
    <n v="0.08"/>
    <x v="0"/>
    <m/>
    <x v="0"/>
    <m/>
    <m/>
  </r>
  <r>
    <x v="108"/>
    <x v="6"/>
    <x v="10"/>
    <x v="10"/>
    <s v="Aerospace &amp; Defense"/>
    <x v="2"/>
    <s v="BBB"/>
    <s v="United States"/>
    <x v="0"/>
    <d v="2024-03-08T00:00:00"/>
    <x v="0"/>
    <x v="1"/>
    <x v="1"/>
    <n v="0.16"/>
    <s v="Cash Incentive"/>
    <n v="0.16"/>
    <x v="1"/>
    <s v="Cash Flow"/>
    <x v="25"/>
    <s v="Adjusted Free Cash Flow"/>
    <n v="0.5"/>
  </r>
  <r>
    <x v="108"/>
    <x v="6"/>
    <x v="10"/>
    <x v="10"/>
    <s v="Aerospace &amp; Defense"/>
    <x v="2"/>
    <s v="BBB"/>
    <s v="United States"/>
    <x v="0"/>
    <d v="2024-03-08T00:00:00"/>
    <x v="0"/>
    <x v="1"/>
    <x v="1"/>
    <m/>
    <s v="Cash Incentive"/>
    <n v="0.16"/>
    <x v="1"/>
    <s v="Profitability"/>
    <x v="2"/>
    <s v="Adjusted Operating Income"/>
    <n v="0.2"/>
  </r>
  <r>
    <x v="108"/>
    <x v="6"/>
    <x v="10"/>
    <x v="10"/>
    <s v="Aerospace &amp; Defense"/>
    <x v="2"/>
    <s v="BBB"/>
    <s v="United States"/>
    <x v="0"/>
    <d v="2024-03-08T00:00:00"/>
    <x v="0"/>
    <x v="1"/>
    <x v="1"/>
    <m/>
    <s v="Cash Incentive"/>
    <n v="0.16"/>
    <x v="1"/>
    <s v="Profitability"/>
    <x v="9"/>
    <s v="Adjusted Operating Margin"/>
    <n v="0.1"/>
  </r>
  <r>
    <x v="108"/>
    <x v="6"/>
    <x v="10"/>
    <x v="10"/>
    <s v="Aerospace &amp; Defense"/>
    <x v="2"/>
    <s v="BBB"/>
    <s v="United States"/>
    <x v="0"/>
    <d v="2024-03-08T00:00:00"/>
    <x v="0"/>
    <x v="1"/>
    <x v="1"/>
    <m/>
    <s v="Cash Incentive"/>
    <n v="0.16"/>
    <x v="1"/>
    <s v="Growth"/>
    <x v="1"/>
    <s v="Adjusted Revenue"/>
    <n v="0.1"/>
  </r>
  <r>
    <x v="108"/>
    <x v="6"/>
    <x v="10"/>
    <x v="10"/>
    <s v="Aerospace &amp; Defense"/>
    <x v="2"/>
    <s v="BBB"/>
    <s v="United States"/>
    <x v="0"/>
    <d v="2024-03-08T00:00:00"/>
    <x v="0"/>
    <x v="1"/>
    <x v="1"/>
    <m/>
    <s v="Cash Incentive"/>
    <n v="0.16"/>
    <x v="1"/>
    <s v="Strategy &amp; Operations"/>
    <x v="3"/>
    <s v="LHX NeXt Synergy Savings"/>
    <n v="0.1"/>
  </r>
  <r>
    <x v="108"/>
    <x v="6"/>
    <x v="10"/>
    <x v="10"/>
    <s v="Aerospace &amp; Defense"/>
    <x v="2"/>
    <s v="BBB"/>
    <s v="United States"/>
    <x v="0"/>
    <d v="2024-03-08T00:00:00"/>
    <x v="0"/>
    <x v="1"/>
    <x v="1"/>
    <m/>
    <s v="Cash Incentive"/>
    <n v="0.16"/>
    <x v="0"/>
    <s v="Modifier/Threshold"/>
    <x v="34"/>
    <s v="Discretionary Adjustment"/>
    <m/>
  </r>
  <r>
    <x v="108"/>
    <x v="6"/>
    <x v="10"/>
    <x v="10"/>
    <s v="Aerospace &amp; Defense"/>
    <x v="2"/>
    <s v="BBB"/>
    <s v="United States"/>
    <x v="0"/>
    <d v="2024-03-08T00:00:00"/>
    <x v="0"/>
    <x v="2"/>
    <x v="1"/>
    <n v="0.38"/>
    <s v="Performance Stock"/>
    <n v="0.38"/>
    <x v="3"/>
    <s v="Stock Performance"/>
    <x v="11"/>
    <s v="3Y Relative TSR"/>
    <n v="0.33333333333333331"/>
  </r>
  <r>
    <x v="108"/>
    <x v="6"/>
    <x v="10"/>
    <x v="10"/>
    <s v="Aerospace &amp; Defense"/>
    <x v="2"/>
    <s v="BBB"/>
    <s v="United States"/>
    <x v="0"/>
    <d v="2024-03-08T00:00:00"/>
    <x v="0"/>
    <x v="2"/>
    <x v="1"/>
    <m/>
    <s v="Performance Stock"/>
    <n v="0.38"/>
    <x v="1"/>
    <s v="Profitability"/>
    <x v="14"/>
    <s v="3Y Cumulative Adjusted EPS"/>
    <n v="0.33333333333333331"/>
  </r>
  <r>
    <x v="108"/>
    <x v="6"/>
    <x v="10"/>
    <x v="10"/>
    <s v="Aerospace &amp; Defense"/>
    <x v="2"/>
    <s v="BBB"/>
    <s v="United States"/>
    <x v="0"/>
    <d v="2024-03-08T00:00:00"/>
    <x v="0"/>
    <x v="2"/>
    <x v="1"/>
    <m/>
    <s v="Performance Stock"/>
    <n v="0.38"/>
    <x v="1"/>
    <s v="Return"/>
    <x v="26"/>
    <s v="3Y Average Adjusted ROIC"/>
    <n v="0.33333333333333331"/>
  </r>
  <r>
    <x v="108"/>
    <x v="6"/>
    <x v="10"/>
    <x v="10"/>
    <s v="Aerospace &amp; Defense"/>
    <x v="2"/>
    <s v="BBB"/>
    <s v="United States"/>
    <x v="0"/>
    <d v="2024-03-08T00:00:00"/>
    <x v="0"/>
    <x v="2"/>
    <x v="1"/>
    <m/>
    <s v="Performance Stock"/>
    <n v="0.38"/>
    <x v="0"/>
    <s v="Modifier/Threshold"/>
    <x v="91"/>
    <s v="Adjusted Operating Margin"/>
    <m/>
  </r>
  <r>
    <x v="108"/>
    <x v="6"/>
    <x v="10"/>
    <x v="10"/>
    <s v="Aerospace &amp; Defense"/>
    <x v="2"/>
    <s v="BBB"/>
    <s v="United States"/>
    <x v="0"/>
    <d v="2024-03-08T00:00:00"/>
    <x v="0"/>
    <x v="2"/>
    <x v="0"/>
    <n v="0.19"/>
    <s v="Time-Based Stock"/>
    <n v="0.19"/>
    <x v="0"/>
    <m/>
    <x v="0"/>
    <m/>
    <m/>
  </r>
  <r>
    <x v="108"/>
    <x v="6"/>
    <x v="10"/>
    <x v="10"/>
    <s v="Aerospace &amp; Defense"/>
    <x v="2"/>
    <s v="BBB"/>
    <s v="United States"/>
    <x v="0"/>
    <d v="2024-03-08T00:00:00"/>
    <x v="0"/>
    <x v="2"/>
    <x v="0"/>
    <n v="0.19"/>
    <s v="Stock Options"/>
    <n v="0.19"/>
    <x v="0"/>
    <m/>
    <x v="0"/>
    <m/>
    <m/>
  </r>
  <r>
    <x v="108"/>
    <x v="6"/>
    <x v="10"/>
    <x v="10"/>
    <s v="Aerospace &amp; Defense"/>
    <x v="2"/>
    <s v="BBB"/>
    <s v="United States"/>
    <x v="0"/>
    <d v="2024-03-08T00:00:00"/>
    <x v="1"/>
    <x v="0"/>
    <x v="0"/>
    <n v="0.18"/>
    <s v="Base Salary"/>
    <n v="0.18"/>
    <x v="0"/>
    <m/>
    <x v="0"/>
    <m/>
    <m/>
  </r>
  <r>
    <x v="108"/>
    <x v="6"/>
    <x v="10"/>
    <x v="10"/>
    <s v="Aerospace &amp; Defense"/>
    <x v="2"/>
    <s v="BBB"/>
    <s v="United States"/>
    <x v="0"/>
    <d v="2024-03-08T00:00:00"/>
    <x v="1"/>
    <x v="1"/>
    <x v="1"/>
    <n v="0.18"/>
    <s v="Cash Incentive"/>
    <n v="0.18"/>
    <x v="1"/>
    <s v="Cash Flow"/>
    <x v="25"/>
    <s v="Adjusted Free Cash Flow"/>
    <n v="0.5"/>
  </r>
  <r>
    <x v="108"/>
    <x v="6"/>
    <x v="10"/>
    <x v="10"/>
    <s v="Aerospace &amp; Defense"/>
    <x v="2"/>
    <s v="BBB"/>
    <s v="United States"/>
    <x v="0"/>
    <d v="2024-03-08T00:00:00"/>
    <x v="1"/>
    <x v="1"/>
    <x v="1"/>
    <m/>
    <s v="Cash Incentive"/>
    <n v="0.18"/>
    <x v="1"/>
    <s v="Profitability"/>
    <x v="2"/>
    <s v="Adjusted Operating Income"/>
    <n v="0.2"/>
  </r>
  <r>
    <x v="108"/>
    <x v="6"/>
    <x v="10"/>
    <x v="10"/>
    <s v="Aerospace &amp; Defense"/>
    <x v="2"/>
    <s v="BBB"/>
    <s v="United States"/>
    <x v="0"/>
    <d v="2024-03-08T00:00:00"/>
    <x v="1"/>
    <x v="1"/>
    <x v="1"/>
    <m/>
    <s v="Cash Incentive"/>
    <n v="0.18"/>
    <x v="1"/>
    <s v="Profitability"/>
    <x v="9"/>
    <s v="Adjusted Operating Margin"/>
    <n v="0.1"/>
  </r>
  <r>
    <x v="108"/>
    <x v="6"/>
    <x v="10"/>
    <x v="10"/>
    <s v="Aerospace &amp; Defense"/>
    <x v="2"/>
    <s v="BBB"/>
    <s v="United States"/>
    <x v="0"/>
    <d v="2024-03-08T00:00:00"/>
    <x v="1"/>
    <x v="1"/>
    <x v="1"/>
    <m/>
    <s v="Cash Incentive"/>
    <n v="0.18"/>
    <x v="1"/>
    <s v="Growth"/>
    <x v="1"/>
    <s v="Adjusted Revenue"/>
    <n v="0.1"/>
  </r>
  <r>
    <x v="108"/>
    <x v="6"/>
    <x v="10"/>
    <x v="10"/>
    <s v="Aerospace &amp; Defense"/>
    <x v="2"/>
    <s v="BBB"/>
    <s v="United States"/>
    <x v="0"/>
    <d v="2024-03-08T00:00:00"/>
    <x v="1"/>
    <x v="1"/>
    <x v="1"/>
    <m/>
    <s v="Cash Incentive"/>
    <n v="0.18"/>
    <x v="1"/>
    <s v="Strategy &amp; Operations"/>
    <x v="3"/>
    <s v="LHX NeXt Synergy Savings"/>
    <n v="0.1"/>
  </r>
  <r>
    <x v="108"/>
    <x v="6"/>
    <x v="10"/>
    <x v="10"/>
    <s v="Aerospace &amp; Defense"/>
    <x v="2"/>
    <s v="BBB"/>
    <s v="United States"/>
    <x v="0"/>
    <d v="2024-03-08T00:00:00"/>
    <x v="1"/>
    <x v="1"/>
    <x v="1"/>
    <m/>
    <s v="Cash Incentive"/>
    <n v="0.18"/>
    <x v="0"/>
    <s v="Modifier/Threshold"/>
    <x v="34"/>
    <s v="Discretionary Adjustment"/>
    <m/>
  </r>
  <r>
    <x v="108"/>
    <x v="6"/>
    <x v="10"/>
    <x v="10"/>
    <s v="Aerospace &amp; Defense"/>
    <x v="2"/>
    <s v="BBB"/>
    <s v="United States"/>
    <x v="0"/>
    <d v="2024-03-08T00:00:00"/>
    <x v="1"/>
    <x v="2"/>
    <x v="1"/>
    <n v="0.32"/>
    <s v="Performance Stock"/>
    <n v="0.32"/>
    <x v="3"/>
    <s v="Stock Performance"/>
    <x v="11"/>
    <s v="3Y Relative TSR"/>
    <n v="0.33333333333333331"/>
  </r>
  <r>
    <x v="108"/>
    <x v="6"/>
    <x v="10"/>
    <x v="10"/>
    <s v="Aerospace &amp; Defense"/>
    <x v="2"/>
    <s v="BBB"/>
    <s v="United States"/>
    <x v="0"/>
    <d v="2024-03-08T00:00:00"/>
    <x v="1"/>
    <x v="2"/>
    <x v="1"/>
    <m/>
    <s v="Performance Stock"/>
    <n v="0.32"/>
    <x v="1"/>
    <s v="Profitability"/>
    <x v="14"/>
    <s v="3Y Cumulative Adjusted EPS"/>
    <n v="0.33333333333333331"/>
  </r>
  <r>
    <x v="108"/>
    <x v="6"/>
    <x v="10"/>
    <x v="10"/>
    <s v="Aerospace &amp; Defense"/>
    <x v="2"/>
    <s v="BBB"/>
    <s v="United States"/>
    <x v="0"/>
    <d v="2024-03-08T00:00:00"/>
    <x v="1"/>
    <x v="2"/>
    <x v="1"/>
    <m/>
    <s v="Performance Stock"/>
    <n v="0.32"/>
    <x v="1"/>
    <s v="Return"/>
    <x v="26"/>
    <s v="3Y Average Adjusted ROIC"/>
    <n v="0.33333333333333331"/>
  </r>
  <r>
    <x v="108"/>
    <x v="6"/>
    <x v="10"/>
    <x v="10"/>
    <s v="Aerospace &amp; Defense"/>
    <x v="2"/>
    <s v="BBB"/>
    <s v="United States"/>
    <x v="0"/>
    <d v="2024-03-08T00:00:00"/>
    <x v="1"/>
    <x v="2"/>
    <x v="1"/>
    <m/>
    <s v="Performance Stock"/>
    <n v="0.32"/>
    <x v="0"/>
    <s v="Modifier/Threshold"/>
    <x v="91"/>
    <s v="Adjusted Operating Margin"/>
    <m/>
  </r>
  <r>
    <x v="108"/>
    <x v="6"/>
    <x v="10"/>
    <x v="10"/>
    <s v="Aerospace &amp; Defense"/>
    <x v="2"/>
    <s v="BBB"/>
    <s v="United States"/>
    <x v="0"/>
    <d v="2024-03-08T00:00:00"/>
    <x v="1"/>
    <x v="2"/>
    <x v="0"/>
    <n v="0.16"/>
    <s v="Time-Based Stock"/>
    <n v="0.16"/>
    <x v="0"/>
    <m/>
    <x v="0"/>
    <m/>
    <m/>
  </r>
  <r>
    <x v="108"/>
    <x v="6"/>
    <x v="10"/>
    <x v="10"/>
    <s v="Aerospace &amp; Defense"/>
    <x v="2"/>
    <s v="BBB"/>
    <s v="United States"/>
    <x v="0"/>
    <d v="2024-03-08T00:00:00"/>
    <x v="1"/>
    <x v="2"/>
    <x v="0"/>
    <n v="0.16"/>
    <s v="Stock Options"/>
    <n v="0.16"/>
    <x v="0"/>
    <m/>
    <x v="0"/>
    <m/>
    <m/>
  </r>
  <r>
    <x v="109"/>
    <x v="5"/>
    <x v="9"/>
    <x v="24"/>
    <s v="Bank"/>
    <x v="0"/>
    <s v="BBB+"/>
    <s v="United States"/>
    <x v="0"/>
    <d v="2024-03-15T00:00:00"/>
    <x v="0"/>
    <x v="0"/>
    <x v="0"/>
    <n v="6.4516129032258063E-2"/>
    <s v="Base Salary"/>
    <n v="6.4516129032258063E-2"/>
    <x v="0"/>
    <m/>
    <x v="0"/>
    <m/>
    <m/>
  </r>
  <r>
    <x v="109"/>
    <x v="5"/>
    <x v="9"/>
    <x v="24"/>
    <s v="Bank"/>
    <x v="0"/>
    <s v="BBB+"/>
    <s v="United States"/>
    <x v="0"/>
    <d v="2024-03-15T00:00:00"/>
    <x v="0"/>
    <x v="1"/>
    <x v="1"/>
    <n v="0.28064516129032258"/>
    <s v="Cash Incentive"/>
    <n v="0.28064516129032258"/>
    <x v="2"/>
    <s v="Strategy &amp; Operations"/>
    <x v="3"/>
    <s v="Corporate Performance"/>
    <n v="1"/>
  </r>
  <r>
    <x v="109"/>
    <x v="5"/>
    <x v="9"/>
    <x v="24"/>
    <s v="Bank"/>
    <x v="0"/>
    <s v="BBB+"/>
    <s v="United States"/>
    <x v="0"/>
    <d v="2024-03-15T00:00:00"/>
    <x v="0"/>
    <x v="1"/>
    <x v="1"/>
    <m/>
    <s v="Cash Incentive"/>
    <n v="0.28064516129032258"/>
    <x v="0"/>
    <s v="Modifier/Threshold"/>
    <x v="10"/>
    <s v="Individual Performance Factor"/>
    <m/>
  </r>
  <r>
    <x v="109"/>
    <x v="5"/>
    <x v="9"/>
    <x v="24"/>
    <s v="Bank"/>
    <x v="0"/>
    <s v="BBB+"/>
    <s v="United States"/>
    <x v="0"/>
    <d v="2024-03-15T00:00:00"/>
    <x v="0"/>
    <x v="2"/>
    <x v="1"/>
    <n v="0.65483870967741942"/>
    <s v="Performance Stock"/>
    <n v="0.65483870967741942"/>
    <x v="1"/>
    <s v="Return"/>
    <x v="21"/>
    <s v="3Y Average Absolute and Relative Return on Equity"/>
    <n v="1"/>
  </r>
  <r>
    <x v="109"/>
    <x v="5"/>
    <x v="9"/>
    <x v="24"/>
    <s v="Bank"/>
    <x v="0"/>
    <s v="BBB+"/>
    <s v="United States"/>
    <x v="0"/>
    <d v="2024-03-15T00:00:00"/>
    <x v="0"/>
    <x v="2"/>
    <x v="1"/>
    <m/>
    <s v="Performance Stock"/>
    <n v="0.65483870967741942"/>
    <x v="0"/>
    <s v="Strategy &amp; Operations"/>
    <x v="3"/>
    <s v="Corporate Performance"/>
    <m/>
  </r>
  <r>
    <x v="109"/>
    <x v="5"/>
    <x v="9"/>
    <x v="24"/>
    <s v="Bank"/>
    <x v="0"/>
    <s v="BBB+"/>
    <s v="United States"/>
    <x v="0"/>
    <d v="2024-03-15T00:00:00"/>
    <x v="0"/>
    <x v="2"/>
    <x v="1"/>
    <m/>
    <s v="Performance Stock"/>
    <n v="0.65483870967741942"/>
    <x v="0"/>
    <s v="Modifier/Threshold"/>
    <x v="10"/>
    <s v="Individual Performance Factor"/>
    <m/>
  </r>
  <r>
    <x v="109"/>
    <x v="5"/>
    <x v="9"/>
    <x v="24"/>
    <s v="Bank"/>
    <x v="0"/>
    <s v="BBB+"/>
    <s v="United States"/>
    <x v="0"/>
    <d v="2024-03-15T00:00:00"/>
    <x v="0"/>
    <x v="3"/>
    <x v="1"/>
    <m/>
    <s v="Performance Stock"/>
    <m/>
    <x v="3"/>
    <s v="Stock Performance"/>
    <x v="11"/>
    <s v="5Y Relative TSR"/>
    <m/>
  </r>
  <r>
    <x v="109"/>
    <x v="5"/>
    <x v="9"/>
    <x v="24"/>
    <s v="Bank"/>
    <x v="0"/>
    <s v="BBB+"/>
    <s v="United States"/>
    <x v="0"/>
    <d v="2024-03-15T00:00:00"/>
    <x v="0"/>
    <x v="3"/>
    <x v="1"/>
    <m/>
    <s v="Performance Stock"/>
    <m/>
    <x v="3"/>
    <s v="Stock Performance"/>
    <x v="92"/>
    <s v="5Y Absolute TSR "/>
    <m/>
  </r>
  <r>
    <x v="109"/>
    <x v="5"/>
    <x v="9"/>
    <x v="24"/>
    <s v="Bank"/>
    <x v="0"/>
    <s v="BBB+"/>
    <s v="United States"/>
    <x v="0"/>
    <d v="2024-03-15T00:00:00"/>
    <x v="1"/>
    <x v="0"/>
    <x v="0"/>
    <n v="9.0825320512820523E-2"/>
    <s v="Base Salary"/>
    <n v="9.0825320512820523E-2"/>
    <x v="0"/>
    <m/>
    <x v="0"/>
    <m/>
    <m/>
  </r>
  <r>
    <x v="109"/>
    <x v="5"/>
    <x v="9"/>
    <x v="24"/>
    <s v="Bank"/>
    <x v="0"/>
    <s v="BBB+"/>
    <s v="United States"/>
    <x v="0"/>
    <d v="2024-03-15T00:00:00"/>
    <x v="1"/>
    <x v="1"/>
    <x v="1"/>
    <n v="0.36366987179487176"/>
    <s v="Cash Incentive"/>
    <n v="0.36366987179487176"/>
    <x v="2"/>
    <s v="Strategy &amp; Operations"/>
    <x v="3"/>
    <s v="Corporate Performance"/>
    <n v="1"/>
  </r>
  <r>
    <x v="109"/>
    <x v="5"/>
    <x v="9"/>
    <x v="24"/>
    <s v="Bank"/>
    <x v="0"/>
    <s v="BBB+"/>
    <s v="United States"/>
    <x v="0"/>
    <d v="2024-03-15T00:00:00"/>
    <x v="1"/>
    <x v="1"/>
    <x v="1"/>
    <m/>
    <s v="Cash Incentive"/>
    <n v="0.36366987179487176"/>
    <x v="0"/>
    <s v="Modifier/Threshold"/>
    <x v="10"/>
    <s v="Individual Performance Factor"/>
    <m/>
  </r>
  <r>
    <x v="109"/>
    <x v="5"/>
    <x v="9"/>
    <x v="24"/>
    <s v="Bank"/>
    <x v="0"/>
    <s v="BBB+"/>
    <s v="United States"/>
    <x v="0"/>
    <d v="2024-03-15T00:00:00"/>
    <x v="1"/>
    <x v="2"/>
    <x v="1"/>
    <n v="0.54550480769230769"/>
    <s v="Performance Stock"/>
    <n v="0.54550480769230769"/>
    <x v="1"/>
    <s v="Return"/>
    <x v="21"/>
    <s v="3Y Average Absolute and Relative Return on Equity"/>
    <m/>
  </r>
  <r>
    <x v="109"/>
    <x v="5"/>
    <x v="9"/>
    <x v="24"/>
    <s v="Bank"/>
    <x v="0"/>
    <s v="BBB+"/>
    <s v="United States"/>
    <x v="0"/>
    <d v="2024-03-15T00:00:00"/>
    <x v="1"/>
    <x v="2"/>
    <x v="1"/>
    <m/>
    <s v="Performance Stock"/>
    <n v="0.54550480769230769"/>
    <x v="0"/>
    <s v="Strategy &amp; Operations"/>
    <x v="3"/>
    <s v="Corporate Performance"/>
    <m/>
  </r>
  <r>
    <x v="109"/>
    <x v="5"/>
    <x v="9"/>
    <x v="24"/>
    <s v="Bank"/>
    <x v="0"/>
    <s v="BBB+"/>
    <s v="United States"/>
    <x v="0"/>
    <d v="2024-03-15T00:00:00"/>
    <x v="1"/>
    <x v="2"/>
    <x v="1"/>
    <m/>
    <s v="Performance Stock"/>
    <n v="0.54550480769230769"/>
    <x v="0"/>
    <s v="Modifier/Threshold"/>
    <x v="10"/>
    <s v="Individual Performance Factor"/>
    <m/>
  </r>
  <r>
    <x v="109"/>
    <x v="5"/>
    <x v="9"/>
    <x v="24"/>
    <s v="Bank"/>
    <x v="0"/>
    <s v="BBB+"/>
    <s v="United States"/>
    <x v="0"/>
    <d v="2024-03-15T00:00:00"/>
    <x v="1"/>
    <x v="3"/>
    <x v="1"/>
    <m/>
    <s v="Performance Stock"/>
    <m/>
    <x v="0"/>
    <s v="Stock Performance"/>
    <x v="11"/>
    <s v="5Y Relative TSR"/>
    <m/>
  </r>
  <r>
    <x v="109"/>
    <x v="5"/>
    <x v="9"/>
    <x v="24"/>
    <s v="Bank"/>
    <x v="0"/>
    <s v="BBB+"/>
    <s v="United States"/>
    <x v="0"/>
    <d v="2024-03-15T00:00:00"/>
    <x v="1"/>
    <x v="3"/>
    <x v="1"/>
    <m/>
    <s v="Performance Stock"/>
    <m/>
    <x v="0"/>
    <s v="Stock Performance"/>
    <x v="92"/>
    <s v="5Y Absolute TSR "/>
    <m/>
  </r>
  <r>
    <x v="110"/>
    <x v="7"/>
    <x v="11"/>
    <x v="16"/>
    <s v="Chemicals"/>
    <x v="1"/>
    <s v="A"/>
    <s v="United States"/>
    <x v="0"/>
    <d v="2023-12-08T00:00:00"/>
    <x v="0"/>
    <x v="0"/>
    <x v="0"/>
    <n v="0.09"/>
    <s v="Base Salary"/>
    <n v="0.09"/>
    <x v="0"/>
    <m/>
    <x v="0"/>
    <m/>
    <m/>
  </r>
  <r>
    <x v="110"/>
    <x v="7"/>
    <x v="11"/>
    <x v="16"/>
    <s v="Chemicals"/>
    <x v="1"/>
    <s v="A"/>
    <s v="United States"/>
    <x v="0"/>
    <d v="2023-12-08T00:00:00"/>
    <x v="0"/>
    <x v="1"/>
    <x v="1"/>
    <n v="0.13"/>
    <s v="Cash Incentive"/>
    <n v="0.13"/>
    <x v="1"/>
    <s v="Profitability"/>
    <x v="14"/>
    <s v="Adjusted EPS"/>
    <n v="1"/>
  </r>
  <r>
    <x v="110"/>
    <x v="7"/>
    <x v="11"/>
    <x v="16"/>
    <s v="Chemicals"/>
    <x v="1"/>
    <s v="A"/>
    <s v="United States"/>
    <x v="0"/>
    <d v="2023-12-08T00:00:00"/>
    <x v="0"/>
    <x v="1"/>
    <x v="1"/>
    <m/>
    <s v="Cash Incentive"/>
    <n v="0.13"/>
    <x v="0"/>
    <s v="Modifier/Threshold"/>
    <x v="20"/>
    <s v="ESG"/>
    <m/>
  </r>
  <r>
    <x v="110"/>
    <x v="7"/>
    <x v="11"/>
    <x v="16"/>
    <s v="Chemicals"/>
    <x v="1"/>
    <s v="A"/>
    <s v="United States"/>
    <x v="0"/>
    <d v="2023-12-08T00:00:00"/>
    <x v="0"/>
    <x v="2"/>
    <x v="1"/>
    <n v="0.46799999999999997"/>
    <s v="Performance Stock"/>
    <n v="0.46799999999999997"/>
    <x v="3"/>
    <s v="Stock Performance"/>
    <x v="11"/>
    <s v="3Y Relative TSR"/>
    <n v="1"/>
  </r>
  <r>
    <x v="110"/>
    <x v="7"/>
    <x v="11"/>
    <x v="16"/>
    <s v="Chemicals"/>
    <x v="1"/>
    <s v="A"/>
    <s v="United States"/>
    <x v="0"/>
    <d v="2023-12-08T00:00:00"/>
    <x v="0"/>
    <x v="2"/>
    <x v="1"/>
    <m/>
    <s v="Performance Stock"/>
    <n v="0.46799999999999997"/>
    <x v="0"/>
    <s v="Modifier/Threshold"/>
    <x v="34"/>
    <s v="Discretionary Adjustment"/>
    <m/>
  </r>
  <r>
    <x v="110"/>
    <x v="7"/>
    <x v="11"/>
    <x v="16"/>
    <s v="Chemicals"/>
    <x v="1"/>
    <s v="A"/>
    <s v="United States"/>
    <x v="0"/>
    <d v="2023-12-08T00:00:00"/>
    <x v="0"/>
    <x v="2"/>
    <x v="0"/>
    <n v="0.31200000000000006"/>
    <s v="Time-Based Stock"/>
    <n v="0.31200000000000006"/>
    <x v="0"/>
    <m/>
    <x v="0"/>
    <m/>
    <m/>
  </r>
  <r>
    <x v="110"/>
    <x v="7"/>
    <x v="11"/>
    <x v="16"/>
    <s v="Chemicals"/>
    <x v="1"/>
    <s v="A"/>
    <s v="United States"/>
    <x v="0"/>
    <d v="2023-12-08T00:00:00"/>
    <x v="1"/>
    <x v="0"/>
    <x v="0"/>
    <n v="0.2"/>
    <s v="Base Salary"/>
    <n v="0.2"/>
    <x v="0"/>
    <m/>
    <x v="0"/>
    <m/>
    <m/>
  </r>
  <r>
    <x v="110"/>
    <x v="7"/>
    <x v="11"/>
    <x v="16"/>
    <s v="Chemicals"/>
    <x v="1"/>
    <s v="A"/>
    <s v="United States"/>
    <x v="0"/>
    <d v="2023-12-08T00:00:00"/>
    <x v="1"/>
    <x v="1"/>
    <x v="1"/>
    <n v="0.21"/>
    <s v="Cash Incentive"/>
    <n v="0.21"/>
    <x v="1"/>
    <s v="Profitability"/>
    <x v="14"/>
    <s v="Adjusted EPS"/>
    <n v="1"/>
  </r>
  <r>
    <x v="110"/>
    <x v="7"/>
    <x v="11"/>
    <x v="16"/>
    <s v="Chemicals"/>
    <x v="1"/>
    <s v="A"/>
    <s v="United States"/>
    <x v="0"/>
    <d v="2023-12-08T00:00:00"/>
    <x v="1"/>
    <x v="1"/>
    <x v="1"/>
    <m/>
    <s v="Cash Incentive"/>
    <n v="0.21"/>
    <x v="0"/>
    <s v="Modifier/Threshold"/>
    <x v="20"/>
    <s v="ESG"/>
    <m/>
  </r>
  <r>
    <x v="110"/>
    <x v="7"/>
    <x v="11"/>
    <x v="16"/>
    <s v="Chemicals"/>
    <x v="1"/>
    <s v="A"/>
    <s v="United States"/>
    <x v="0"/>
    <d v="2023-12-08T00:00:00"/>
    <x v="1"/>
    <x v="2"/>
    <x v="1"/>
    <n v="0.35399999999999998"/>
    <s v="Performance Stock"/>
    <n v="0.35399999999999998"/>
    <x v="3"/>
    <s v="Stock Performance"/>
    <x v="11"/>
    <s v="3Y Relative TSR"/>
    <n v="1"/>
  </r>
  <r>
    <x v="110"/>
    <x v="7"/>
    <x v="11"/>
    <x v="16"/>
    <s v="Chemicals"/>
    <x v="1"/>
    <s v="A"/>
    <s v="United States"/>
    <x v="0"/>
    <d v="2023-12-08T00:00:00"/>
    <x v="1"/>
    <x v="2"/>
    <x v="1"/>
    <m/>
    <s v="Performance Stock"/>
    <n v="0.35399999999999998"/>
    <x v="0"/>
    <s v="Modifier/Threshold"/>
    <x v="34"/>
    <s v="Discretionary Adjustment"/>
    <m/>
  </r>
  <r>
    <x v="110"/>
    <x v="7"/>
    <x v="11"/>
    <x v="16"/>
    <s v="Chemicals"/>
    <x v="1"/>
    <s v="A"/>
    <s v="United States"/>
    <x v="0"/>
    <d v="2023-12-08T00:00:00"/>
    <x v="1"/>
    <x v="2"/>
    <x v="0"/>
    <n v="0.23599999999999999"/>
    <s v="Time-Based Stock"/>
    <n v="0.23599999999999999"/>
    <x v="0"/>
    <m/>
    <x v="0"/>
    <m/>
    <m/>
  </r>
  <r>
    <x v="111"/>
    <x v="3"/>
    <x v="4"/>
    <x v="4"/>
    <s v="Pharmaceuticals"/>
    <x v="0"/>
    <s v="A"/>
    <s v="United States"/>
    <x v="0"/>
    <d v="2024-03-14T00:00:00"/>
    <x v="0"/>
    <x v="0"/>
    <x v="0"/>
    <n v="0.08"/>
    <s v="Base Salary"/>
    <n v="0.08"/>
    <x v="0"/>
    <m/>
    <x v="0"/>
    <m/>
    <m/>
  </r>
  <r>
    <x v="111"/>
    <x v="3"/>
    <x v="4"/>
    <x v="4"/>
    <s v="Pharmaceuticals"/>
    <x v="0"/>
    <s v="A"/>
    <s v="United States"/>
    <x v="0"/>
    <d v="2024-03-14T00:00:00"/>
    <x v="0"/>
    <x v="1"/>
    <x v="1"/>
    <n v="0.15"/>
    <s v="Cash Incentive"/>
    <n v="0.15"/>
    <x v="1"/>
    <s v="Growth"/>
    <x v="1"/>
    <s v="Adjusted Revenue"/>
    <n v="0.4"/>
  </r>
  <r>
    <x v="111"/>
    <x v="3"/>
    <x v="4"/>
    <x v="4"/>
    <s v="Pharmaceuticals"/>
    <x v="0"/>
    <s v="A"/>
    <s v="United States"/>
    <x v="0"/>
    <d v="2024-03-14T00:00:00"/>
    <x v="0"/>
    <x v="1"/>
    <x v="1"/>
    <m/>
    <s v="Cash Incentive"/>
    <n v="0.15"/>
    <x v="1"/>
    <s v="Profitability"/>
    <x v="14"/>
    <s v="Adjusted EPS"/>
    <n v="0.4"/>
  </r>
  <r>
    <x v="111"/>
    <x v="3"/>
    <x v="4"/>
    <x v="4"/>
    <s v="Pharmaceuticals"/>
    <x v="0"/>
    <s v="A"/>
    <s v="United States"/>
    <x v="0"/>
    <d v="2024-03-14T00:00:00"/>
    <x v="0"/>
    <x v="1"/>
    <x v="1"/>
    <m/>
    <s v="Cash Incentive"/>
    <n v="0.15"/>
    <x v="1"/>
    <s v="Cash Flow"/>
    <x v="18"/>
    <s v="Adjusted Operating Cash Flow"/>
    <n v="0.2"/>
  </r>
  <r>
    <x v="111"/>
    <x v="3"/>
    <x v="4"/>
    <x v="4"/>
    <s v="Pharmaceuticals"/>
    <x v="0"/>
    <s v="A"/>
    <s v="United States"/>
    <x v="0"/>
    <d v="2024-03-14T00:00:00"/>
    <x v="0"/>
    <x v="1"/>
    <x v="1"/>
    <m/>
    <s v="Cash Incentive"/>
    <n v="0.15"/>
    <x v="0"/>
    <s v="Modifier/Threshold"/>
    <x v="93"/>
    <s v="Pipeline Achievement"/>
    <m/>
  </r>
  <r>
    <x v="111"/>
    <x v="3"/>
    <x v="4"/>
    <x v="4"/>
    <s v="Pharmaceuticals"/>
    <x v="0"/>
    <s v="A"/>
    <s v="United States"/>
    <x v="0"/>
    <d v="2024-03-14T00:00:00"/>
    <x v="0"/>
    <x v="1"/>
    <x v="1"/>
    <m/>
    <s v="Cash Incentive"/>
    <n v="0.15"/>
    <x v="0"/>
    <s v="Modifier/Threshold"/>
    <x v="20"/>
    <s v="ESG Scorecard"/>
    <m/>
  </r>
  <r>
    <x v="111"/>
    <x v="3"/>
    <x v="4"/>
    <x v="4"/>
    <s v="Pharmaceuticals"/>
    <x v="0"/>
    <s v="A"/>
    <s v="United States"/>
    <x v="0"/>
    <d v="2024-03-14T00:00:00"/>
    <x v="0"/>
    <x v="1"/>
    <x v="1"/>
    <m/>
    <s v="Cash Incentive"/>
    <n v="0.15"/>
    <x v="0"/>
    <s v="Modifier/Threshold"/>
    <x v="34"/>
    <s v="Discretionary Adjustment"/>
    <m/>
  </r>
  <r>
    <x v="111"/>
    <x v="3"/>
    <x v="4"/>
    <x v="4"/>
    <s v="Pharmaceuticals"/>
    <x v="0"/>
    <s v="A"/>
    <s v="United States"/>
    <x v="0"/>
    <d v="2024-03-14T00:00:00"/>
    <x v="0"/>
    <x v="2"/>
    <x v="1"/>
    <n v="0.38500000000000001"/>
    <s v="Market Stock Units"/>
    <n v="0.38500000000000001"/>
    <x v="0"/>
    <m/>
    <x v="0"/>
    <m/>
    <m/>
  </r>
  <r>
    <x v="111"/>
    <x v="3"/>
    <x v="4"/>
    <x v="4"/>
    <s v="Pharmaceuticals"/>
    <x v="0"/>
    <s v="A"/>
    <s v="United States"/>
    <x v="0"/>
    <d v="2024-03-14T00:00:00"/>
    <x v="0"/>
    <x v="2"/>
    <x v="1"/>
    <m/>
    <s v="Market Stock Units"/>
    <n v="0.38500000000000001"/>
    <x v="0"/>
    <s v="Modifier/Threshold"/>
    <x v="84"/>
    <s v="5Y or 7Y Absolute TSR"/>
    <m/>
  </r>
  <r>
    <x v="111"/>
    <x v="3"/>
    <x v="4"/>
    <x v="4"/>
    <s v="Pharmaceuticals"/>
    <x v="0"/>
    <s v="A"/>
    <s v="United States"/>
    <x v="0"/>
    <d v="2024-03-14T00:00:00"/>
    <x v="0"/>
    <x v="2"/>
    <x v="1"/>
    <n v="0.38500000000000001"/>
    <s v="Performance Stock"/>
    <n v="0.38500000000000001"/>
    <x v="1"/>
    <s v="Profitability"/>
    <x v="24"/>
    <s v="Adjusted Net Income"/>
    <n v="1"/>
  </r>
  <r>
    <x v="111"/>
    <x v="3"/>
    <x v="4"/>
    <x v="4"/>
    <s v="Pharmaceuticals"/>
    <x v="0"/>
    <s v="A"/>
    <s v="United States"/>
    <x v="0"/>
    <d v="2024-03-14T00:00:00"/>
    <x v="0"/>
    <x v="2"/>
    <x v="1"/>
    <m/>
    <s v="Performance Stock"/>
    <n v="0.38500000000000001"/>
    <x v="0"/>
    <s v="Modifier/Threshold"/>
    <x v="6"/>
    <s v="3Y Relative TSR"/>
    <m/>
  </r>
  <r>
    <x v="111"/>
    <x v="3"/>
    <x v="4"/>
    <x v="4"/>
    <s v="Pharmaceuticals"/>
    <x v="0"/>
    <s v="A"/>
    <s v="United States"/>
    <x v="0"/>
    <d v="2024-03-14T00:00:00"/>
    <x v="0"/>
    <x v="2"/>
    <x v="1"/>
    <m/>
    <s v="Performance Stock"/>
    <n v="0.38500000000000001"/>
    <x v="0"/>
    <s v="Modifier/Threshold"/>
    <x v="12"/>
    <s v="3Y Absolute TSR"/>
    <m/>
  </r>
  <r>
    <x v="111"/>
    <x v="3"/>
    <x v="4"/>
    <x v="4"/>
    <s v="Pharmaceuticals"/>
    <x v="0"/>
    <s v="A"/>
    <s v="United States"/>
    <x v="0"/>
    <d v="2024-03-14T00:00:00"/>
    <x v="1"/>
    <x v="0"/>
    <x v="0"/>
    <n v="0.19"/>
    <s v="Base Salary"/>
    <n v="0.19"/>
    <x v="0"/>
    <m/>
    <x v="0"/>
    <m/>
    <m/>
  </r>
  <r>
    <x v="111"/>
    <x v="3"/>
    <x v="4"/>
    <x v="4"/>
    <s v="Pharmaceuticals"/>
    <x v="0"/>
    <s v="A"/>
    <s v="United States"/>
    <x v="0"/>
    <d v="2024-03-14T00:00:00"/>
    <x v="1"/>
    <x v="1"/>
    <x v="1"/>
    <n v="0.18"/>
    <s v="Cash Incentive"/>
    <n v="0.18"/>
    <x v="1"/>
    <s v="Growth"/>
    <x v="1"/>
    <s v="Adjusted Revenue"/>
    <n v="0.4"/>
  </r>
  <r>
    <x v="111"/>
    <x v="3"/>
    <x v="4"/>
    <x v="4"/>
    <s v="Pharmaceuticals"/>
    <x v="0"/>
    <s v="A"/>
    <s v="United States"/>
    <x v="0"/>
    <d v="2024-03-14T00:00:00"/>
    <x v="1"/>
    <x v="1"/>
    <x v="1"/>
    <m/>
    <s v="Cash Incentive"/>
    <n v="0.18"/>
    <x v="1"/>
    <s v="Profitability"/>
    <x v="14"/>
    <s v="Adjusted EPS"/>
    <n v="0.4"/>
  </r>
  <r>
    <x v="111"/>
    <x v="3"/>
    <x v="4"/>
    <x v="4"/>
    <s v="Pharmaceuticals"/>
    <x v="0"/>
    <s v="A"/>
    <s v="United States"/>
    <x v="0"/>
    <d v="2024-03-14T00:00:00"/>
    <x v="1"/>
    <x v="1"/>
    <x v="1"/>
    <m/>
    <s v="Cash Incentive"/>
    <n v="0.18"/>
    <x v="1"/>
    <s v="Cash Flow"/>
    <x v="18"/>
    <s v="Adjusted Operating Cash Flow"/>
    <n v="0.2"/>
  </r>
  <r>
    <x v="111"/>
    <x v="3"/>
    <x v="4"/>
    <x v="4"/>
    <s v="Pharmaceuticals"/>
    <x v="0"/>
    <s v="A"/>
    <s v="United States"/>
    <x v="0"/>
    <d v="2024-03-14T00:00:00"/>
    <x v="1"/>
    <x v="1"/>
    <x v="1"/>
    <m/>
    <s v="Cash Incentive"/>
    <n v="0.18"/>
    <x v="0"/>
    <s v="Modifier/Threshold"/>
    <x v="93"/>
    <s v="Pipeline Achievement"/>
    <m/>
  </r>
  <r>
    <x v="111"/>
    <x v="3"/>
    <x v="4"/>
    <x v="4"/>
    <s v="Pharmaceuticals"/>
    <x v="0"/>
    <s v="A"/>
    <s v="United States"/>
    <x v="0"/>
    <d v="2024-03-14T00:00:00"/>
    <x v="1"/>
    <x v="1"/>
    <x v="1"/>
    <m/>
    <s v="Cash Incentive"/>
    <n v="0.18"/>
    <x v="0"/>
    <s v="Modifier/Threshold"/>
    <x v="20"/>
    <s v="ESG Scorecard"/>
    <m/>
  </r>
  <r>
    <x v="111"/>
    <x v="3"/>
    <x v="4"/>
    <x v="4"/>
    <s v="Pharmaceuticals"/>
    <x v="0"/>
    <s v="A"/>
    <s v="United States"/>
    <x v="0"/>
    <d v="2024-03-14T00:00:00"/>
    <x v="1"/>
    <x v="1"/>
    <x v="1"/>
    <m/>
    <s v="Cash Incentive"/>
    <n v="0.18"/>
    <x v="0"/>
    <s v="Modifier/Threshold"/>
    <x v="34"/>
    <s v="Discretionary Adjustment"/>
    <m/>
  </r>
  <r>
    <x v="111"/>
    <x v="3"/>
    <x v="4"/>
    <x v="4"/>
    <s v="Pharmaceuticals"/>
    <x v="0"/>
    <s v="A"/>
    <s v="United States"/>
    <x v="0"/>
    <d v="2024-03-14T00:00:00"/>
    <x v="1"/>
    <x v="2"/>
    <x v="1"/>
    <n v="0.315"/>
    <s v="Market Stock Units"/>
    <n v="0.315"/>
    <x v="0"/>
    <m/>
    <x v="0"/>
    <m/>
    <m/>
  </r>
  <r>
    <x v="111"/>
    <x v="3"/>
    <x v="4"/>
    <x v="4"/>
    <s v="Pharmaceuticals"/>
    <x v="0"/>
    <s v="A"/>
    <s v="United States"/>
    <x v="0"/>
    <d v="2024-03-14T00:00:00"/>
    <x v="1"/>
    <x v="2"/>
    <x v="1"/>
    <m/>
    <s v="Market Stock Units"/>
    <n v="0.315"/>
    <x v="0"/>
    <s v="Modifier/Threshold"/>
    <x v="84"/>
    <s v="5Y or 7Y Absolute TSR"/>
    <m/>
  </r>
  <r>
    <x v="111"/>
    <x v="3"/>
    <x v="4"/>
    <x v="4"/>
    <s v="Pharmaceuticals"/>
    <x v="0"/>
    <s v="A"/>
    <s v="United States"/>
    <x v="0"/>
    <d v="2024-03-14T00:00:00"/>
    <x v="1"/>
    <x v="2"/>
    <x v="1"/>
    <n v="0.315"/>
    <s v="Performance Stock"/>
    <n v="0.315"/>
    <x v="1"/>
    <s v="Profitability"/>
    <x v="24"/>
    <s v="Adjusted Net Income"/>
    <n v="1"/>
  </r>
  <r>
    <x v="111"/>
    <x v="3"/>
    <x v="4"/>
    <x v="4"/>
    <s v="Pharmaceuticals"/>
    <x v="0"/>
    <s v="A"/>
    <s v="United States"/>
    <x v="0"/>
    <d v="2024-03-14T00:00:00"/>
    <x v="1"/>
    <x v="2"/>
    <x v="1"/>
    <m/>
    <s v="Performance Stock"/>
    <n v="0.315"/>
    <x v="0"/>
    <s v="Modifier/Threshold"/>
    <x v="6"/>
    <s v="3Y Relative TSR"/>
    <m/>
  </r>
  <r>
    <x v="111"/>
    <x v="3"/>
    <x v="4"/>
    <x v="4"/>
    <s v="Pharmaceuticals"/>
    <x v="0"/>
    <s v="A"/>
    <s v="United States"/>
    <x v="0"/>
    <d v="2024-03-14T00:00:00"/>
    <x v="1"/>
    <x v="2"/>
    <x v="1"/>
    <m/>
    <s v="Performance Stock"/>
    <n v="0.315"/>
    <x v="0"/>
    <s v="Modifier/Threshold"/>
    <x v="12"/>
    <s v="3Y Absolute TSR"/>
    <m/>
  </r>
  <r>
    <x v="112"/>
    <x v="2"/>
    <x v="14"/>
    <x v="22"/>
    <s v="Software"/>
    <x v="2"/>
    <m/>
    <s v="United States"/>
    <x v="0"/>
    <d v="2024-04-26T00:00:00"/>
    <x v="0"/>
    <x v="0"/>
    <x v="0"/>
    <n v="1"/>
    <s v="Base Salary"/>
    <n v="1"/>
    <x v="0"/>
    <m/>
    <x v="0"/>
    <m/>
    <m/>
  </r>
  <r>
    <x v="112"/>
    <x v="2"/>
    <x v="14"/>
    <x v="22"/>
    <s v="Software"/>
    <x v="2"/>
    <m/>
    <s v="United States"/>
    <x v="0"/>
    <d v="2024-04-26T00:00:00"/>
    <x v="1"/>
    <x v="0"/>
    <x v="0"/>
    <n v="0.04"/>
    <s v="Base Salary"/>
    <n v="0.04"/>
    <x v="0"/>
    <m/>
    <x v="0"/>
    <m/>
    <m/>
  </r>
  <r>
    <x v="112"/>
    <x v="2"/>
    <x v="14"/>
    <x v="22"/>
    <s v="Software"/>
    <x v="2"/>
    <m/>
    <s v="United States"/>
    <x v="0"/>
    <d v="2024-04-26T00:00:00"/>
    <x v="1"/>
    <x v="2"/>
    <x v="0"/>
    <n v="0.96"/>
    <s v="Time-Based Stock"/>
    <n v="0.96"/>
    <x v="0"/>
    <m/>
    <x v="0"/>
    <m/>
    <m/>
  </r>
  <r>
    <x v="113"/>
    <x v="6"/>
    <x v="17"/>
    <x v="43"/>
    <s v="Transportation"/>
    <x v="1"/>
    <s v="BBB"/>
    <s v="United States"/>
    <x v="0"/>
    <d v="2023-08-10T00:00:00"/>
    <x v="0"/>
    <x v="0"/>
    <x v="0"/>
    <n v="0.08"/>
    <s v="Base Salary"/>
    <n v="0.08"/>
    <x v="0"/>
    <m/>
    <x v="0"/>
    <m/>
    <m/>
  </r>
  <r>
    <x v="113"/>
    <x v="6"/>
    <x v="17"/>
    <x v="43"/>
    <s v="Transportation"/>
    <x v="1"/>
    <s v="BBB"/>
    <s v="United States"/>
    <x v="0"/>
    <d v="2023-08-10T00:00:00"/>
    <x v="0"/>
    <x v="1"/>
    <x v="1"/>
    <n v="0.13"/>
    <s v="Cash Incentive"/>
    <n v="0.13"/>
    <x v="1"/>
    <s v="Profitability"/>
    <x v="2"/>
    <s v="Adjusted Operating Income"/>
    <n v="1"/>
  </r>
  <r>
    <x v="113"/>
    <x v="6"/>
    <x v="17"/>
    <x v="43"/>
    <s v="Transportation"/>
    <x v="1"/>
    <s v="BBB"/>
    <s v="United States"/>
    <x v="0"/>
    <d v="2023-08-10T00:00:00"/>
    <x v="0"/>
    <x v="1"/>
    <x v="1"/>
    <m/>
    <s v="Cash Incentive"/>
    <n v="0.13"/>
    <x v="0"/>
    <s v="Modifier/Threshold"/>
    <x v="34"/>
    <s v="Discretionary Adjustment"/>
    <m/>
  </r>
  <r>
    <x v="113"/>
    <x v="6"/>
    <x v="17"/>
    <x v="43"/>
    <s v="Transportation"/>
    <x v="1"/>
    <s v="BBB"/>
    <s v="United States"/>
    <x v="0"/>
    <d v="2023-08-10T00:00:00"/>
    <x v="0"/>
    <x v="2"/>
    <x v="1"/>
    <n v="0.34"/>
    <s v="Long-Term Cash Incentive"/>
    <n v="0.34"/>
    <x v="1"/>
    <s v="Profitability"/>
    <x v="14"/>
    <s v="3Y Cumulative Adjusted EPS"/>
    <n v="0.5"/>
  </r>
  <r>
    <x v="113"/>
    <x v="6"/>
    <x v="17"/>
    <x v="43"/>
    <s v="Transportation"/>
    <x v="1"/>
    <s v="BBB"/>
    <s v="United States"/>
    <x v="0"/>
    <d v="2023-08-10T00:00:00"/>
    <x v="0"/>
    <x v="2"/>
    <x v="1"/>
    <m/>
    <s v="Long-Term Cash Incentive"/>
    <n v="0.34"/>
    <x v="1"/>
    <s v="Return"/>
    <x v="26"/>
    <s v="3Y Average Adjusted ROIC"/>
    <n v="0.25"/>
  </r>
  <r>
    <x v="113"/>
    <x v="6"/>
    <x v="17"/>
    <x v="43"/>
    <s v="Transportation"/>
    <x v="1"/>
    <s v="BBB"/>
    <s v="United States"/>
    <x v="0"/>
    <d v="2023-08-10T00:00:00"/>
    <x v="0"/>
    <x v="2"/>
    <x v="1"/>
    <m/>
    <s v="Long-Term Cash Incentive"/>
    <n v="0.34"/>
    <x v="3"/>
    <s v="Stock Performance"/>
    <x v="11"/>
    <s v="3Y Relative TSR"/>
    <n v="0.25"/>
  </r>
  <r>
    <x v="113"/>
    <x v="6"/>
    <x v="17"/>
    <x v="43"/>
    <s v="Transportation"/>
    <x v="1"/>
    <s v="BBB"/>
    <s v="United States"/>
    <x v="0"/>
    <d v="2023-08-10T00:00:00"/>
    <x v="0"/>
    <x v="2"/>
    <x v="1"/>
    <m/>
    <s v="Long-Term Cash Incentive"/>
    <n v="0.34"/>
    <x v="0"/>
    <s v="Modifier/Threshold"/>
    <x v="84"/>
    <s v="3Y Absolute TSR"/>
    <m/>
  </r>
  <r>
    <x v="113"/>
    <x v="6"/>
    <x v="17"/>
    <x v="43"/>
    <s v="Transportation"/>
    <x v="1"/>
    <s v="BBB"/>
    <s v="United States"/>
    <x v="0"/>
    <d v="2023-08-10T00:00:00"/>
    <x v="0"/>
    <x v="2"/>
    <x v="0"/>
    <n v="0.22"/>
    <s v="Time-Based Stock"/>
    <n v="0.22"/>
    <x v="0"/>
    <m/>
    <x v="0"/>
    <m/>
    <m/>
  </r>
  <r>
    <x v="113"/>
    <x v="6"/>
    <x v="17"/>
    <x v="43"/>
    <s v="Transportation"/>
    <x v="1"/>
    <s v="BBB"/>
    <s v="United States"/>
    <x v="0"/>
    <d v="2023-08-10T00:00:00"/>
    <x v="0"/>
    <x v="2"/>
    <x v="0"/>
    <n v="0.23"/>
    <s v="Stock Options"/>
    <n v="0.23"/>
    <x v="0"/>
    <m/>
    <x v="0"/>
    <m/>
    <m/>
  </r>
  <r>
    <x v="113"/>
    <x v="6"/>
    <x v="17"/>
    <x v="43"/>
    <s v="Transportation"/>
    <x v="1"/>
    <s v="BBB"/>
    <s v="United States"/>
    <x v="0"/>
    <d v="2023-08-10T00:00:00"/>
    <x v="1"/>
    <x v="0"/>
    <x v="0"/>
    <n v="0.13"/>
    <s v="Base Salary"/>
    <n v="0.13"/>
    <x v="0"/>
    <m/>
    <x v="0"/>
    <m/>
    <m/>
  </r>
  <r>
    <x v="113"/>
    <x v="6"/>
    <x v="17"/>
    <x v="43"/>
    <s v="Transportation"/>
    <x v="1"/>
    <s v="BBB"/>
    <s v="United States"/>
    <x v="0"/>
    <d v="2023-08-10T00:00:00"/>
    <x v="1"/>
    <x v="1"/>
    <x v="1"/>
    <n v="0.16"/>
    <s v="Cash Incentive"/>
    <n v="0.16"/>
    <x v="1"/>
    <s v="Profitability"/>
    <x v="2"/>
    <s v="Adjusted Operating Income"/>
    <n v="1"/>
  </r>
  <r>
    <x v="113"/>
    <x v="6"/>
    <x v="17"/>
    <x v="43"/>
    <s v="Transportation"/>
    <x v="1"/>
    <s v="BBB"/>
    <s v="United States"/>
    <x v="0"/>
    <d v="2023-08-10T00:00:00"/>
    <x v="1"/>
    <x v="1"/>
    <x v="1"/>
    <m/>
    <s v="Cash Incentive"/>
    <n v="0.16"/>
    <x v="0"/>
    <s v="Modifier/Threshold"/>
    <x v="34"/>
    <s v="Discretionary Adjustment"/>
    <m/>
  </r>
  <r>
    <x v="113"/>
    <x v="6"/>
    <x v="17"/>
    <x v="43"/>
    <s v="Transportation"/>
    <x v="1"/>
    <s v="BBB"/>
    <s v="United States"/>
    <x v="0"/>
    <d v="2023-08-10T00:00:00"/>
    <x v="1"/>
    <x v="2"/>
    <x v="1"/>
    <n v="0.28000000000000003"/>
    <s v="Long-Term Cash Incentive"/>
    <n v="0.28000000000000003"/>
    <x v="1"/>
    <s v="Profitability"/>
    <x v="14"/>
    <s v="3Y Cumulative Adjusted EPS"/>
    <n v="0.5"/>
  </r>
  <r>
    <x v="113"/>
    <x v="6"/>
    <x v="17"/>
    <x v="43"/>
    <s v="Transportation"/>
    <x v="1"/>
    <s v="BBB"/>
    <s v="United States"/>
    <x v="0"/>
    <d v="2023-08-10T00:00:00"/>
    <x v="1"/>
    <x v="2"/>
    <x v="1"/>
    <m/>
    <s v="Long-Term Cash Incentive"/>
    <n v="0.28000000000000003"/>
    <x v="1"/>
    <s v="Return"/>
    <x v="26"/>
    <s v="3Y Average Adjusted ROIC"/>
    <n v="0.25"/>
  </r>
  <r>
    <x v="113"/>
    <x v="6"/>
    <x v="17"/>
    <x v="43"/>
    <s v="Transportation"/>
    <x v="1"/>
    <s v="BBB"/>
    <s v="United States"/>
    <x v="0"/>
    <d v="2023-08-10T00:00:00"/>
    <x v="1"/>
    <x v="2"/>
    <x v="1"/>
    <m/>
    <s v="Long-Term Cash Incentive"/>
    <n v="0.28000000000000003"/>
    <x v="3"/>
    <s v="Stock Performance"/>
    <x v="11"/>
    <s v="3Y Relative TSR"/>
    <n v="0.25"/>
  </r>
  <r>
    <x v="113"/>
    <x v="6"/>
    <x v="17"/>
    <x v="43"/>
    <s v="Transportation"/>
    <x v="1"/>
    <s v="BBB"/>
    <s v="United States"/>
    <x v="0"/>
    <d v="2023-08-10T00:00:00"/>
    <x v="1"/>
    <x v="2"/>
    <x v="1"/>
    <m/>
    <s v="Long-Term Cash Incentive"/>
    <n v="0.28000000000000003"/>
    <x v="0"/>
    <s v="Modifier/Threshold"/>
    <x v="84"/>
    <s v="3Y Absolute TSR"/>
    <m/>
  </r>
  <r>
    <x v="113"/>
    <x v="6"/>
    <x v="17"/>
    <x v="43"/>
    <s v="Transportation"/>
    <x v="1"/>
    <s v="BBB"/>
    <s v="United States"/>
    <x v="0"/>
    <d v="2023-08-10T00:00:00"/>
    <x v="1"/>
    <x v="2"/>
    <x v="0"/>
    <n v="0.23"/>
    <s v="Time-Based Stock"/>
    <n v="0.23"/>
    <x v="0"/>
    <m/>
    <x v="0"/>
    <m/>
    <m/>
  </r>
  <r>
    <x v="113"/>
    <x v="6"/>
    <x v="17"/>
    <x v="43"/>
    <s v="Transportation"/>
    <x v="1"/>
    <s v="BBB"/>
    <s v="United States"/>
    <x v="0"/>
    <d v="2023-08-10T00:00:00"/>
    <x v="1"/>
    <x v="2"/>
    <x v="0"/>
    <n v="0.2"/>
    <s v="Stock Options"/>
    <n v="0.2"/>
    <x v="0"/>
    <m/>
    <x v="0"/>
    <m/>
    <m/>
  </r>
  <r>
    <x v="114"/>
    <x v="6"/>
    <x v="23"/>
    <x v="40"/>
    <s v="Packaged Software"/>
    <x v="3"/>
    <s v="BB-"/>
    <s v="United States"/>
    <x v="0"/>
    <d v="2024-03-12T00:00:00"/>
    <x v="0"/>
    <x v="0"/>
    <x v="0"/>
    <n v="0.06"/>
    <s v="Base Salary"/>
    <n v="0.06"/>
    <x v="0"/>
    <m/>
    <x v="0"/>
    <m/>
    <m/>
  </r>
  <r>
    <x v="114"/>
    <x v="6"/>
    <x v="23"/>
    <x v="40"/>
    <s v="Packaged Software"/>
    <x v="3"/>
    <s v="BB-"/>
    <s v="United States"/>
    <x v="0"/>
    <d v="2024-03-12T00:00:00"/>
    <x v="0"/>
    <x v="1"/>
    <x v="1"/>
    <n v="0.06"/>
    <s v="Cash Incentive"/>
    <n v="0.06"/>
    <x v="1"/>
    <s v="Growth"/>
    <x v="1"/>
    <s v="Adjusted Cloud Revenue"/>
    <n v="0.33333333333333331"/>
  </r>
  <r>
    <x v="114"/>
    <x v="6"/>
    <x v="23"/>
    <x v="40"/>
    <s v="Packaged Software"/>
    <x v="3"/>
    <s v="BB-"/>
    <s v="United States"/>
    <x v="0"/>
    <d v="2024-03-12T00:00:00"/>
    <x v="0"/>
    <x v="1"/>
    <x v="1"/>
    <m/>
    <s v="Cash Incentive"/>
    <n v="0.06"/>
    <x v="1"/>
    <s v="Profitability"/>
    <x v="32"/>
    <s v="Adjusted EBITDA"/>
    <n v="0.33333333333333331"/>
  </r>
  <r>
    <x v="114"/>
    <x v="6"/>
    <x v="23"/>
    <x v="40"/>
    <s v="Packaged Software"/>
    <x v="3"/>
    <s v="BB-"/>
    <s v="United States"/>
    <x v="0"/>
    <d v="2024-03-12T00:00:00"/>
    <x v="0"/>
    <x v="1"/>
    <x v="1"/>
    <m/>
    <s v="Cash Incentive"/>
    <n v="0.06"/>
    <x v="1"/>
    <s v="Growth"/>
    <x v="3"/>
    <s v="Sales Per Employee Per Month Annual Contract Value"/>
    <n v="0.33333333333333331"/>
  </r>
  <r>
    <x v="114"/>
    <x v="6"/>
    <x v="23"/>
    <x v="40"/>
    <s v="Packaged Software"/>
    <x v="3"/>
    <s v="BB-"/>
    <s v="United States"/>
    <x v="0"/>
    <d v="2024-03-12T00:00:00"/>
    <x v="0"/>
    <x v="1"/>
    <x v="1"/>
    <m/>
    <s v="Cash Incentive"/>
    <n v="0.06"/>
    <x v="0"/>
    <s v="Modifier/Threshold"/>
    <x v="34"/>
    <s v="Discretionary Adjustment"/>
    <m/>
  </r>
  <r>
    <x v="114"/>
    <x v="6"/>
    <x v="23"/>
    <x v="40"/>
    <s v="Packaged Software"/>
    <x v="3"/>
    <s v="BB-"/>
    <s v="United States"/>
    <x v="0"/>
    <d v="2024-03-12T00:00:00"/>
    <x v="0"/>
    <x v="2"/>
    <x v="1"/>
    <n v="0.51"/>
    <s v="Performance Stock"/>
    <n v="0.51"/>
    <x v="1"/>
    <s v="Growth"/>
    <x v="1"/>
    <s v="Cloud Recurring Revenue"/>
    <n v="0.23666666666666666"/>
  </r>
  <r>
    <x v="114"/>
    <x v="6"/>
    <x v="23"/>
    <x v="40"/>
    <s v="Packaged Software"/>
    <x v="3"/>
    <s v="BB-"/>
    <s v="United States"/>
    <x v="0"/>
    <d v="2024-03-12T00:00:00"/>
    <x v="0"/>
    <x v="2"/>
    <x v="1"/>
    <m/>
    <s v="Performance Stock"/>
    <n v="0.51"/>
    <x v="1"/>
    <s v="Profitability"/>
    <x v="29"/>
    <s v="Adjusted Cloud Recurring Gross Margin"/>
    <n v="0.23666666666666666"/>
  </r>
  <r>
    <x v="114"/>
    <x v="6"/>
    <x v="23"/>
    <x v="40"/>
    <s v="Packaged Software"/>
    <x v="3"/>
    <s v="BB-"/>
    <s v="United States"/>
    <x v="0"/>
    <d v="2024-03-12T00:00:00"/>
    <x v="0"/>
    <x v="2"/>
    <x v="1"/>
    <m/>
    <s v="Performance Stock"/>
    <n v="0.51"/>
    <x v="1"/>
    <s v="Growth"/>
    <x v="3"/>
    <s v="Sales Per Employee Per Month Annual Contract Value"/>
    <n v="0.23666666666666666"/>
  </r>
  <r>
    <x v="114"/>
    <x v="6"/>
    <x v="23"/>
    <x v="40"/>
    <s v="Packaged Software"/>
    <x v="3"/>
    <s v="BB-"/>
    <s v="United States"/>
    <x v="0"/>
    <d v="2024-03-12T00:00:00"/>
    <x v="0"/>
    <x v="2"/>
    <x v="1"/>
    <m/>
    <s v="Performance Stock"/>
    <n v="0.51"/>
    <x v="3"/>
    <s v="Stock Performance"/>
    <x v="11"/>
    <s v="3Y Relative TSR"/>
    <n v="0.28999999999999998"/>
  </r>
  <r>
    <x v="114"/>
    <x v="6"/>
    <x v="23"/>
    <x v="40"/>
    <s v="Packaged Software"/>
    <x v="3"/>
    <s v="BB-"/>
    <s v="United States"/>
    <x v="0"/>
    <d v="2024-03-12T00:00:00"/>
    <x v="0"/>
    <x v="2"/>
    <x v="1"/>
    <m/>
    <s v="Performance Stock"/>
    <n v="0.51"/>
    <x v="0"/>
    <s v="Modifier/Threshold"/>
    <x v="34"/>
    <s v="Discretionary Adjustment"/>
    <m/>
  </r>
  <r>
    <x v="114"/>
    <x v="6"/>
    <x v="23"/>
    <x v="40"/>
    <s v="Packaged Software"/>
    <x v="3"/>
    <s v="BB-"/>
    <s v="United States"/>
    <x v="0"/>
    <d v="2024-03-12T00:00:00"/>
    <x v="0"/>
    <x v="2"/>
    <x v="0"/>
    <n v="0.37"/>
    <s v="Time-Based Stock"/>
    <n v="0.37"/>
    <x v="0"/>
    <m/>
    <x v="0"/>
    <m/>
    <m/>
  </r>
  <r>
    <x v="114"/>
    <x v="6"/>
    <x v="23"/>
    <x v="40"/>
    <s v="Packaged Software"/>
    <x v="3"/>
    <s v="BB-"/>
    <s v="United States"/>
    <x v="0"/>
    <d v="2024-03-12T00:00:00"/>
    <x v="1"/>
    <x v="0"/>
    <x v="0"/>
    <n v="0.14000000000000001"/>
    <s v="Base Salary"/>
    <n v="0.14000000000000001"/>
    <x v="0"/>
    <m/>
    <x v="0"/>
    <m/>
    <m/>
  </r>
  <r>
    <x v="114"/>
    <x v="6"/>
    <x v="23"/>
    <x v="40"/>
    <s v="Packaged Software"/>
    <x v="3"/>
    <s v="BB-"/>
    <s v="United States"/>
    <x v="0"/>
    <d v="2024-03-12T00:00:00"/>
    <x v="1"/>
    <x v="1"/>
    <x v="1"/>
    <n v="0.05"/>
    <s v="Cash Incentive"/>
    <n v="0.05"/>
    <x v="1"/>
    <s v="Growth"/>
    <x v="1"/>
    <s v="Adjusted Cloud Revenue"/>
    <n v="0.24"/>
  </r>
  <r>
    <x v="114"/>
    <x v="6"/>
    <x v="23"/>
    <x v="40"/>
    <s v="Packaged Software"/>
    <x v="3"/>
    <s v="BB-"/>
    <s v="United States"/>
    <x v="0"/>
    <d v="2024-03-12T00:00:00"/>
    <x v="1"/>
    <x v="1"/>
    <x v="1"/>
    <m/>
    <s v="Cash Incentive"/>
    <n v="0.05"/>
    <x v="1"/>
    <s v="Profitability"/>
    <x v="32"/>
    <s v="Adjusted EBITDA"/>
    <n v="0.24"/>
  </r>
  <r>
    <x v="114"/>
    <x v="6"/>
    <x v="23"/>
    <x v="40"/>
    <s v="Packaged Software"/>
    <x v="3"/>
    <s v="BB-"/>
    <s v="United States"/>
    <x v="0"/>
    <d v="2024-03-12T00:00:00"/>
    <x v="1"/>
    <x v="1"/>
    <x v="1"/>
    <m/>
    <s v="Cash Incentive"/>
    <n v="0.05"/>
    <x v="1"/>
    <s v="Growth"/>
    <x v="3"/>
    <s v="Sales Per Employee Per Month Annual Contract Value"/>
    <n v="0.36"/>
  </r>
  <r>
    <x v="114"/>
    <x v="6"/>
    <x v="23"/>
    <x v="40"/>
    <s v="Packaged Software"/>
    <x v="3"/>
    <s v="BB-"/>
    <s v="United States"/>
    <x v="0"/>
    <d v="2024-03-12T00:00:00"/>
    <x v="1"/>
    <x v="1"/>
    <x v="1"/>
    <m/>
    <s v="Cash Incentive"/>
    <n v="0.05"/>
    <x v="2"/>
    <s v="Individual Assessment"/>
    <x v="13"/>
    <s v="Individual Performance Assessment"/>
    <n v="0.16"/>
  </r>
  <r>
    <x v="114"/>
    <x v="6"/>
    <x v="23"/>
    <x v="40"/>
    <s v="Packaged Software"/>
    <x v="3"/>
    <s v="BB-"/>
    <s v="United States"/>
    <x v="0"/>
    <d v="2024-03-12T00:00:00"/>
    <x v="1"/>
    <x v="1"/>
    <x v="1"/>
    <m/>
    <s v="Cash Incentive"/>
    <n v="0.05"/>
    <x v="0"/>
    <s v="Modifier/Threshold"/>
    <x v="34"/>
    <s v="Discretionary Adjustment"/>
    <m/>
  </r>
  <r>
    <x v="114"/>
    <x v="6"/>
    <x v="23"/>
    <x v="40"/>
    <s v="Packaged Software"/>
    <x v="3"/>
    <s v="BB-"/>
    <s v="United States"/>
    <x v="0"/>
    <d v="2024-03-12T00:00:00"/>
    <x v="1"/>
    <x v="2"/>
    <x v="1"/>
    <n v="0.46"/>
    <s v="Performance Stock"/>
    <n v="0.46"/>
    <x v="1"/>
    <s v="Growth"/>
    <x v="1"/>
    <s v="Cloud Recurring Revenue"/>
    <n v="0.25666666666666665"/>
  </r>
  <r>
    <x v="114"/>
    <x v="6"/>
    <x v="23"/>
    <x v="40"/>
    <s v="Packaged Software"/>
    <x v="3"/>
    <s v="BB-"/>
    <s v="United States"/>
    <x v="0"/>
    <d v="2024-03-12T00:00:00"/>
    <x v="1"/>
    <x v="2"/>
    <x v="1"/>
    <m/>
    <s v="Performance Stock"/>
    <n v="0.46"/>
    <x v="1"/>
    <s v="Profitability"/>
    <x v="29"/>
    <s v="Adjusted Cloud Recurring Gross Margin"/>
    <n v="0.25666666666666665"/>
  </r>
  <r>
    <x v="114"/>
    <x v="6"/>
    <x v="23"/>
    <x v="40"/>
    <s v="Packaged Software"/>
    <x v="3"/>
    <s v="BB-"/>
    <s v="United States"/>
    <x v="0"/>
    <d v="2024-03-12T00:00:00"/>
    <x v="1"/>
    <x v="2"/>
    <x v="1"/>
    <m/>
    <s v="Performance Stock"/>
    <n v="0.46"/>
    <x v="1"/>
    <s v="Growth"/>
    <x v="3"/>
    <s v="Sales Per Employee Per Month Annual Contract Value"/>
    <n v="0.25666666666666665"/>
  </r>
  <r>
    <x v="114"/>
    <x v="6"/>
    <x v="23"/>
    <x v="40"/>
    <s v="Packaged Software"/>
    <x v="3"/>
    <s v="BB-"/>
    <s v="United States"/>
    <x v="0"/>
    <d v="2024-03-12T00:00:00"/>
    <x v="1"/>
    <x v="2"/>
    <x v="1"/>
    <m/>
    <s v="Performance Stock"/>
    <n v="0.46"/>
    <x v="3"/>
    <s v="Stock Performance"/>
    <x v="11"/>
    <s v="3Y Relative TSR"/>
    <n v="0.23"/>
  </r>
  <r>
    <x v="114"/>
    <x v="6"/>
    <x v="23"/>
    <x v="40"/>
    <s v="Packaged Software"/>
    <x v="3"/>
    <s v="BB-"/>
    <s v="United States"/>
    <x v="0"/>
    <d v="2024-03-12T00:00:00"/>
    <x v="1"/>
    <x v="2"/>
    <x v="1"/>
    <m/>
    <s v="Performance Stock"/>
    <n v="0.46"/>
    <x v="0"/>
    <s v="Modifier/Threshold"/>
    <x v="34"/>
    <s v="Discretionary Adjustment"/>
    <m/>
  </r>
  <r>
    <x v="114"/>
    <x v="6"/>
    <x v="23"/>
    <x v="40"/>
    <s v="Packaged Software"/>
    <x v="3"/>
    <s v="BB-"/>
    <s v="United States"/>
    <x v="0"/>
    <d v="2024-03-12T00:00:00"/>
    <x v="1"/>
    <x v="2"/>
    <x v="0"/>
    <n v="0.35"/>
    <s v="Time-Based Stock"/>
    <n v="0.35"/>
    <x v="0"/>
    <m/>
    <x v="0"/>
    <m/>
    <m/>
  </r>
  <r>
    <x v="115"/>
    <x v="3"/>
    <x v="6"/>
    <x v="11"/>
    <s v="Medical Specialties"/>
    <x v="2"/>
    <m/>
    <s v="United States"/>
    <x v="0"/>
    <d v="2024-04-22T00:00:00"/>
    <x v="0"/>
    <x v="0"/>
    <x v="0"/>
    <n v="0.08"/>
    <s v="Base Salary"/>
    <n v="0.08"/>
    <x v="0"/>
    <m/>
    <x v="0"/>
    <m/>
    <m/>
  </r>
  <r>
    <x v="115"/>
    <x v="3"/>
    <x v="6"/>
    <x v="11"/>
    <s v="Medical Specialties"/>
    <x v="2"/>
    <m/>
    <s v="United States"/>
    <x v="0"/>
    <d v="2024-04-22T00:00:00"/>
    <x v="0"/>
    <x v="1"/>
    <x v="1"/>
    <n v="0.1"/>
    <s v="Cash Incentive"/>
    <n v="0.1"/>
    <x v="1"/>
    <s v="Growth"/>
    <x v="1"/>
    <s v="Adjusted Revenue"/>
    <n v="0.5"/>
  </r>
  <r>
    <x v="115"/>
    <x v="3"/>
    <x v="6"/>
    <x v="11"/>
    <s v="Medical Specialties"/>
    <x v="2"/>
    <m/>
    <s v="United States"/>
    <x v="0"/>
    <d v="2024-04-22T00:00:00"/>
    <x v="0"/>
    <x v="1"/>
    <x v="1"/>
    <m/>
    <s v="Cash Incentive"/>
    <n v="0.1"/>
    <x v="1"/>
    <s v="Profitability"/>
    <x v="9"/>
    <s v="Adjusted Operating Margin"/>
    <n v="0.3"/>
  </r>
  <r>
    <x v="115"/>
    <x v="3"/>
    <x v="6"/>
    <x v="11"/>
    <s v="Medical Specialties"/>
    <x v="2"/>
    <m/>
    <s v="United States"/>
    <x v="0"/>
    <d v="2024-04-22T00:00:00"/>
    <x v="0"/>
    <x v="1"/>
    <x v="1"/>
    <m/>
    <s v="Cash Incentive"/>
    <n v="0.1"/>
    <x v="2"/>
    <s v="Individual Assessment"/>
    <x v="13"/>
    <s v="CEO Strategic Initiative Component"/>
    <n v="0.2"/>
  </r>
  <r>
    <x v="115"/>
    <x v="3"/>
    <x v="6"/>
    <x v="11"/>
    <s v="Medical Specialties"/>
    <x v="2"/>
    <m/>
    <s v="United States"/>
    <x v="0"/>
    <d v="2024-04-22T00:00:00"/>
    <x v="0"/>
    <x v="1"/>
    <x v="1"/>
    <m/>
    <s v="Cash Incentive"/>
    <n v="0.1"/>
    <x v="0"/>
    <s v="Modifier/Threshold"/>
    <x v="34"/>
    <s v="Discretionary Adjustment"/>
    <m/>
  </r>
  <r>
    <x v="115"/>
    <x v="3"/>
    <x v="6"/>
    <x v="11"/>
    <s v="Medical Specialties"/>
    <x v="2"/>
    <m/>
    <s v="United States"/>
    <x v="0"/>
    <d v="2024-04-22T00:00:00"/>
    <x v="0"/>
    <x v="2"/>
    <x v="1"/>
    <n v="0.41"/>
    <s v="Performance Stock"/>
    <n v="0.41"/>
    <x v="1"/>
    <s v="Growth"/>
    <x v="1"/>
    <s v="Adjusted Revenue"/>
    <n v="1"/>
  </r>
  <r>
    <x v="115"/>
    <x v="3"/>
    <x v="6"/>
    <x v="11"/>
    <s v="Medical Specialties"/>
    <x v="2"/>
    <m/>
    <s v="United States"/>
    <x v="0"/>
    <d v="2024-04-22T00:00:00"/>
    <x v="0"/>
    <x v="2"/>
    <x v="1"/>
    <m/>
    <s v="Performance Stock"/>
    <n v="0.41"/>
    <x v="0"/>
    <s v="Modifier/Threshold"/>
    <x v="94"/>
    <s v="3Y Relative TSR"/>
    <m/>
  </r>
  <r>
    <x v="115"/>
    <x v="3"/>
    <x v="6"/>
    <x v="11"/>
    <s v="Medical Specialties"/>
    <x v="2"/>
    <m/>
    <s v="United States"/>
    <x v="0"/>
    <d v="2024-04-22T00:00:00"/>
    <x v="0"/>
    <x v="2"/>
    <x v="0"/>
    <n v="0.41"/>
    <s v="Time-Based Stock"/>
    <n v="0.41"/>
    <x v="0"/>
    <m/>
    <x v="0"/>
    <m/>
    <m/>
  </r>
  <r>
    <x v="115"/>
    <x v="3"/>
    <x v="6"/>
    <x v="11"/>
    <s v="Medical Specialties"/>
    <x v="2"/>
    <m/>
    <s v="United States"/>
    <x v="0"/>
    <d v="2024-04-22T00:00:00"/>
    <x v="1"/>
    <x v="0"/>
    <x v="0"/>
    <n v="0.14000000000000001"/>
    <s v="Base Salary"/>
    <n v="0.14000000000000001"/>
    <x v="0"/>
    <m/>
    <x v="0"/>
    <m/>
    <m/>
  </r>
  <r>
    <x v="115"/>
    <x v="3"/>
    <x v="6"/>
    <x v="11"/>
    <s v="Medical Specialties"/>
    <x v="2"/>
    <m/>
    <s v="United States"/>
    <x v="0"/>
    <d v="2024-04-22T00:00:00"/>
    <x v="1"/>
    <x v="1"/>
    <x v="1"/>
    <n v="0.1"/>
    <s v="Cash Incentive"/>
    <n v="0.1"/>
    <x v="1"/>
    <s v="Growth"/>
    <x v="1"/>
    <s v="Adjusted Revenue"/>
    <n v="0.5"/>
  </r>
  <r>
    <x v="115"/>
    <x v="3"/>
    <x v="6"/>
    <x v="11"/>
    <s v="Medical Specialties"/>
    <x v="2"/>
    <m/>
    <s v="United States"/>
    <x v="0"/>
    <d v="2024-04-22T00:00:00"/>
    <x v="1"/>
    <x v="1"/>
    <x v="1"/>
    <m/>
    <s v="Cash Incentive"/>
    <n v="0.1"/>
    <x v="1"/>
    <s v="Profitability"/>
    <x v="9"/>
    <s v="Adjusted Operating Margin"/>
    <n v="0.3"/>
  </r>
  <r>
    <x v="115"/>
    <x v="3"/>
    <x v="6"/>
    <x v="11"/>
    <s v="Medical Specialties"/>
    <x v="2"/>
    <m/>
    <s v="United States"/>
    <x v="0"/>
    <d v="2024-04-22T00:00:00"/>
    <x v="1"/>
    <x v="1"/>
    <x v="1"/>
    <m/>
    <s v="Cash Incentive"/>
    <n v="0.1"/>
    <x v="2"/>
    <s v="Individual Assessment"/>
    <x v="13"/>
    <s v="Individual Performance Assessment"/>
    <n v="0.2"/>
  </r>
  <r>
    <x v="115"/>
    <x v="3"/>
    <x v="6"/>
    <x v="11"/>
    <s v="Medical Specialties"/>
    <x v="2"/>
    <m/>
    <s v="United States"/>
    <x v="0"/>
    <d v="2024-04-22T00:00:00"/>
    <x v="1"/>
    <x v="1"/>
    <x v="1"/>
    <m/>
    <s v="Cash Incentive"/>
    <n v="0.1"/>
    <x v="0"/>
    <s v="Modifier/Threshold"/>
    <x v="34"/>
    <s v="Discretionary Adjustment"/>
    <m/>
  </r>
  <r>
    <x v="115"/>
    <x v="3"/>
    <x v="6"/>
    <x v="11"/>
    <s v="Medical Specialties"/>
    <x v="2"/>
    <m/>
    <s v="United States"/>
    <x v="0"/>
    <d v="2024-04-22T00:00:00"/>
    <x v="1"/>
    <x v="2"/>
    <x v="1"/>
    <n v="0.23"/>
    <s v="Performance Stock"/>
    <n v="0.23"/>
    <x v="1"/>
    <s v="Growth"/>
    <x v="1"/>
    <s v="Adjusted Revenue"/>
    <n v="1"/>
  </r>
  <r>
    <x v="115"/>
    <x v="3"/>
    <x v="6"/>
    <x v="11"/>
    <s v="Medical Specialties"/>
    <x v="2"/>
    <m/>
    <s v="United States"/>
    <x v="0"/>
    <d v="2024-04-22T00:00:00"/>
    <x v="1"/>
    <x v="2"/>
    <x v="1"/>
    <m/>
    <s v="Performance Stock"/>
    <n v="0.23"/>
    <x v="0"/>
    <s v="Modifier/Threshold"/>
    <x v="94"/>
    <s v="3Y Relative TSR"/>
    <m/>
  </r>
  <r>
    <x v="115"/>
    <x v="3"/>
    <x v="6"/>
    <x v="11"/>
    <s v="Medical Specialties"/>
    <x v="2"/>
    <m/>
    <s v="United States"/>
    <x v="0"/>
    <d v="2024-04-22T00:00:00"/>
    <x v="1"/>
    <x v="2"/>
    <x v="0"/>
    <n v="0.53"/>
    <s v="Time-Based Stock"/>
    <n v="0.53"/>
    <x v="0"/>
    <m/>
    <x v="0"/>
    <m/>
    <m/>
  </r>
  <r>
    <x v="116"/>
    <x v="9"/>
    <x v="16"/>
    <x v="35"/>
    <s v="Utilities"/>
    <x v="2"/>
    <s v="BBB+"/>
    <s v="United States"/>
    <x v="0"/>
    <d v="2024-03-07T00:00:00"/>
    <x v="0"/>
    <x v="0"/>
    <x v="0"/>
    <n v="0.13"/>
    <s v="Base Salary"/>
    <n v="0.13"/>
    <x v="0"/>
    <m/>
    <x v="0"/>
    <m/>
    <m/>
  </r>
  <r>
    <x v="116"/>
    <x v="9"/>
    <x v="16"/>
    <x v="35"/>
    <s v="Utilities"/>
    <x v="2"/>
    <s v="BBB+"/>
    <s v="United States"/>
    <x v="0"/>
    <d v="2024-03-07T00:00:00"/>
    <x v="0"/>
    <x v="1"/>
    <x v="1"/>
    <n v="0.18"/>
    <s v="Cash Incentive"/>
    <n v="0.18"/>
    <x v="2"/>
    <s v="Strategy &amp; Operations"/>
    <x v="3"/>
    <s v="Utility Operating Excellence Index"/>
    <n v="0.25"/>
  </r>
  <r>
    <x v="116"/>
    <x v="9"/>
    <x v="16"/>
    <x v="35"/>
    <s v="Utilities"/>
    <x v="2"/>
    <s v="BBB+"/>
    <s v="United States"/>
    <x v="0"/>
    <d v="2024-03-07T00:00:00"/>
    <x v="0"/>
    <x v="1"/>
    <x v="1"/>
    <m/>
    <s v="Cash Incentive"/>
    <n v="0.18"/>
    <x v="1"/>
    <s v="Profitability"/>
    <x v="14"/>
    <s v="Adjusted EPS"/>
    <n v="0.2"/>
  </r>
  <r>
    <x v="116"/>
    <x v="9"/>
    <x v="16"/>
    <x v="35"/>
    <s v="Utilities"/>
    <x v="2"/>
    <s v="BBB+"/>
    <s v="United States"/>
    <x v="0"/>
    <d v="2024-03-07T00:00:00"/>
    <x v="0"/>
    <x v="1"/>
    <x v="1"/>
    <m/>
    <s v="Cash Incentive"/>
    <n v="0.18"/>
    <x v="1"/>
    <s v="Cash Flow"/>
    <x v="18"/>
    <s v="Operating Cash Flow"/>
    <n v="0.2"/>
  </r>
  <r>
    <x v="116"/>
    <x v="9"/>
    <x v="16"/>
    <x v="35"/>
    <s v="Utilities"/>
    <x v="2"/>
    <s v="BBB+"/>
    <s v="United States"/>
    <x v="0"/>
    <d v="2024-03-07T00:00:00"/>
    <x v="0"/>
    <x v="1"/>
    <x v="1"/>
    <m/>
    <s v="Cash Incentive"/>
    <n v="0.18"/>
    <x v="2"/>
    <s v="Strategy &amp; Operations"/>
    <x v="4"/>
    <s v="Customer Satisfaction"/>
    <n v="0.2"/>
  </r>
  <r>
    <x v="116"/>
    <x v="9"/>
    <x v="16"/>
    <x v="35"/>
    <s v="Utilities"/>
    <x v="2"/>
    <s v="BBB+"/>
    <s v="United States"/>
    <x v="0"/>
    <d v="2024-03-07T00:00:00"/>
    <x v="0"/>
    <x v="1"/>
    <x v="1"/>
    <m/>
    <s v="Cash Incentive"/>
    <n v="0.18"/>
    <x v="2"/>
    <s v="ESG"/>
    <x v="40"/>
    <s v="Safety"/>
    <n v="0.1"/>
  </r>
  <r>
    <x v="116"/>
    <x v="9"/>
    <x v="16"/>
    <x v="35"/>
    <s v="Utilities"/>
    <x v="2"/>
    <s v="BBB+"/>
    <s v="United States"/>
    <x v="0"/>
    <d v="2024-03-07T00:00:00"/>
    <x v="0"/>
    <x v="1"/>
    <x v="1"/>
    <m/>
    <s v="Cash Incentive"/>
    <n v="0.18"/>
    <x v="2"/>
    <s v="ESG"/>
    <x v="7"/>
    <s v="Employee Engagement"/>
    <n v="0.05"/>
  </r>
  <r>
    <x v="116"/>
    <x v="9"/>
    <x v="16"/>
    <x v="35"/>
    <s v="Utilities"/>
    <x v="2"/>
    <s v="BBB+"/>
    <s v="United States"/>
    <x v="0"/>
    <d v="2024-03-07T00:00:00"/>
    <x v="0"/>
    <x v="1"/>
    <x v="1"/>
    <m/>
    <s v="Cash Incentive"/>
    <n v="0.18"/>
    <x v="0"/>
    <s v="Modifier/Threshold"/>
    <x v="34"/>
    <s v="Discretionary Adjustment"/>
    <m/>
  </r>
  <r>
    <x v="116"/>
    <x v="9"/>
    <x v="16"/>
    <x v="35"/>
    <s v="Utilities"/>
    <x v="2"/>
    <s v="BBB+"/>
    <s v="United States"/>
    <x v="0"/>
    <d v="2024-03-07T00:00:00"/>
    <x v="0"/>
    <x v="2"/>
    <x v="1"/>
    <n v="0.48"/>
    <s v="Performance Stock"/>
    <n v="0.48"/>
    <x v="3"/>
    <s v="Stock Performance"/>
    <x v="11"/>
    <s v="3Y Relative TSR"/>
    <n v="0.8"/>
  </r>
  <r>
    <x v="116"/>
    <x v="9"/>
    <x v="16"/>
    <x v="35"/>
    <s v="Utilities"/>
    <x v="2"/>
    <s v="BBB+"/>
    <s v="United States"/>
    <x v="0"/>
    <d v="2024-03-07T00:00:00"/>
    <x v="0"/>
    <x v="2"/>
    <x v="1"/>
    <m/>
    <s v="Performance Stock"/>
    <n v="0.48"/>
    <x v="1"/>
    <s v="Profitability"/>
    <x v="14"/>
    <s v="3Y Cumulative Adjusted EPS"/>
    <n v="0.2"/>
  </r>
  <r>
    <x v="116"/>
    <x v="9"/>
    <x v="16"/>
    <x v="35"/>
    <s v="Utilities"/>
    <x v="2"/>
    <s v="BBB+"/>
    <s v="United States"/>
    <x v="0"/>
    <d v="2024-03-07T00:00:00"/>
    <x v="0"/>
    <x v="2"/>
    <x v="0"/>
    <n v="0.21"/>
    <s v="Time-Based Stock"/>
    <n v="0.21"/>
    <x v="0"/>
    <m/>
    <x v="0"/>
    <m/>
    <m/>
  </r>
  <r>
    <x v="116"/>
    <x v="9"/>
    <x v="16"/>
    <x v="35"/>
    <s v="Utilities"/>
    <x v="2"/>
    <s v="BBB+"/>
    <s v="United States"/>
    <x v="0"/>
    <d v="2024-03-07T00:00:00"/>
    <x v="1"/>
    <x v="0"/>
    <x v="0"/>
    <n v="0.26"/>
    <s v="Base Salary"/>
    <n v="0.26"/>
    <x v="0"/>
    <m/>
    <x v="0"/>
    <m/>
    <m/>
  </r>
  <r>
    <x v="116"/>
    <x v="9"/>
    <x v="16"/>
    <x v="35"/>
    <s v="Utilities"/>
    <x v="2"/>
    <s v="BBB+"/>
    <s v="United States"/>
    <x v="0"/>
    <d v="2024-03-07T00:00:00"/>
    <x v="1"/>
    <x v="1"/>
    <x v="1"/>
    <n v="0.2"/>
    <s v="Cash Incentive"/>
    <n v="0.2"/>
    <x v="2"/>
    <s v="Strategy &amp; Operations"/>
    <x v="3"/>
    <s v="Utility Operating Excellence Index"/>
    <n v="0.19"/>
  </r>
  <r>
    <x v="116"/>
    <x v="9"/>
    <x v="16"/>
    <x v="35"/>
    <s v="Utilities"/>
    <x v="2"/>
    <s v="BBB+"/>
    <s v="United States"/>
    <x v="0"/>
    <d v="2024-03-07T00:00:00"/>
    <x v="1"/>
    <x v="1"/>
    <x v="1"/>
    <m/>
    <s v="Cash Incentive"/>
    <n v="0.2"/>
    <x v="1"/>
    <s v="Profitability"/>
    <x v="14"/>
    <s v="Adjusted EPS"/>
    <n v="0.18"/>
  </r>
  <r>
    <x v="116"/>
    <x v="9"/>
    <x v="16"/>
    <x v="35"/>
    <s v="Utilities"/>
    <x v="2"/>
    <s v="BBB+"/>
    <s v="United States"/>
    <x v="0"/>
    <d v="2024-03-07T00:00:00"/>
    <x v="1"/>
    <x v="1"/>
    <x v="1"/>
    <m/>
    <s v="Cash Incentive"/>
    <n v="0.2"/>
    <x v="1"/>
    <s v="Cash Flow"/>
    <x v="18"/>
    <s v="Operating Cash Flow"/>
    <n v="0.16"/>
  </r>
  <r>
    <x v="116"/>
    <x v="9"/>
    <x v="16"/>
    <x v="35"/>
    <s v="Utilities"/>
    <x v="2"/>
    <s v="BBB+"/>
    <s v="United States"/>
    <x v="0"/>
    <d v="2024-03-07T00:00:00"/>
    <x v="1"/>
    <x v="1"/>
    <x v="1"/>
    <m/>
    <s v="Cash Incentive"/>
    <n v="0.2"/>
    <x v="2"/>
    <s v="Strategy &amp; Operations"/>
    <x v="3"/>
    <s v="Customer Satisfaction"/>
    <n v="0.15"/>
  </r>
  <r>
    <x v="116"/>
    <x v="9"/>
    <x v="16"/>
    <x v="35"/>
    <s v="Utilities"/>
    <x v="2"/>
    <s v="BBB+"/>
    <s v="United States"/>
    <x v="0"/>
    <d v="2024-03-07T00:00:00"/>
    <x v="1"/>
    <x v="1"/>
    <x v="1"/>
    <m/>
    <s v="Cash Incentive"/>
    <n v="0.2"/>
    <x v="2"/>
    <s v="ESG"/>
    <x v="40"/>
    <s v="Safety"/>
    <n v="0.1"/>
  </r>
  <r>
    <x v="116"/>
    <x v="9"/>
    <x v="16"/>
    <x v="35"/>
    <s v="Utilities"/>
    <x v="2"/>
    <s v="BBB+"/>
    <s v="United States"/>
    <x v="0"/>
    <d v="2024-03-07T00:00:00"/>
    <x v="1"/>
    <x v="1"/>
    <x v="1"/>
    <m/>
    <s v="Cash Incentive"/>
    <n v="0.2"/>
    <x v="2"/>
    <s v="ESG"/>
    <x v="7"/>
    <s v="Employee Engagement"/>
    <n v="0.05"/>
  </r>
  <r>
    <x v="116"/>
    <x v="9"/>
    <x v="16"/>
    <x v="35"/>
    <s v="Utilities"/>
    <x v="2"/>
    <s v="BBB+"/>
    <s v="United States"/>
    <x v="0"/>
    <d v="2024-03-07T00:00:00"/>
    <x v="1"/>
    <x v="1"/>
    <x v="1"/>
    <m/>
    <s v="Cash Incentive"/>
    <n v="0.2"/>
    <x v="1"/>
    <s v="Profitability"/>
    <x v="2"/>
    <s v="Adjusted Operating Income"/>
    <n v="0.09"/>
  </r>
  <r>
    <x v="116"/>
    <x v="9"/>
    <x v="16"/>
    <x v="35"/>
    <s v="Utilities"/>
    <x v="2"/>
    <s v="BBB+"/>
    <s v="United States"/>
    <x v="0"/>
    <d v="2024-03-07T00:00:00"/>
    <x v="1"/>
    <x v="1"/>
    <x v="1"/>
    <m/>
    <s v="Cash Incentive"/>
    <n v="0.2"/>
    <x v="1"/>
    <s v="Strategy &amp; Operations"/>
    <x v="3"/>
    <s v="Business Development"/>
    <n v="0.09"/>
  </r>
  <r>
    <x v="116"/>
    <x v="9"/>
    <x v="16"/>
    <x v="35"/>
    <s v="Utilities"/>
    <x v="2"/>
    <s v="BBB+"/>
    <s v="United States"/>
    <x v="0"/>
    <d v="2024-03-07T00:00:00"/>
    <x v="1"/>
    <x v="1"/>
    <x v="1"/>
    <m/>
    <s v="Cash Incentive"/>
    <n v="0.2"/>
    <x v="1"/>
    <s v="Modifier/Threshold"/>
    <x v="34"/>
    <s v="Discretionary Adjustment"/>
    <m/>
  </r>
  <r>
    <x v="116"/>
    <x v="9"/>
    <x v="16"/>
    <x v="35"/>
    <s v="Utilities"/>
    <x v="2"/>
    <s v="BBB+"/>
    <s v="United States"/>
    <x v="0"/>
    <d v="2024-03-07T00:00:00"/>
    <x v="1"/>
    <x v="2"/>
    <x v="1"/>
    <n v="0.38"/>
    <s v="Performance Stock"/>
    <n v="0.38"/>
    <x v="3"/>
    <s v="Stock Performance"/>
    <x v="11"/>
    <s v="3Y Relative TSR"/>
    <n v="0.7"/>
  </r>
  <r>
    <x v="116"/>
    <x v="9"/>
    <x v="16"/>
    <x v="35"/>
    <s v="Utilities"/>
    <x v="2"/>
    <s v="BBB+"/>
    <s v="United States"/>
    <x v="0"/>
    <d v="2024-03-07T00:00:00"/>
    <x v="1"/>
    <x v="2"/>
    <x v="1"/>
    <m/>
    <s v="Performance Stock"/>
    <n v="0.38"/>
    <x v="1"/>
    <s v="Profitability"/>
    <x v="14"/>
    <s v="3Y Cumulative Adjusted EPS"/>
    <n v="0.18"/>
  </r>
  <r>
    <x v="116"/>
    <x v="9"/>
    <x v="16"/>
    <x v="35"/>
    <s v="Utilities"/>
    <x v="2"/>
    <s v="BBB+"/>
    <s v="United States"/>
    <x v="0"/>
    <d v="2024-03-07T00:00:00"/>
    <x v="1"/>
    <x v="2"/>
    <x v="1"/>
    <m/>
    <s v="Performance Stock"/>
    <n v="0.38"/>
    <x v="1"/>
    <s v="Strategy &amp; Operations"/>
    <x v="3"/>
    <s v="DTE Vantage Projects Long-Range Earnings Growth"/>
    <n v="0.13"/>
  </r>
  <r>
    <x v="116"/>
    <x v="9"/>
    <x v="16"/>
    <x v="35"/>
    <s v="Utilities"/>
    <x v="2"/>
    <s v="BBB+"/>
    <s v="United States"/>
    <x v="0"/>
    <d v="2024-03-07T00:00:00"/>
    <x v="1"/>
    <x v="2"/>
    <x v="0"/>
    <n v="0.16"/>
    <s v="Time-Based Stock"/>
    <n v="0.16"/>
    <x v="0"/>
    <m/>
    <x v="0"/>
    <m/>
    <m/>
  </r>
  <r>
    <x v="117"/>
    <x v="0"/>
    <x v="0"/>
    <x v="37"/>
    <s v="Information Technology"/>
    <x v="2"/>
    <m/>
    <s v="United States"/>
    <x v="0"/>
    <d v="2024-04-19T00:00:00"/>
    <x v="0"/>
    <x v="0"/>
    <x v="0"/>
    <n v="0.04"/>
    <s v="Base Salary"/>
    <n v="0.04"/>
    <x v="0"/>
    <m/>
    <x v="0"/>
    <m/>
    <m/>
  </r>
  <r>
    <x v="117"/>
    <x v="0"/>
    <x v="0"/>
    <x v="37"/>
    <s v="Information Technology"/>
    <x v="2"/>
    <m/>
    <s v="United States"/>
    <x v="0"/>
    <d v="2024-04-19T00:00:00"/>
    <x v="0"/>
    <x v="2"/>
    <x v="0"/>
    <n v="0.96"/>
    <s v="Time-Based Stock"/>
    <n v="0.96"/>
    <x v="0"/>
    <m/>
    <x v="0"/>
    <m/>
    <m/>
  </r>
  <r>
    <x v="117"/>
    <x v="0"/>
    <x v="0"/>
    <x v="37"/>
    <s v="Information Technology"/>
    <x v="2"/>
    <m/>
    <s v="United States"/>
    <x v="0"/>
    <d v="2024-04-19T00:00:00"/>
    <x v="0"/>
    <x v="3"/>
    <x v="1"/>
    <m/>
    <s v="Performance Stock Options"/>
    <m/>
    <x v="3"/>
    <s v="Stock Performance"/>
    <x v="48"/>
    <s v="Stock Price"/>
    <m/>
  </r>
  <r>
    <x v="117"/>
    <x v="0"/>
    <x v="0"/>
    <x v="37"/>
    <s v="Information Technology"/>
    <x v="2"/>
    <m/>
    <s v="United States"/>
    <x v="0"/>
    <d v="2024-04-19T00:00:00"/>
    <x v="1"/>
    <x v="0"/>
    <x v="0"/>
    <n v="0.13"/>
    <s v="Base Salary"/>
    <n v="0.08"/>
    <x v="0"/>
    <m/>
    <x v="0"/>
    <m/>
    <m/>
  </r>
  <r>
    <x v="117"/>
    <x v="0"/>
    <x v="0"/>
    <x v="37"/>
    <s v="Information Technology"/>
    <x v="2"/>
    <m/>
    <s v="United States"/>
    <x v="0"/>
    <d v="2024-04-19T00:00:00"/>
    <x v="1"/>
    <x v="2"/>
    <x v="0"/>
    <n v="0.87"/>
    <s v="Time-Based Stock"/>
    <n v="0.92"/>
    <x v="0"/>
    <m/>
    <x v="0"/>
    <m/>
    <m/>
  </r>
  <r>
    <x v="117"/>
    <x v="0"/>
    <x v="0"/>
    <x v="37"/>
    <s v="Information Technology"/>
    <x v="2"/>
    <m/>
    <s v="United States"/>
    <x v="0"/>
    <d v="2024-04-19T00:00:00"/>
    <x v="1"/>
    <x v="3"/>
    <x v="1"/>
    <m/>
    <s v="Performance Stock Options"/>
    <m/>
    <x v="3"/>
    <s v="Stock Performance"/>
    <x v="48"/>
    <s v="Stock Price"/>
    <m/>
  </r>
  <r>
    <x v="118"/>
    <x v="4"/>
    <x v="18"/>
    <x v="32"/>
    <s v="Discount Stores"/>
    <x v="2"/>
    <s v="BBB"/>
    <s v="United States"/>
    <x v="0"/>
    <d v="2024-05-07T00:00:00"/>
    <x v="0"/>
    <x v="0"/>
    <x v="0"/>
    <n v="0.04"/>
    <s v="Base Salary"/>
    <n v="0.04"/>
    <x v="0"/>
    <m/>
    <x v="0"/>
    <m/>
    <m/>
  </r>
  <r>
    <x v="118"/>
    <x v="4"/>
    <x v="18"/>
    <x v="32"/>
    <s v="Discount Stores"/>
    <x v="2"/>
    <s v="BBB"/>
    <s v="United States"/>
    <x v="0"/>
    <d v="2024-05-07T00:00:00"/>
    <x v="0"/>
    <x v="1"/>
    <x v="1"/>
    <n v="0.08"/>
    <s v="Cash Incentive"/>
    <n v="0.08"/>
    <x v="1"/>
    <s v="Profitability"/>
    <x v="2"/>
    <s v="Adjusted Operating Income"/>
    <n v="0.6"/>
  </r>
  <r>
    <x v="118"/>
    <x v="4"/>
    <x v="18"/>
    <x v="32"/>
    <s v="Discount Stores"/>
    <x v="2"/>
    <s v="BBB"/>
    <s v="United States"/>
    <x v="0"/>
    <d v="2024-05-07T00:00:00"/>
    <x v="0"/>
    <x v="1"/>
    <x v="1"/>
    <m/>
    <s v="Cash Incentive"/>
    <n v="0.08"/>
    <x v="1"/>
    <s v="Growth"/>
    <x v="1"/>
    <s v="Adjusted Revenue"/>
    <n v="0.4"/>
  </r>
  <r>
    <x v="118"/>
    <x v="4"/>
    <x v="18"/>
    <x v="32"/>
    <s v="Discount Stores"/>
    <x v="2"/>
    <s v="BBB"/>
    <s v="United States"/>
    <x v="0"/>
    <d v="2024-05-07T00:00:00"/>
    <x v="0"/>
    <x v="1"/>
    <x v="1"/>
    <m/>
    <s v="Cash Incentive"/>
    <n v="0.08"/>
    <x v="0"/>
    <s v="Modifier/Threshold"/>
    <x v="34"/>
    <s v="Discretionary Adjustment"/>
    <m/>
  </r>
  <r>
    <x v="118"/>
    <x v="4"/>
    <x v="18"/>
    <x v="32"/>
    <s v="Discount Stores"/>
    <x v="2"/>
    <s v="BBB"/>
    <s v="United States"/>
    <x v="0"/>
    <d v="2024-05-07T00:00:00"/>
    <x v="0"/>
    <x v="2"/>
    <x v="0"/>
    <n v="0.88"/>
    <s v="Stock Options"/>
    <n v="0.88"/>
    <x v="0"/>
    <m/>
    <x v="0"/>
    <m/>
    <m/>
  </r>
  <r>
    <x v="118"/>
    <x v="4"/>
    <x v="18"/>
    <x v="32"/>
    <s v="Discount Stores"/>
    <x v="2"/>
    <s v="BBB"/>
    <s v="United States"/>
    <x v="0"/>
    <d v="2024-05-07T00:00:00"/>
    <x v="1"/>
    <x v="0"/>
    <x v="0"/>
    <n v="0.21"/>
    <s v="Base Salary"/>
    <n v="0.21"/>
    <x v="0"/>
    <m/>
    <x v="0"/>
    <m/>
    <m/>
  </r>
  <r>
    <x v="118"/>
    <x v="4"/>
    <x v="18"/>
    <x v="32"/>
    <s v="Discount Stores"/>
    <x v="2"/>
    <s v="BBB"/>
    <s v="United States"/>
    <x v="0"/>
    <d v="2024-05-07T00:00:00"/>
    <x v="1"/>
    <x v="1"/>
    <x v="1"/>
    <n v="0.21"/>
    <s v="Cash Incentive"/>
    <n v="0.21"/>
    <x v="1"/>
    <s v="Profitability"/>
    <x v="2"/>
    <s v="Adjusted Operating Income"/>
    <n v="0.6"/>
  </r>
  <r>
    <x v="118"/>
    <x v="4"/>
    <x v="18"/>
    <x v="32"/>
    <s v="Discount Stores"/>
    <x v="2"/>
    <s v="BBB"/>
    <s v="United States"/>
    <x v="0"/>
    <d v="2024-05-07T00:00:00"/>
    <x v="1"/>
    <x v="1"/>
    <x v="1"/>
    <m/>
    <s v="Cash Incentive"/>
    <n v="0.21"/>
    <x v="1"/>
    <s v="Growth"/>
    <x v="1"/>
    <s v="Adjusted Revenue"/>
    <n v="0.4"/>
  </r>
  <r>
    <x v="118"/>
    <x v="4"/>
    <x v="18"/>
    <x v="32"/>
    <s v="Discount Stores"/>
    <x v="2"/>
    <s v="BBB"/>
    <s v="United States"/>
    <x v="0"/>
    <d v="2024-05-07T00:00:00"/>
    <x v="1"/>
    <x v="1"/>
    <x v="1"/>
    <m/>
    <s v="Cash Incentive"/>
    <n v="0.21"/>
    <x v="0"/>
    <s v="Modifier/Threshold"/>
    <x v="34"/>
    <s v="Discretionary Adjustment"/>
    <m/>
  </r>
  <r>
    <x v="118"/>
    <x v="4"/>
    <x v="18"/>
    <x v="32"/>
    <s v="Discount Stores"/>
    <x v="2"/>
    <s v="BBB"/>
    <s v="United States"/>
    <x v="0"/>
    <d v="2024-05-07T00:00:00"/>
    <x v="1"/>
    <x v="2"/>
    <x v="1"/>
    <n v="0.28999999999999998"/>
    <s v="Performance Stock"/>
    <n v="0.28999999999999998"/>
    <x v="1"/>
    <s v="Profitability"/>
    <x v="14"/>
    <s v="3Y Cumulative Adjusted EPS"/>
    <n v="0.6"/>
  </r>
  <r>
    <x v="118"/>
    <x v="4"/>
    <x v="18"/>
    <x v="32"/>
    <s v="Discount Stores"/>
    <x v="2"/>
    <s v="BBB"/>
    <s v="United States"/>
    <x v="0"/>
    <d v="2024-05-07T00:00:00"/>
    <x v="1"/>
    <x v="2"/>
    <x v="1"/>
    <m/>
    <s v="Performance Stock"/>
    <n v="0.28999999999999998"/>
    <x v="1"/>
    <s v="Growth"/>
    <x v="1"/>
    <s v="3Y Cumulative Adjusted Revenue"/>
    <n v="0.4"/>
  </r>
  <r>
    <x v="118"/>
    <x v="4"/>
    <x v="18"/>
    <x v="32"/>
    <s v="Discount Stores"/>
    <x v="2"/>
    <s v="BBB"/>
    <s v="United States"/>
    <x v="0"/>
    <d v="2024-05-07T00:00:00"/>
    <x v="1"/>
    <x v="2"/>
    <x v="1"/>
    <m/>
    <s v="Performance Stock"/>
    <n v="0.28999999999999998"/>
    <x v="0"/>
    <s v="Modifier/Threshold"/>
    <x v="6"/>
    <s v="3Y Relative TSR"/>
    <m/>
  </r>
  <r>
    <x v="118"/>
    <x v="4"/>
    <x v="18"/>
    <x v="32"/>
    <s v="Discount Stores"/>
    <x v="2"/>
    <s v="BBB"/>
    <s v="United States"/>
    <x v="0"/>
    <d v="2024-05-07T00:00:00"/>
    <x v="1"/>
    <x v="2"/>
    <x v="0"/>
    <n v="0.17"/>
    <s v="Time-Based Stock"/>
    <n v="0.17"/>
    <x v="0"/>
    <m/>
    <x v="0"/>
    <m/>
    <m/>
  </r>
  <r>
    <x v="118"/>
    <x v="4"/>
    <x v="18"/>
    <x v="32"/>
    <s v="Discount Stores"/>
    <x v="2"/>
    <s v="BBB"/>
    <s v="United States"/>
    <x v="0"/>
    <d v="2024-05-07T00:00:00"/>
    <x v="1"/>
    <x v="2"/>
    <x v="0"/>
    <n v="0.12"/>
    <s v="Stock Options"/>
    <n v="0.12"/>
    <x v="0"/>
    <m/>
    <x v="0"/>
    <m/>
    <m/>
  </r>
  <r>
    <x v="119"/>
    <x v="10"/>
    <x v="22"/>
    <x v="39"/>
    <s v="REIT"/>
    <x v="1"/>
    <s v="BBB"/>
    <s v="United States"/>
    <x v="0"/>
    <d v="2024-04-12T00:00:00"/>
    <x v="0"/>
    <x v="0"/>
    <x v="0"/>
    <n v="0.05"/>
    <s v="Base Salary"/>
    <n v="0.05"/>
    <x v="0"/>
    <m/>
    <x v="0"/>
    <m/>
    <m/>
  </r>
  <r>
    <x v="119"/>
    <x v="10"/>
    <x v="22"/>
    <x v="39"/>
    <s v="REIT"/>
    <x v="1"/>
    <s v="BBB"/>
    <s v="United States"/>
    <x v="0"/>
    <d v="2024-04-12T00:00:00"/>
    <x v="0"/>
    <x v="1"/>
    <x v="1"/>
    <n v="7.0000000000000007E-2"/>
    <s v="Annual Equity Grant"/>
    <n v="7.0000000000000007E-2"/>
    <x v="1"/>
    <s v="Growth"/>
    <x v="1"/>
    <s v="Adjusted Revenue"/>
    <n v="0.5"/>
  </r>
  <r>
    <x v="119"/>
    <x v="10"/>
    <x v="22"/>
    <x v="39"/>
    <s v="REIT"/>
    <x v="1"/>
    <s v="BBB"/>
    <s v="United States"/>
    <x v="0"/>
    <d v="2024-04-12T00:00:00"/>
    <x v="0"/>
    <x v="1"/>
    <x v="1"/>
    <m/>
    <s v="Annual Equity Grant"/>
    <n v="7.0000000000000007E-2"/>
    <x v="1"/>
    <s v="Profitability"/>
    <x v="82"/>
    <s v="Adjusted Funds from Operations per Share"/>
    <n v="0.5"/>
  </r>
  <r>
    <x v="119"/>
    <x v="10"/>
    <x v="22"/>
    <x v="39"/>
    <s v="REIT"/>
    <x v="1"/>
    <s v="BBB"/>
    <s v="United States"/>
    <x v="0"/>
    <d v="2024-04-12T00:00:00"/>
    <x v="0"/>
    <x v="1"/>
    <x v="1"/>
    <m/>
    <s v="Annual Equity Grant"/>
    <n v="7.0000000000000007E-2"/>
    <x v="0"/>
    <s v="Modifier/Threshold"/>
    <x v="20"/>
    <s v="Strategic Modifier"/>
    <m/>
  </r>
  <r>
    <x v="119"/>
    <x v="10"/>
    <x v="22"/>
    <x v="39"/>
    <s v="REIT"/>
    <x v="1"/>
    <s v="BBB"/>
    <s v="United States"/>
    <x v="0"/>
    <d v="2024-04-12T00:00:00"/>
    <x v="0"/>
    <x v="1"/>
    <x v="1"/>
    <m/>
    <s v="Annual Equity Grant"/>
    <n v="7.0000000000000007E-2"/>
    <x v="0"/>
    <s v="Modifier/Threshold"/>
    <x v="76"/>
    <s v="Adjusted Revenue"/>
    <m/>
  </r>
  <r>
    <x v="119"/>
    <x v="10"/>
    <x v="22"/>
    <x v="39"/>
    <s v="REIT"/>
    <x v="1"/>
    <s v="BBB"/>
    <s v="United States"/>
    <x v="0"/>
    <d v="2024-04-12T00:00:00"/>
    <x v="0"/>
    <x v="1"/>
    <x v="1"/>
    <m/>
    <s v="Annual Equity Grant"/>
    <n v="7.0000000000000007E-2"/>
    <x v="0"/>
    <s v="Modifier/Threshold"/>
    <x v="95"/>
    <s v="Adjusted Funds from Operations per Share"/>
    <m/>
  </r>
  <r>
    <x v="119"/>
    <x v="10"/>
    <x v="22"/>
    <x v="39"/>
    <s v="REIT"/>
    <x v="1"/>
    <s v="BBB"/>
    <s v="United States"/>
    <x v="0"/>
    <d v="2024-04-12T00:00:00"/>
    <x v="0"/>
    <x v="2"/>
    <x v="1"/>
    <n v="0.53"/>
    <s v="Performance Stock"/>
    <n v="0.53"/>
    <x v="3"/>
    <s v="Stock Performance"/>
    <x v="11"/>
    <s v="3Y Relative TSR"/>
    <n v="0.33"/>
  </r>
  <r>
    <x v="119"/>
    <x v="10"/>
    <x v="22"/>
    <x v="39"/>
    <s v="REIT"/>
    <x v="1"/>
    <s v="BBB"/>
    <s v="United States"/>
    <x v="0"/>
    <d v="2024-04-12T00:00:00"/>
    <x v="0"/>
    <x v="2"/>
    <x v="1"/>
    <m/>
    <s v="Performance Stock"/>
    <n v="0.53"/>
    <x v="1"/>
    <s v="Growth"/>
    <x v="1"/>
    <s v="Adjusted Revenue"/>
    <n v="0.25"/>
  </r>
  <r>
    <x v="119"/>
    <x v="10"/>
    <x v="22"/>
    <x v="39"/>
    <s v="REIT"/>
    <x v="1"/>
    <s v="BBB"/>
    <s v="United States"/>
    <x v="0"/>
    <d v="2024-04-12T00:00:00"/>
    <x v="0"/>
    <x v="2"/>
    <x v="1"/>
    <m/>
    <s v="Performance Stock"/>
    <n v="0.53"/>
    <x v="1"/>
    <s v="Profitability"/>
    <x v="82"/>
    <s v="Adjusted Funds from Operations per Share"/>
    <n v="0.25"/>
  </r>
  <r>
    <x v="119"/>
    <x v="10"/>
    <x v="22"/>
    <x v="39"/>
    <s v="REIT"/>
    <x v="1"/>
    <s v="BBB"/>
    <s v="United States"/>
    <x v="0"/>
    <d v="2024-04-12T00:00:00"/>
    <x v="0"/>
    <x v="2"/>
    <x v="1"/>
    <m/>
    <s v="Performance Stock"/>
    <n v="0.53"/>
    <x v="1"/>
    <s v="Growth"/>
    <x v="3"/>
    <s v="Digital Service Revenue"/>
    <n v="0.17"/>
  </r>
  <r>
    <x v="119"/>
    <x v="10"/>
    <x v="22"/>
    <x v="39"/>
    <s v="REIT"/>
    <x v="1"/>
    <s v="BBB"/>
    <s v="United States"/>
    <x v="0"/>
    <d v="2024-04-12T00:00:00"/>
    <x v="0"/>
    <x v="2"/>
    <x v="0"/>
    <n v="0.35"/>
    <s v="Time-Based Stock"/>
    <n v="0.35"/>
    <x v="0"/>
    <m/>
    <x v="0"/>
    <m/>
    <m/>
  </r>
  <r>
    <x v="119"/>
    <x v="10"/>
    <x v="22"/>
    <x v="39"/>
    <s v="REIT"/>
    <x v="1"/>
    <s v="BBB"/>
    <s v="United States"/>
    <x v="0"/>
    <d v="2024-04-12T00:00:00"/>
    <x v="1"/>
    <x v="0"/>
    <x v="0"/>
    <n v="0.08"/>
    <s v="Base Salary"/>
    <n v="0.08"/>
    <x v="0"/>
    <m/>
    <x v="0"/>
    <m/>
    <m/>
  </r>
  <r>
    <x v="119"/>
    <x v="10"/>
    <x v="22"/>
    <x v="39"/>
    <s v="REIT"/>
    <x v="1"/>
    <s v="BBB"/>
    <s v="United States"/>
    <x v="0"/>
    <d v="2024-04-12T00:00:00"/>
    <x v="1"/>
    <x v="1"/>
    <x v="1"/>
    <n v="7.0000000000000007E-2"/>
    <s v="Annual Equity Grant"/>
    <n v="7.0000000000000007E-2"/>
    <x v="1"/>
    <s v="Growth"/>
    <x v="1"/>
    <s v="Adjusted Revenue"/>
    <n v="0.5"/>
  </r>
  <r>
    <x v="119"/>
    <x v="10"/>
    <x v="22"/>
    <x v="39"/>
    <s v="REIT"/>
    <x v="1"/>
    <s v="BBB"/>
    <s v="United States"/>
    <x v="0"/>
    <d v="2024-04-12T00:00:00"/>
    <x v="1"/>
    <x v="1"/>
    <x v="1"/>
    <m/>
    <s v="Annual Equity Grant"/>
    <n v="7.0000000000000007E-2"/>
    <x v="1"/>
    <s v="Profitability"/>
    <x v="82"/>
    <s v="Adjusted Funds from Operations per Share"/>
    <n v="0.5"/>
  </r>
  <r>
    <x v="119"/>
    <x v="10"/>
    <x v="22"/>
    <x v="39"/>
    <s v="REIT"/>
    <x v="1"/>
    <s v="BBB"/>
    <s v="United States"/>
    <x v="0"/>
    <d v="2024-04-12T00:00:00"/>
    <x v="1"/>
    <x v="1"/>
    <x v="1"/>
    <m/>
    <s v="Annual Equity Grant"/>
    <n v="7.0000000000000007E-2"/>
    <x v="0"/>
    <s v="Modifier/Threshold"/>
    <x v="20"/>
    <s v="Strategic Modifier"/>
    <m/>
  </r>
  <r>
    <x v="119"/>
    <x v="10"/>
    <x v="22"/>
    <x v="39"/>
    <s v="REIT"/>
    <x v="1"/>
    <s v="BBB"/>
    <s v="United States"/>
    <x v="0"/>
    <d v="2024-04-12T00:00:00"/>
    <x v="1"/>
    <x v="1"/>
    <x v="1"/>
    <m/>
    <s v="Annual Equity Grant"/>
    <n v="7.0000000000000007E-2"/>
    <x v="0"/>
    <s v="Modifier/Threshold"/>
    <x v="76"/>
    <s v="Adjusted Revenue"/>
    <m/>
  </r>
  <r>
    <x v="119"/>
    <x v="10"/>
    <x v="22"/>
    <x v="39"/>
    <s v="REIT"/>
    <x v="1"/>
    <s v="BBB"/>
    <s v="United States"/>
    <x v="0"/>
    <d v="2024-04-12T00:00:00"/>
    <x v="1"/>
    <x v="1"/>
    <x v="1"/>
    <m/>
    <s v="Annual Equity Grant"/>
    <n v="7.0000000000000007E-2"/>
    <x v="0"/>
    <s v="Modifier/Threshold"/>
    <x v="95"/>
    <s v="Adjusted Funds from Operations per Share"/>
    <m/>
  </r>
  <r>
    <x v="119"/>
    <x v="10"/>
    <x v="22"/>
    <x v="39"/>
    <s v="REIT"/>
    <x v="1"/>
    <s v="BBB"/>
    <s v="United States"/>
    <x v="0"/>
    <d v="2024-04-12T00:00:00"/>
    <x v="1"/>
    <x v="2"/>
    <x v="1"/>
    <n v="0.51"/>
    <s v="Performance Stock"/>
    <n v="0.51"/>
    <x v="3"/>
    <s v="Stock Performance"/>
    <x v="11"/>
    <s v="3Y Relative TSR"/>
    <n v="0.33"/>
  </r>
  <r>
    <x v="119"/>
    <x v="10"/>
    <x v="22"/>
    <x v="39"/>
    <s v="REIT"/>
    <x v="1"/>
    <s v="BBB"/>
    <s v="United States"/>
    <x v="0"/>
    <d v="2024-04-12T00:00:00"/>
    <x v="1"/>
    <x v="2"/>
    <x v="1"/>
    <m/>
    <s v="Performance Stock"/>
    <n v="0.51"/>
    <x v="1"/>
    <s v="Growth"/>
    <x v="1"/>
    <s v="Adjusted Revenue"/>
    <n v="0.25"/>
  </r>
  <r>
    <x v="119"/>
    <x v="10"/>
    <x v="22"/>
    <x v="39"/>
    <s v="REIT"/>
    <x v="1"/>
    <s v="BBB"/>
    <s v="United States"/>
    <x v="0"/>
    <d v="2024-04-12T00:00:00"/>
    <x v="1"/>
    <x v="2"/>
    <x v="1"/>
    <m/>
    <s v="Performance Stock"/>
    <n v="0.51"/>
    <x v="1"/>
    <s v="Profitability"/>
    <x v="82"/>
    <s v="Adjusted Funds from Operations per Share"/>
    <n v="0.25"/>
  </r>
  <r>
    <x v="119"/>
    <x v="10"/>
    <x v="22"/>
    <x v="39"/>
    <s v="REIT"/>
    <x v="1"/>
    <s v="BBB"/>
    <s v="United States"/>
    <x v="0"/>
    <d v="2024-04-12T00:00:00"/>
    <x v="1"/>
    <x v="2"/>
    <x v="1"/>
    <m/>
    <s v="Performance Stock"/>
    <n v="0.51"/>
    <x v="1"/>
    <s v="Growth"/>
    <x v="3"/>
    <s v="Digital Service Revenue"/>
    <n v="0.17"/>
  </r>
  <r>
    <x v="119"/>
    <x v="10"/>
    <x v="22"/>
    <x v="39"/>
    <s v="REIT"/>
    <x v="1"/>
    <s v="BBB"/>
    <s v="United States"/>
    <x v="0"/>
    <d v="2024-04-12T00:00:00"/>
    <x v="1"/>
    <x v="2"/>
    <x v="0"/>
    <n v="0.34"/>
    <s v="Time-Based Stock"/>
    <n v="0.34"/>
    <x v="0"/>
    <m/>
    <x v="0"/>
    <m/>
    <m/>
  </r>
  <r>
    <x v="120"/>
    <x v="0"/>
    <x v="1"/>
    <x v="1"/>
    <s v="Semiconductors"/>
    <x v="0"/>
    <s v="AA-"/>
    <s v="Taiwan"/>
    <x v="1"/>
    <d v="2024-04-18T00:00:00"/>
    <x v="0"/>
    <x v="0"/>
    <x v="0"/>
    <n v="2.8000000000000001E-2"/>
    <s v="Base Salary"/>
    <n v="2.8000000000000001E-2"/>
    <x v="0"/>
    <m/>
    <x v="0"/>
    <m/>
    <m/>
  </r>
  <r>
    <x v="120"/>
    <x v="0"/>
    <x v="1"/>
    <x v="1"/>
    <s v="Semiconductors"/>
    <x v="0"/>
    <s v="AA-"/>
    <s v="Taiwan"/>
    <x v="1"/>
    <d v="2024-04-18T00:00:00"/>
    <x v="0"/>
    <x v="4"/>
    <x v="1"/>
    <n v="0.40500000000000003"/>
    <s v="Profit Sharing"/>
    <n v="0.40500000000000003"/>
    <x v="1"/>
    <s v="Profitability"/>
    <x v="24"/>
    <s v="Net Income"/>
    <n v="1"/>
  </r>
  <r>
    <x v="120"/>
    <x v="0"/>
    <x v="1"/>
    <x v="1"/>
    <s v="Semiconductors"/>
    <x v="0"/>
    <s v="AA-"/>
    <s v="Taiwan"/>
    <x v="1"/>
    <d v="2024-04-18T00:00:00"/>
    <x v="0"/>
    <x v="1"/>
    <x v="1"/>
    <n v="0.40500000000000003"/>
    <s v="Cash Incentive"/>
    <n v="0.40500000000000003"/>
    <x v="1"/>
    <s v="Profitability"/>
    <x v="24"/>
    <s v="Net Income"/>
    <n v="1"/>
  </r>
  <r>
    <x v="120"/>
    <x v="0"/>
    <x v="1"/>
    <x v="1"/>
    <s v="Semiconductors"/>
    <x v="0"/>
    <s v="AA-"/>
    <s v="Taiwan"/>
    <x v="1"/>
    <d v="2024-04-18T00:00:00"/>
    <x v="0"/>
    <x v="2"/>
    <x v="1"/>
    <n v="0.16200000000000001"/>
    <s v="Performance Stock"/>
    <n v="0.16200000000000001"/>
    <x v="3"/>
    <s v="Stock Performance"/>
    <x v="11"/>
    <s v="Relative TSR"/>
    <n v="1"/>
  </r>
  <r>
    <x v="120"/>
    <x v="0"/>
    <x v="1"/>
    <x v="1"/>
    <s v="Semiconductors"/>
    <x v="0"/>
    <s v="AA-"/>
    <s v="Taiwan"/>
    <x v="1"/>
    <d v="2024-04-18T00:00:00"/>
    <x v="0"/>
    <x v="2"/>
    <x v="1"/>
    <m/>
    <s v="Performance Stock"/>
    <n v="0.16200000000000001"/>
    <x v="0"/>
    <s v="Modifier/Threshold"/>
    <x v="20"/>
    <s v="ESG Achievements"/>
    <m/>
  </r>
  <r>
    <x v="120"/>
    <x v="0"/>
    <x v="1"/>
    <x v="1"/>
    <s v="Semiconductors"/>
    <x v="0"/>
    <s v="AA-"/>
    <s v="Taiwan"/>
    <x v="1"/>
    <d v="2024-04-18T00:00:00"/>
    <x v="1"/>
    <x v="0"/>
    <x v="0"/>
    <n v="0.06"/>
    <s v="Base Salary"/>
    <n v="0.06"/>
    <x v="0"/>
    <m/>
    <x v="0"/>
    <m/>
    <m/>
  </r>
  <r>
    <x v="120"/>
    <x v="0"/>
    <x v="1"/>
    <x v="1"/>
    <s v="Semiconductors"/>
    <x v="0"/>
    <s v="AA-"/>
    <s v="Taiwan"/>
    <x v="1"/>
    <d v="2024-04-18T00:00:00"/>
    <x v="1"/>
    <x v="4"/>
    <x v="1"/>
    <n v="0.38"/>
    <s v="Profit Sharing"/>
    <n v="0.38"/>
    <x v="1"/>
    <s v="Profitability"/>
    <x v="24"/>
    <s v="Net Income"/>
    <n v="1"/>
  </r>
  <r>
    <x v="120"/>
    <x v="0"/>
    <x v="1"/>
    <x v="1"/>
    <s v="Semiconductors"/>
    <x v="0"/>
    <s v="AA-"/>
    <s v="Taiwan"/>
    <x v="1"/>
    <d v="2024-04-18T00:00:00"/>
    <x v="1"/>
    <x v="1"/>
    <x v="1"/>
    <n v="0.41699999999999998"/>
    <s v="Cash Incentive"/>
    <n v="0.41699999999999998"/>
    <x v="1"/>
    <s v="Profitability"/>
    <x v="24"/>
    <s v="Net Income"/>
    <n v="1"/>
  </r>
  <r>
    <x v="120"/>
    <x v="0"/>
    <x v="1"/>
    <x v="1"/>
    <s v="Semiconductors"/>
    <x v="0"/>
    <s v="AA-"/>
    <s v="Taiwan"/>
    <x v="1"/>
    <d v="2024-04-18T00:00:00"/>
    <x v="1"/>
    <x v="2"/>
    <x v="1"/>
    <n v="0.14299999999999999"/>
    <s v="Performance Stock"/>
    <n v="0.14299999999999999"/>
    <x v="3"/>
    <s v="Stock Performance"/>
    <x v="11"/>
    <s v="Relative TSR"/>
    <n v="1"/>
  </r>
  <r>
    <x v="120"/>
    <x v="0"/>
    <x v="1"/>
    <x v="1"/>
    <s v="Semiconductors"/>
    <x v="0"/>
    <s v="AA-"/>
    <s v="Taiwan"/>
    <x v="1"/>
    <d v="2024-04-18T00:00:00"/>
    <x v="1"/>
    <x v="2"/>
    <x v="1"/>
    <m/>
    <s v="Performance Stock"/>
    <n v="0.14299999999999999"/>
    <x v="0"/>
    <s v="Modifier/Threshold"/>
    <x v="20"/>
    <s v="ESG Achievements"/>
    <m/>
  </r>
  <r>
    <x v="121"/>
    <x v="3"/>
    <x v="4"/>
    <x v="4"/>
    <s v="Pharmaceuticals"/>
    <x v="0"/>
    <s v="AA-"/>
    <s v="Denmark"/>
    <x v="2"/>
    <d v="2024-01-31T00:00:00"/>
    <x v="0"/>
    <x v="0"/>
    <x v="0"/>
    <n v="0.31"/>
    <s v="Base Salary"/>
    <n v="0.31"/>
    <x v="0"/>
    <m/>
    <x v="0"/>
    <m/>
    <m/>
  </r>
  <r>
    <x v="121"/>
    <x v="3"/>
    <x v="4"/>
    <x v="4"/>
    <s v="Pharmaceuticals"/>
    <x v="0"/>
    <s v="AA-"/>
    <s v="Denmark"/>
    <x v="2"/>
    <d v="2024-01-31T00:00:00"/>
    <x v="0"/>
    <x v="1"/>
    <x v="1"/>
    <n v="0.15"/>
    <s v="Cash Incentive"/>
    <n v="0.15"/>
    <x v="1"/>
    <s v="Growth"/>
    <x v="1"/>
    <s v="Adjusted Revenue Growth"/>
    <n v="0.25"/>
  </r>
  <r>
    <x v="121"/>
    <x v="3"/>
    <x v="4"/>
    <x v="4"/>
    <s v="Pharmaceuticals"/>
    <x v="0"/>
    <s v="AA-"/>
    <s v="Denmark"/>
    <x v="2"/>
    <d v="2024-01-31T00:00:00"/>
    <x v="0"/>
    <x v="1"/>
    <x v="1"/>
    <m/>
    <s v="Cash Incentive"/>
    <n v="0.15"/>
    <x v="1"/>
    <s v="Profitability"/>
    <x v="2"/>
    <s v="Adjusted Operating Income Growth"/>
    <n v="0.25"/>
  </r>
  <r>
    <x v="121"/>
    <x v="3"/>
    <x v="4"/>
    <x v="4"/>
    <s v="Pharmaceuticals"/>
    <x v="0"/>
    <s v="AA-"/>
    <s v="Denmark"/>
    <x v="2"/>
    <d v="2024-01-31T00:00:00"/>
    <x v="0"/>
    <x v="1"/>
    <x v="1"/>
    <m/>
    <s v="Cash Incentive"/>
    <n v="0.15"/>
    <x v="2"/>
    <s v="ESG"/>
    <x v="7"/>
    <s v="Non-Financial Performance (ESG)"/>
    <n v="0.125"/>
  </r>
  <r>
    <x v="121"/>
    <x v="3"/>
    <x v="4"/>
    <x v="4"/>
    <s v="Pharmaceuticals"/>
    <x v="0"/>
    <s v="AA-"/>
    <s v="Denmark"/>
    <x v="2"/>
    <d v="2024-01-31T00:00:00"/>
    <x v="0"/>
    <x v="1"/>
    <x v="1"/>
    <m/>
    <s v="Cash Incentive"/>
    <n v="0.15"/>
    <x v="2"/>
    <s v="Strategy &amp; Operations"/>
    <x v="15"/>
    <s v="Non-Financial Performance (Pipeline)"/>
    <n v="0.125"/>
  </r>
  <r>
    <x v="121"/>
    <x v="3"/>
    <x v="4"/>
    <x v="4"/>
    <s v="Pharmaceuticals"/>
    <x v="0"/>
    <s v="AA-"/>
    <s v="Denmark"/>
    <x v="2"/>
    <d v="2024-01-31T00:00:00"/>
    <x v="0"/>
    <x v="1"/>
    <x v="1"/>
    <m/>
    <s v="Cash Incentive"/>
    <n v="0.15"/>
    <x v="2"/>
    <s v="Individual Assessment"/>
    <x v="13"/>
    <s v="Individual Performance Assessment"/>
    <n v="0.25"/>
  </r>
  <r>
    <x v="121"/>
    <x v="3"/>
    <x v="4"/>
    <x v="4"/>
    <s v="Pharmaceuticals"/>
    <x v="0"/>
    <s v="AA-"/>
    <s v="Denmark"/>
    <x v="2"/>
    <d v="2024-01-31T00:00:00"/>
    <x v="0"/>
    <x v="2"/>
    <x v="1"/>
    <n v="0.54"/>
    <s v="Performance Stock"/>
    <n v="0.54"/>
    <x v="1"/>
    <s v="Growth"/>
    <x v="1"/>
    <s v="3Y Average Adjusted Revenue Growth"/>
    <n v="0.33333333333333331"/>
  </r>
  <r>
    <x v="121"/>
    <x v="3"/>
    <x v="4"/>
    <x v="4"/>
    <s v="Pharmaceuticals"/>
    <x v="0"/>
    <s v="AA-"/>
    <s v="Denmark"/>
    <x v="2"/>
    <d v="2024-01-31T00:00:00"/>
    <x v="0"/>
    <x v="2"/>
    <x v="1"/>
    <m/>
    <s v="Performance Stock"/>
    <n v="0.54"/>
    <x v="1"/>
    <s v="Profitability"/>
    <x v="2"/>
    <s v="3Y Average Adjusted Operating Income Growth"/>
    <n v="0.33333333333333331"/>
  </r>
  <r>
    <x v="121"/>
    <x v="3"/>
    <x v="4"/>
    <x v="4"/>
    <s v="Pharmaceuticals"/>
    <x v="0"/>
    <s v="AA-"/>
    <s v="Denmark"/>
    <x v="2"/>
    <d v="2024-01-31T00:00:00"/>
    <x v="0"/>
    <x v="2"/>
    <x v="1"/>
    <m/>
    <s v="Performance Stock"/>
    <n v="0.54"/>
    <x v="2"/>
    <s v="ESG"/>
    <x v="7"/>
    <s v="3Y Strategic Initiatives Achievement (ESG)"/>
    <n v="0.16666666666666666"/>
  </r>
  <r>
    <x v="121"/>
    <x v="3"/>
    <x v="4"/>
    <x v="4"/>
    <s v="Pharmaceuticals"/>
    <x v="0"/>
    <s v="AA-"/>
    <s v="Denmark"/>
    <x v="2"/>
    <d v="2024-01-31T00:00:00"/>
    <x v="0"/>
    <x v="2"/>
    <x v="1"/>
    <m/>
    <s v="Performance Stock"/>
    <n v="0.54"/>
    <x v="2"/>
    <s v="Strategy &amp; Operations"/>
    <x v="15"/>
    <s v="3Y Strategic Initiatives Achievement (Pipeline)"/>
    <n v="0.16666666666666666"/>
  </r>
  <r>
    <x v="121"/>
    <x v="3"/>
    <x v="4"/>
    <x v="4"/>
    <s v="Pharmaceuticals"/>
    <x v="0"/>
    <s v="AA-"/>
    <s v="Denmark"/>
    <x v="2"/>
    <d v="2024-01-31T00:00:00"/>
    <x v="1"/>
    <x v="0"/>
    <x v="0"/>
    <n v="0.35640191284538542"/>
    <s v="Base Salary"/>
    <n v="0.35640191284538542"/>
    <x v="0"/>
    <m/>
    <x v="0"/>
    <m/>
    <m/>
  </r>
  <r>
    <x v="121"/>
    <x v="3"/>
    <x v="4"/>
    <x v="4"/>
    <s v="Pharmaceuticals"/>
    <x v="0"/>
    <s v="AA-"/>
    <s v="Denmark"/>
    <x v="2"/>
    <d v="2024-01-31T00:00:00"/>
    <x v="1"/>
    <x v="1"/>
    <x v="1"/>
    <n v="0.17820095642269271"/>
    <s v="Cash Incentive"/>
    <n v="0.17820095642269271"/>
    <x v="1"/>
    <s v="Growth"/>
    <x v="1"/>
    <s v="Adjusted Revenue Growth"/>
    <n v="0.25"/>
  </r>
  <r>
    <x v="121"/>
    <x v="3"/>
    <x v="4"/>
    <x v="4"/>
    <s v="Pharmaceuticals"/>
    <x v="0"/>
    <s v="AA-"/>
    <s v="Denmark"/>
    <x v="2"/>
    <d v="2024-01-31T00:00:00"/>
    <x v="1"/>
    <x v="1"/>
    <x v="1"/>
    <m/>
    <s v="Cash Incentive"/>
    <n v="0.17820095642269271"/>
    <x v="1"/>
    <s v="Profitability"/>
    <x v="2"/>
    <s v="Adjusted Operating Income Growth"/>
    <n v="0.25"/>
  </r>
  <r>
    <x v="121"/>
    <x v="3"/>
    <x v="4"/>
    <x v="4"/>
    <s v="Pharmaceuticals"/>
    <x v="0"/>
    <s v="AA-"/>
    <s v="Denmark"/>
    <x v="2"/>
    <d v="2024-01-31T00:00:00"/>
    <x v="1"/>
    <x v="1"/>
    <x v="1"/>
    <m/>
    <s v="Cash Incentive"/>
    <n v="0.17820095642269271"/>
    <x v="2"/>
    <s v="ESG"/>
    <x v="7"/>
    <s v="Non-Financial Performance (ESG)"/>
    <n v="0.125"/>
  </r>
  <r>
    <x v="121"/>
    <x v="3"/>
    <x v="4"/>
    <x v="4"/>
    <s v="Pharmaceuticals"/>
    <x v="0"/>
    <s v="AA-"/>
    <s v="Denmark"/>
    <x v="2"/>
    <d v="2024-01-31T00:00:00"/>
    <x v="1"/>
    <x v="1"/>
    <x v="1"/>
    <m/>
    <s v="Cash Incentive"/>
    <n v="0.17820095642269271"/>
    <x v="2"/>
    <s v="Strategy &amp; Operations"/>
    <x v="15"/>
    <s v="Non-Financial Performance (Pipeline)"/>
    <n v="0.125"/>
  </r>
  <r>
    <x v="121"/>
    <x v="3"/>
    <x v="4"/>
    <x v="4"/>
    <s v="Pharmaceuticals"/>
    <x v="0"/>
    <s v="AA-"/>
    <s v="Denmark"/>
    <x v="2"/>
    <d v="2024-01-31T00:00:00"/>
    <x v="1"/>
    <x v="1"/>
    <x v="1"/>
    <m/>
    <s v="Cash Incentive"/>
    <n v="0.17820095642269271"/>
    <x v="2"/>
    <s v="Individual Assessment"/>
    <x v="13"/>
    <s v="Individual Performance Assessment"/>
    <n v="0.25"/>
  </r>
  <r>
    <x v="121"/>
    <x v="3"/>
    <x v="4"/>
    <x v="4"/>
    <s v="Pharmaceuticals"/>
    <x v="0"/>
    <s v="AA-"/>
    <s v="Denmark"/>
    <x v="2"/>
    <d v="2024-01-31T00:00:00"/>
    <x v="1"/>
    <x v="2"/>
    <x v="1"/>
    <n v="0.46539713073192185"/>
    <s v="Performance Stock"/>
    <n v="0.46539713073192185"/>
    <x v="1"/>
    <s v="Growth"/>
    <x v="1"/>
    <s v="3Y Average Adjusted Revenue Growth"/>
    <n v="0.33333333333333331"/>
  </r>
  <r>
    <x v="121"/>
    <x v="3"/>
    <x v="4"/>
    <x v="4"/>
    <s v="Pharmaceuticals"/>
    <x v="0"/>
    <s v="AA-"/>
    <s v="Denmark"/>
    <x v="2"/>
    <d v="2024-01-31T00:00:00"/>
    <x v="1"/>
    <x v="2"/>
    <x v="1"/>
    <m/>
    <s v="Performance Stock"/>
    <n v="0.46539713073192185"/>
    <x v="1"/>
    <s v="Profitability"/>
    <x v="2"/>
    <s v="3Y Average Adjusted Operating Income Growth"/>
    <n v="0.33333333333333331"/>
  </r>
  <r>
    <x v="121"/>
    <x v="3"/>
    <x v="4"/>
    <x v="4"/>
    <s v="Pharmaceuticals"/>
    <x v="0"/>
    <s v="AA-"/>
    <s v="Denmark"/>
    <x v="2"/>
    <d v="2024-01-31T00:00:00"/>
    <x v="1"/>
    <x v="2"/>
    <x v="1"/>
    <m/>
    <s v="Performance Stock"/>
    <n v="0.46539713073192185"/>
    <x v="2"/>
    <s v="ESG"/>
    <x v="7"/>
    <s v="3Y Strategic Initiatives Achievement (ESG)"/>
    <n v="0.16666666666666666"/>
  </r>
  <r>
    <x v="121"/>
    <x v="3"/>
    <x v="4"/>
    <x v="4"/>
    <s v="Pharmaceuticals"/>
    <x v="0"/>
    <s v="AA-"/>
    <s v="Denmark"/>
    <x v="2"/>
    <d v="2024-01-31T00:00:00"/>
    <x v="1"/>
    <x v="2"/>
    <x v="1"/>
    <m/>
    <s v="Performance Stock"/>
    <n v="0.46539713073192185"/>
    <x v="2"/>
    <s v="Strategy &amp; Operations"/>
    <x v="15"/>
    <s v="3Y Strategic Initiatives Achievement (Pipeline)"/>
    <n v="0.16666666666666666"/>
  </r>
  <r>
    <x v="122"/>
    <x v="8"/>
    <x v="13"/>
    <x v="21"/>
    <s v="Oil and Gas"/>
    <x v="1"/>
    <s v="BBB-"/>
    <s v="Canada"/>
    <x v="3"/>
    <d v="2024-03-13T00:00:00"/>
    <x v="0"/>
    <x v="0"/>
    <x v="0"/>
    <n v="0.09"/>
    <s v="Base Salary"/>
    <n v="0.09"/>
    <x v="0"/>
    <m/>
    <x v="0"/>
    <m/>
    <m/>
  </r>
  <r>
    <x v="122"/>
    <x v="8"/>
    <x v="13"/>
    <x v="21"/>
    <s v="Oil and Gas"/>
    <x v="1"/>
    <s v="BBB-"/>
    <s v="Canada"/>
    <x v="3"/>
    <d v="2024-03-13T00:00:00"/>
    <x v="0"/>
    <x v="1"/>
    <x v="1"/>
    <n v="0.1"/>
    <s v="Cash Incentive"/>
    <n v="0.1"/>
    <x v="2"/>
    <s v="Strategy &amp; Operations"/>
    <x v="3"/>
    <s v="Strategic Capital Allocation"/>
    <n v="0.3"/>
  </r>
  <r>
    <x v="122"/>
    <x v="8"/>
    <x v="13"/>
    <x v="21"/>
    <s v="Oil and Gas"/>
    <x v="1"/>
    <s v="BBB-"/>
    <s v="Canada"/>
    <x v="3"/>
    <d v="2024-03-13T00:00:00"/>
    <x v="0"/>
    <x v="1"/>
    <x v="1"/>
    <m/>
    <s v="Cash Incentive"/>
    <n v="0.1"/>
    <x v="1"/>
    <s v="Strategy &amp; Operations"/>
    <x v="3"/>
    <s v="Financial Performance"/>
    <n v="0.25"/>
  </r>
  <r>
    <x v="122"/>
    <x v="8"/>
    <x v="13"/>
    <x v="21"/>
    <s v="Oil and Gas"/>
    <x v="1"/>
    <s v="BBB-"/>
    <s v="Canada"/>
    <x v="3"/>
    <d v="2024-03-13T00:00:00"/>
    <x v="0"/>
    <x v="1"/>
    <x v="1"/>
    <m/>
    <s v="Cash Incentive"/>
    <n v="0.1"/>
    <x v="1"/>
    <s v="Strategy &amp; Operations"/>
    <x v="3"/>
    <s v="Operational Performance"/>
    <n v="0.25"/>
  </r>
  <r>
    <x v="122"/>
    <x v="8"/>
    <x v="13"/>
    <x v="21"/>
    <s v="Oil and Gas"/>
    <x v="1"/>
    <s v="BBB-"/>
    <s v="Canada"/>
    <x v="3"/>
    <d v="2024-03-13T00:00:00"/>
    <x v="0"/>
    <x v="1"/>
    <x v="1"/>
    <m/>
    <s v="Cash Incentive"/>
    <n v="0.1"/>
    <x v="2"/>
    <s v="ESG"/>
    <x v="7"/>
    <s v="Safety, Asset Integrity, and Environmental"/>
    <n v="0.2"/>
  </r>
  <r>
    <x v="122"/>
    <x v="8"/>
    <x v="13"/>
    <x v="21"/>
    <s v="Oil and Gas"/>
    <x v="1"/>
    <s v="BBB-"/>
    <s v="Canada"/>
    <x v="3"/>
    <d v="2024-03-13T00:00:00"/>
    <x v="0"/>
    <x v="2"/>
    <x v="1"/>
    <n v="0.35"/>
    <s v="Performance Stock"/>
    <n v="0.35"/>
    <x v="3"/>
    <s v="Stock Performance"/>
    <x v="11"/>
    <s v="3Y Relative TSR"/>
    <n v="1"/>
  </r>
  <r>
    <x v="122"/>
    <x v="8"/>
    <x v="13"/>
    <x v="21"/>
    <s v="Oil and Gas"/>
    <x v="1"/>
    <s v="BBB-"/>
    <s v="Canada"/>
    <x v="3"/>
    <d v="2024-03-13T00:00:00"/>
    <x v="0"/>
    <x v="2"/>
    <x v="0"/>
    <n v="0.46"/>
    <s v="Stock Options"/>
    <n v="0.46"/>
    <x v="0"/>
    <m/>
    <x v="0"/>
    <m/>
    <m/>
  </r>
  <r>
    <x v="122"/>
    <x v="8"/>
    <x v="13"/>
    <x v="21"/>
    <s v="Oil and Gas"/>
    <x v="1"/>
    <s v="BBB-"/>
    <s v="Canada"/>
    <x v="3"/>
    <d v="2024-03-13T00:00:00"/>
    <x v="1"/>
    <x v="0"/>
    <x v="0"/>
    <n v="0.14544830875032422"/>
    <s v="Base Salary"/>
    <n v="0.14544830875032422"/>
    <x v="0"/>
    <m/>
    <x v="0"/>
    <m/>
    <m/>
  </r>
  <r>
    <x v="122"/>
    <x v="8"/>
    <x v="13"/>
    <x v="21"/>
    <s v="Oil and Gas"/>
    <x v="1"/>
    <s v="BBB-"/>
    <s v="Canada"/>
    <x v="3"/>
    <d v="2024-03-13T00:00:00"/>
    <x v="1"/>
    <x v="1"/>
    <x v="1"/>
    <n v="0.10181381612522693"/>
    <s v="Cash Incentive"/>
    <n v="0.10181381612522693"/>
    <x v="2"/>
    <s v="Strategy &amp; Operations"/>
    <x v="3"/>
    <s v="Strategic Capital Allocation"/>
    <n v="0.3"/>
  </r>
  <r>
    <x v="122"/>
    <x v="8"/>
    <x v="13"/>
    <x v="21"/>
    <s v="Oil and Gas"/>
    <x v="1"/>
    <s v="BBB-"/>
    <s v="Canada"/>
    <x v="3"/>
    <d v="2024-03-13T00:00:00"/>
    <x v="1"/>
    <x v="1"/>
    <x v="1"/>
    <m/>
    <s v="Cash Incentive"/>
    <n v="0.10181381612522693"/>
    <x v="1"/>
    <s v="Strategy &amp; Operations"/>
    <x v="3"/>
    <s v="Financial Performance"/>
    <n v="0.25"/>
  </r>
  <r>
    <x v="122"/>
    <x v="8"/>
    <x v="13"/>
    <x v="21"/>
    <s v="Oil and Gas"/>
    <x v="1"/>
    <s v="BBB-"/>
    <s v="Canada"/>
    <x v="3"/>
    <d v="2024-03-13T00:00:00"/>
    <x v="1"/>
    <x v="1"/>
    <x v="1"/>
    <m/>
    <s v="Cash Incentive"/>
    <n v="0.10181381612522693"/>
    <x v="1"/>
    <s v="Strategy &amp; Operations"/>
    <x v="3"/>
    <s v="Operational Performance"/>
    <n v="0.25"/>
  </r>
  <r>
    <x v="122"/>
    <x v="8"/>
    <x v="13"/>
    <x v="21"/>
    <s v="Oil and Gas"/>
    <x v="1"/>
    <s v="BBB-"/>
    <s v="Canada"/>
    <x v="3"/>
    <d v="2024-03-13T00:00:00"/>
    <x v="1"/>
    <x v="1"/>
    <x v="1"/>
    <m/>
    <s v="Cash Incentive"/>
    <n v="0.10181381612522693"/>
    <x v="2"/>
    <s v="ESG"/>
    <x v="7"/>
    <s v="Safety, Asset Integrity, and Environmental"/>
    <n v="0.2"/>
  </r>
  <r>
    <x v="122"/>
    <x v="8"/>
    <x v="13"/>
    <x v="21"/>
    <s v="Oil and Gas"/>
    <x v="1"/>
    <s v="BBB-"/>
    <s v="Canada"/>
    <x v="3"/>
    <d v="2024-03-13T00:00:00"/>
    <x v="1"/>
    <x v="2"/>
    <x v="1"/>
    <n v="0.31639294887347624"/>
    <s v="Performance Stock"/>
    <n v="0.31639294887347624"/>
    <x v="3"/>
    <s v="Stock Performance"/>
    <x v="11"/>
    <s v="3Y Relative TSR"/>
    <n v="1"/>
  </r>
  <r>
    <x v="122"/>
    <x v="8"/>
    <x v="13"/>
    <x v="21"/>
    <s v="Oil and Gas"/>
    <x v="1"/>
    <s v="BBB-"/>
    <s v="Canada"/>
    <x v="3"/>
    <d v="2024-03-13T00:00:00"/>
    <x v="1"/>
    <x v="2"/>
    <x v="0"/>
    <n v="0.4363449262509726"/>
    <s v="Stock Options"/>
    <n v="0.4363449262509726"/>
    <x v="0"/>
    <m/>
    <x v="0"/>
    <m/>
    <m/>
  </r>
  <r>
    <x v="123"/>
    <x v="3"/>
    <x v="4"/>
    <x v="4"/>
    <s v="Pharmaceuticals"/>
    <x v="0"/>
    <s v="A"/>
    <s v="United Kingdom"/>
    <x v="2"/>
    <d v="2024-02-08T00:00:00"/>
    <x v="0"/>
    <x v="0"/>
    <x v="0"/>
    <n v="0.15"/>
    <s v="Base Salary"/>
    <n v="0.15"/>
    <x v="0"/>
    <m/>
    <x v="0"/>
    <m/>
    <m/>
  </r>
  <r>
    <x v="123"/>
    <x v="3"/>
    <x v="4"/>
    <x v="4"/>
    <s v="Pharmaceuticals"/>
    <x v="0"/>
    <s v="A"/>
    <s v="United Kingdom"/>
    <x v="2"/>
    <d v="2024-02-08T00:00:00"/>
    <x v="0"/>
    <x v="1"/>
    <x v="1"/>
    <n v="0.11"/>
    <s v="Cash Incentive"/>
    <n v="0.11"/>
    <x v="1"/>
    <s v="Growth"/>
    <x v="1"/>
    <s v="Adjusted Revenue"/>
    <n v="0.3"/>
  </r>
  <r>
    <x v="123"/>
    <x v="3"/>
    <x v="4"/>
    <x v="4"/>
    <s v="Pharmaceuticals"/>
    <x v="0"/>
    <s v="A"/>
    <s v="United Kingdom"/>
    <x v="2"/>
    <d v="2024-02-08T00:00:00"/>
    <x v="0"/>
    <x v="1"/>
    <x v="1"/>
    <m/>
    <s v="Cash Incentive"/>
    <n v="0.11"/>
    <x v="1"/>
    <s v="Cash Flow"/>
    <x v="25"/>
    <s v="Adjusted Free Cash Flow"/>
    <n v="0.2"/>
  </r>
  <r>
    <x v="123"/>
    <x v="3"/>
    <x v="4"/>
    <x v="4"/>
    <s v="Pharmaceuticals"/>
    <x v="0"/>
    <s v="A"/>
    <s v="United Kingdom"/>
    <x v="2"/>
    <d v="2024-02-08T00:00:00"/>
    <x v="0"/>
    <x v="1"/>
    <x v="1"/>
    <m/>
    <s v="Cash Incentive"/>
    <n v="0.11"/>
    <x v="1"/>
    <s v="Profitability"/>
    <x v="14"/>
    <s v="Adjusted EPS"/>
    <n v="0.2"/>
  </r>
  <r>
    <x v="123"/>
    <x v="3"/>
    <x v="4"/>
    <x v="4"/>
    <s v="Pharmaceuticals"/>
    <x v="0"/>
    <s v="A"/>
    <s v="United Kingdom"/>
    <x v="2"/>
    <d v="2024-02-08T00:00:00"/>
    <x v="0"/>
    <x v="1"/>
    <x v="1"/>
    <m/>
    <s v="Cash Incentive"/>
    <n v="0.11"/>
    <x v="2"/>
    <s v="Strategy &amp; Operations"/>
    <x v="15"/>
    <s v="Pipeline Regulatory Events"/>
    <n v="0.15"/>
  </r>
  <r>
    <x v="123"/>
    <x v="3"/>
    <x v="4"/>
    <x v="4"/>
    <s v="Pharmaceuticals"/>
    <x v="0"/>
    <s v="A"/>
    <s v="United Kingdom"/>
    <x v="2"/>
    <d v="2024-02-08T00:00:00"/>
    <x v="0"/>
    <x v="1"/>
    <x v="1"/>
    <m/>
    <s v="Cash Incentive"/>
    <n v="0.11"/>
    <x v="2"/>
    <s v="Strategy &amp; Operations"/>
    <x v="15"/>
    <s v="Pipeline Progression Events"/>
    <n v="0.15"/>
  </r>
  <r>
    <x v="123"/>
    <x v="3"/>
    <x v="4"/>
    <x v="4"/>
    <s v="Pharmaceuticals"/>
    <x v="0"/>
    <s v="A"/>
    <s v="United Kingdom"/>
    <x v="2"/>
    <d v="2024-02-08T00:00:00"/>
    <x v="0"/>
    <x v="1"/>
    <x v="1"/>
    <n v="0.11"/>
    <s v="Deferred Equity Grant"/>
    <n v="0.11"/>
    <x v="0"/>
    <m/>
    <x v="0"/>
    <m/>
    <m/>
  </r>
  <r>
    <x v="123"/>
    <x v="3"/>
    <x v="4"/>
    <x v="4"/>
    <s v="Pharmaceuticals"/>
    <x v="0"/>
    <s v="A"/>
    <s v="United Kingdom"/>
    <x v="2"/>
    <d v="2024-02-08T00:00:00"/>
    <x v="0"/>
    <x v="2"/>
    <x v="1"/>
    <n v="0.63"/>
    <s v="Performance Stock"/>
    <n v="0.63"/>
    <x v="1"/>
    <s v="Growth"/>
    <x v="1"/>
    <s v="3Y Cumulative Adjusted Revenue"/>
    <n v="0.2"/>
  </r>
  <r>
    <x v="123"/>
    <x v="3"/>
    <x v="4"/>
    <x v="4"/>
    <s v="Pharmaceuticals"/>
    <x v="0"/>
    <s v="A"/>
    <s v="United Kingdom"/>
    <x v="2"/>
    <d v="2024-02-08T00:00:00"/>
    <x v="0"/>
    <x v="2"/>
    <x v="1"/>
    <m/>
    <s v="Performance Stock"/>
    <n v="0.63"/>
    <x v="1"/>
    <s v="Cash Flow"/>
    <x v="25"/>
    <s v="3Y Cumulative Adjusted Free Cash Flow"/>
    <n v="0.2"/>
  </r>
  <r>
    <x v="123"/>
    <x v="3"/>
    <x v="4"/>
    <x v="4"/>
    <s v="Pharmaceuticals"/>
    <x v="0"/>
    <s v="A"/>
    <s v="United Kingdom"/>
    <x v="2"/>
    <d v="2024-02-08T00:00:00"/>
    <x v="0"/>
    <x v="2"/>
    <x v="1"/>
    <m/>
    <s v="Performance Stock"/>
    <n v="0.63"/>
    <x v="3"/>
    <s v="Stock Performance"/>
    <x v="11"/>
    <s v="3Y Relative TSR"/>
    <n v="0.2"/>
  </r>
  <r>
    <x v="123"/>
    <x v="3"/>
    <x v="4"/>
    <x v="4"/>
    <s v="Pharmaceuticals"/>
    <x v="0"/>
    <s v="A"/>
    <s v="United Kingdom"/>
    <x v="2"/>
    <d v="2024-02-08T00:00:00"/>
    <x v="0"/>
    <x v="2"/>
    <x v="1"/>
    <m/>
    <s v="Performance Stock"/>
    <n v="0.63"/>
    <x v="2"/>
    <s v="Strategy &amp; Operations"/>
    <x v="15"/>
    <s v="3Y Regulatory Events"/>
    <n v="0.18"/>
  </r>
  <r>
    <x v="123"/>
    <x v="3"/>
    <x v="4"/>
    <x v="4"/>
    <s v="Pharmaceuticals"/>
    <x v="0"/>
    <s v="A"/>
    <s v="United Kingdom"/>
    <x v="2"/>
    <d v="2024-02-08T00:00:00"/>
    <x v="0"/>
    <x v="2"/>
    <x v="1"/>
    <m/>
    <s v="Performance Stock"/>
    <n v="0.63"/>
    <x v="2"/>
    <s v="Strategy &amp; Operations"/>
    <x v="15"/>
    <s v="3Y New Molecular Entity Phase III/Registrational Volume"/>
    <n v="0.12"/>
  </r>
  <r>
    <x v="123"/>
    <x v="3"/>
    <x v="4"/>
    <x v="4"/>
    <s v="Pharmaceuticals"/>
    <x v="0"/>
    <s v="A"/>
    <s v="United Kingdom"/>
    <x v="2"/>
    <d v="2024-02-08T00:00:00"/>
    <x v="0"/>
    <x v="2"/>
    <x v="1"/>
    <m/>
    <s v="Performance Stock"/>
    <n v="0.63"/>
    <x v="2"/>
    <s v="ESG"/>
    <x v="7"/>
    <s v="3Y Progress on Ambition Zero Carbon"/>
    <n v="0.1"/>
  </r>
  <r>
    <x v="123"/>
    <x v="3"/>
    <x v="4"/>
    <x v="4"/>
    <s v="Pharmaceuticals"/>
    <x v="0"/>
    <s v="A"/>
    <s v="United Kingdom"/>
    <x v="2"/>
    <d v="2024-02-08T00:00:00"/>
    <x v="1"/>
    <x v="0"/>
    <x v="0"/>
    <n v="0.21"/>
    <s v="Base Salary"/>
    <n v="0.21"/>
    <x v="0"/>
    <m/>
    <x v="0"/>
    <m/>
    <m/>
  </r>
  <r>
    <x v="123"/>
    <x v="3"/>
    <x v="4"/>
    <x v="4"/>
    <s v="Pharmaceuticals"/>
    <x v="0"/>
    <s v="A"/>
    <s v="United Kingdom"/>
    <x v="2"/>
    <d v="2024-02-08T00:00:00"/>
    <x v="1"/>
    <x v="1"/>
    <x v="1"/>
    <n v="0.105"/>
    <s v="Cash Incentive"/>
    <n v="0.105"/>
    <x v="1"/>
    <s v="Growth"/>
    <x v="1"/>
    <s v="Adjusted Revenue"/>
    <n v="0.3"/>
  </r>
  <r>
    <x v="123"/>
    <x v="3"/>
    <x v="4"/>
    <x v="4"/>
    <s v="Pharmaceuticals"/>
    <x v="0"/>
    <s v="A"/>
    <s v="United Kingdom"/>
    <x v="2"/>
    <d v="2024-02-08T00:00:00"/>
    <x v="1"/>
    <x v="1"/>
    <x v="1"/>
    <m/>
    <s v="Cash Incentive"/>
    <n v="0.105"/>
    <x v="1"/>
    <s v="Cash Flow"/>
    <x v="25"/>
    <s v="Adjusted Free Cash Flow"/>
    <n v="0.2"/>
  </r>
  <r>
    <x v="123"/>
    <x v="3"/>
    <x v="4"/>
    <x v="4"/>
    <s v="Pharmaceuticals"/>
    <x v="0"/>
    <s v="A"/>
    <s v="United Kingdom"/>
    <x v="2"/>
    <d v="2024-02-08T00:00:00"/>
    <x v="1"/>
    <x v="1"/>
    <x v="1"/>
    <m/>
    <s v="Cash Incentive"/>
    <n v="0.105"/>
    <x v="1"/>
    <s v="Profitability"/>
    <x v="14"/>
    <s v="Adjusted EPS"/>
    <n v="0.2"/>
  </r>
  <r>
    <x v="123"/>
    <x v="3"/>
    <x v="4"/>
    <x v="4"/>
    <s v="Pharmaceuticals"/>
    <x v="0"/>
    <s v="A"/>
    <s v="United Kingdom"/>
    <x v="2"/>
    <d v="2024-02-08T00:00:00"/>
    <x v="1"/>
    <x v="1"/>
    <x v="1"/>
    <m/>
    <s v="Cash Incentive"/>
    <n v="0.105"/>
    <x v="2"/>
    <s v="Strategy &amp; Operations"/>
    <x v="15"/>
    <s v="Pipeline Regulatory Events"/>
    <n v="0.15"/>
  </r>
  <r>
    <x v="123"/>
    <x v="3"/>
    <x v="4"/>
    <x v="4"/>
    <s v="Pharmaceuticals"/>
    <x v="0"/>
    <s v="A"/>
    <s v="United Kingdom"/>
    <x v="2"/>
    <d v="2024-02-08T00:00:00"/>
    <x v="1"/>
    <x v="1"/>
    <x v="1"/>
    <m/>
    <s v="Cash Incentive"/>
    <n v="0.105"/>
    <x v="2"/>
    <s v="Strategy &amp; Operations"/>
    <x v="15"/>
    <s v="Pipeline Progression Events"/>
    <n v="0.15"/>
  </r>
  <r>
    <x v="123"/>
    <x v="3"/>
    <x v="4"/>
    <x v="4"/>
    <s v="Pharmaceuticals"/>
    <x v="0"/>
    <s v="A"/>
    <s v="United Kingdom"/>
    <x v="2"/>
    <d v="2024-02-08T00:00:00"/>
    <x v="1"/>
    <x v="1"/>
    <x v="1"/>
    <n v="0.105"/>
    <s v="Deferred Equity Grant"/>
    <n v="0.105"/>
    <x v="0"/>
    <m/>
    <x v="0"/>
    <m/>
    <m/>
  </r>
  <r>
    <x v="123"/>
    <x v="3"/>
    <x v="4"/>
    <x v="4"/>
    <s v="Pharmaceuticals"/>
    <x v="0"/>
    <s v="A"/>
    <s v="United Kingdom"/>
    <x v="2"/>
    <d v="2024-02-08T00:00:00"/>
    <x v="1"/>
    <x v="2"/>
    <x v="1"/>
    <n v="0.57999999999999996"/>
    <s v="Performance Stock"/>
    <n v="0.57999999999999996"/>
    <x v="1"/>
    <s v="Growth"/>
    <x v="1"/>
    <s v="3Y Cumulative Adjusted Revenue"/>
    <n v="0.2"/>
  </r>
  <r>
    <x v="123"/>
    <x v="3"/>
    <x v="4"/>
    <x v="4"/>
    <s v="Pharmaceuticals"/>
    <x v="0"/>
    <s v="A"/>
    <s v="United Kingdom"/>
    <x v="2"/>
    <d v="2024-02-08T00:00:00"/>
    <x v="1"/>
    <x v="2"/>
    <x v="1"/>
    <m/>
    <s v="Performance Stock"/>
    <n v="0.57999999999999996"/>
    <x v="1"/>
    <s v="Cash Flow"/>
    <x v="25"/>
    <s v="3Y Cumulative Adjusted Free Cash Flow"/>
    <n v="0.2"/>
  </r>
  <r>
    <x v="123"/>
    <x v="3"/>
    <x v="4"/>
    <x v="4"/>
    <s v="Pharmaceuticals"/>
    <x v="0"/>
    <s v="A"/>
    <s v="United Kingdom"/>
    <x v="2"/>
    <d v="2024-02-08T00:00:00"/>
    <x v="1"/>
    <x v="2"/>
    <x v="1"/>
    <m/>
    <s v="Performance Stock"/>
    <n v="0.57999999999999996"/>
    <x v="3"/>
    <s v="Stock Performance"/>
    <x v="11"/>
    <s v="3Y Relative TSR"/>
    <n v="0.2"/>
  </r>
  <r>
    <x v="123"/>
    <x v="3"/>
    <x v="4"/>
    <x v="4"/>
    <s v="Pharmaceuticals"/>
    <x v="0"/>
    <s v="A"/>
    <s v="United Kingdom"/>
    <x v="2"/>
    <d v="2024-02-08T00:00:00"/>
    <x v="1"/>
    <x v="2"/>
    <x v="1"/>
    <m/>
    <s v="Performance Stock"/>
    <n v="0.57999999999999996"/>
    <x v="2"/>
    <s v="Strategy &amp; Operations"/>
    <x v="15"/>
    <s v="3Y Regulatory Events"/>
    <n v="0.18"/>
  </r>
  <r>
    <x v="123"/>
    <x v="3"/>
    <x v="4"/>
    <x v="4"/>
    <s v="Pharmaceuticals"/>
    <x v="0"/>
    <s v="A"/>
    <s v="United Kingdom"/>
    <x v="2"/>
    <d v="2024-02-08T00:00:00"/>
    <x v="1"/>
    <x v="2"/>
    <x v="1"/>
    <m/>
    <s v="Performance Stock"/>
    <n v="0.57999999999999996"/>
    <x v="2"/>
    <s v="Strategy &amp; Operations"/>
    <x v="15"/>
    <s v="3Y New Molecular Entity Phase III/Registrational Volume"/>
    <n v="0.12"/>
  </r>
  <r>
    <x v="123"/>
    <x v="3"/>
    <x v="4"/>
    <x v="4"/>
    <s v="Pharmaceuticals"/>
    <x v="0"/>
    <s v="A"/>
    <s v="United Kingdom"/>
    <x v="2"/>
    <d v="2024-02-08T00:00:00"/>
    <x v="1"/>
    <x v="2"/>
    <x v="1"/>
    <m/>
    <s v="Performance Stock"/>
    <n v="0.57999999999999996"/>
    <x v="2"/>
    <s v="ESG"/>
    <x v="7"/>
    <s v="3Y Progress on Ambition Zero Carbon"/>
    <n v="0.1"/>
  </r>
  <r>
    <x v="124"/>
    <x v="0"/>
    <x v="1"/>
    <x v="1"/>
    <s v="Semiconductors"/>
    <x v="0"/>
    <s v="A"/>
    <s v="Netherlands"/>
    <x v="2"/>
    <d v="2024-02-14T00:00:00"/>
    <x v="0"/>
    <x v="0"/>
    <x v="0"/>
    <n v="0.23799999999999999"/>
    <s v="Base Salary"/>
    <n v="0.23799999999999999"/>
    <x v="0"/>
    <m/>
    <x v="0"/>
    <m/>
    <m/>
  </r>
  <r>
    <x v="124"/>
    <x v="0"/>
    <x v="1"/>
    <x v="1"/>
    <s v="Semiconductors"/>
    <x v="0"/>
    <s v="A"/>
    <s v="Netherlands"/>
    <x v="2"/>
    <d v="2024-02-14T00:00:00"/>
    <x v="0"/>
    <x v="1"/>
    <x v="1"/>
    <n v="0.28599999999999998"/>
    <s v="Cash Incentive"/>
    <n v="0.28599999999999998"/>
    <x v="1"/>
    <s v="Profitability"/>
    <x v="9"/>
    <s v="Operating Margin"/>
    <n v="0.6"/>
  </r>
  <r>
    <x v="124"/>
    <x v="0"/>
    <x v="1"/>
    <x v="1"/>
    <s v="Semiconductors"/>
    <x v="0"/>
    <s v="A"/>
    <s v="Netherlands"/>
    <x v="2"/>
    <d v="2024-02-14T00:00:00"/>
    <x v="0"/>
    <x v="1"/>
    <x v="1"/>
    <m/>
    <s v="Cash Incentive"/>
    <n v="0.28599999999999998"/>
    <x v="2"/>
    <s v="Strategy &amp; Operations"/>
    <x v="3"/>
    <s v="Customer Orientation"/>
    <n v="0.2"/>
  </r>
  <r>
    <x v="124"/>
    <x v="0"/>
    <x v="1"/>
    <x v="1"/>
    <s v="Semiconductors"/>
    <x v="0"/>
    <s v="A"/>
    <s v="Netherlands"/>
    <x v="2"/>
    <d v="2024-02-14T00:00:00"/>
    <x v="0"/>
    <x v="1"/>
    <x v="1"/>
    <m/>
    <s v="Cash Incentive"/>
    <n v="0.28599999999999998"/>
    <x v="2"/>
    <s v="Strategy &amp; Operations"/>
    <x v="3"/>
    <s v="Technology Leadership Index"/>
    <n v="0.2"/>
  </r>
  <r>
    <x v="124"/>
    <x v="0"/>
    <x v="1"/>
    <x v="1"/>
    <s v="Semiconductors"/>
    <x v="0"/>
    <s v="A"/>
    <s v="Netherlands"/>
    <x v="2"/>
    <d v="2024-02-14T00:00:00"/>
    <x v="0"/>
    <x v="2"/>
    <x v="1"/>
    <n v="0.47599999999999998"/>
    <s v="Performance Stock"/>
    <n v="0.47599999999999998"/>
    <x v="3"/>
    <s v="Stock Performance"/>
    <x v="11"/>
    <s v="3Y Relative TSR"/>
    <n v="0.3"/>
  </r>
  <r>
    <x v="124"/>
    <x v="0"/>
    <x v="1"/>
    <x v="1"/>
    <s v="Semiconductors"/>
    <x v="0"/>
    <s v="A"/>
    <s v="Netherlands"/>
    <x v="2"/>
    <d v="2024-02-14T00:00:00"/>
    <x v="0"/>
    <x v="2"/>
    <x v="1"/>
    <m/>
    <s v="Performance Stock"/>
    <n v="0.47599999999999998"/>
    <x v="1"/>
    <s v="Return"/>
    <x v="26"/>
    <s v="3Y Average Adjusted ROIC"/>
    <n v="0.3"/>
  </r>
  <r>
    <x v="124"/>
    <x v="0"/>
    <x v="1"/>
    <x v="1"/>
    <s v="Semiconductors"/>
    <x v="0"/>
    <s v="A"/>
    <s v="Netherlands"/>
    <x v="2"/>
    <d v="2024-02-14T00:00:00"/>
    <x v="0"/>
    <x v="2"/>
    <x v="1"/>
    <m/>
    <s v="Performance Stock"/>
    <n v="0.47599999999999998"/>
    <x v="2"/>
    <s v="ESG"/>
    <x v="7"/>
    <s v="ESG Measures"/>
    <n v="0.2"/>
  </r>
  <r>
    <x v="124"/>
    <x v="0"/>
    <x v="1"/>
    <x v="1"/>
    <s v="Semiconductors"/>
    <x v="0"/>
    <s v="A"/>
    <s v="Netherlands"/>
    <x v="2"/>
    <d v="2024-02-14T00:00:00"/>
    <x v="0"/>
    <x v="2"/>
    <x v="1"/>
    <m/>
    <s v="Performance Stock"/>
    <n v="0.47599999999999998"/>
    <x v="2"/>
    <s v="Strategy &amp; Operations"/>
    <x v="3"/>
    <s v="3Y Average Technology Leadership Index"/>
    <n v="0.2"/>
  </r>
  <r>
    <x v="124"/>
    <x v="0"/>
    <x v="1"/>
    <x v="1"/>
    <s v="Semiconductors"/>
    <x v="0"/>
    <s v="A"/>
    <s v="Netherlands"/>
    <x v="2"/>
    <d v="2024-02-14T00:00:00"/>
    <x v="1"/>
    <x v="0"/>
    <x v="0"/>
    <n v="0.26300000000000001"/>
    <s v="Base Salary"/>
    <n v="0.26300000000000001"/>
    <x v="0"/>
    <m/>
    <x v="0"/>
    <m/>
    <m/>
  </r>
  <r>
    <x v="124"/>
    <x v="0"/>
    <x v="1"/>
    <x v="1"/>
    <s v="Semiconductors"/>
    <x v="0"/>
    <s v="A"/>
    <s v="Netherlands"/>
    <x v="2"/>
    <d v="2024-02-14T00:00:00"/>
    <x v="1"/>
    <x v="1"/>
    <x v="1"/>
    <n v="0.26300000000000001"/>
    <s v="Cash Incentive"/>
    <n v="0.26300000000000001"/>
    <x v="1"/>
    <s v="Profitability"/>
    <x v="9"/>
    <s v="Operating Margin"/>
    <n v="0.6"/>
  </r>
  <r>
    <x v="124"/>
    <x v="0"/>
    <x v="1"/>
    <x v="1"/>
    <s v="Semiconductors"/>
    <x v="0"/>
    <s v="A"/>
    <s v="Netherlands"/>
    <x v="2"/>
    <d v="2024-02-14T00:00:00"/>
    <x v="1"/>
    <x v="1"/>
    <x v="1"/>
    <m/>
    <s v="Cash Incentive"/>
    <n v="0.26300000000000001"/>
    <x v="2"/>
    <s v="Strategy &amp; Operations"/>
    <x v="3"/>
    <s v="Customer Orientation"/>
    <n v="0.2"/>
  </r>
  <r>
    <x v="124"/>
    <x v="0"/>
    <x v="1"/>
    <x v="1"/>
    <s v="Semiconductors"/>
    <x v="0"/>
    <s v="A"/>
    <s v="Netherlands"/>
    <x v="2"/>
    <d v="2024-02-14T00:00:00"/>
    <x v="1"/>
    <x v="1"/>
    <x v="1"/>
    <m/>
    <s v="Cash Incentive"/>
    <n v="0.26300000000000001"/>
    <x v="2"/>
    <s v="Strategy &amp; Operations"/>
    <x v="3"/>
    <s v="Technology Leadership Index"/>
    <n v="0.2"/>
  </r>
  <r>
    <x v="124"/>
    <x v="0"/>
    <x v="1"/>
    <x v="1"/>
    <s v="Semiconductors"/>
    <x v="0"/>
    <s v="A"/>
    <s v="Netherlands"/>
    <x v="2"/>
    <d v="2024-02-14T00:00:00"/>
    <x v="1"/>
    <x v="2"/>
    <x v="1"/>
    <n v="0.47399999999999998"/>
    <s v="Performance Stock"/>
    <n v="0.47399999999999998"/>
    <x v="3"/>
    <s v="Stock Performance"/>
    <x v="11"/>
    <s v="3Y Relative TSR"/>
    <n v="0.3"/>
  </r>
  <r>
    <x v="124"/>
    <x v="0"/>
    <x v="1"/>
    <x v="1"/>
    <s v="Semiconductors"/>
    <x v="0"/>
    <s v="A"/>
    <s v="Netherlands"/>
    <x v="2"/>
    <d v="2024-02-14T00:00:00"/>
    <x v="1"/>
    <x v="2"/>
    <x v="1"/>
    <m/>
    <s v="Performance Stock"/>
    <n v="0.47399999999999998"/>
    <x v="1"/>
    <s v="Return"/>
    <x v="26"/>
    <s v="3Y Average Adjusted ROIC"/>
    <n v="0.3"/>
  </r>
  <r>
    <x v="124"/>
    <x v="0"/>
    <x v="1"/>
    <x v="1"/>
    <s v="Semiconductors"/>
    <x v="0"/>
    <s v="A"/>
    <s v="Netherlands"/>
    <x v="2"/>
    <d v="2024-02-14T00:00:00"/>
    <x v="1"/>
    <x v="2"/>
    <x v="1"/>
    <m/>
    <s v="Performance Stock"/>
    <n v="0.47399999999999998"/>
    <x v="2"/>
    <s v="ESG"/>
    <x v="7"/>
    <s v="ESG Measures"/>
    <n v="0.2"/>
  </r>
  <r>
    <x v="124"/>
    <x v="0"/>
    <x v="1"/>
    <x v="1"/>
    <s v="Semiconductors"/>
    <x v="0"/>
    <s v="A"/>
    <s v="Netherlands"/>
    <x v="2"/>
    <d v="2024-02-14T00:00:00"/>
    <x v="1"/>
    <x v="2"/>
    <x v="1"/>
    <m/>
    <s v="Performance Stock"/>
    <n v="0.47399999999999998"/>
    <x v="2"/>
    <s v="Strategy &amp; Operations"/>
    <x v="3"/>
    <s v="3Y Average Technology Leadership Index"/>
    <n v="0.2"/>
  </r>
  <r>
    <x v="125"/>
    <x v="6"/>
    <x v="10"/>
    <x v="10"/>
    <s v="Aerospace &amp; Defense"/>
    <x v="0"/>
    <s v="A"/>
    <s v="Netherlands"/>
    <x v="2"/>
    <d v="2024-02-15T00:00:00"/>
    <x v="0"/>
    <x v="0"/>
    <x v="0"/>
    <n v="0.33333333333333331"/>
    <s v="Base Salary"/>
    <n v="0.33333333333333331"/>
    <x v="0"/>
    <m/>
    <x v="0"/>
    <m/>
    <m/>
  </r>
  <r>
    <x v="125"/>
    <x v="6"/>
    <x v="10"/>
    <x v="10"/>
    <s v="Aerospace &amp; Defense"/>
    <x v="0"/>
    <s v="A"/>
    <s v="Netherlands"/>
    <x v="2"/>
    <d v="2024-02-15T00:00:00"/>
    <x v="0"/>
    <x v="1"/>
    <x v="1"/>
    <n v="0.33333333333333331"/>
    <s v="Cash Incentive"/>
    <n v="0.33333333333333331"/>
    <x v="1"/>
    <s v="Profitability"/>
    <x v="2"/>
    <s v="Adjusted Operating Income"/>
    <n v="0.2"/>
  </r>
  <r>
    <x v="125"/>
    <x v="6"/>
    <x v="10"/>
    <x v="10"/>
    <s v="Aerospace &amp; Defense"/>
    <x v="0"/>
    <s v="A"/>
    <s v="Netherlands"/>
    <x v="2"/>
    <d v="2024-02-15T00:00:00"/>
    <x v="0"/>
    <x v="1"/>
    <x v="1"/>
    <m/>
    <s v="Cash Incentive"/>
    <n v="0.33333333333333331"/>
    <x v="1"/>
    <s v="Cash Flow"/>
    <x v="25"/>
    <s v="Adjusted Free Cash Flow"/>
    <n v="0.2"/>
  </r>
  <r>
    <x v="125"/>
    <x v="6"/>
    <x v="10"/>
    <x v="10"/>
    <s v="Aerospace &amp; Defense"/>
    <x v="0"/>
    <s v="A"/>
    <s v="Netherlands"/>
    <x v="2"/>
    <d v="2024-02-15T00:00:00"/>
    <x v="0"/>
    <x v="1"/>
    <x v="1"/>
    <m/>
    <s v="Cash Incentive"/>
    <n v="0.33333333333333331"/>
    <x v="2"/>
    <s v="ESG"/>
    <x v="7"/>
    <s v="CO2 Emissions"/>
    <n v="0.05"/>
  </r>
  <r>
    <x v="125"/>
    <x v="6"/>
    <x v="10"/>
    <x v="10"/>
    <s v="Aerospace &amp; Defense"/>
    <x v="0"/>
    <s v="A"/>
    <s v="Netherlands"/>
    <x v="2"/>
    <d v="2024-02-15T00:00:00"/>
    <x v="0"/>
    <x v="1"/>
    <x v="1"/>
    <m/>
    <s v="Cash Incentive"/>
    <n v="0.33333333333333331"/>
    <x v="2"/>
    <s v="ESG"/>
    <x v="40"/>
    <s v="Lost Time Injury Frequency Rate"/>
    <n v="0.05"/>
  </r>
  <r>
    <x v="125"/>
    <x v="6"/>
    <x v="10"/>
    <x v="10"/>
    <s v="Aerospace &amp; Defense"/>
    <x v="0"/>
    <s v="A"/>
    <s v="Netherlands"/>
    <x v="2"/>
    <d v="2024-02-15T00:00:00"/>
    <x v="0"/>
    <x v="1"/>
    <x v="1"/>
    <m/>
    <s v="Cash Incentive"/>
    <n v="0.33333333333333331"/>
    <x v="2"/>
    <s v="Individual Assessment"/>
    <x v="13"/>
    <s v="Individual Performance Assessment"/>
    <n v="0.5"/>
  </r>
  <r>
    <x v="125"/>
    <x v="6"/>
    <x v="10"/>
    <x v="10"/>
    <s v="Aerospace &amp; Defense"/>
    <x v="0"/>
    <s v="A"/>
    <s v="Netherlands"/>
    <x v="2"/>
    <d v="2024-02-15T00:00:00"/>
    <x v="0"/>
    <x v="1"/>
    <x v="1"/>
    <m/>
    <s v="Cash Incentive"/>
    <n v="0.33333333333333331"/>
    <x v="0"/>
    <s v="Modifier/Threshold"/>
    <x v="34"/>
    <s v="Discretionary Adjustment"/>
    <m/>
  </r>
  <r>
    <x v="125"/>
    <x v="6"/>
    <x v="10"/>
    <x v="10"/>
    <s v="Aerospace &amp; Defense"/>
    <x v="0"/>
    <s v="A"/>
    <s v="Netherlands"/>
    <x v="2"/>
    <d v="2024-02-15T00:00:00"/>
    <x v="0"/>
    <x v="2"/>
    <x v="1"/>
    <n v="0.33333333333333331"/>
    <s v="Performance Stock"/>
    <n v="0.33333333333333331"/>
    <x v="1"/>
    <s v="Profitability"/>
    <x v="14"/>
    <s v="3Y Average EPS"/>
    <n v="0.75"/>
  </r>
  <r>
    <x v="125"/>
    <x v="6"/>
    <x v="10"/>
    <x v="10"/>
    <s v="Aerospace &amp; Defense"/>
    <x v="0"/>
    <s v="A"/>
    <s v="Netherlands"/>
    <x v="2"/>
    <d v="2024-02-15T00:00:00"/>
    <x v="0"/>
    <x v="2"/>
    <x v="1"/>
    <m/>
    <s v="Performance Stock"/>
    <n v="0.33333333333333331"/>
    <x v="1"/>
    <s v="Cash Flow"/>
    <x v="25"/>
    <s v="3Y Cumulative Free Cash Flow"/>
    <n v="0.25"/>
  </r>
  <r>
    <x v="125"/>
    <x v="6"/>
    <x v="10"/>
    <x v="10"/>
    <s v="Aerospace &amp; Defense"/>
    <x v="0"/>
    <s v="A"/>
    <s v="Netherlands"/>
    <x v="2"/>
    <d v="2024-02-15T00:00:00"/>
    <x v="0"/>
    <x v="2"/>
    <x v="1"/>
    <m/>
    <s v="Performance Stock"/>
    <n v="0.33333333333333331"/>
    <x v="0"/>
    <s v="Modifier/Threshold"/>
    <x v="35"/>
    <s v="3Y Cumulative Operating Income"/>
    <m/>
  </r>
  <r>
    <x v="125"/>
    <x v="6"/>
    <x v="10"/>
    <x v="10"/>
    <s v="Aerospace &amp; Defense"/>
    <x v="0"/>
    <s v="A"/>
    <s v="Netherlands"/>
    <x v="2"/>
    <d v="2024-02-15T00:00:00"/>
    <x v="0"/>
    <x v="2"/>
    <x v="1"/>
    <m/>
    <s v="Performance Stock"/>
    <n v="0.33333333333333331"/>
    <x v="0"/>
    <s v="Modifier/Threshold"/>
    <x v="34"/>
    <s v="Discretionary Adjustment"/>
    <m/>
  </r>
  <r>
    <x v="126"/>
    <x v="6"/>
    <x v="10"/>
    <x v="10"/>
    <s v="Aerospace &amp; Defense"/>
    <x v="1"/>
    <s v="A-"/>
    <s v="France"/>
    <x v="2"/>
    <d v="2024-03-29T00:00:00"/>
    <x v="0"/>
    <x v="0"/>
    <x v="0"/>
    <n v="0.32"/>
    <s v="Base Salary"/>
    <n v="0.32"/>
    <x v="0"/>
    <m/>
    <x v="0"/>
    <m/>
    <m/>
  </r>
  <r>
    <x v="126"/>
    <x v="6"/>
    <x v="10"/>
    <x v="10"/>
    <s v="Aerospace &amp; Defense"/>
    <x v="1"/>
    <s v="A-"/>
    <s v="France"/>
    <x v="2"/>
    <d v="2024-03-29T00:00:00"/>
    <x v="0"/>
    <x v="1"/>
    <x v="1"/>
    <n v="0.38"/>
    <s v="Cash Incentive"/>
    <n v="0.38"/>
    <x v="1"/>
    <s v="Profitability"/>
    <x v="2"/>
    <s v="Adjusted Recurring Operating Income"/>
    <n v="0.39999999999999997"/>
  </r>
  <r>
    <x v="126"/>
    <x v="6"/>
    <x v="10"/>
    <x v="10"/>
    <s v="Aerospace &amp; Defense"/>
    <x v="1"/>
    <s v="A-"/>
    <s v="France"/>
    <x v="2"/>
    <d v="2024-03-29T00:00:00"/>
    <x v="0"/>
    <x v="1"/>
    <x v="1"/>
    <m/>
    <s v="Cash Incentive"/>
    <n v="0.38"/>
    <x v="1"/>
    <s v="Cash Flow"/>
    <x v="25"/>
    <s v="Free Cash Flow"/>
    <n v="0.16666666666666666"/>
  </r>
  <r>
    <x v="126"/>
    <x v="6"/>
    <x v="10"/>
    <x v="10"/>
    <s v="Aerospace &amp; Defense"/>
    <x v="1"/>
    <s v="A-"/>
    <s v="France"/>
    <x v="2"/>
    <d v="2024-03-29T00:00:00"/>
    <x v="0"/>
    <x v="1"/>
    <x v="1"/>
    <m/>
    <s v="Cash Incentive"/>
    <n v="0.38"/>
    <x v="1"/>
    <s v="Cash Flow"/>
    <x v="3"/>
    <s v="Inventory Turnover"/>
    <n v="6.6666666666666666E-2"/>
  </r>
  <r>
    <x v="126"/>
    <x v="6"/>
    <x v="10"/>
    <x v="10"/>
    <s v="Aerospace &amp; Defense"/>
    <x v="1"/>
    <s v="A-"/>
    <s v="France"/>
    <x v="2"/>
    <d v="2024-03-29T00:00:00"/>
    <x v="0"/>
    <x v="1"/>
    <x v="1"/>
    <m/>
    <s v="Cash Incentive"/>
    <n v="0.38"/>
    <x v="1"/>
    <s v="Cash Flow"/>
    <x v="3"/>
    <s v="Accounts Receivable"/>
    <n v="3.3333333333333333E-2"/>
  </r>
  <r>
    <x v="126"/>
    <x v="6"/>
    <x v="10"/>
    <x v="10"/>
    <s v="Aerospace &amp; Defense"/>
    <x v="1"/>
    <s v="A-"/>
    <s v="France"/>
    <x v="2"/>
    <d v="2024-03-29T00:00:00"/>
    <x v="0"/>
    <x v="1"/>
    <x v="1"/>
    <m/>
    <s v="Cash Incentive"/>
    <n v="0.38"/>
    <x v="2"/>
    <s v="Individual Assessment"/>
    <x v="13"/>
    <s v="Individual Performance Assessment"/>
    <n v="0.33333333333333331"/>
  </r>
  <r>
    <x v="126"/>
    <x v="6"/>
    <x v="10"/>
    <x v="10"/>
    <s v="Aerospace &amp; Defense"/>
    <x v="1"/>
    <s v="A-"/>
    <s v="France"/>
    <x v="2"/>
    <d v="2024-03-29T00:00:00"/>
    <x v="0"/>
    <x v="1"/>
    <x v="1"/>
    <m/>
    <s v="Cash Incentive"/>
    <n v="0.38"/>
    <x v="0"/>
    <s v="Modifier/Threshold"/>
    <x v="34"/>
    <s v="Discretionary Adjustment"/>
    <m/>
  </r>
  <r>
    <x v="126"/>
    <x v="6"/>
    <x v="10"/>
    <x v="10"/>
    <s v="Aerospace &amp; Defense"/>
    <x v="1"/>
    <s v="A-"/>
    <s v="France"/>
    <x v="2"/>
    <d v="2024-03-29T00:00:00"/>
    <x v="0"/>
    <x v="2"/>
    <x v="1"/>
    <n v="0.3"/>
    <s v="Performance Stock"/>
    <n v="0.3"/>
    <x v="1"/>
    <s v="Profitability"/>
    <x v="2"/>
    <s v="3Y Average Adjusted Recurring Operating Income"/>
    <n v="0.25"/>
  </r>
  <r>
    <x v="126"/>
    <x v="6"/>
    <x v="10"/>
    <x v="10"/>
    <s v="Aerospace &amp; Defense"/>
    <x v="1"/>
    <s v="A-"/>
    <s v="France"/>
    <x v="2"/>
    <d v="2024-03-29T00:00:00"/>
    <x v="0"/>
    <x v="2"/>
    <x v="1"/>
    <m/>
    <s v="Performance Stock"/>
    <n v="0.3"/>
    <x v="1"/>
    <s v="Cash Flow"/>
    <x v="25"/>
    <s v="3Y Average Free Cash Flow"/>
    <n v="0.25"/>
  </r>
  <r>
    <x v="126"/>
    <x v="6"/>
    <x v="10"/>
    <x v="10"/>
    <s v="Aerospace &amp; Defense"/>
    <x v="1"/>
    <s v="A-"/>
    <s v="France"/>
    <x v="2"/>
    <d v="2024-03-29T00:00:00"/>
    <x v="0"/>
    <x v="2"/>
    <x v="1"/>
    <m/>
    <s v="Performance Stock"/>
    <n v="0.3"/>
    <x v="2"/>
    <s v="ESG"/>
    <x v="7"/>
    <s v="Non-Financial Performance"/>
    <n v="0.2"/>
  </r>
  <r>
    <x v="126"/>
    <x v="6"/>
    <x v="10"/>
    <x v="10"/>
    <s v="Aerospace &amp; Defense"/>
    <x v="1"/>
    <s v="A-"/>
    <s v="France"/>
    <x v="2"/>
    <d v="2024-03-29T00:00:00"/>
    <x v="0"/>
    <x v="2"/>
    <x v="1"/>
    <m/>
    <s v="Performance Stock"/>
    <n v="0.3"/>
    <x v="3"/>
    <s v="Stock Performance"/>
    <x v="11"/>
    <s v="3Y Relative TSR"/>
    <n v="0.3"/>
  </r>
  <r>
    <x v="126"/>
    <x v="6"/>
    <x v="10"/>
    <x v="10"/>
    <s v="Aerospace &amp; Defense"/>
    <x v="1"/>
    <s v="A-"/>
    <s v="France"/>
    <x v="2"/>
    <d v="2024-03-29T00:00:00"/>
    <x v="0"/>
    <x v="2"/>
    <x v="1"/>
    <m/>
    <s v="Performance Stock"/>
    <n v="0.3"/>
    <x v="0"/>
    <s v="Modifier/Threshold"/>
    <x v="34"/>
    <s v="Discretionary Adjustment"/>
    <m/>
  </r>
  <r>
    <x v="127"/>
    <x v="2"/>
    <x v="21"/>
    <x v="44"/>
    <s v="Apparel"/>
    <x v="0"/>
    <s v="AA-"/>
    <s v="France"/>
    <x v="2"/>
    <d v="2024-03-25T00:00:00"/>
    <x v="0"/>
    <x v="0"/>
    <x v="0"/>
    <n v="0.15"/>
    <s v="Base Salary"/>
    <n v="0.15"/>
    <x v="0"/>
    <m/>
    <x v="0"/>
    <m/>
    <m/>
  </r>
  <r>
    <x v="127"/>
    <x v="2"/>
    <x v="21"/>
    <x v="44"/>
    <s v="Apparel"/>
    <x v="0"/>
    <s v="AA-"/>
    <s v="France"/>
    <x v="2"/>
    <d v="2024-03-25T00:00:00"/>
    <x v="0"/>
    <x v="1"/>
    <x v="1"/>
    <n v="0.28000000000000003"/>
    <s v="Cash Incentive"/>
    <n v="0.28000000000000003"/>
    <x v="1"/>
    <s v="Growth"/>
    <x v="1"/>
    <s v="Revenue Growth"/>
    <n v="0.16666666666666666"/>
  </r>
  <r>
    <x v="127"/>
    <x v="2"/>
    <x v="21"/>
    <x v="44"/>
    <s v="Apparel"/>
    <x v="0"/>
    <s v="AA-"/>
    <s v="France"/>
    <x v="2"/>
    <d v="2024-03-25T00:00:00"/>
    <x v="0"/>
    <x v="1"/>
    <x v="1"/>
    <m/>
    <s v="Cash Incentive"/>
    <n v="0.28000000000000003"/>
    <x v="1"/>
    <s v="Profitability"/>
    <x v="2"/>
    <s v="Operating Income"/>
    <n v="0.16666666666666666"/>
  </r>
  <r>
    <x v="127"/>
    <x v="2"/>
    <x v="21"/>
    <x v="44"/>
    <s v="Apparel"/>
    <x v="0"/>
    <s v="AA-"/>
    <s v="France"/>
    <x v="2"/>
    <d v="2024-03-25T00:00:00"/>
    <x v="0"/>
    <x v="1"/>
    <x v="1"/>
    <m/>
    <s v="Cash Incentive"/>
    <n v="0.28000000000000003"/>
    <x v="1"/>
    <s v="Cash Flow"/>
    <x v="25"/>
    <s v="Cash Flow Relative to Budget"/>
    <n v="0.16666666666666666"/>
  </r>
  <r>
    <x v="127"/>
    <x v="2"/>
    <x v="21"/>
    <x v="44"/>
    <s v="Apparel"/>
    <x v="0"/>
    <s v="AA-"/>
    <s v="France"/>
    <x v="2"/>
    <d v="2024-03-25T00:00:00"/>
    <x v="0"/>
    <x v="1"/>
    <x v="1"/>
    <m/>
    <s v="Cash Incentive"/>
    <n v="0.28000000000000003"/>
    <x v="2"/>
    <s v="Strategy &amp; Operations"/>
    <x v="3"/>
    <s v="Strategy"/>
    <n v="0.4"/>
  </r>
  <r>
    <x v="127"/>
    <x v="2"/>
    <x v="21"/>
    <x v="44"/>
    <s v="Apparel"/>
    <x v="0"/>
    <s v="AA-"/>
    <s v="France"/>
    <x v="2"/>
    <d v="2024-03-25T00:00:00"/>
    <x v="0"/>
    <x v="1"/>
    <x v="1"/>
    <m/>
    <s v="Cash Incentive"/>
    <n v="0.28000000000000003"/>
    <x v="2"/>
    <s v="ESG"/>
    <x v="7"/>
    <s v="ESG Measures"/>
    <n v="0.1"/>
  </r>
  <r>
    <x v="127"/>
    <x v="2"/>
    <x v="21"/>
    <x v="44"/>
    <s v="Apparel"/>
    <x v="0"/>
    <s v="AA-"/>
    <s v="France"/>
    <x v="2"/>
    <d v="2024-03-25T00:00:00"/>
    <x v="0"/>
    <x v="2"/>
    <x v="1"/>
    <n v="0.56999999999999995"/>
    <s v="Performance Stock"/>
    <n v="0.56999999999999995"/>
    <x v="1"/>
    <s v="Strategy &amp; Operations"/>
    <x v="3"/>
    <s v="Financial Performance"/>
    <n v="0.85"/>
  </r>
  <r>
    <x v="127"/>
    <x v="2"/>
    <x v="21"/>
    <x v="44"/>
    <s v="Apparel"/>
    <x v="0"/>
    <s v="AA-"/>
    <s v="France"/>
    <x v="2"/>
    <d v="2024-03-25T00:00:00"/>
    <x v="0"/>
    <x v="2"/>
    <x v="1"/>
    <m/>
    <s v="Performance Stock"/>
    <n v="0.56999999999999995"/>
    <x v="2"/>
    <s v="ESG"/>
    <x v="7"/>
    <s v="Environmental and Social Responsibility"/>
    <n v="0.15"/>
  </r>
  <r>
    <x v="127"/>
    <x v="2"/>
    <x v="21"/>
    <x v="44"/>
    <s v="Apparel"/>
    <x v="0"/>
    <s v="AA-"/>
    <s v="France"/>
    <x v="2"/>
    <d v="2024-03-25T00:00:00"/>
    <x v="1"/>
    <x v="0"/>
    <x v="0"/>
    <n v="0.4"/>
    <s v="Base Salary"/>
    <n v="0.4"/>
    <x v="0"/>
    <m/>
    <x v="0"/>
    <m/>
    <m/>
  </r>
  <r>
    <x v="127"/>
    <x v="2"/>
    <x v="21"/>
    <x v="44"/>
    <s v="Apparel"/>
    <x v="0"/>
    <s v="AA-"/>
    <s v="France"/>
    <x v="2"/>
    <d v="2024-03-25T00:00:00"/>
    <x v="1"/>
    <x v="1"/>
    <x v="1"/>
    <n v="0.35"/>
    <s v="Cash Incentive"/>
    <n v="0.35"/>
    <x v="1"/>
    <s v="Growth"/>
    <x v="1"/>
    <s v="Revenue Growth"/>
    <n v="0.21666666666666667"/>
  </r>
  <r>
    <x v="127"/>
    <x v="2"/>
    <x v="21"/>
    <x v="44"/>
    <s v="Apparel"/>
    <x v="0"/>
    <s v="AA-"/>
    <s v="France"/>
    <x v="2"/>
    <d v="2024-03-25T00:00:00"/>
    <x v="1"/>
    <x v="1"/>
    <x v="1"/>
    <m/>
    <s v="Cash Incentive"/>
    <n v="0.35"/>
    <x v="1"/>
    <s v="Profitability"/>
    <x v="2"/>
    <s v="Operating Income"/>
    <n v="0.21666666666666667"/>
  </r>
  <r>
    <x v="127"/>
    <x v="2"/>
    <x v="21"/>
    <x v="44"/>
    <s v="Apparel"/>
    <x v="0"/>
    <s v="AA-"/>
    <s v="France"/>
    <x v="2"/>
    <d v="2024-03-25T00:00:00"/>
    <x v="1"/>
    <x v="1"/>
    <x v="1"/>
    <m/>
    <s v="Cash Incentive"/>
    <n v="0.35"/>
    <x v="1"/>
    <s v="Cash Flow"/>
    <x v="25"/>
    <s v="Cash Flow Relative to Budget"/>
    <n v="0.21666666666666667"/>
  </r>
  <r>
    <x v="127"/>
    <x v="2"/>
    <x v="21"/>
    <x v="44"/>
    <s v="Apparel"/>
    <x v="0"/>
    <s v="AA-"/>
    <s v="France"/>
    <x v="2"/>
    <d v="2024-03-25T00:00:00"/>
    <x v="1"/>
    <x v="1"/>
    <x v="1"/>
    <m/>
    <s v="Cash Incentive"/>
    <n v="0.35"/>
    <x v="2"/>
    <s v="Strategy &amp; Operations"/>
    <x v="3"/>
    <s v="Strategy"/>
    <n v="0.2"/>
  </r>
  <r>
    <x v="127"/>
    <x v="2"/>
    <x v="21"/>
    <x v="44"/>
    <s v="Apparel"/>
    <x v="0"/>
    <s v="AA-"/>
    <s v="France"/>
    <x v="2"/>
    <d v="2024-03-25T00:00:00"/>
    <x v="1"/>
    <x v="1"/>
    <x v="1"/>
    <m/>
    <s v="Cash Incentive"/>
    <n v="0.35"/>
    <x v="2"/>
    <s v="ESG"/>
    <x v="7"/>
    <s v="ESG Measures"/>
    <n v="0.15"/>
  </r>
  <r>
    <x v="127"/>
    <x v="2"/>
    <x v="21"/>
    <x v="44"/>
    <s v="Apparel"/>
    <x v="0"/>
    <s v="AA-"/>
    <s v="France"/>
    <x v="2"/>
    <d v="2024-03-25T00:00:00"/>
    <x v="1"/>
    <x v="2"/>
    <x v="1"/>
    <n v="0.25"/>
    <s v="Performance Stock"/>
    <n v="0.25"/>
    <x v="1"/>
    <s v="Strategy &amp; Operations"/>
    <x v="3"/>
    <s v="Financial Performance"/>
    <n v="0.85"/>
  </r>
  <r>
    <x v="127"/>
    <x v="2"/>
    <x v="21"/>
    <x v="44"/>
    <s v="Apparel"/>
    <x v="0"/>
    <s v="AA-"/>
    <s v="France"/>
    <x v="2"/>
    <d v="2024-03-25T00:00:00"/>
    <x v="1"/>
    <x v="2"/>
    <x v="1"/>
    <m/>
    <s v="Performance Stock"/>
    <n v="0.25"/>
    <x v="2"/>
    <s v="ESG"/>
    <x v="7"/>
    <s v="Environmental and Social Responsibility"/>
    <n v="0.15"/>
  </r>
  <r>
    <x v="128"/>
    <x v="4"/>
    <x v="5"/>
    <x v="33"/>
    <s v="Food &amp; Beverages"/>
    <x v="0"/>
    <s v="AA-"/>
    <s v="Switzerland"/>
    <x v="2"/>
    <d v="2024-02-22T00:00:00"/>
    <x v="0"/>
    <x v="0"/>
    <x v="0"/>
    <n v="0.25"/>
    <s v="Base Salary"/>
    <n v="0.25"/>
    <x v="0"/>
    <m/>
    <x v="0"/>
    <m/>
    <m/>
  </r>
  <r>
    <x v="128"/>
    <x v="4"/>
    <x v="5"/>
    <x v="33"/>
    <s v="Food &amp; Beverages"/>
    <x v="0"/>
    <s v="AA-"/>
    <s v="Switzerland"/>
    <x v="2"/>
    <d v="2024-02-22T00:00:00"/>
    <x v="0"/>
    <x v="1"/>
    <x v="1"/>
    <n v="0.1875"/>
    <s v="Cash Incentive"/>
    <n v="0.1875"/>
    <x v="1"/>
    <s v="Growth"/>
    <x v="1"/>
    <s v="Adjusted Revenue Growth"/>
    <n v="0.51"/>
  </r>
  <r>
    <x v="128"/>
    <x v="4"/>
    <x v="5"/>
    <x v="33"/>
    <s v="Food &amp; Beverages"/>
    <x v="0"/>
    <s v="AA-"/>
    <s v="Switzerland"/>
    <x v="2"/>
    <d v="2024-02-22T00:00:00"/>
    <x v="0"/>
    <x v="1"/>
    <x v="1"/>
    <m/>
    <s v="Cash Incentive"/>
    <n v="0.1875"/>
    <x v="1"/>
    <s v="Profitability"/>
    <x v="2"/>
    <s v="Adjusted Operating Income"/>
    <n v="0.34"/>
  </r>
  <r>
    <x v="128"/>
    <x v="4"/>
    <x v="5"/>
    <x v="33"/>
    <s v="Food &amp; Beverages"/>
    <x v="0"/>
    <s v="AA-"/>
    <s v="Switzerland"/>
    <x v="2"/>
    <d v="2024-02-22T00:00:00"/>
    <x v="0"/>
    <x v="1"/>
    <x v="1"/>
    <m/>
    <s v="Cash Incentive"/>
    <n v="0.1875"/>
    <x v="2"/>
    <s v="ESG"/>
    <x v="7"/>
    <s v="ESG Objectives"/>
    <n v="0.15"/>
  </r>
  <r>
    <x v="128"/>
    <x v="4"/>
    <x v="5"/>
    <x v="33"/>
    <s v="Food &amp; Beverages"/>
    <x v="0"/>
    <s v="AA-"/>
    <s v="Switzerland"/>
    <x v="2"/>
    <d v="2024-02-22T00:00:00"/>
    <x v="0"/>
    <x v="1"/>
    <x v="1"/>
    <n v="0.1875"/>
    <s v="Deferred Equity Grant"/>
    <n v="0.1875"/>
    <x v="0"/>
    <m/>
    <x v="0"/>
    <m/>
    <m/>
  </r>
  <r>
    <x v="128"/>
    <x v="4"/>
    <x v="5"/>
    <x v="33"/>
    <s v="Food &amp; Beverages"/>
    <x v="0"/>
    <s v="AA-"/>
    <s v="Switzerland"/>
    <x v="2"/>
    <d v="2024-02-22T00:00:00"/>
    <x v="0"/>
    <x v="2"/>
    <x v="1"/>
    <n v="0.375"/>
    <s v="Performance Stock"/>
    <n v="0.375"/>
    <x v="1"/>
    <s v="Profitability"/>
    <x v="14"/>
    <s v="3Y Average Adjusted EPS Growth"/>
    <n v="0.4"/>
  </r>
  <r>
    <x v="128"/>
    <x v="4"/>
    <x v="5"/>
    <x v="33"/>
    <s v="Food &amp; Beverages"/>
    <x v="0"/>
    <s v="AA-"/>
    <s v="Switzerland"/>
    <x v="2"/>
    <d v="2024-02-22T00:00:00"/>
    <x v="0"/>
    <x v="2"/>
    <x v="1"/>
    <m/>
    <s v="Performance Stock"/>
    <n v="0.375"/>
    <x v="3"/>
    <s v="Stock Performance"/>
    <x v="11"/>
    <s v="3Y Relative TSR"/>
    <n v="0.2"/>
  </r>
  <r>
    <x v="128"/>
    <x v="4"/>
    <x v="5"/>
    <x v="33"/>
    <s v="Food &amp; Beverages"/>
    <x v="0"/>
    <s v="AA-"/>
    <s v="Switzerland"/>
    <x v="2"/>
    <d v="2024-02-22T00:00:00"/>
    <x v="0"/>
    <x v="2"/>
    <x v="1"/>
    <m/>
    <s v="Performance Stock"/>
    <n v="0.375"/>
    <x v="1"/>
    <s v="Return"/>
    <x v="26"/>
    <s v="3Y Adjusted ROIC Improvement"/>
    <n v="0.2"/>
  </r>
  <r>
    <x v="128"/>
    <x v="4"/>
    <x v="5"/>
    <x v="33"/>
    <s v="Food &amp; Beverages"/>
    <x v="0"/>
    <s v="AA-"/>
    <s v="Switzerland"/>
    <x v="2"/>
    <d v="2024-02-22T00:00:00"/>
    <x v="0"/>
    <x v="2"/>
    <x v="1"/>
    <m/>
    <s v="Performance Stock"/>
    <n v="0.375"/>
    <x v="2"/>
    <s v="ESG"/>
    <x v="7"/>
    <s v="3Y Reduction in Greenhouse Gas Emissions"/>
    <n v="0.2"/>
  </r>
  <r>
    <x v="128"/>
    <x v="4"/>
    <x v="5"/>
    <x v="33"/>
    <s v="Food &amp; Beverages"/>
    <x v="0"/>
    <s v="AA-"/>
    <s v="Switzerland"/>
    <x v="2"/>
    <d v="2024-02-22T00:00:00"/>
    <x v="1"/>
    <x v="0"/>
    <x v="0"/>
    <n v="0.33333333333333331"/>
    <s v="Base Salary"/>
    <n v="0.33333333333333331"/>
    <x v="0"/>
    <m/>
    <x v="0"/>
    <m/>
    <m/>
  </r>
  <r>
    <x v="128"/>
    <x v="4"/>
    <x v="5"/>
    <x v="33"/>
    <s v="Food &amp; Beverages"/>
    <x v="0"/>
    <s v="AA-"/>
    <s v="Switzerland"/>
    <x v="2"/>
    <d v="2024-02-22T00:00:00"/>
    <x v="1"/>
    <x v="1"/>
    <x v="1"/>
    <n v="0.33333333333333331"/>
    <s v="Cash Incentive"/>
    <n v="0.33333333333333331"/>
    <x v="1"/>
    <s v="Growth"/>
    <x v="1"/>
    <s v="Adjusted Revenue Growth"/>
    <n v="0.51"/>
  </r>
  <r>
    <x v="128"/>
    <x v="4"/>
    <x v="5"/>
    <x v="33"/>
    <s v="Food &amp; Beverages"/>
    <x v="0"/>
    <s v="AA-"/>
    <s v="Switzerland"/>
    <x v="2"/>
    <d v="2024-02-22T00:00:00"/>
    <x v="1"/>
    <x v="1"/>
    <x v="1"/>
    <m/>
    <s v="Cash Incentive"/>
    <n v="0.33333333333333331"/>
    <x v="1"/>
    <s v="Profitability"/>
    <x v="2"/>
    <s v="Adjusted Operating Income"/>
    <n v="0.34"/>
  </r>
  <r>
    <x v="128"/>
    <x v="4"/>
    <x v="5"/>
    <x v="33"/>
    <s v="Food &amp; Beverages"/>
    <x v="0"/>
    <s v="AA-"/>
    <s v="Switzerland"/>
    <x v="2"/>
    <d v="2024-02-22T00:00:00"/>
    <x v="1"/>
    <x v="1"/>
    <x v="1"/>
    <m/>
    <s v="Cash Incentive"/>
    <n v="0.33333333333333331"/>
    <x v="2"/>
    <s v="ESG"/>
    <x v="7"/>
    <s v="ESG Objectives"/>
    <n v="0.15"/>
  </r>
  <r>
    <x v="128"/>
    <x v="4"/>
    <x v="5"/>
    <x v="33"/>
    <s v="Food &amp; Beverages"/>
    <x v="0"/>
    <s v="AA-"/>
    <s v="Switzerland"/>
    <x v="2"/>
    <d v="2024-02-22T00:00:00"/>
    <x v="1"/>
    <x v="2"/>
    <x v="1"/>
    <n v="0.33333333333333331"/>
    <s v="Performance Stock"/>
    <n v="0.33333333333333331"/>
    <x v="1"/>
    <s v="Profitability"/>
    <x v="14"/>
    <s v="3Y Average Adjusted EPS Growth"/>
    <n v="0.4"/>
  </r>
  <r>
    <x v="128"/>
    <x v="4"/>
    <x v="5"/>
    <x v="33"/>
    <s v="Food &amp; Beverages"/>
    <x v="0"/>
    <s v="AA-"/>
    <s v="Switzerland"/>
    <x v="2"/>
    <d v="2024-02-22T00:00:00"/>
    <x v="1"/>
    <x v="2"/>
    <x v="1"/>
    <m/>
    <s v="Performance Stock"/>
    <n v="0.33333333333333331"/>
    <x v="3"/>
    <s v="Stock Performance"/>
    <x v="11"/>
    <s v="3Y Relative TSR"/>
    <n v="0.2"/>
  </r>
  <r>
    <x v="128"/>
    <x v="4"/>
    <x v="5"/>
    <x v="33"/>
    <s v="Food &amp; Beverages"/>
    <x v="0"/>
    <s v="AA-"/>
    <s v="Switzerland"/>
    <x v="2"/>
    <d v="2024-02-22T00:00:00"/>
    <x v="1"/>
    <x v="2"/>
    <x v="1"/>
    <m/>
    <s v="Performance Stock"/>
    <n v="0.33333333333333331"/>
    <x v="1"/>
    <s v="Return"/>
    <x v="26"/>
    <s v="3Y Adjusted ROIC Improvement"/>
    <n v="0.2"/>
  </r>
  <r>
    <x v="128"/>
    <x v="4"/>
    <x v="5"/>
    <x v="33"/>
    <s v="Food &amp; Beverages"/>
    <x v="0"/>
    <s v="AA-"/>
    <s v="Switzerland"/>
    <x v="2"/>
    <d v="2024-02-22T00:00:00"/>
    <x v="1"/>
    <x v="2"/>
    <x v="1"/>
    <m/>
    <s v="Performance Stock"/>
    <n v="0.33333333333333331"/>
    <x v="2"/>
    <s v="ESG"/>
    <x v="7"/>
    <s v="3Y Reduction in Greenhouse Gas Emissions"/>
    <n v="0.2"/>
  </r>
  <r>
    <x v="128"/>
    <x v="4"/>
    <x v="5"/>
    <x v="33"/>
    <s v="Food &amp; Beverages"/>
    <x v="0"/>
    <s v="AA-"/>
    <s v="Switzerland"/>
    <x v="2"/>
    <d v="2024-02-22T00:00:00"/>
    <x v="1"/>
    <x v="2"/>
    <x v="1"/>
    <m/>
    <s v="Long-Term Cash Incentive"/>
    <m/>
    <x v="0"/>
    <m/>
    <x v="0"/>
    <m/>
    <m/>
  </r>
  <r>
    <x v="129"/>
    <x v="0"/>
    <x v="0"/>
    <x v="37"/>
    <s v="Information Technology"/>
    <x v="1"/>
    <m/>
    <s v="Canada"/>
    <x v="3"/>
    <d v="2024-05-01T00:00:00"/>
    <x v="0"/>
    <x v="2"/>
    <x v="0"/>
    <n v="0.75"/>
    <s v="Stock Options"/>
    <n v="0.75"/>
    <x v="0"/>
    <m/>
    <x v="0"/>
    <m/>
    <m/>
  </r>
  <r>
    <x v="129"/>
    <x v="0"/>
    <x v="0"/>
    <x v="37"/>
    <s v="Information Technology"/>
    <x v="1"/>
    <m/>
    <s v="Canada"/>
    <x v="3"/>
    <d v="2024-05-01T00:00:00"/>
    <x v="0"/>
    <x v="2"/>
    <x v="0"/>
    <n v="0.25"/>
    <s v="Time-Based Stock"/>
    <n v="0.25"/>
    <x v="0"/>
    <m/>
    <x v="0"/>
    <m/>
    <m/>
  </r>
  <r>
    <x v="129"/>
    <x v="0"/>
    <x v="0"/>
    <x v="37"/>
    <s v="Information Technology"/>
    <x v="1"/>
    <m/>
    <s v="Canada"/>
    <x v="3"/>
    <d v="2024-05-01T00:00:00"/>
    <x v="1"/>
    <x v="0"/>
    <x v="0"/>
    <n v="0.12"/>
    <s v="Base Salary"/>
    <n v="0.12"/>
    <x v="0"/>
    <m/>
    <x v="0"/>
    <m/>
    <m/>
  </r>
  <r>
    <x v="129"/>
    <x v="0"/>
    <x v="0"/>
    <x v="37"/>
    <s v="Information Technology"/>
    <x v="1"/>
    <m/>
    <s v="Canada"/>
    <x v="3"/>
    <d v="2024-05-01T00:00:00"/>
    <x v="1"/>
    <x v="2"/>
    <x v="0"/>
    <n v="0.55000000000000004"/>
    <s v="Time-Based Stock"/>
    <n v="0.55000000000000004"/>
    <x v="0"/>
    <m/>
    <x v="0"/>
    <m/>
    <m/>
  </r>
  <r>
    <x v="129"/>
    <x v="0"/>
    <x v="0"/>
    <x v="37"/>
    <s v="Information Technology"/>
    <x v="1"/>
    <m/>
    <s v="Canada"/>
    <x v="3"/>
    <d v="2024-05-01T00:00:00"/>
    <x v="1"/>
    <x v="2"/>
    <x v="0"/>
    <n v="0.33"/>
    <s v="Stock Options"/>
    <n v="0.33"/>
    <x v="0"/>
    <m/>
    <x v="0"/>
    <m/>
    <m/>
  </r>
  <r>
    <x v="130"/>
    <x v="4"/>
    <x v="5"/>
    <x v="28"/>
    <s v="Food &amp; Beverages"/>
    <x v="2"/>
    <s v="BBB"/>
    <s v="United States"/>
    <x v="0"/>
    <d v="2024-06-03T00:00:00"/>
    <x v="0"/>
    <x v="0"/>
    <x v="0"/>
    <n v="0.1"/>
    <s v="Base Salary"/>
    <n v="0.1"/>
    <x v="0"/>
    <m/>
    <x v="0"/>
    <m/>
    <m/>
  </r>
  <r>
    <x v="130"/>
    <x v="4"/>
    <x v="5"/>
    <x v="28"/>
    <s v="Food &amp; Beverages"/>
    <x v="2"/>
    <s v="BBB"/>
    <s v="United States"/>
    <x v="0"/>
    <d v="2024-06-03T00:00:00"/>
    <x v="0"/>
    <x v="1"/>
    <x v="1"/>
    <n v="0.16"/>
    <s v="Cash Incentive"/>
    <n v="0.16"/>
    <x v="1"/>
    <s v="Growth"/>
    <x v="1"/>
    <s v="Adjusted Revenue"/>
    <n v="0.4"/>
  </r>
  <r>
    <x v="130"/>
    <x v="4"/>
    <x v="5"/>
    <x v="28"/>
    <s v="Food &amp; Beverages"/>
    <x v="2"/>
    <s v="BBB"/>
    <s v="United States"/>
    <x v="0"/>
    <d v="2024-06-03T00:00:00"/>
    <x v="0"/>
    <x v="1"/>
    <x v="1"/>
    <m/>
    <s v="Cash Incentive"/>
    <n v="0.16"/>
    <x v="1"/>
    <s v="Profitability"/>
    <x v="2"/>
    <s v="Adjusted Operating Income"/>
    <n v="0.4"/>
  </r>
  <r>
    <x v="130"/>
    <x v="4"/>
    <x v="5"/>
    <x v="28"/>
    <s v="Food &amp; Beverages"/>
    <x v="2"/>
    <s v="BBB"/>
    <s v="United States"/>
    <x v="0"/>
    <d v="2024-06-03T00:00:00"/>
    <x v="0"/>
    <x v="1"/>
    <x v="1"/>
    <m/>
    <s v="Cash Incentive"/>
    <n v="0.16"/>
    <x v="1"/>
    <s v="Cash Flow"/>
    <x v="25"/>
    <s v="Free Cash Flow"/>
    <n v="0.2"/>
  </r>
  <r>
    <x v="130"/>
    <x v="4"/>
    <x v="5"/>
    <x v="28"/>
    <s v="Food &amp; Beverages"/>
    <x v="2"/>
    <s v="BBB"/>
    <s v="United States"/>
    <x v="0"/>
    <d v="2024-06-03T00:00:00"/>
    <x v="0"/>
    <x v="1"/>
    <x v="1"/>
    <m/>
    <s v="Cash Incentive"/>
    <n v="0.16"/>
    <x v="0"/>
    <s v="Modifier/Threshold"/>
    <x v="34"/>
    <s v="Discretionary Adjustment"/>
    <m/>
  </r>
  <r>
    <x v="130"/>
    <x v="4"/>
    <x v="5"/>
    <x v="28"/>
    <s v="Food &amp; Beverages"/>
    <x v="2"/>
    <s v="BBB"/>
    <s v="United States"/>
    <x v="0"/>
    <d v="2024-06-03T00:00:00"/>
    <x v="0"/>
    <x v="2"/>
    <x v="1"/>
    <n v="0.37"/>
    <s v="Performance Stock"/>
    <n v="0.37"/>
    <x v="3"/>
    <s v="Stock Performance"/>
    <x v="11"/>
    <s v="3Y Relative TSR"/>
    <n v="0.5"/>
  </r>
  <r>
    <x v="130"/>
    <x v="4"/>
    <x v="5"/>
    <x v="28"/>
    <s v="Food &amp; Beverages"/>
    <x v="2"/>
    <s v="BBB"/>
    <s v="United States"/>
    <x v="0"/>
    <d v="2024-06-03T00:00:00"/>
    <x v="0"/>
    <x v="2"/>
    <x v="1"/>
    <m/>
    <s v="Performance Stock"/>
    <n v="0.37"/>
    <x v="1"/>
    <s v="Growth"/>
    <x v="1"/>
    <s v="3Y Adjusted Revenue CAGR"/>
    <n v="0.5"/>
  </r>
  <r>
    <x v="130"/>
    <x v="4"/>
    <x v="5"/>
    <x v="28"/>
    <s v="Food &amp; Beverages"/>
    <x v="2"/>
    <s v="BBB"/>
    <s v="United States"/>
    <x v="0"/>
    <d v="2024-06-03T00:00:00"/>
    <x v="0"/>
    <x v="2"/>
    <x v="1"/>
    <m/>
    <s v="Performance Stock"/>
    <n v="0.37"/>
    <x v="0"/>
    <s v="Modifier/Threshold"/>
    <x v="12"/>
    <s v="3Y Absolute TSR"/>
    <m/>
  </r>
  <r>
    <x v="130"/>
    <x v="4"/>
    <x v="5"/>
    <x v="28"/>
    <s v="Food &amp; Beverages"/>
    <x v="2"/>
    <s v="BBB"/>
    <s v="United States"/>
    <x v="0"/>
    <d v="2024-06-03T00:00:00"/>
    <x v="0"/>
    <x v="2"/>
    <x v="0"/>
    <n v="0.222"/>
    <s v="Time-Based Stock"/>
    <n v="0.222"/>
    <x v="0"/>
    <m/>
    <x v="0"/>
    <m/>
    <m/>
  </r>
  <r>
    <x v="130"/>
    <x v="4"/>
    <x v="5"/>
    <x v="28"/>
    <s v="Food &amp; Beverages"/>
    <x v="2"/>
    <s v="BBB"/>
    <s v="United States"/>
    <x v="0"/>
    <d v="2024-06-03T00:00:00"/>
    <x v="0"/>
    <x v="2"/>
    <x v="0"/>
    <n v="0.14799999999999999"/>
    <s v="Stock Options"/>
    <n v="0.14799999999999999"/>
    <x v="0"/>
    <m/>
    <x v="0"/>
    <m/>
    <m/>
  </r>
  <r>
    <x v="130"/>
    <x v="4"/>
    <x v="5"/>
    <x v="28"/>
    <s v="Food &amp; Beverages"/>
    <x v="2"/>
    <s v="BBB"/>
    <s v="United States"/>
    <x v="0"/>
    <d v="2024-06-03T00:00:00"/>
    <x v="1"/>
    <x v="0"/>
    <x v="0"/>
    <n v="0.2"/>
    <s v="Base Salary"/>
    <n v="0.2"/>
    <x v="0"/>
    <m/>
    <x v="0"/>
    <m/>
    <m/>
  </r>
  <r>
    <x v="130"/>
    <x v="4"/>
    <x v="5"/>
    <x v="28"/>
    <s v="Food &amp; Beverages"/>
    <x v="2"/>
    <s v="BBB"/>
    <s v="United States"/>
    <x v="0"/>
    <d v="2024-06-03T00:00:00"/>
    <x v="1"/>
    <x v="1"/>
    <x v="1"/>
    <n v="0.19"/>
    <s v="Cash Incentive"/>
    <n v="0.19"/>
    <x v="1"/>
    <s v="Growth"/>
    <x v="1"/>
    <s v="Adjusted Revenue"/>
    <n v="0.4"/>
  </r>
  <r>
    <x v="130"/>
    <x v="4"/>
    <x v="5"/>
    <x v="28"/>
    <s v="Food &amp; Beverages"/>
    <x v="2"/>
    <s v="BBB"/>
    <s v="United States"/>
    <x v="0"/>
    <d v="2024-06-03T00:00:00"/>
    <x v="1"/>
    <x v="1"/>
    <x v="1"/>
    <m/>
    <s v="Cash Incentive"/>
    <n v="0.19"/>
    <x v="1"/>
    <s v="Profitability"/>
    <x v="2"/>
    <s v="Adjusted Operating Income"/>
    <n v="0.4"/>
  </r>
  <r>
    <x v="130"/>
    <x v="4"/>
    <x v="5"/>
    <x v="28"/>
    <s v="Food &amp; Beverages"/>
    <x v="2"/>
    <s v="BBB"/>
    <s v="United States"/>
    <x v="0"/>
    <d v="2024-06-03T00:00:00"/>
    <x v="1"/>
    <x v="1"/>
    <x v="1"/>
    <m/>
    <s v="Cash Incentive"/>
    <n v="0.19"/>
    <x v="1"/>
    <s v="Cash Flow"/>
    <x v="25"/>
    <s v="Free Cash Flow"/>
    <n v="0.2"/>
  </r>
  <r>
    <x v="130"/>
    <x v="4"/>
    <x v="5"/>
    <x v="28"/>
    <s v="Food &amp; Beverages"/>
    <x v="2"/>
    <s v="BBB"/>
    <s v="United States"/>
    <x v="0"/>
    <d v="2024-06-03T00:00:00"/>
    <x v="1"/>
    <x v="1"/>
    <x v="1"/>
    <m/>
    <s v="Cash Incentive"/>
    <n v="0.19"/>
    <x v="0"/>
    <s v="Modifier/Threshold"/>
    <x v="34"/>
    <s v="Discretionary Adjustment"/>
    <m/>
  </r>
  <r>
    <x v="130"/>
    <x v="4"/>
    <x v="5"/>
    <x v="28"/>
    <s v="Food &amp; Beverages"/>
    <x v="2"/>
    <s v="BBB"/>
    <s v="United States"/>
    <x v="0"/>
    <d v="2024-06-03T00:00:00"/>
    <x v="1"/>
    <x v="2"/>
    <x v="1"/>
    <n v="0.30499999999999999"/>
    <s v="Performance Stock"/>
    <n v="0.30499999999999999"/>
    <x v="3"/>
    <s v="Stock Performance"/>
    <x v="11"/>
    <s v="3Y Relative TSR"/>
    <n v="0.5"/>
  </r>
  <r>
    <x v="130"/>
    <x v="4"/>
    <x v="5"/>
    <x v="28"/>
    <s v="Food &amp; Beverages"/>
    <x v="2"/>
    <s v="BBB"/>
    <s v="United States"/>
    <x v="0"/>
    <d v="2024-06-03T00:00:00"/>
    <x v="1"/>
    <x v="2"/>
    <x v="1"/>
    <m/>
    <s v="Performance Stock"/>
    <n v="0.30499999999999999"/>
    <x v="1"/>
    <s v="Growth"/>
    <x v="1"/>
    <s v="3Y Adjusted Revenue CAGR"/>
    <n v="0.5"/>
  </r>
  <r>
    <x v="130"/>
    <x v="4"/>
    <x v="5"/>
    <x v="28"/>
    <s v="Food &amp; Beverages"/>
    <x v="2"/>
    <s v="BBB"/>
    <s v="United States"/>
    <x v="0"/>
    <d v="2024-06-03T00:00:00"/>
    <x v="1"/>
    <x v="2"/>
    <x v="1"/>
    <m/>
    <s v="Performance Stock"/>
    <n v="0.30499999999999999"/>
    <x v="0"/>
    <s v="Modifier/Threshold"/>
    <x v="12"/>
    <s v="3Y Absolute TSR"/>
    <m/>
  </r>
  <r>
    <x v="130"/>
    <x v="4"/>
    <x v="5"/>
    <x v="28"/>
    <s v="Food &amp; Beverages"/>
    <x v="2"/>
    <s v="BBB"/>
    <s v="United States"/>
    <x v="0"/>
    <d v="2024-06-03T00:00:00"/>
    <x v="1"/>
    <x v="2"/>
    <x v="0"/>
    <n v="0.183"/>
    <s v="Time-Based Stock"/>
    <n v="0.183"/>
    <x v="0"/>
    <m/>
    <x v="0"/>
    <m/>
    <m/>
  </r>
  <r>
    <x v="130"/>
    <x v="4"/>
    <x v="5"/>
    <x v="28"/>
    <s v="Food &amp; Beverages"/>
    <x v="2"/>
    <s v="BBB"/>
    <s v="United States"/>
    <x v="0"/>
    <d v="2024-06-03T00:00:00"/>
    <x v="1"/>
    <x v="2"/>
    <x v="0"/>
    <n v="0.122"/>
    <s v="Stock Options"/>
    <n v="0.122"/>
    <x v="0"/>
    <m/>
    <x v="0"/>
    <m/>
    <m/>
  </r>
  <r>
    <x v="131"/>
    <x v="5"/>
    <x v="15"/>
    <x v="23"/>
    <s v="Insurance"/>
    <x v="1"/>
    <s v="A+"/>
    <s v="Hong Kong"/>
    <x v="1"/>
    <d v="2024-04-12T00:00:00"/>
    <x v="0"/>
    <x v="0"/>
    <x v="0"/>
    <n v="0.14180000000000001"/>
    <s v="Base Salary"/>
    <n v="0.14180000000000001"/>
    <x v="0"/>
    <m/>
    <x v="0"/>
    <m/>
    <m/>
  </r>
  <r>
    <x v="131"/>
    <x v="5"/>
    <x v="15"/>
    <x v="23"/>
    <s v="Insurance"/>
    <x v="1"/>
    <s v="A+"/>
    <s v="Hong Kong"/>
    <x v="1"/>
    <d v="2024-04-12T00:00:00"/>
    <x v="0"/>
    <x v="1"/>
    <x v="1"/>
    <n v="0.3029"/>
    <s v="Cash Incentive"/>
    <n v="0.3029"/>
    <x v="1"/>
    <s v="Growth"/>
    <x v="3"/>
    <s v="Value of New Business"/>
    <n v="0.6"/>
  </r>
  <r>
    <x v="131"/>
    <x v="5"/>
    <x v="15"/>
    <x v="23"/>
    <s v="Insurance"/>
    <x v="1"/>
    <s v="A+"/>
    <s v="Hong Kong"/>
    <x v="1"/>
    <d v="2024-04-12T00:00:00"/>
    <x v="0"/>
    <x v="1"/>
    <x v="1"/>
    <m/>
    <s v="Cash Incentive"/>
    <n v="0.3029"/>
    <x v="1"/>
    <s v="Profitability"/>
    <x v="62"/>
    <s v="Operating Profit After Tax"/>
    <n v="0.25"/>
  </r>
  <r>
    <x v="131"/>
    <x v="5"/>
    <x v="15"/>
    <x v="23"/>
    <s v="Insurance"/>
    <x v="1"/>
    <s v="A+"/>
    <s v="Hong Kong"/>
    <x v="1"/>
    <d v="2024-04-12T00:00:00"/>
    <x v="0"/>
    <x v="1"/>
    <x v="1"/>
    <m/>
    <s v="Cash Incentive"/>
    <n v="0.3029"/>
    <x v="1"/>
    <s v="Cash Flow"/>
    <x v="25"/>
    <s v="Underlying Free Surplus Generation"/>
    <n v="0.15"/>
  </r>
  <r>
    <x v="131"/>
    <x v="5"/>
    <x v="15"/>
    <x v="23"/>
    <s v="Insurance"/>
    <x v="1"/>
    <s v="A+"/>
    <s v="Hong Kong"/>
    <x v="1"/>
    <d v="2024-04-12T00:00:00"/>
    <x v="0"/>
    <x v="1"/>
    <x v="1"/>
    <m/>
    <s v="Cash Incentive"/>
    <n v="0.3029"/>
    <x v="0"/>
    <s v="Modifier/Threshold"/>
    <x v="34"/>
    <s v="Discretionary Adjustment"/>
    <m/>
  </r>
  <r>
    <x v="131"/>
    <x v="5"/>
    <x v="15"/>
    <x v="23"/>
    <s v="Insurance"/>
    <x v="1"/>
    <s v="A+"/>
    <s v="Hong Kong"/>
    <x v="1"/>
    <d v="2024-04-12T00:00:00"/>
    <x v="0"/>
    <x v="2"/>
    <x v="1"/>
    <n v="0.4118"/>
    <s v="Performance Stock"/>
    <n v="0.4118"/>
    <x v="1"/>
    <s v="Growth"/>
    <x v="3"/>
    <s v="3Y Value of New Business"/>
    <n v="0.33333333333333331"/>
  </r>
  <r>
    <x v="131"/>
    <x v="5"/>
    <x v="15"/>
    <x v="23"/>
    <s v="Insurance"/>
    <x v="1"/>
    <s v="A+"/>
    <s v="Hong Kong"/>
    <x v="1"/>
    <d v="2024-04-12T00:00:00"/>
    <x v="0"/>
    <x v="2"/>
    <x v="1"/>
    <m/>
    <s v="Performance Stock"/>
    <n v="0.4118"/>
    <x v="1"/>
    <s v="Strategy &amp; Operations"/>
    <x v="3"/>
    <s v="3Y Equity Measured on Embedded Value Basis"/>
    <n v="0.33333333333333331"/>
  </r>
  <r>
    <x v="131"/>
    <x v="5"/>
    <x v="15"/>
    <x v="23"/>
    <s v="Insurance"/>
    <x v="1"/>
    <s v="A+"/>
    <s v="Hong Kong"/>
    <x v="1"/>
    <d v="2024-04-12T00:00:00"/>
    <x v="0"/>
    <x v="2"/>
    <x v="1"/>
    <m/>
    <s v="Performance Stock"/>
    <n v="0.4118"/>
    <x v="3"/>
    <s v="Stock Performance"/>
    <x v="11"/>
    <s v="3Y Relative TSR"/>
    <n v="0.33333333333333331"/>
  </r>
  <r>
    <x v="131"/>
    <x v="5"/>
    <x v="15"/>
    <x v="23"/>
    <s v="Insurance"/>
    <x v="1"/>
    <s v="A+"/>
    <s v="Hong Kong"/>
    <x v="1"/>
    <d v="2024-04-12T00:00:00"/>
    <x v="0"/>
    <x v="2"/>
    <x v="1"/>
    <m/>
    <s v="Performance Stock"/>
    <n v="0.4118"/>
    <x v="0"/>
    <s v="Modifier/Threshold"/>
    <x v="34"/>
    <s v="Discretionary Adjustment"/>
    <m/>
  </r>
  <r>
    <x v="131"/>
    <x v="5"/>
    <x v="15"/>
    <x v="23"/>
    <s v="Insurance"/>
    <x v="1"/>
    <s v="A+"/>
    <s v="Hong Kong"/>
    <x v="1"/>
    <d v="2024-04-12T00:00:00"/>
    <x v="0"/>
    <x v="2"/>
    <x v="0"/>
    <n v="0.14349999999999999"/>
    <s v="Stock Options"/>
    <n v="0.14349999999999999"/>
    <x v="0"/>
    <m/>
    <x v="0"/>
    <m/>
    <m/>
  </r>
  <r>
    <x v="132"/>
    <x v="0"/>
    <x v="7"/>
    <x v="7"/>
    <s v="Information Technology"/>
    <x v="0"/>
    <s v="AA-"/>
    <s v="South Korea"/>
    <x v="1"/>
    <d v="2024-03-12T00:00:00"/>
    <x v="0"/>
    <x v="0"/>
    <x v="0"/>
    <m/>
    <s v="Base Salary"/>
    <m/>
    <x v="0"/>
    <m/>
    <x v="0"/>
    <m/>
    <m/>
  </r>
  <r>
    <x v="132"/>
    <x v="0"/>
    <x v="7"/>
    <x v="7"/>
    <s v="Information Technology"/>
    <x v="0"/>
    <s v="AA-"/>
    <s v="South Korea"/>
    <x v="1"/>
    <d v="2024-03-12T00:00:00"/>
    <x v="0"/>
    <x v="1"/>
    <x v="1"/>
    <m/>
    <s v="Cash Incentive"/>
    <m/>
    <x v="1"/>
    <s v="Growth"/>
    <x v="1"/>
    <s v="Revenue"/>
    <n v="0.25"/>
  </r>
  <r>
    <x v="132"/>
    <x v="0"/>
    <x v="7"/>
    <x v="7"/>
    <s v="Information Technology"/>
    <x v="0"/>
    <s v="AA-"/>
    <s v="South Korea"/>
    <x v="1"/>
    <d v="2024-03-12T00:00:00"/>
    <x v="0"/>
    <x v="1"/>
    <x v="1"/>
    <m/>
    <s v="Cash Incentive"/>
    <m/>
    <x v="1"/>
    <s v="Profitability"/>
    <x v="2"/>
    <s v="Operating Income"/>
    <n v="0.25"/>
  </r>
  <r>
    <x v="132"/>
    <x v="0"/>
    <x v="7"/>
    <x v="7"/>
    <s v="Information Technology"/>
    <x v="0"/>
    <s v="AA-"/>
    <s v="South Korea"/>
    <x v="1"/>
    <d v="2024-03-12T00:00:00"/>
    <x v="0"/>
    <x v="1"/>
    <x v="1"/>
    <m/>
    <s v="Cash Incentive"/>
    <m/>
    <x v="1"/>
    <s v="Profitability"/>
    <x v="24"/>
    <s v="Profit After Tax"/>
    <n v="0.25"/>
  </r>
  <r>
    <x v="132"/>
    <x v="0"/>
    <x v="7"/>
    <x v="7"/>
    <s v="Information Technology"/>
    <x v="0"/>
    <s v="AA-"/>
    <s v="South Korea"/>
    <x v="1"/>
    <d v="2024-03-12T00:00:00"/>
    <x v="0"/>
    <x v="1"/>
    <x v="1"/>
    <m/>
    <s v="Cash Incentive"/>
    <m/>
    <x v="1"/>
    <s v="Return"/>
    <x v="3"/>
    <s v="Cost of Capital"/>
    <n v="0.25"/>
  </r>
  <r>
    <x v="132"/>
    <x v="0"/>
    <x v="7"/>
    <x v="7"/>
    <s v="Information Technology"/>
    <x v="0"/>
    <s v="AA-"/>
    <s v="South Korea"/>
    <x v="1"/>
    <d v="2024-03-12T00:00:00"/>
    <x v="0"/>
    <x v="1"/>
    <x v="1"/>
    <m/>
    <s v="Cash Incentive"/>
    <m/>
    <x v="0"/>
    <s v="Modifier/Threshold"/>
    <x v="10"/>
    <s v="Individual Performance Modifier"/>
    <m/>
  </r>
  <r>
    <x v="132"/>
    <x v="0"/>
    <x v="7"/>
    <x v="7"/>
    <s v="Information Technology"/>
    <x v="0"/>
    <s v="AA-"/>
    <s v="South Korea"/>
    <x v="1"/>
    <d v="2024-03-12T00:00:00"/>
    <x v="0"/>
    <x v="2"/>
    <x v="1"/>
    <m/>
    <s v="Long-Term Cash Incentive"/>
    <m/>
    <x v="1"/>
    <s v="Return"/>
    <x v="21"/>
    <s v="3Y Return on Equity"/>
    <m/>
  </r>
  <r>
    <x v="132"/>
    <x v="0"/>
    <x v="7"/>
    <x v="7"/>
    <s v="Information Technology"/>
    <x v="0"/>
    <s v="AA-"/>
    <s v="South Korea"/>
    <x v="1"/>
    <d v="2024-03-12T00:00:00"/>
    <x v="0"/>
    <x v="2"/>
    <x v="1"/>
    <m/>
    <s v="Long-Term Cash Incentive"/>
    <m/>
    <x v="3"/>
    <s v="Stock Performance"/>
    <x v="48"/>
    <s v="3Y Stock Performance"/>
    <m/>
  </r>
  <r>
    <x v="132"/>
    <x v="0"/>
    <x v="7"/>
    <x v="7"/>
    <s v="Information Technology"/>
    <x v="0"/>
    <s v="AA-"/>
    <s v="South Korea"/>
    <x v="1"/>
    <d v="2024-03-12T00:00:00"/>
    <x v="0"/>
    <x v="2"/>
    <x v="1"/>
    <m/>
    <s v="Long-Term Cash Incentive"/>
    <m/>
    <x v="1"/>
    <s v="Profitability"/>
    <x v="9"/>
    <s v="3Y Operating Margin"/>
    <m/>
  </r>
  <r>
    <x v="132"/>
    <x v="0"/>
    <x v="7"/>
    <x v="7"/>
    <s v="Information Technology"/>
    <x v="0"/>
    <s v="AA-"/>
    <s v="South Korea"/>
    <x v="1"/>
    <d v="2024-03-12T00:00:00"/>
    <x v="1"/>
    <x v="0"/>
    <x v="0"/>
    <m/>
    <s v="Base Salary"/>
    <m/>
    <x v="0"/>
    <m/>
    <x v="0"/>
    <m/>
    <m/>
  </r>
  <r>
    <x v="132"/>
    <x v="0"/>
    <x v="7"/>
    <x v="7"/>
    <s v="Information Technology"/>
    <x v="0"/>
    <s v="AA-"/>
    <s v="South Korea"/>
    <x v="1"/>
    <d v="2024-03-12T00:00:00"/>
    <x v="1"/>
    <x v="1"/>
    <x v="1"/>
    <m/>
    <s v="Cash Incentive"/>
    <m/>
    <x v="1"/>
    <s v="Growth"/>
    <x v="1"/>
    <s v="Revenue"/>
    <n v="0.25"/>
  </r>
  <r>
    <x v="132"/>
    <x v="0"/>
    <x v="7"/>
    <x v="7"/>
    <s v="Information Technology"/>
    <x v="0"/>
    <s v="AA-"/>
    <s v="South Korea"/>
    <x v="1"/>
    <d v="2024-03-12T00:00:00"/>
    <x v="1"/>
    <x v="1"/>
    <x v="1"/>
    <m/>
    <s v="Cash Incentive"/>
    <m/>
    <x v="1"/>
    <s v="Profitability"/>
    <x v="2"/>
    <s v="Operating Income"/>
    <n v="0.25"/>
  </r>
  <r>
    <x v="132"/>
    <x v="0"/>
    <x v="7"/>
    <x v="7"/>
    <s v="Information Technology"/>
    <x v="0"/>
    <s v="AA-"/>
    <s v="South Korea"/>
    <x v="1"/>
    <d v="2024-03-12T00:00:00"/>
    <x v="1"/>
    <x v="1"/>
    <x v="1"/>
    <m/>
    <s v="Cash Incentive"/>
    <m/>
    <x v="1"/>
    <s v="Profitability"/>
    <x v="24"/>
    <s v="Profit After Tax"/>
    <n v="0.25"/>
  </r>
  <r>
    <x v="132"/>
    <x v="0"/>
    <x v="7"/>
    <x v="7"/>
    <s v="Information Technology"/>
    <x v="0"/>
    <s v="AA-"/>
    <s v="South Korea"/>
    <x v="1"/>
    <d v="2024-03-12T00:00:00"/>
    <x v="1"/>
    <x v="1"/>
    <x v="1"/>
    <m/>
    <s v="Cash Incentive"/>
    <m/>
    <x v="2"/>
    <s v="Return"/>
    <x v="3"/>
    <s v="Cost of Capital"/>
    <n v="0.25"/>
  </r>
  <r>
    <x v="132"/>
    <x v="0"/>
    <x v="7"/>
    <x v="7"/>
    <s v="Information Technology"/>
    <x v="0"/>
    <s v="AA-"/>
    <s v="South Korea"/>
    <x v="1"/>
    <d v="2024-03-12T00:00:00"/>
    <x v="1"/>
    <x v="1"/>
    <x v="1"/>
    <m/>
    <s v="Cash Incentive"/>
    <m/>
    <x v="0"/>
    <s v="Individual Assessment"/>
    <x v="10"/>
    <s v="Individual Performance Modifier"/>
    <m/>
  </r>
  <r>
    <x v="132"/>
    <x v="0"/>
    <x v="7"/>
    <x v="7"/>
    <s v="Information Technology"/>
    <x v="0"/>
    <s v="AA-"/>
    <s v="South Korea"/>
    <x v="1"/>
    <d v="2024-03-12T00:00:00"/>
    <x v="1"/>
    <x v="2"/>
    <x v="1"/>
    <m/>
    <s v="Long-Term Cash Incentive"/>
    <m/>
    <x v="1"/>
    <s v="Return"/>
    <x v="21"/>
    <s v="3Y Return on Equity"/>
    <m/>
  </r>
  <r>
    <x v="132"/>
    <x v="0"/>
    <x v="7"/>
    <x v="7"/>
    <s v="Information Technology"/>
    <x v="0"/>
    <s v="AA-"/>
    <s v="South Korea"/>
    <x v="1"/>
    <d v="2024-03-12T00:00:00"/>
    <x v="1"/>
    <x v="2"/>
    <x v="1"/>
    <m/>
    <s v="Long-Term Cash Incentive"/>
    <m/>
    <x v="3"/>
    <s v="Stock Performance"/>
    <x v="48"/>
    <s v="3Y Stock Performance"/>
    <m/>
  </r>
  <r>
    <x v="132"/>
    <x v="0"/>
    <x v="7"/>
    <x v="7"/>
    <s v="Information Technology"/>
    <x v="0"/>
    <s v="AA-"/>
    <s v="South Korea"/>
    <x v="1"/>
    <d v="2024-03-12T00:00:00"/>
    <x v="1"/>
    <x v="2"/>
    <x v="1"/>
    <m/>
    <s v="Long-Term Cash Incentive"/>
    <m/>
    <x v="1"/>
    <s v="Profitability"/>
    <x v="9"/>
    <s v="3Y Operating Margin"/>
    <m/>
  </r>
  <r>
    <x v="133"/>
    <x v="3"/>
    <x v="4"/>
    <x v="4"/>
    <s v="Pharmaceuticals"/>
    <x v="1"/>
    <s v="A"/>
    <s v="Japan"/>
    <x v="1"/>
    <d v="2024-05-20T00:00:00"/>
    <x v="0"/>
    <x v="0"/>
    <x v="0"/>
    <n v="0.4"/>
    <s v="Base Salary"/>
    <n v="0.4"/>
    <x v="0"/>
    <m/>
    <x v="0"/>
    <m/>
    <m/>
  </r>
  <r>
    <x v="133"/>
    <x v="3"/>
    <x v="4"/>
    <x v="4"/>
    <s v="Pharmaceuticals"/>
    <x v="1"/>
    <s v="A"/>
    <s v="Japan"/>
    <x v="1"/>
    <d v="2024-05-20T00:00:00"/>
    <x v="0"/>
    <x v="1"/>
    <x v="1"/>
    <n v="0.3"/>
    <s v="Cash Incentive"/>
    <n v="0.3"/>
    <x v="1"/>
    <s v="Profitability"/>
    <x v="24"/>
    <s v="Net Income"/>
    <n v="0.8"/>
  </r>
  <r>
    <x v="133"/>
    <x v="3"/>
    <x v="4"/>
    <x v="4"/>
    <s v="Pharmaceuticals"/>
    <x v="1"/>
    <s v="A"/>
    <s v="Japan"/>
    <x v="1"/>
    <d v="2024-05-20T00:00:00"/>
    <x v="0"/>
    <x v="1"/>
    <x v="1"/>
    <m/>
    <s v="Cash Incentive"/>
    <n v="0.3"/>
    <x v="1"/>
    <s v="Profitability"/>
    <x v="9"/>
    <s v="Adjusted Operating Margin"/>
    <n v="0.1"/>
  </r>
  <r>
    <x v="133"/>
    <x v="3"/>
    <x v="4"/>
    <x v="4"/>
    <s v="Pharmaceuticals"/>
    <x v="1"/>
    <s v="A"/>
    <s v="Japan"/>
    <x v="1"/>
    <d v="2024-05-20T00:00:00"/>
    <x v="0"/>
    <x v="1"/>
    <x v="1"/>
    <m/>
    <s v="Cash Incentive"/>
    <n v="0.3"/>
    <x v="1"/>
    <s v="Growth"/>
    <x v="1"/>
    <s v="Revenue"/>
    <n v="0.1"/>
  </r>
  <r>
    <x v="133"/>
    <x v="3"/>
    <x v="4"/>
    <x v="4"/>
    <s v="Pharmaceuticals"/>
    <x v="1"/>
    <s v="A"/>
    <s v="Japan"/>
    <x v="1"/>
    <d v="2024-05-20T00:00:00"/>
    <x v="0"/>
    <x v="1"/>
    <x v="1"/>
    <m/>
    <s v="Cash Incentive"/>
    <n v="0.3"/>
    <x v="0"/>
    <s v="Modifier/Threshold"/>
    <x v="10"/>
    <s v="Individual Performance Factor"/>
    <m/>
  </r>
  <r>
    <x v="133"/>
    <x v="3"/>
    <x v="4"/>
    <x v="4"/>
    <s v="Pharmaceuticals"/>
    <x v="1"/>
    <s v="A"/>
    <s v="Japan"/>
    <x v="1"/>
    <d v="2024-05-20T00:00:00"/>
    <x v="0"/>
    <x v="2"/>
    <x v="1"/>
    <n v="0.15"/>
    <s v="Performance Stock"/>
    <n v="0.15"/>
    <x v="1"/>
    <s v="Growth"/>
    <x v="1"/>
    <s v="Revenue"/>
    <n v="0.2"/>
  </r>
  <r>
    <x v="133"/>
    <x v="3"/>
    <x v="4"/>
    <x v="4"/>
    <s v="Pharmaceuticals"/>
    <x v="1"/>
    <s v="A"/>
    <s v="Japan"/>
    <x v="1"/>
    <d v="2024-05-20T00:00:00"/>
    <x v="0"/>
    <x v="2"/>
    <x v="1"/>
    <m/>
    <s v="Performance Stock"/>
    <n v="0.15"/>
    <x v="1"/>
    <s v="Profitability"/>
    <x v="9"/>
    <s v="Adjusted Operating Margin Before R&amp;D"/>
    <n v="0.2"/>
  </r>
  <r>
    <x v="133"/>
    <x v="3"/>
    <x v="4"/>
    <x v="4"/>
    <s v="Pharmaceuticals"/>
    <x v="1"/>
    <s v="A"/>
    <s v="Japan"/>
    <x v="1"/>
    <d v="2024-05-20T00:00:00"/>
    <x v="0"/>
    <x v="2"/>
    <x v="1"/>
    <m/>
    <s v="Performance Stock"/>
    <n v="0.15"/>
    <x v="1"/>
    <s v="Return"/>
    <x v="21"/>
    <s v="Return on Equity"/>
    <n v="0.2"/>
  </r>
  <r>
    <x v="133"/>
    <x v="3"/>
    <x v="4"/>
    <x v="4"/>
    <s v="Pharmaceuticals"/>
    <x v="1"/>
    <s v="A"/>
    <s v="Japan"/>
    <x v="1"/>
    <d v="2024-05-20T00:00:00"/>
    <x v="0"/>
    <x v="2"/>
    <x v="1"/>
    <m/>
    <s v="Performance Stock"/>
    <n v="0.15"/>
    <x v="2"/>
    <s v="Strategy &amp; Operations"/>
    <x v="15"/>
    <s v="Research and Development Progress"/>
    <n v="0.15"/>
  </r>
  <r>
    <x v="133"/>
    <x v="3"/>
    <x v="4"/>
    <x v="4"/>
    <s v="Pharmaceuticals"/>
    <x v="1"/>
    <s v="A"/>
    <s v="Japan"/>
    <x v="1"/>
    <d v="2024-05-20T00:00:00"/>
    <x v="0"/>
    <x v="2"/>
    <x v="1"/>
    <m/>
    <s v="Performance Stock"/>
    <n v="0.15"/>
    <x v="3"/>
    <s v="Stock Performance"/>
    <x v="11"/>
    <s v="Relative TSR"/>
    <n v="0.15"/>
  </r>
  <r>
    <x v="133"/>
    <x v="3"/>
    <x v="4"/>
    <x v="4"/>
    <s v="Pharmaceuticals"/>
    <x v="1"/>
    <s v="A"/>
    <s v="Japan"/>
    <x v="1"/>
    <d v="2024-05-20T00:00:00"/>
    <x v="0"/>
    <x v="2"/>
    <x v="1"/>
    <m/>
    <s v="Performance Stock"/>
    <n v="0.15"/>
    <x v="2"/>
    <s v="ESG"/>
    <x v="7"/>
    <s v="ESG Indicators"/>
    <n v="0.1"/>
  </r>
  <r>
    <x v="133"/>
    <x v="3"/>
    <x v="4"/>
    <x v="4"/>
    <s v="Pharmaceuticals"/>
    <x v="1"/>
    <s v="A"/>
    <s v="Japan"/>
    <x v="1"/>
    <d v="2024-05-20T00:00:00"/>
    <x v="0"/>
    <x v="2"/>
    <x v="0"/>
    <n v="0.15"/>
    <s v="Time-Based Stock"/>
    <n v="0.15"/>
    <x v="0"/>
    <m/>
    <x v="0"/>
    <m/>
    <m/>
  </r>
  <r>
    <x v="134"/>
    <x v="4"/>
    <x v="5"/>
    <x v="5"/>
    <s v="Tobacco"/>
    <x v="1"/>
    <s v="BBB+"/>
    <s v="United Kingdom"/>
    <x v="2"/>
    <d v="2024-02-09T00:00:00"/>
    <x v="0"/>
    <x v="0"/>
    <x v="0"/>
    <n v="0.13800000000000001"/>
    <s v="Base Salary"/>
    <n v="0.13800000000000001"/>
    <x v="0"/>
    <m/>
    <x v="0"/>
    <m/>
    <m/>
  </r>
  <r>
    <x v="134"/>
    <x v="4"/>
    <x v="5"/>
    <x v="5"/>
    <s v="Tobacco"/>
    <x v="1"/>
    <s v="BBB+"/>
    <s v="United Kingdom"/>
    <x v="2"/>
    <d v="2024-02-09T00:00:00"/>
    <x v="0"/>
    <x v="1"/>
    <x v="1"/>
    <n v="8.5999999999999993E-2"/>
    <s v="Cash Incentive"/>
    <n v="8.5999999999999993E-2"/>
    <x v="1"/>
    <s v="Cash Flow"/>
    <x v="18"/>
    <s v="Adjusted Operating Cash Flow"/>
    <n v="0.3"/>
  </r>
  <r>
    <x v="134"/>
    <x v="4"/>
    <x v="5"/>
    <x v="5"/>
    <s v="Tobacco"/>
    <x v="1"/>
    <s v="BBB+"/>
    <s v="United Kingdom"/>
    <x v="2"/>
    <d v="2024-02-09T00:00:00"/>
    <x v="0"/>
    <x v="1"/>
    <x v="1"/>
    <m/>
    <s v="Cash Incentive"/>
    <n v="8.5999999999999993E-2"/>
    <x v="1"/>
    <s v="Profitability"/>
    <x v="2"/>
    <s v="Adjusted Operating Income Growth"/>
    <n v="0.25"/>
  </r>
  <r>
    <x v="134"/>
    <x v="4"/>
    <x v="5"/>
    <x v="5"/>
    <s v="Tobacco"/>
    <x v="1"/>
    <s v="BBB+"/>
    <s v="United Kingdom"/>
    <x v="2"/>
    <d v="2024-02-09T00:00:00"/>
    <x v="0"/>
    <x v="1"/>
    <x v="1"/>
    <m/>
    <s v="Cash Incentive"/>
    <n v="8.5999999999999993E-2"/>
    <x v="1"/>
    <s v="Growth"/>
    <x v="3"/>
    <s v="New Categories Contribution to Adjusted Operating Income"/>
    <n v="0.2"/>
  </r>
  <r>
    <x v="134"/>
    <x v="4"/>
    <x v="5"/>
    <x v="5"/>
    <s v="Tobacco"/>
    <x v="1"/>
    <s v="BBB+"/>
    <s v="United Kingdom"/>
    <x v="2"/>
    <d v="2024-02-09T00:00:00"/>
    <x v="0"/>
    <x v="1"/>
    <x v="1"/>
    <m/>
    <s v="Cash Incentive"/>
    <n v="8.5999999999999993E-2"/>
    <x v="1"/>
    <s v="Growth"/>
    <x v="1"/>
    <s v="Adjusted New Categories Revenue Growth"/>
    <n v="0.15"/>
  </r>
  <r>
    <x v="134"/>
    <x v="4"/>
    <x v="5"/>
    <x v="5"/>
    <s v="Tobacco"/>
    <x v="1"/>
    <s v="BBB+"/>
    <s v="United Kingdom"/>
    <x v="2"/>
    <d v="2024-02-09T00:00:00"/>
    <x v="0"/>
    <x v="1"/>
    <x v="1"/>
    <m/>
    <s v="Cash Incentive"/>
    <n v="8.5999999999999993E-2"/>
    <x v="1"/>
    <s v="Growth"/>
    <x v="3"/>
    <s v="Volume Share Growth"/>
    <n v="0.1"/>
  </r>
  <r>
    <x v="134"/>
    <x v="4"/>
    <x v="5"/>
    <x v="5"/>
    <s v="Tobacco"/>
    <x v="1"/>
    <s v="BBB+"/>
    <s v="United Kingdom"/>
    <x v="2"/>
    <d v="2024-02-09T00:00:00"/>
    <x v="0"/>
    <x v="1"/>
    <x v="1"/>
    <m/>
    <s v="Cash Incentive"/>
    <n v="8.5999999999999993E-2"/>
    <x v="0"/>
    <s v="Modifier/Threshold"/>
    <x v="34"/>
    <s v="Discretionary Adjustment"/>
    <m/>
  </r>
  <r>
    <x v="134"/>
    <x v="4"/>
    <x v="5"/>
    <x v="5"/>
    <s v="Tobacco"/>
    <x v="1"/>
    <s v="BBB+"/>
    <s v="United Kingdom"/>
    <x v="2"/>
    <d v="2024-02-09T00:00:00"/>
    <x v="0"/>
    <x v="1"/>
    <x v="1"/>
    <n v="8.5999999999999993E-2"/>
    <s v="Deferred Equity Grant"/>
    <n v="8.5999999999999993E-2"/>
    <x v="0"/>
    <m/>
    <x v="0"/>
    <m/>
    <m/>
  </r>
  <r>
    <x v="134"/>
    <x v="4"/>
    <x v="5"/>
    <x v="5"/>
    <s v="Tobacco"/>
    <x v="1"/>
    <s v="BBB+"/>
    <s v="United Kingdom"/>
    <x v="2"/>
    <d v="2024-02-09T00:00:00"/>
    <x v="0"/>
    <x v="2"/>
    <x v="1"/>
    <n v="0.69"/>
    <s v="Performance Stock"/>
    <n v="0.69"/>
    <x v="1"/>
    <s v="Profitability"/>
    <x v="14"/>
    <s v="3Y Adjusted EPS CAGR"/>
    <n v="0.3"/>
  </r>
  <r>
    <x v="134"/>
    <x v="4"/>
    <x v="5"/>
    <x v="5"/>
    <s v="Tobacco"/>
    <x v="1"/>
    <s v="BBB+"/>
    <s v="United Kingdom"/>
    <x v="2"/>
    <d v="2024-02-09T00:00:00"/>
    <x v="0"/>
    <x v="2"/>
    <x v="1"/>
    <m/>
    <s v="Performance Stock"/>
    <n v="0.69"/>
    <x v="3"/>
    <s v="Stock Performance"/>
    <x v="11"/>
    <s v="3Y Relative TSR"/>
    <n v="0.2"/>
  </r>
  <r>
    <x v="134"/>
    <x v="4"/>
    <x v="5"/>
    <x v="5"/>
    <s v="Tobacco"/>
    <x v="1"/>
    <s v="BBB+"/>
    <s v="United Kingdom"/>
    <x v="2"/>
    <d v="2024-02-09T00:00:00"/>
    <x v="0"/>
    <x v="2"/>
    <x v="1"/>
    <m/>
    <s v="Performance Stock"/>
    <n v="0.69"/>
    <x v="1"/>
    <s v="Cash Flow"/>
    <x v="50"/>
    <s v="3Y Adjusted Operating Cash Flow Conversion Ratio"/>
    <n v="0.2"/>
  </r>
  <r>
    <x v="134"/>
    <x v="4"/>
    <x v="5"/>
    <x v="5"/>
    <s v="Tobacco"/>
    <x v="1"/>
    <s v="BBB+"/>
    <s v="United Kingdom"/>
    <x v="2"/>
    <d v="2024-02-09T00:00:00"/>
    <x v="0"/>
    <x v="2"/>
    <x v="1"/>
    <m/>
    <s v="Performance Stock"/>
    <n v="0.69"/>
    <x v="1"/>
    <s v="Growth"/>
    <x v="1"/>
    <s v="3Y Revenue CAGR"/>
    <n v="0.15"/>
  </r>
  <r>
    <x v="134"/>
    <x v="4"/>
    <x v="5"/>
    <x v="5"/>
    <s v="Tobacco"/>
    <x v="1"/>
    <s v="BBB+"/>
    <s v="United Kingdom"/>
    <x v="2"/>
    <d v="2024-02-09T00:00:00"/>
    <x v="0"/>
    <x v="2"/>
    <x v="1"/>
    <m/>
    <s v="Performance Stock"/>
    <n v="0.69"/>
    <x v="1"/>
    <s v="Growth"/>
    <x v="1"/>
    <s v="3Y New Categories Revenue CAGR"/>
    <n v="0.15"/>
  </r>
  <r>
    <x v="134"/>
    <x v="4"/>
    <x v="5"/>
    <x v="5"/>
    <s v="Tobacco"/>
    <x v="1"/>
    <s v="BBB+"/>
    <s v="United Kingdom"/>
    <x v="2"/>
    <d v="2024-02-09T00:00:00"/>
    <x v="0"/>
    <x v="2"/>
    <x v="1"/>
    <m/>
    <s v="Performance Stock"/>
    <n v="0.69"/>
    <x v="0"/>
    <s v="Modifier/Threshold"/>
    <x v="34"/>
    <s v="Discretionary Adjustment"/>
    <m/>
  </r>
  <r>
    <x v="134"/>
    <x v="4"/>
    <x v="5"/>
    <x v="5"/>
    <s v="Tobacco"/>
    <x v="1"/>
    <s v="BBB+"/>
    <s v="United Kingdom"/>
    <x v="2"/>
    <d v="2024-02-09T00:00:00"/>
    <x v="1"/>
    <x v="0"/>
    <x v="0"/>
    <n v="0.16800000000000001"/>
    <s v="Base Salary"/>
    <n v="0.16800000000000001"/>
    <x v="0"/>
    <m/>
    <x v="0"/>
    <m/>
    <m/>
  </r>
  <r>
    <x v="134"/>
    <x v="4"/>
    <x v="5"/>
    <x v="5"/>
    <s v="Tobacco"/>
    <x v="1"/>
    <s v="BBB+"/>
    <s v="United Kingdom"/>
    <x v="2"/>
    <d v="2024-02-09T00:00:00"/>
    <x v="1"/>
    <x v="1"/>
    <x v="1"/>
    <n v="0.08"/>
    <s v="Cash Incentive"/>
    <n v="0.08"/>
    <x v="1"/>
    <s v="Cash Flow"/>
    <x v="18"/>
    <s v="Adjusted Operating Cash Flow"/>
    <n v="0.3"/>
  </r>
  <r>
    <x v="134"/>
    <x v="4"/>
    <x v="5"/>
    <x v="5"/>
    <s v="Tobacco"/>
    <x v="1"/>
    <s v="BBB+"/>
    <s v="United Kingdom"/>
    <x v="2"/>
    <d v="2024-02-09T00:00:00"/>
    <x v="1"/>
    <x v="1"/>
    <x v="1"/>
    <m/>
    <s v="Cash Incentive"/>
    <n v="0.08"/>
    <x v="1"/>
    <s v="Profitability"/>
    <x v="2"/>
    <s v="Adjusted Operating Income Growth"/>
    <n v="0.25"/>
  </r>
  <r>
    <x v="134"/>
    <x v="4"/>
    <x v="5"/>
    <x v="5"/>
    <s v="Tobacco"/>
    <x v="1"/>
    <s v="BBB+"/>
    <s v="United Kingdom"/>
    <x v="2"/>
    <d v="2024-02-09T00:00:00"/>
    <x v="1"/>
    <x v="1"/>
    <x v="1"/>
    <m/>
    <s v="Cash Incentive"/>
    <n v="0.08"/>
    <x v="1"/>
    <s v="Growth"/>
    <x v="3"/>
    <s v="New Categories Contribution to Adjusted Operating Income"/>
    <n v="0.2"/>
  </r>
  <r>
    <x v="134"/>
    <x v="4"/>
    <x v="5"/>
    <x v="5"/>
    <s v="Tobacco"/>
    <x v="1"/>
    <s v="BBB+"/>
    <s v="United Kingdom"/>
    <x v="2"/>
    <d v="2024-02-09T00:00:00"/>
    <x v="1"/>
    <x v="1"/>
    <x v="1"/>
    <m/>
    <s v="Cash Incentive"/>
    <n v="0.08"/>
    <x v="1"/>
    <s v="Growth"/>
    <x v="1"/>
    <s v="Adjusted New Categories Revenue Growth"/>
    <n v="0.15"/>
  </r>
  <r>
    <x v="134"/>
    <x v="4"/>
    <x v="5"/>
    <x v="5"/>
    <s v="Tobacco"/>
    <x v="1"/>
    <s v="BBB+"/>
    <s v="United Kingdom"/>
    <x v="2"/>
    <d v="2024-02-09T00:00:00"/>
    <x v="1"/>
    <x v="1"/>
    <x v="1"/>
    <m/>
    <s v="Cash Incentive"/>
    <n v="0.08"/>
    <x v="1"/>
    <s v="Growth"/>
    <x v="3"/>
    <s v="Volume Share Growth"/>
    <n v="0.1"/>
  </r>
  <r>
    <x v="134"/>
    <x v="4"/>
    <x v="5"/>
    <x v="5"/>
    <s v="Tobacco"/>
    <x v="1"/>
    <s v="BBB+"/>
    <s v="United Kingdom"/>
    <x v="2"/>
    <d v="2024-02-09T00:00:00"/>
    <x v="1"/>
    <x v="1"/>
    <x v="1"/>
    <m/>
    <s v="Cash Incentive"/>
    <n v="0.08"/>
    <x v="0"/>
    <s v="Modifier/Threshold"/>
    <x v="34"/>
    <s v="Discretionary Adjustment"/>
    <m/>
  </r>
  <r>
    <x v="134"/>
    <x v="4"/>
    <x v="5"/>
    <x v="5"/>
    <s v="Tobacco"/>
    <x v="1"/>
    <s v="BBB+"/>
    <s v="United Kingdom"/>
    <x v="2"/>
    <d v="2024-02-09T00:00:00"/>
    <x v="1"/>
    <x v="1"/>
    <x v="1"/>
    <n v="0.08"/>
    <s v="Deferred Equity Grant"/>
    <n v="0.08"/>
    <x v="0"/>
    <m/>
    <x v="0"/>
    <m/>
    <m/>
  </r>
  <r>
    <x v="134"/>
    <x v="4"/>
    <x v="5"/>
    <x v="5"/>
    <s v="Tobacco"/>
    <x v="1"/>
    <s v="BBB+"/>
    <s v="United Kingdom"/>
    <x v="2"/>
    <d v="2024-02-09T00:00:00"/>
    <x v="1"/>
    <x v="2"/>
    <x v="1"/>
    <n v="0.67200000000000004"/>
    <s v="Performance Stock"/>
    <n v="0.67200000000000004"/>
    <x v="1"/>
    <s v="Profitability"/>
    <x v="14"/>
    <s v="3Y Adjusted EPS CAGR"/>
    <n v="0.3"/>
  </r>
  <r>
    <x v="134"/>
    <x v="4"/>
    <x v="5"/>
    <x v="5"/>
    <s v="Tobacco"/>
    <x v="1"/>
    <s v="BBB+"/>
    <s v="United Kingdom"/>
    <x v="2"/>
    <d v="2024-02-09T00:00:00"/>
    <x v="1"/>
    <x v="2"/>
    <x v="1"/>
    <m/>
    <s v="Performance Stock"/>
    <n v="0.67200000000000004"/>
    <x v="3"/>
    <s v="Stock Performance"/>
    <x v="11"/>
    <s v="3Y Relative TSR"/>
    <n v="0.2"/>
  </r>
  <r>
    <x v="134"/>
    <x v="4"/>
    <x v="5"/>
    <x v="5"/>
    <s v="Tobacco"/>
    <x v="1"/>
    <s v="BBB+"/>
    <s v="United Kingdom"/>
    <x v="2"/>
    <d v="2024-02-09T00:00:00"/>
    <x v="1"/>
    <x v="2"/>
    <x v="1"/>
    <m/>
    <s v="Performance Stock"/>
    <n v="0.67200000000000004"/>
    <x v="1"/>
    <s v="Cash Flow"/>
    <x v="50"/>
    <s v="3Y Adjusted Operating Cash Flow Conversion Ratio"/>
    <n v="0.2"/>
  </r>
  <r>
    <x v="134"/>
    <x v="4"/>
    <x v="5"/>
    <x v="5"/>
    <s v="Tobacco"/>
    <x v="1"/>
    <s v="BBB+"/>
    <s v="United Kingdom"/>
    <x v="2"/>
    <d v="2024-02-09T00:00:00"/>
    <x v="1"/>
    <x v="2"/>
    <x v="1"/>
    <m/>
    <s v="Performance Stock"/>
    <n v="0.67200000000000004"/>
    <x v="1"/>
    <s v="Growth"/>
    <x v="1"/>
    <s v="3Y Revenue CAGR"/>
    <n v="0.15"/>
  </r>
  <r>
    <x v="134"/>
    <x v="4"/>
    <x v="5"/>
    <x v="5"/>
    <s v="Tobacco"/>
    <x v="1"/>
    <s v="BBB+"/>
    <s v="United Kingdom"/>
    <x v="2"/>
    <d v="2024-02-09T00:00:00"/>
    <x v="1"/>
    <x v="2"/>
    <x v="1"/>
    <m/>
    <s v="Performance Stock"/>
    <n v="0.67200000000000004"/>
    <x v="1"/>
    <s v="Growth"/>
    <x v="1"/>
    <s v="3Y New Categories Revenue CAGR"/>
    <n v="0.15"/>
  </r>
  <r>
    <x v="134"/>
    <x v="4"/>
    <x v="5"/>
    <x v="5"/>
    <s v="Tobacco"/>
    <x v="1"/>
    <s v="BBB+"/>
    <s v="United Kingdom"/>
    <x v="2"/>
    <d v="2024-02-09T00:00:00"/>
    <x v="1"/>
    <x v="2"/>
    <x v="1"/>
    <m/>
    <s v="Performance Stock"/>
    <n v="0.67200000000000004"/>
    <x v="0"/>
    <s v="Modifier/Threshold"/>
    <x v="34"/>
    <s v="Discretionary Adjustment"/>
    <m/>
  </r>
  <r>
    <x v="135"/>
    <x v="0"/>
    <x v="0"/>
    <x v="0"/>
    <s v="Packaged Software"/>
    <x v="0"/>
    <s v="A+"/>
    <s v="Germany"/>
    <x v="2"/>
    <d v="2024-02-21T00:00:00"/>
    <x v="0"/>
    <x v="0"/>
    <x v="0"/>
    <n v="0.13"/>
    <s v="Base Salary"/>
    <n v="0.13"/>
    <x v="0"/>
    <m/>
    <x v="0"/>
    <m/>
    <m/>
  </r>
  <r>
    <x v="135"/>
    <x v="0"/>
    <x v="0"/>
    <x v="0"/>
    <s v="Packaged Software"/>
    <x v="0"/>
    <s v="A+"/>
    <s v="Germany"/>
    <x v="2"/>
    <d v="2024-02-21T00:00:00"/>
    <x v="0"/>
    <x v="1"/>
    <x v="1"/>
    <n v="0.22"/>
    <s v="Cash Incentive"/>
    <n v="0.22"/>
    <x v="1"/>
    <s v="Growth"/>
    <x v="3"/>
    <s v="Adjusted Current Cloud Backlog"/>
    <n v="0.3"/>
  </r>
  <r>
    <x v="135"/>
    <x v="0"/>
    <x v="0"/>
    <x v="0"/>
    <s v="Packaged Software"/>
    <x v="0"/>
    <s v="A+"/>
    <s v="Germany"/>
    <x v="2"/>
    <d v="2024-02-21T00:00:00"/>
    <x v="0"/>
    <x v="1"/>
    <x v="1"/>
    <m/>
    <s v="Cash Incentive"/>
    <n v="0.22"/>
    <x v="1"/>
    <s v="Growth"/>
    <x v="1"/>
    <s v="Adjusted Cloud and Software Revenue Growth"/>
    <n v="0.25"/>
  </r>
  <r>
    <x v="135"/>
    <x v="0"/>
    <x v="0"/>
    <x v="0"/>
    <s v="Packaged Software"/>
    <x v="0"/>
    <s v="A+"/>
    <s v="Germany"/>
    <x v="2"/>
    <d v="2024-02-21T00:00:00"/>
    <x v="0"/>
    <x v="1"/>
    <x v="1"/>
    <m/>
    <s v="Cash Incentive"/>
    <n v="0.22"/>
    <x v="1"/>
    <s v="Profitability"/>
    <x v="9"/>
    <s v="Adjusted Operating Margin Improvement"/>
    <n v="0.25"/>
  </r>
  <r>
    <x v="135"/>
    <x v="0"/>
    <x v="0"/>
    <x v="0"/>
    <s v="Packaged Software"/>
    <x v="0"/>
    <s v="A+"/>
    <s v="Germany"/>
    <x v="2"/>
    <d v="2024-02-21T00:00:00"/>
    <x v="0"/>
    <x v="1"/>
    <x v="1"/>
    <m/>
    <s v="Cash Incentive"/>
    <n v="0.22"/>
    <x v="2"/>
    <s v="Strategy &amp; Operations"/>
    <x v="4"/>
    <s v="Customer Net Promoter Score"/>
    <n v="6.6666666666666666E-2"/>
  </r>
  <r>
    <x v="135"/>
    <x v="0"/>
    <x v="0"/>
    <x v="0"/>
    <s v="Packaged Software"/>
    <x v="0"/>
    <s v="A+"/>
    <s v="Germany"/>
    <x v="2"/>
    <d v="2024-02-21T00:00:00"/>
    <x v="0"/>
    <x v="1"/>
    <x v="1"/>
    <m/>
    <s v="Cash Incentive"/>
    <n v="0.22"/>
    <x v="2"/>
    <s v="ESG"/>
    <x v="7"/>
    <s v="Employee Engagement Index"/>
    <n v="6.6666666666666666E-2"/>
  </r>
  <r>
    <x v="135"/>
    <x v="0"/>
    <x v="0"/>
    <x v="0"/>
    <s v="Packaged Software"/>
    <x v="0"/>
    <s v="A+"/>
    <s v="Germany"/>
    <x v="2"/>
    <d v="2024-02-21T00:00:00"/>
    <x v="0"/>
    <x v="1"/>
    <x v="1"/>
    <m/>
    <s v="Cash Incentive"/>
    <n v="0.22"/>
    <x v="2"/>
    <s v="ESG"/>
    <x v="7"/>
    <s v="Greenhouse Gas Emissions"/>
    <n v="6.6666666666666666E-2"/>
  </r>
  <r>
    <x v="135"/>
    <x v="0"/>
    <x v="0"/>
    <x v="0"/>
    <s v="Packaged Software"/>
    <x v="0"/>
    <s v="A+"/>
    <s v="Germany"/>
    <x v="2"/>
    <d v="2024-02-21T00:00:00"/>
    <x v="0"/>
    <x v="1"/>
    <x v="1"/>
    <m/>
    <s v="Cash Incentive"/>
    <n v="0.22"/>
    <x v="0"/>
    <s v="Modifier/Threshold"/>
    <x v="3"/>
    <s v="Weighted Cumulative Achievement"/>
    <m/>
  </r>
  <r>
    <x v="135"/>
    <x v="0"/>
    <x v="0"/>
    <x v="0"/>
    <s v="Packaged Software"/>
    <x v="0"/>
    <s v="A+"/>
    <s v="Germany"/>
    <x v="2"/>
    <d v="2024-02-21T00:00:00"/>
    <x v="0"/>
    <x v="1"/>
    <x v="1"/>
    <m/>
    <s v="Cash Incentive"/>
    <n v="0.22"/>
    <x v="0"/>
    <s v="Modifier/Threshold"/>
    <x v="34"/>
    <s v="Discretionary Adjustment"/>
    <m/>
  </r>
  <r>
    <x v="135"/>
    <x v="0"/>
    <x v="0"/>
    <x v="0"/>
    <s v="Packaged Software"/>
    <x v="0"/>
    <s v="A+"/>
    <s v="Germany"/>
    <x v="2"/>
    <d v="2024-02-21T00:00:00"/>
    <x v="0"/>
    <x v="2"/>
    <x v="1"/>
    <n v="0.43"/>
    <s v="Performance Stock"/>
    <n v="0.43"/>
    <x v="1"/>
    <s v="Growth"/>
    <x v="1"/>
    <s v="3Y Cumulative Adjusted Cloud Revenue"/>
    <n v="0.16666666666666666"/>
  </r>
  <r>
    <x v="135"/>
    <x v="0"/>
    <x v="0"/>
    <x v="0"/>
    <s v="Packaged Software"/>
    <x v="0"/>
    <s v="A+"/>
    <s v="Germany"/>
    <x v="2"/>
    <d v="2024-02-21T00:00:00"/>
    <x v="0"/>
    <x v="2"/>
    <x v="1"/>
    <m/>
    <s v="Performance Stock"/>
    <n v="0.43"/>
    <x v="1"/>
    <s v="Growth"/>
    <x v="1"/>
    <s v="3Y Cumulative Adjusted Revenue"/>
    <n v="0.16666666666666666"/>
  </r>
  <r>
    <x v="135"/>
    <x v="0"/>
    <x v="0"/>
    <x v="0"/>
    <s v="Packaged Software"/>
    <x v="0"/>
    <s v="A+"/>
    <s v="Germany"/>
    <x v="2"/>
    <d v="2024-02-21T00:00:00"/>
    <x v="0"/>
    <x v="2"/>
    <x v="1"/>
    <m/>
    <s v="Performance Stock"/>
    <n v="0.43"/>
    <x v="1"/>
    <s v="Profitability"/>
    <x v="2"/>
    <s v="3Y Cumulative Adjusted Operating Income"/>
    <n v="0.16666666666666666"/>
  </r>
  <r>
    <x v="135"/>
    <x v="0"/>
    <x v="0"/>
    <x v="0"/>
    <s v="Packaged Software"/>
    <x v="0"/>
    <s v="A+"/>
    <s v="Germany"/>
    <x v="2"/>
    <d v="2024-02-21T00:00:00"/>
    <x v="0"/>
    <x v="2"/>
    <x v="1"/>
    <m/>
    <s v="Performance Stock"/>
    <n v="0.43"/>
    <x v="3"/>
    <s v="Stock Performance"/>
    <x v="11"/>
    <s v="3Y Relative TSR"/>
    <n v="0.5"/>
  </r>
  <r>
    <x v="135"/>
    <x v="0"/>
    <x v="0"/>
    <x v="0"/>
    <s v="Packaged Software"/>
    <x v="0"/>
    <s v="A+"/>
    <s v="Germany"/>
    <x v="2"/>
    <d v="2024-02-21T00:00:00"/>
    <x v="0"/>
    <x v="2"/>
    <x v="2"/>
    <m/>
    <s v="Performance Stock"/>
    <n v="0.43"/>
    <x v="0"/>
    <s v="Modifier/Threshold"/>
    <x v="34"/>
    <s v="Discretionary Adjustment"/>
    <m/>
  </r>
  <r>
    <x v="135"/>
    <x v="0"/>
    <x v="0"/>
    <x v="0"/>
    <s v="Packaged Software"/>
    <x v="0"/>
    <s v="A+"/>
    <s v="Germany"/>
    <x v="2"/>
    <d v="2024-02-21T00:00:00"/>
    <x v="0"/>
    <x v="2"/>
    <x v="0"/>
    <n v="0.22"/>
    <s v="Time-Based Stock"/>
    <n v="0.22"/>
    <x v="0"/>
    <m/>
    <x v="0"/>
    <m/>
    <m/>
  </r>
  <r>
    <x v="135"/>
    <x v="0"/>
    <x v="0"/>
    <x v="0"/>
    <s v="Packaged Software"/>
    <x v="0"/>
    <s v="A+"/>
    <s v="Germany"/>
    <x v="2"/>
    <d v="2024-02-21T00:00:00"/>
    <x v="1"/>
    <x v="0"/>
    <x v="0"/>
    <n v="0.17"/>
    <s v="Base Salary"/>
    <n v="0.17"/>
    <x v="0"/>
    <m/>
    <x v="0"/>
    <m/>
    <m/>
  </r>
  <r>
    <x v="135"/>
    <x v="0"/>
    <x v="0"/>
    <x v="0"/>
    <s v="Packaged Software"/>
    <x v="0"/>
    <s v="A+"/>
    <s v="Germany"/>
    <x v="2"/>
    <d v="2024-02-21T00:00:00"/>
    <x v="1"/>
    <x v="1"/>
    <x v="1"/>
    <n v="0.27"/>
    <s v="Cash Incentive"/>
    <n v="0.27"/>
    <x v="1"/>
    <s v="Growth"/>
    <x v="3"/>
    <s v="Adjusted Current Cloud Backlog"/>
    <n v="0.3"/>
  </r>
  <r>
    <x v="135"/>
    <x v="0"/>
    <x v="0"/>
    <x v="0"/>
    <s v="Packaged Software"/>
    <x v="0"/>
    <s v="A+"/>
    <s v="Germany"/>
    <x v="2"/>
    <d v="2024-02-21T00:00:00"/>
    <x v="1"/>
    <x v="1"/>
    <x v="1"/>
    <m/>
    <s v="Cash Incentive"/>
    <n v="0.27"/>
    <x v="1"/>
    <s v="Growth"/>
    <x v="1"/>
    <s v="Adjusted Cloud and Software Revenue Growth"/>
    <n v="0.25"/>
  </r>
  <r>
    <x v="135"/>
    <x v="0"/>
    <x v="0"/>
    <x v="0"/>
    <s v="Packaged Software"/>
    <x v="0"/>
    <s v="A+"/>
    <s v="Germany"/>
    <x v="2"/>
    <d v="2024-02-21T00:00:00"/>
    <x v="1"/>
    <x v="1"/>
    <x v="1"/>
    <m/>
    <s v="Cash Incentive"/>
    <n v="0.27"/>
    <x v="1"/>
    <s v="Profitability"/>
    <x v="9"/>
    <s v="Adjusted Operating Margin Improvement"/>
    <n v="0.25"/>
  </r>
  <r>
    <x v="135"/>
    <x v="0"/>
    <x v="0"/>
    <x v="0"/>
    <s v="Packaged Software"/>
    <x v="0"/>
    <s v="A+"/>
    <s v="Germany"/>
    <x v="2"/>
    <d v="2024-02-21T00:00:00"/>
    <x v="1"/>
    <x v="1"/>
    <x v="1"/>
    <m/>
    <s v="Cash Incentive"/>
    <n v="0.27"/>
    <x v="2"/>
    <s v="Strategy &amp; Operations"/>
    <x v="4"/>
    <s v="Customer Net Promoter Score"/>
    <n v="6.6666666666666666E-2"/>
  </r>
  <r>
    <x v="135"/>
    <x v="0"/>
    <x v="0"/>
    <x v="0"/>
    <s v="Packaged Software"/>
    <x v="0"/>
    <s v="A+"/>
    <s v="Germany"/>
    <x v="2"/>
    <d v="2024-02-21T00:00:00"/>
    <x v="1"/>
    <x v="1"/>
    <x v="1"/>
    <m/>
    <s v="Cash Incentive"/>
    <n v="0.27"/>
    <x v="2"/>
    <s v="ESG"/>
    <x v="7"/>
    <s v="Employee Engagement Index"/>
    <n v="6.6666666666666666E-2"/>
  </r>
  <r>
    <x v="135"/>
    <x v="0"/>
    <x v="0"/>
    <x v="0"/>
    <s v="Packaged Software"/>
    <x v="0"/>
    <s v="A+"/>
    <s v="Germany"/>
    <x v="2"/>
    <d v="2024-02-21T00:00:00"/>
    <x v="1"/>
    <x v="1"/>
    <x v="1"/>
    <m/>
    <s v="Cash Incentive"/>
    <n v="0.27"/>
    <x v="2"/>
    <s v="ESG"/>
    <x v="7"/>
    <s v="Greenhouse Gas Emissions"/>
    <n v="6.6666666666666666E-2"/>
  </r>
  <r>
    <x v="135"/>
    <x v="0"/>
    <x v="0"/>
    <x v="0"/>
    <s v="Packaged Software"/>
    <x v="0"/>
    <s v="A+"/>
    <s v="Germany"/>
    <x v="2"/>
    <d v="2024-02-21T00:00:00"/>
    <x v="1"/>
    <x v="1"/>
    <x v="1"/>
    <m/>
    <s v="Cash Incentive"/>
    <n v="0.27"/>
    <x v="0"/>
    <s v="Modifier/Threshold"/>
    <x v="3"/>
    <s v="Weighted Cumulative Achievement"/>
    <m/>
  </r>
  <r>
    <x v="135"/>
    <x v="0"/>
    <x v="0"/>
    <x v="0"/>
    <s v="Packaged Software"/>
    <x v="0"/>
    <s v="A+"/>
    <s v="Germany"/>
    <x v="2"/>
    <d v="2024-02-21T00:00:00"/>
    <x v="1"/>
    <x v="1"/>
    <x v="1"/>
    <m/>
    <s v="Cash Incentive"/>
    <n v="0.27"/>
    <x v="0"/>
    <s v="Modifier/Threshold"/>
    <x v="34"/>
    <s v="Discretionary Adjustment"/>
    <m/>
  </r>
  <r>
    <x v="135"/>
    <x v="0"/>
    <x v="0"/>
    <x v="0"/>
    <s v="Packaged Software"/>
    <x v="0"/>
    <s v="A+"/>
    <s v="Germany"/>
    <x v="2"/>
    <d v="2024-02-21T00:00:00"/>
    <x v="1"/>
    <x v="2"/>
    <x v="1"/>
    <n v="0.37"/>
    <s v="Performance Stock"/>
    <n v="0.37"/>
    <x v="1"/>
    <s v="Growth"/>
    <x v="1"/>
    <s v="3Y Cumulative Adjusted Cloud Revenue"/>
    <n v="0.16666666666666666"/>
  </r>
  <r>
    <x v="135"/>
    <x v="0"/>
    <x v="0"/>
    <x v="0"/>
    <s v="Packaged Software"/>
    <x v="0"/>
    <s v="A+"/>
    <s v="Germany"/>
    <x v="2"/>
    <d v="2024-02-21T00:00:00"/>
    <x v="1"/>
    <x v="2"/>
    <x v="1"/>
    <m/>
    <s v="Performance Stock"/>
    <n v="0.37"/>
    <x v="1"/>
    <s v="Growth"/>
    <x v="1"/>
    <s v="3Y Cumulative Adjusted Revenue"/>
    <n v="0.16666666666666666"/>
  </r>
  <r>
    <x v="135"/>
    <x v="0"/>
    <x v="0"/>
    <x v="0"/>
    <s v="Packaged Software"/>
    <x v="0"/>
    <s v="A+"/>
    <s v="Germany"/>
    <x v="2"/>
    <d v="2024-02-21T00:00:00"/>
    <x v="1"/>
    <x v="2"/>
    <x v="1"/>
    <m/>
    <s v="Performance Stock"/>
    <n v="0.37"/>
    <x v="1"/>
    <s v="Profitability"/>
    <x v="2"/>
    <s v="3Y Cumulative Adjusted Operating Income"/>
    <n v="0.16666666666666666"/>
  </r>
  <r>
    <x v="135"/>
    <x v="0"/>
    <x v="0"/>
    <x v="0"/>
    <s v="Packaged Software"/>
    <x v="0"/>
    <s v="A+"/>
    <s v="Germany"/>
    <x v="2"/>
    <d v="2024-02-21T00:00:00"/>
    <x v="1"/>
    <x v="2"/>
    <x v="1"/>
    <m/>
    <s v="Performance Stock"/>
    <n v="0.37"/>
    <x v="3"/>
    <s v="Stock Performance"/>
    <x v="11"/>
    <s v="3Y Relative TSR"/>
    <n v="0.5"/>
  </r>
  <r>
    <x v="135"/>
    <x v="0"/>
    <x v="0"/>
    <x v="0"/>
    <s v="Packaged Software"/>
    <x v="0"/>
    <s v="A+"/>
    <s v="Germany"/>
    <x v="2"/>
    <d v="2024-02-21T00:00:00"/>
    <x v="1"/>
    <x v="2"/>
    <x v="2"/>
    <m/>
    <s v="Performance Stock"/>
    <n v="0.37"/>
    <x v="0"/>
    <s v="Modifier/Threshold"/>
    <x v="34"/>
    <s v="Discretionary Adjustment"/>
    <m/>
  </r>
  <r>
    <x v="135"/>
    <x v="0"/>
    <x v="0"/>
    <x v="0"/>
    <s v="Packaged Software"/>
    <x v="0"/>
    <s v="A+"/>
    <s v="Germany"/>
    <x v="2"/>
    <d v="2024-02-21T00:00:00"/>
    <x v="1"/>
    <x v="2"/>
    <x v="0"/>
    <n v="0.19"/>
    <s v="Time-Based Stock"/>
    <n v="0.19"/>
    <x v="0"/>
    <m/>
    <x v="0"/>
    <m/>
    <m/>
  </r>
  <r>
    <x v="136"/>
    <x v="8"/>
    <x v="13"/>
    <x v="21"/>
    <s v="Oil and Gas"/>
    <x v="0"/>
    <s v="A+"/>
    <s v="France"/>
    <x v="2"/>
    <d v="2024-03-29T00:00:00"/>
    <x v="0"/>
    <x v="0"/>
    <x v="0"/>
    <n v="0.15"/>
    <s v="Base Salary"/>
    <n v="0.15"/>
    <x v="0"/>
    <m/>
    <x v="0"/>
    <m/>
    <m/>
  </r>
  <r>
    <x v="136"/>
    <x v="8"/>
    <x v="13"/>
    <x v="21"/>
    <s v="Oil and Gas"/>
    <x v="0"/>
    <s v="A+"/>
    <s v="France"/>
    <x v="2"/>
    <d v="2024-03-29T00:00:00"/>
    <x v="0"/>
    <x v="1"/>
    <x v="1"/>
    <n v="0.13"/>
    <s v="Cash Incentive"/>
    <n v="0.13"/>
    <x v="2"/>
    <s v="Individual Assessment"/>
    <x v="13"/>
    <s v="Individual Performance Assessment"/>
    <n v="0.22222222222222221"/>
  </r>
  <r>
    <x v="136"/>
    <x v="8"/>
    <x v="13"/>
    <x v="21"/>
    <s v="Oil and Gas"/>
    <x v="0"/>
    <s v="A+"/>
    <s v="France"/>
    <x v="2"/>
    <d v="2024-03-29T00:00:00"/>
    <x v="0"/>
    <x v="1"/>
    <x v="1"/>
    <m/>
    <s v="Cash Incentive"/>
    <n v="0.13"/>
    <x v="1"/>
    <s v="Return"/>
    <x v="21"/>
    <s v="Adjusted Return on Equity"/>
    <n v="0.16666666666666666"/>
  </r>
  <r>
    <x v="136"/>
    <x v="8"/>
    <x v="13"/>
    <x v="21"/>
    <s v="Oil and Gas"/>
    <x v="0"/>
    <s v="A+"/>
    <s v="France"/>
    <x v="2"/>
    <d v="2024-03-29T00:00:00"/>
    <x v="0"/>
    <x v="1"/>
    <x v="1"/>
    <m/>
    <s v="Cash Incentive"/>
    <n v="0.13"/>
    <x v="1"/>
    <s v="Profitability"/>
    <x v="3"/>
    <s v="Pre-Dividend Organic Cash Breakeven"/>
    <n v="0.16666666666666666"/>
  </r>
  <r>
    <x v="136"/>
    <x v="8"/>
    <x v="13"/>
    <x v="21"/>
    <s v="Oil and Gas"/>
    <x v="0"/>
    <s v="A+"/>
    <s v="France"/>
    <x v="2"/>
    <d v="2024-03-29T00:00:00"/>
    <x v="0"/>
    <x v="1"/>
    <x v="1"/>
    <m/>
    <s v="Cash Incentive"/>
    <n v="0.13"/>
    <x v="1"/>
    <s v="Return"/>
    <x v="39"/>
    <s v="Relative Adjusted Return on Average Capital Employed"/>
    <n v="0.1111111111111111"/>
  </r>
  <r>
    <x v="136"/>
    <x v="8"/>
    <x v="13"/>
    <x v="21"/>
    <s v="Oil and Gas"/>
    <x v="0"/>
    <s v="A+"/>
    <s v="France"/>
    <x v="2"/>
    <d v="2024-03-29T00:00:00"/>
    <x v="0"/>
    <x v="1"/>
    <x v="1"/>
    <m/>
    <s v="Cash Incentive"/>
    <n v="0.13"/>
    <x v="1"/>
    <s v="Strategy &amp; Operations"/>
    <x v="3"/>
    <s v="Organic Gearing"/>
    <n v="0.1111111111111111"/>
  </r>
  <r>
    <x v="136"/>
    <x v="8"/>
    <x v="13"/>
    <x v="21"/>
    <s v="Oil and Gas"/>
    <x v="0"/>
    <s v="A+"/>
    <s v="France"/>
    <x v="2"/>
    <d v="2024-03-29T00:00:00"/>
    <x v="0"/>
    <x v="1"/>
    <x v="1"/>
    <m/>
    <s v="Cash Incentive"/>
    <n v="0.13"/>
    <x v="2"/>
    <s v="ESG"/>
    <x v="40"/>
    <s v="Safety"/>
    <n v="0.1111111111111111"/>
  </r>
  <r>
    <x v="136"/>
    <x v="8"/>
    <x v="13"/>
    <x v="21"/>
    <s v="Oil and Gas"/>
    <x v="0"/>
    <s v="A+"/>
    <s v="France"/>
    <x v="2"/>
    <d v="2024-03-29T00:00:00"/>
    <x v="0"/>
    <x v="1"/>
    <x v="1"/>
    <m/>
    <s v="Cash Incentive"/>
    <n v="0.13"/>
    <x v="1"/>
    <s v="Cash Flow"/>
    <x v="18"/>
    <s v="Integrated Power Operating Cash Flow"/>
    <n v="5.5555555555555552E-2"/>
  </r>
  <r>
    <x v="136"/>
    <x v="8"/>
    <x v="13"/>
    <x v="21"/>
    <s v="Oil and Gas"/>
    <x v="0"/>
    <s v="A+"/>
    <s v="France"/>
    <x v="2"/>
    <d v="2024-03-29T00:00:00"/>
    <x v="0"/>
    <x v="1"/>
    <x v="1"/>
    <m/>
    <s v="Cash Incentive"/>
    <n v="0.13"/>
    <x v="2"/>
    <s v="ESG"/>
    <x v="7"/>
    <s v="Scope 1 + 2 Greenhouse Gas Emissions"/>
    <n v="5.5555555555555552E-2"/>
  </r>
  <r>
    <x v="136"/>
    <x v="8"/>
    <x v="13"/>
    <x v="21"/>
    <s v="Oil and Gas"/>
    <x v="0"/>
    <s v="A+"/>
    <s v="France"/>
    <x v="2"/>
    <d v="2024-03-29T00:00:00"/>
    <x v="0"/>
    <x v="1"/>
    <x v="1"/>
    <m/>
    <s v="Cash Incentive"/>
    <n v="0.13"/>
    <x v="0"/>
    <s v="Modifier/Threshold"/>
    <x v="34"/>
    <s v="Discretionary Adjustment"/>
    <m/>
  </r>
  <r>
    <x v="136"/>
    <x v="8"/>
    <x v="13"/>
    <x v="21"/>
    <s v="Oil and Gas"/>
    <x v="0"/>
    <s v="A+"/>
    <s v="France"/>
    <x v="2"/>
    <d v="2024-03-29T00:00:00"/>
    <x v="0"/>
    <x v="2"/>
    <x v="1"/>
    <n v="0.72"/>
    <s v="Performance Stock"/>
    <n v="0.72"/>
    <x v="3"/>
    <s v="Stock Performance"/>
    <x v="11"/>
    <s v="Relative TSR"/>
    <n v="0.25"/>
  </r>
  <r>
    <x v="136"/>
    <x v="8"/>
    <x v="13"/>
    <x v="21"/>
    <s v="Oil and Gas"/>
    <x v="0"/>
    <s v="A+"/>
    <s v="France"/>
    <x v="2"/>
    <d v="2024-03-29T00:00:00"/>
    <x v="0"/>
    <x v="2"/>
    <x v="1"/>
    <m/>
    <s v="Performance Stock"/>
    <n v="0.72"/>
    <x v="1"/>
    <s v="Cash Flow"/>
    <x v="3"/>
    <s v="Relative Variation in Net Cash Flow Per Share"/>
    <n v="0.25"/>
  </r>
  <r>
    <x v="136"/>
    <x v="8"/>
    <x v="13"/>
    <x v="21"/>
    <s v="Oil and Gas"/>
    <x v="0"/>
    <s v="A+"/>
    <s v="France"/>
    <x v="2"/>
    <d v="2024-03-29T00:00:00"/>
    <x v="0"/>
    <x v="2"/>
    <x v="1"/>
    <m/>
    <s v="Performance Stock"/>
    <n v="0.72"/>
    <x v="1"/>
    <s v="Profitability"/>
    <x v="3"/>
    <s v="Pre-Dividend Organic Cash Breakeven"/>
    <n v="0.2"/>
  </r>
  <r>
    <x v="136"/>
    <x v="8"/>
    <x v="13"/>
    <x v="21"/>
    <s v="Oil and Gas"/>
    <x v="0"/>
    <s v="A+"/>
    <s v="France"/>
    <x v="2"/>
    <d v="2024-03-29T00:00:00"/>
    <x v="0"/>
    <x v="2"/>
    <x v="1"/>
    <m/>
    <s v="Performance Stock"/>
    <n v="0.72"/>
    <x v="2"/>
    <s v="ESG"/>
    <x v="7"/>
    <s v="3Y Reduction in Lifecycle Carbon Itensity of Energy Products Sold to Customers"/>
    <n v="0.15"/>
  </r>
  <r>
    <x v="136"/>
    <x v="8"/>
    <x v="13"/>
    <x v="21"/>
    <s v="Oil and Gas"/>
    <x v="0"/>
    <s v="A+"/>
    <s v="France"/>
    <x v="2"/>
    <d v="2024-03-29T00:00:00"/>
    <x v="0"/>
    <x v="2"/>
    <x v="1"/>
    <m/>
    <s v="Performance Stock"/>
    <n v="0.72"/>
    <x v="2"/>
    <s v="ESG"/>
    <x v="7"/>
    <s v="3Y Methane Emissions Reduction"/>
    <n v="0.15"/>
  </r>
  <r>
    <x v="136"/>
    <x v="8"/>
    <x v="13"/>
    <x v="21"/>
    <s v="Oil and Gas"/>
    <x v="0"/>
    <s v="A+"/>
    <s v="France"/>
    <x v="2"/>
    <d v="2024-03-29T00:00:00"/>
    <x v="0"/>
    <x v="2"/>
    <x v="1"/>
    <m/>
    <s v="Performance Stock"/>
    <n v="0.72"/>
    <x v="0"/>
    <s v="Modifier/Threshold"/>
    <x v="34"/>
    <s v="Discretionary Adjustment"/>
    <m/>
  </r>
  <r>
    <x v="137"/>
    <x v="7"/>
    <x v="11"/>
    <x v="27"/>
    <s v="Mining"/>
    <x v="1"/>
    <s v="BBB+"/>
    <s v="United Kingdom"/>
    <x v="2"/>
    <d v="2024-03-19T00:00:00"/>
    <x v="0"/>
    <x v="0"/>
    <x v="0"/>
    <n v="0.22"/>
    <s v="Base Salary"/>
    <n v="0.22"/>
    <x v="0"/>
    <m/>
    <x v="0"/>
    <m/>
    <m/>
  </r>
  <r>
    <x v="137"/>
    <x v="7"/>
    <x v="11"/>
    <x v="27"/>
    <s v="Mining"/>
    <x v="1"/>
    <s v="BBB+"/>
    <s v="United Kingdom"/>
    <x v="2"/>
    <d v="2024-03-19T00:00:00"/>
    <x v="0"/>
    <x v="2"/>
    <x v="1"/>
    <n v="0.78"/>
    <s v="Performance Stock"/>
    <n v="0.78"/>
    <x v="1"/>
    <s v="Strategy &amp; Operations"/>
    <x v="3"/>
    <s v="Company Performance "/>
    <n v="1"/>
  </r>
  <r>
    <x v="137"/>
    <x v="7"/>
    <x v="11"/>
    <x v="27"/>
    <s v="Mining"/>
    <x v="1"/>
    <s v="BBB+"/>
    <s v="United Kingdom"/>
    <x v="2"/>
    <d v="2024-03-19T00:00:00"/>
    <x v="0"/>
    <x v="2"/>
    <x v="1"/>
    <m/>
    <s v="Performance Stock"/>
    <n v="0.78"/>
    <x v="0"/>
    <s v="Modifier/Threshold"/>
    <x v="34"/>
    <s v="Discretionary Adjustment"/>
    <m/>
  </r>
  <r>
    <x v="138"/>
    <x v="2"/>
    <x v="14"/>
    <x v="22"/>
    <s v="Casinos &amp; Gaming"/>
    <x v="2"/>
    <s v="BB+"/>
    <s v="United States"/>
    <x v="0"/>
    <d v="2024-03-26T00:00:00"/>
    <x v="0"/>
    <x v="0"/>
    <x v="0"/>
    <n v="0.18"/>
    <s v="Base Salary"/>
    <n v="0.18"/>
    <x v="0"/>
    <m/>
    <x v="0"/>
    <m/>
    <m/>
  </r>
  <r>
    <x v="138"/>
    <x v="2"/>
    <x v="14"/>
    <x v="22"/>
    <s v="Casinos &amp; Gaming"/>
    <x v="2"/>
    <s v="BB+"/>
    <s v="United States"/>
    <x v="0"/>
    <d v="2024-03-26T00:00:00"/>
    <x v="0"/>
    <x v="1"/>
    <x v="1"/>
    <n v="0.17"/>
    <s v="Cash Incentive"/>
    <n v="0.17"/>
    <x v="1"/>
    <s v="Growth"/>
    <x v="1"/>
    <s v="Revenue"/>
    <n v="0.3"/>
  </r>
  <r>
    <x v="138"/>
    <x v="2"/>
    <x v="14"/>
    <x v="22"/>
    <s v="Casinos &amp; Gaming"/>
    <x v="2"/>
    <s v="BB+"/>
    <s v="United States"/>
    <x v="0"/>
    <d v="2024-03-26T00:00:00"/>
    <x v="0"/>
    <x v="1"/>
    <x v="1"/>
    <m/>
    <s v="Cash Incentive"/>
    <n v="0.17"/>
    <x v="1"/>
    <s v="Profitability"/>
    <x v="2"/>
    <s v="Adjusted Operating Income"/>
    <n v="0.25"/>
  </r>
  <r>
    <x v="138"/>
    <x v="2"/>
    <x v="14"/>
    <x v="22"/>
    <s v="Casinos &amp; Gaming"/>
    <x v="2"/>
    <s v="BB+"/>
    <s v="United States"/>
    <x v="0"/>
    <d v="2024-03-26T00:00:00"/>
    <x v="0"/>
    <x v="1"/>
    <x v="1"/>
    <m/>
    <s v="Cash Incentive"/>
    <n v="0.17"/>
    <x v="1"/>
    <s v="Profitability"/>
    <x v="2"/>
    <s v="FanDuel Adjusted Operating Income"/>
    <n v="0.25"/>
  </r>
  <r>
    <x v="138"/>
    <x v="2"/>
    <x v="14"/>
    <x v="22"/>
    <s v="Casinos &amp; Gaming"/>
    <x v="2"/>
    <s v="BB+"/>
    <s v="United States"/>
    <x v="0"/>
    <d v="2024-03-26T00:00:00"/>
    <x v="0"/>
    <x v="1"/>
    <x v="1"/>
    <m/>
    <s v="Cash Incentive"/>
    <n v="0.17"/>
    <x v="2"/>
    <s v="ESG"/>
    <x v="7"/>
    <s v="Safer Gambling"/>
    <n v="0.2"/>
  </r>
  <r>
    <x v="138"/>
    <x v="2"/>
    <x v="14"/>
    <x v="22"/>
    <s v="Casinos &amp; Gaming"/>
    <x v="2"/>
    <s v="BB+"/>
    <s v="United States"/>
    <x v="0"/>
    <d v="2024-03-26T00:00:00"/>
    <x v="0"/>
    <x v="1"/>
    <x v="1"/>
    <m/>
    <s v="Cash Incentive"/>
    <n v="0.17"/>
    <x v="0"/>
    <s v="Modifier/Threshold"/>
    <x v="34"/>
    <s v="Discretionary Adjustment"/>
    <m/>
  </r>
  <r>
    <x v="138"/>
    <x v="2"/>
    <x v="14"/>
    <x v="22"/>
    <s v="Casinos &amp; Gaming"/>
    <x v="2"/>
    <s v="BB+"/>
    <s v="United States"/>
    <x v="0"/>
    <d v="2024-03-26T00:00:00"/>
    <x v="0"/>
    <x v="1"/>
    <x v="1"/>
    <n v="0.17"/>
    <s v="Deferred Option Grant"/>
    <n v="0.17"/>
    <x v="0"/>
    <m/>
    <x v="0"/>
    <m/>
    <m/>
  </r>
  <r>
    <x v="138"/>
    <x v="2"/>
    <x v="14"/>
    <x v="22"/>
    <s v="Casinos &amp; Gaming"/>
    <x v="2"/>
    <s v="BB+"/>
    <s v="United States"/>
    <x v="0"/>
    <d v="2024-03-26T00:00:00"/>
    <x v="0"/>
    <x v="2"/>
    <x v="1"/>
    <n v="0.48"/>
    <s v="Performance Stock Options"/>
    <n v="0.48"/>
    <x v="3"/>
    <s v="Stock Performance"/>
    <x v="11"/>
    <s v="3Y Relative TSR"/>
    <n v="1"/>
  </r>
  <r>
    <x v="138"/>
    <x v="2"/>
    <x v="14"/>
    <x v="22"/>
    <s v="Casinos &amp; Gaming"/>
    <x v="2"/>
    <s v="BB+"/>
    <s v="United States"/>
    <x v="0"/>
    <d v="2024-03-26T00:00:00"/>
    <x v="0"/>
    <x v="2"/>
    <x v="1"/>
    <m/>
    <s v="Performance Stock Options"/>
    <n v="0.48"/>
    <x v="0"/>
    <s v="Modifier/Threshold"/>
    <x v="34"/>
    <s v="Discretionary Adjustment"/>
    <m/>
  </r>
  <r>
    <x v="138"/>
    <x v="2"/>
    <x v="14"/>
    <x v="22"/>
    <s v="Casinos &amp; Gaming"/>
    <x v="2"/>
    <s v="BB+"/>
    <s v="United States"/>
    <x v="0"/>
    <d v="2024-03-26T00:00:00"/>
    <x v="1"/>
    <x v="0"/>
    <x v="0"/>
    <n v="0.21"/>
    <s v="Base Salary"/>
    <n v="0.21"/>
    <x v="0"/>
    <m/>
    <x v="0"/>
    <m/>
    <m/>
  </r>
  <r>
    <x v="138"/>
    <x v="2"/>
    <x v="14"/>
    <x v="22"/>
    <s v="Casinos &amp; Gaming"/>
    <x v="2"/>
    <s v="BB+"/>
    <s v="United States"/>
    <x v="0"/>
    <d v="2024-03-26T00:00:00"/>
    <x v="1"/>
    <x v="1"/>
    <x v="1"/>
    <n v="0.185"/>
    <s v="Cash Incentive"/>
    <n v="0.185"/>
    <x v="1"/>
    <s v="Growth"/>
    <x v="1"/>
    <s v="Revenue"/>
    <n v="0.3"/>
  </r>
  <r>
    <x v="138"/>
    <x v="2"/>
    <x v="14"/>
    <x v="22"/>
    <s v="Casinos &amp; Gaming"/>
    <x v="2"/>
    <s v="BB+"/>
    <s v="United States"/>
    <x v="0"/>
    <d v="2024-03-26T00:00:00"/>
    <x v="1"/>
    <x v="1"/>
    <x v="1"/>
    <m/>
    <s v="Cash Incentive"/>
    <n v="0.185"/>
    <x v="1"/>
    <s v="Profitability"/>
    <x v="2"/>
    <s v="Adjusted Operating Income"/>
    <n v="0.25"/>
  </r>
  <r>
    <x v="138"/>
    <x v="2"/>
    <x v="14"/>
    <x v="22"/>
    <s v="Casinos &amp; Gaming"/>
    <x v="2"/>
    <s v="BB+"/>
    <s v="United States"/>
    <x v="0"/>
    <d v="2024-03-26T00:00:00"/>
    <x v="1"/>
    <x v="1"/>
    <x v="1"/>
    <m/>
    <s v="Cash Incentive"/>
    <n v="0.185"/>
    <x v="1"/>
    <s v="Profitability"/>
    <x v="2"/>
    <s v="FanDuel Adjusted Operating Income"/>
    <n v="0.25"/>
  </r>
  <r>
    <x v="138"/>
    <x v="2"/>
    <x v="14"/>
    <x v="22"/>
    <s v="Casinos &amp; Gaming"/>
    <x v="2"/>
    <s v="BB+"/>
    <s v="United States"/>
    <x v="0"/>
    <d v="2024-03-26T00:00:00"/>
    <x v="1"/>
    <x v="1"/>
    <x v="1"/>
    <m/>
    <s v="Cash Incentive"/>
    <n v="0.185"/>
    <x v="2"/>
    <s v="ESG"/>
    <x v="7"/>
    <s v="Safer Gambling"/>
    <n v="0.2"/>
  </r>
  <r>
    <x v="138"/>
    <x v="2"/>
    <x v="14"/>
    <x v="22"/>
    <s v="Casinos &amp; Gaming"/>
    <x v="2"/>
    <s v="BB+"/>
    <s v="United States"/>
    <x v="0"/>
    <d v="2024-03-26T00:00:00"/>
    <x v="1"/>
    <x v="1"/>
    <x v="1"/>
    <m/>
    <s v="Cash Incentive"/>
    <n v="0.185"/>
    <x v="0"/>
    <s v="Modifier/Threshold"/>
    <x v="34"/>
    <s v="Discretionary Adjustment"/>
    <m/>
  </r>
  <r>
    <x v="138"/>
    <x v="2"/>
    <x v="14"/>
    <x v="22"/>
    <s v="Casinos &amp; Gaming"/>
    <x v="2"/>
    <s v="BB+"/>
    <s v="United States"/>
    <x v="0"/>
    <d v="2024-03-26T00:00:00"/>
    <x v="1"/>
    <x v="1"/>
    <x v="1"/>
    <n v="0.185"/>
    <s v="Deferred Option Grant"/>
    <n v="0.185"/>
    <x v="0"/>
    <m/>
    <x v="0"/>
    <m/>
    <m/>
  </r>
  <r>
    <x v="138"/>
    <x v="2"/>
    <x v="14"/>
    <x v="22"/>
    <s v="Casinos &amp; Gaming"/>
    <x v="2"/>
    <s v="BB+"/>
    <s v="United States"/>
    <x v="0"/>
    <d v="2024-03-26T00:00:00"/>
    <x v="1"/>
    <x v="2"/>
    <x v="1"/>
    <n v="0.42"/>
    <s v="Performance Stock Options"/>
    <n v="0.42"/>
    <x v="3"/>
    <s v="Stock Performance"/>
    <x v="11"/>
    <s v="3Y Relative TSR"/>
    <n v="1"/>
  </r>
  <r>
    <x v="138"/>
    <x v="2"/>
    <x v="14"/>
    <x v="22"/>
    <s v="Casinos &amp; Gaming"/>
    <x v="2"/>
    <s v="BB+"/>
    <s v="United States"/>
    <x v="0"/>
    <d v="2024-03-26T00:00:00"/>
    <x v="1"/>
    <x v="2"/>
    <x v="1"/>
    <m/>
    <s v="Performance Stock Options"/>
    <n v="0.42"/>
    <x v="0"/>
    <s v="Modifier/Threshold"/>
    <x v="34"/>
    <s v="Discretionary Adjustment"/>
    <m/>
  </r>
  <r>
    <x v="139"/>
    <x v="6"/>
    <x v="10"/>
    <x v="10"/>
    <s v="Aerospace &amp; Defense"/>
    <x v="2"/>
    <s v="BBB+"/>
    <s v="United Kingdom"/>
    <x v="2"/>
    <d v="2024-02-21T00:00:00"/>
    <x v="0"/>
    <x v="0"/>
    <x v="0"/>
    <n v="0.25"/>
    <s v="Base Salary"/>
    <n v="0.25"/>
    <x v="0"/>
    <m/>
    <x v="0"/>
    <m/>
    <m/>
  </r>
  <r>
    <x v="139"/>
    <x v="6"/>
    <x v="10"/>
    <x v="10"/>
    <s v="Aerospace &amp; Defense"/>
    <x v="2"/>
    <s v="BBB+"/>
    <s v="United Kingdom"/>
    <x v="2"/>
    <d v="2024-02-21T00:00:00"/>
    <x v="0"/>
    <x v="1"/>
    <x v="1"/>
    <n v="0.18666666666666668"/>
    <s v="Cash Incentive"/>
    <n v="0.18666666666666668"/>
    <x v="1"/>
    <s v="Profitability"/>
    <x v="14"/>
    <s v="Adjusted EPS"/>
    <n v="0.45"/>
  </r>
  <r>
    <x v="139"/>
    <x v="6"/>
    <x v="10"/>
    <x v="10"/>
    <s v="Aerospace &amp; Defense"/>
    <x v="2"/>
    <s v="BBB+"/>
    <s v="United Kingdom"/>
    <x v="2"/>
    <d v="2024-02-21T00:00:00"/>
    <x v="0"/>
    <x v="1"/>
    <x v="1"/>
    <m/>
    <s v="Cash Incentive"/>
    <n v="0.18666666666666668"/>
    <x v="2"/>
    <s v="Individual Assessment"/>
    <x v="13"/>
    <s v="Individual Performance Assessment"/>
    <n v="0.25"/>
  </r>
  <r>
    <x v="139"/>
    <x v="6"/>
    <x v="10"/>
    <x v="10"/>
    <s v="Aerospace &amp; Defense"/>
    <x v="2"/>
    <s v="BBB+"/>
    <s v="United Kingdom"/>
    <x v="2"/>
    <d v="2024-02-21T00:00:00"/>
    <x v="0"/>
    <x v="1"/>
    <x v="1"/>
    <m/>
    <s v="Cash Incentive"/>
    <n v="0.18666666666666668"/>
    <x v="1"/>
    <s v="Cash Flow"/>
    <x v="25"/>
    <s v="Free Cash Flow"/>
    <n v="0.22500000000000001"/>
  </r>
  <r>
    <x v="139"/>
    <x v="6"/>
    <x v="10"/>
    <x v="10"/>
    <s v="Aerospace &amp; Defense"/>
    <x v="2"/>
    <s v="BBB+"/>
    <s v="United Kingdom"/>
    <x v="2"/>
    <d v="2024-02-21T00:00:00"/>
    <x v="0"/>
    <x v="1"/>
    <x v="1"/>
    <m/>
    <s v="Cash Incentive"/>
    <n v="0.18666666666666668"/>
    <x v="1"/>
    <s v="Growth"/>
    <x v="3"/>
    <s v="Order Intake"/>
    <n v="7.4999999999999997E-2"/>
  </r>
  <r>
    <x v="139"/>
    <x v="6"/>
    <x v="10"/>
    <x v="10"/>
    <s v="Aerospace &amp; Defense"/>
    <x v="2"/>
    <s v="BBB+"/>
    <s v="United Kingdom"/>
    <x v="2"/>
    <d v="2024-02-21T00:00:00"/>
    <x v="0"/>
    <x v="1"/>
    <x v="1"/>
    <m/>
    <s v="Cash Incentive"/>
    <n v="0.18666666666666668"/>
    <x v="0"/>
    <s v="Modifier/Threshold"/>
    <x v="20"/>
    <s v="Safety and DE&amp;I Underpin"/>
    <m/>
  </r>
  <r>
    <x v="139"/>
    <x v="6"/>
    <x v="10"/>
    <x v="10"/>
    <s v="Aerospace &amp; Defense"/>
    <x v="2"/>
    <s v="BBB+"/>
    <s v="United Kingdom"/>
    <x v="2"/>
    <d v="2024-02-21T00:00:00"/>
    <x v="0"/>
    <x v="1"/>
    <x v="1"/>
    <m/>
    <s v="Cash Incentive"/>
    <n v="0.18666666666666668"/>
    <x v="0"/>
    <s v="Modifier/Threshold"/>
    <x v="34"/>
    <s v="Discretionary Adjustment"/>
    <m/>
  </r>
  <r>
    <x v="139"/>
    <x v="6"/>
    <x v="10"/>
    <x v="10"/>
    <s v="Aerospace &amp; Defense"/>
    <x v="2"/>
    <s v="BBB+"/>
    <s v="United Kingdom"/>
    <x v="2"/>
    <d v="2024-02-21T00:00:00"/>
    <x v="0"/>
    <x v="1"/>
    <x v="1"/>
    <n v="9.3333333333333338E-2"/>
    <s v="Deferred Equity Grant"/>
    <n v="9.3333333333333338E-2"/>
    <x v="0"/>
    <m/>
    <x v="0"/>
    <m/>
    <m/>
  </r>
  <r>
    <x v="139"/>
    <x v="6"/>
    <x v="10"/>
    <x v="10"/>
    <s v="Aerospace &amp; Defense"/>
    <x v="2"/>
    <s v="BBB+"/>
    <s v="United Kingdom"/>
    <x v="2"/>
    <d v="2024-02-21T00:00:00"/>
    <x v="0"/>
    <x v="2"/>
    <x v="1"/>
    <n v="0.47"/>
    <s v="Performance Stock"/>
    <n v="0.47"/>
    <x v="1"/>
    <s v="Profitability"/>
    <x v="14"/>
    <s v="3Y Adjusted EPS CAGR"/>
    <n v="0.3"/>
  </r>
  <r>
    <x v="139"/>
    <x v="6"/>
    <x v="10"/>
    <x v="10"/>
    <s v="Aerospace &amp; Defense"/>
    <x v="2"/>
    <s v="BBB+"/>
    <s v="United Kingdom"/>
    <x v="2"/>
    <d v="2024-02-21T00:00:00"/>
    <x v="0"/>
    <x v="2"/>
    <x v="1"/>
    <m/>
    <s v="Performance Stock"/>
    <n v="0.47"/>
    <x v="1"/>
    <s v="Cash Flow"/>
    <x v="25"/>
    <s v="3Y Cumulative Free Cash Flow"/>
    <n v="0.3"/>
  </r>
  <r>
    <x v="139"/>
    <x v="6"/>
    <x v="10"/>
    <x v="10"/>
    <s v="Aerospace &amp; Defense"/>
    <x v="2"/>
    <s v="BBB+"/>
    <s v="United Kingdom"/>
    <x v="2"/>
    <d v="2024-02-21T00:00:00"/>
    <x v="0"/>
    <x v="2"/>
    <x v="1"/>
    <m/>
    <s v="Performance Stock"/>
    <n v="0.47"/>
    <x v="1"/>
    <s v="Return"/>
    <x v="39"/>
    <s v="3Y Return on Capital Employed Improvement"/>
    <n v="0.15"/>
  </r>
  <r>
    <x v="139"/>
    <x v="6"/>
    <x v="10"/>
    <x v="10"/>
    <s v="Aerospace &amp; Defense"/>
    <x v="2"/>
    <s v="BBB+"/>
    <s v="United Kingdom"/>
    <x v="2"/>
    <d v="2024-02-21T00:00:00"/>
    <x v="0"/>
    <x v="2"/>
    <x v="1"/>
    <m/>
    <s v="Performance Stock"/>
    <n v="0.47"/>
    <x v="3"/>
    <s v="Stock Performance"/>
    <x v="11"/>
    <s v="3Y Relative TSR"/>
    <n v="0.15"/>
  </r>
  <r>
    <x v="139"/>
    <x v="6"/>
    <x v="10"/>
    <x v="10"/>
    <s v="Aerospace &amp; Defense"/>
    <x v="2"/>
    <s v="BBB+"/>
    <s v="United Kingdom"/>
    <x v="2"/>
    <d v="2024-02-21T00:00:00"/>
    <x v="0"/>
    <x v="2"/>
    <x v="1"/>
    <m/>
    <s v="Performance Stock"/>
    <n v="0.47"/>
    <x v="2"/>
    <s v="ESG"/>
    <x v="7"/>
    <s v="3Y ESG Metrics"/>
    <n v="0.1"/>
  </r>
  <r>
    <x v="139"/>
    <x v="6"/>
    <x v="10"/>
    <x v="10"/>
    <s v="Aerospace &amp; Defense"/>
    <x v="2"/>
    <s v="BBB+"/>
    <s v="United Kingdom"/>
    <x v="2"/>
    <d v="2024-02-21T00:00:00"/>
    <x v="0"/>
    <x v="2"/>
    <x v="1"/>
    <m/>
    <s v="Performance Stock"/>
    <n v="0.47"/>
    <x v="0"/>
    <s v="Modifier/Threshold"/>
    <x v="34"/>
    <s v="Discretionary Adjustment"/>
    <m/>
  </r>
  <r>
    <x v="139"/>
    <x v="6"/>
    <x v="10"/>
    <x v="10"/>
    <s v="Aerospace &amp; Defense"/>
    <x v="2"/>
    <s v="BBB+"/>
    <s v="United Kingdom"/>
    <x v="2"/>
    <d v="2024-02-21T00:00:00"/>
    <x v="1"/>
    <x v="0"/>
    <x v="0"/>
    <n v="0.22"/>
    <s v="Base Salary"/>
    <n v="0.22"/>
    <x v="0"/>
    <m/>
    <x v="0"/>
    <m/>
    <m/>
  </r>
  <r>
    <x v="139"/>
    <x v="6"/>
    <x v="10"/>
    <x v="10"/>
    <s v="Aerospace &amp; Defense"/>
    <x v="2"/>
    <s v="BBB+"/>
    <s v="United Kingdom"/>
    <x v="2"/>
    <d v="2024-02-21T00:00:00"/>
    <x v="1"/>
    <x v="1"/>
    <x v="1"/>
    <n v="0.15333333333333335"/>
    <s v="Cash Incentive"/>
    <n v="0.15333333333333335"/>
    <x v="1"/>
    <s v="Profitability"/>
    <x v="14"/>
    <s v="Adjusted EPS"/>
    <n v="0.3"/>
  </r>
  <r>
    <x v="139"/>
    <x v="6"/>
    <x v="10"/>
    <x v="10"/>
    <s v="Aerospace &amp; Defense"/>
    <x v="2"/>
    <s v="BBB+"/>
    <s v="United Kingdom"/>
    <x v="2"/>
    <d v="2024-02-21T00:00:00"/>
    <x v="1"/>
    <x v="1"/>
    <x v="1"/>
    <m/>
    <s v="Cash Incentive"/>
    <n v="0.15333333333333335"/>
    <x v="1"/>
    <s v="Profitability"/>
    <x v="2"/>
    <s v="Adjusted US Division Operating Income"/>
    <n v="0.15"/>
  </r>
  <r>
    <x v="139"/>
    <x v="6"/>
    <x v="10"/>
    <x v="10"/>
    <s v="Aerospace &amp; Defense"/>
    <x v="2"/>
    <s v="BBB+"/>
    <s v="United Kingdom"/>
    <x v="2"/>
    <d v="2024-02-21T00:00:00"/>
    <x v="1"/>
    <x v="1"/>
    <x v="1"/>
    <m/>
    <s v="Cash Incentive"/>
    <n v="0.15333333333333335"/>
    <x v="2"/>
    <s v="Individual Assessment"/>
    <x v="13"/>
    <s v="Individual Performance Assessment"/>
    <n v="0.25"/>
  </r>
  <r>
    <x v="139"/>
    <x v="6"/>
    <x v="10"/>
    <x v="10"/>
    <s v="Aerospace &amp; Defense"/>
    <x v="2"/>
    <s v="BBB+"/>
    <s v="United Kingdom"/>
    <x v="2"/>
    <d v="2024-02-21T00:00:00"/>
    <x v="1"/>
    <x v="1"/>
    <x v="1"/>
    <m/>
    <s v="Cash Incentive"/>
    <n v="0.15333333333333335"/>
    <x v="1"/>
    <s v="Cash Flow"/>
    <x v="25"/>
    <s v="Free Cash Flow"/>
    <n v="0.22500000000000001"/>
  </r>
  <r>
    <x v="139"/>
    <x v="6"/>
    <x v="10"/>
    <x v="10"/>
    <s v="Aerospace &amp; Defense"/>
    <x v="2"/>
    <s v="BBB+"/>
    <s v="United Kingdom"/>
    <x v="2"/>
    <d v="2024-02-21T00:00:00"/>
    <x v="1"/>
    <x v="1"/>
    <x v="1"/>
    <m/>
    <s v="Cash Incentive"/>
    <n v="0.15333333333333335"/>
    <x v="1"/>
    <s v="Growth"/>
    <x v="3"/>
    <s v="Order Intake"/>
    <n v="7.4999999999999997E-2"/>
  </r>
  <r>
    <x v="139"/>
    <x v="6"/>
    <x v="10"/>
    <x v="10"/>
    <s v="Aerospace &amp; Defense"/>
    <x v="2"/>
    <s v="BBB+"/>
    <s v="United Kingdom"/>
    <x v="2"/>
    <d v="2024-02-21T00:00:00"/>
    <x v="1"/>
    <x v="1"/>
    <x v="1"/>
    <m/>
    <s v="Cash Incentive"/>
    <n v="0.15333333333333335"/>
    <x v="0"/>
    <s v="Modifier/Threshold"/>
    <x v="20"/>
    <s v="Safety and DE&amp;I Underpin"/>
    <m/>
  </r>
  <r>
    <x v="139"/>
    <x v="6"/>
    <x v="10"/>
    <x v="10"/>
    <s v="Aerospace &amp; Defense"/>
    <x v="2"/>
    <s v="BBB+"/>
    <s v="United Kingdom"/>
    <x v="2"/>
    <d v="2024-02-21T00:00:00"/>
    <x v="1"/>
    <x v="1"/>
    <x v="1"/>
    <m/>
    <s v="Cash Incentive"/>
    <n v="0.15333333333333335"/>
    <x v="0"/>
    <s v="Modifier/Threshold"/>
    <x v="34"/>
    <s v="Discretionary Adjustment"/>
    <m/>
  </r>
  <r>
    <x v="139"/>
    <x v="6"/>
    <x v="10"/>
    <x v="10"/>
    <s v="Aerospace &amp; Defense"/>
    <x v="2"/>
    <s v="BBB+"/>
    <s v="United Kingdom"/>
    <x v="2"/>
    <d v="2024-02-21T00:00:00"/>
    <x v="1"/>
    <x v="1"/>
    <x v="1"/>
    <n v="7.6666666666666675E-2"/>
    <s v="Deferred Equity Grant"/>
    <n v="7.6666666666666675E-2"/>
    <x v="0"/>
    <m/>
    <x v="0"/>
    <m/>
    <m/>
  </r>
  <r>
    <x v="139"/>
    <x v="6"/>
    <x v="10"/>
    <x v="10"/>
    <s v="Aerospace &amp; Defense"/>
    <x v="2"/>
    <s v="BBB+"/>
    <s v="United Kingdom"/>
    <x v="2"/>
    <d v="2024-02-21T00:00:00"/>
    <x v="1"/>
    <x v="2"/>
    <x v="1"/>
    <n v="0.42"/>
    <s v="Performance Stock"/>
    <n v="0.42"/>
    <x v="1"/>
    <s v="Profitability"/>
    <x v="14"/>
    <s v="3Y Adjusted EPS CAGR"/>
    <n v="0.3"/>
  </r>
  <r>
    <x v="139"/>
    <x v="6"/>
    <x v="10"/>
    <x v="10"/>
    <s v="Aerospace &amp; Defense"/>
    <x v="2"/>
    <s v="BBB+"/>
    <s v="United Kingdom"/>
    <x v="2"/>
    <d v="2024-02-21T00:00:00"/>
    <x v="1"/>
    <x v="2"/>
    <x v="1"/>
    <m/>
    <s v="Performance Stock"/>
    <n v="0.42"/>
    <x v="1"/>
    <s v="Cash Flow"/>
    <x v="25"/>
    <s v="3Y Cumulative Free Cash Flow"/>
    <n v="0.15"/>
  </r>
  <r>
    <x v="139"/>
    <x v="6"/>
    <x v="10"/>
    <x v="10"/>
    <s v="Aerospace &amp; Defense"/>
    <x v="2"/>
    <s v="BBB+"/>
    <s v="United Kingdom"/>
    <x v="2"/>
    <d v="2024-02-21T00:00:00"/>
    <x v="1"/>
    <x v="2"/>
    <x v="1"/>
    <m/>
    <s v="Performance Stock"/>
    <n v="0.42"/>
    <x v="1"/>
    <s v="Cash Flow"/>
    <x v="18"/>
    <s v="3Y US Division Operating Cash Flow"/>
    <n v="0.15"/>
  </r>
  <r>
    <x v="139"/>
    <x v="6"/>
    <x v="10"/>
    <x v="10"/>
    <s v="Aerospace &amp; Defense"/>
    <x v="2"/>
    <s v="BBB+"/>
    <s v="United Kingdom"/>
    <x v="2"/>
    <d v="2024-02-21T00:00:00"/>
    <x v="1"/>
    <x v="2"/>
    <x v="1"/>
    <m/>
    <s v="Performance Stock"/>
    <n v="0.42"/>
    <x v="1"/>
    <s v="Return"/>
    <x v="39"/>
    <s v="3Y Return on Capital Employed Improvement"/>
    <n v="0.15"/>
  </r>
  <r>
    <x v="139"/>
    <x v="6"/>
    <x v="10"/>
    <x v="10"/>
    <s v="Aerospace &amp; Defense"/>
    <x v="2"/>
    <s v="BBB+"/>
    <s v="United Kingdom"/>
    <x v="2"/>
    <d v="2024-02-21T00:00:00"/>
    <x v="1"/>
    <x v="2"/>
    <x v="1"/>
    <m/>
    <s v="Performance Stock"/>
    <n v="0.42"/>
    <x v="3"/>
    <s v="Stock Performance"/>
    <x v="11"/>
    <s v="3Y Relative TSR"/>
    <n v="0.15"/>
  </r>
  <r>
    <x v="139"/>
    <x v="6"/>
    <x v="10"/>
    <x v="10"/>
    <s v="Aerospace &amp; Defense"/>
    <x v="2"/>
    <s v="BBB+"/>
    <s v="United Kingdom"/>
    <x v="2"/>
    <d v="2024-02-21T00:00:00"/>
    <x v="1"/>
    <x v="2"/>
    <x v="1"/>
    <m/>
    <s v="Performance Stock"/>
    <n v="0.42"/>
    <x v="2"/>
    <s v="ESG"/>
    <x v="7"/>
    <s v="3Y ESG Metrics"/>
    <n v="0.1"/>
  </r>
  <r>
    <x v="139"/>
    <x v="6"/>
    <x v="10"/>
    <x v="10"/>
    <s v="Aerospace &amp; Defense"/>
    <x v="2"/>
    <s v="BBB+"/>
    <s v="United Kingdom"/>
    <x v="2"/>
    <d v="2024-02-21T00:00:00"/>
    <x v="1"/>
    <x v="2"/>
    <x v="1"/>
    <m/>
    <s v="Performance Stock"/>
    <n v="0.42"/>
    <x v="0"/>
    <s v="Modifier/Threshold"/>
    <x v="34"/>
    <s v="Discretionary Adjustment"/>
    <m/>
  </r>
  <r>
    <x v="139"/>
    <x v="6"/>
    <x v="10"/>
    <x v="10"/>
    <s v="Aerospace &amp; Defense"/>
    <x v="2"/>
    <s v="BBB+"/>
    <s v="United Kingdom"/>
    <x v="2"/>
    <d v="2024-02-21T00:00:00"/>
    <x v="1"/>
    <x v="2"/>
    <x v="0"/>
    <n v="0.13"/>
    <s v="Time-Based Stock"/>
    <n v="0.13"/>
    <x v="0"/>
    <m/>
    <x v="0"/>
    <m/>
    <m/>
  </r>
  <r>
    <x v="140"/>
    <x v="6"/>
    <x v="10"/>
    <x v="45"/>
    <s v="Aerospace &amp; Defense"/>
    <x v="0"/>
    <s v="A"/>
    <s v="United States"/>
    <x v="0"/>
    <d v="2024-04-02T00:00:00"/>
    <x v="0"/>
    <x v="0"/>
    <x v="0"/>
    <n v="0.09"/>
    <s v="Base Salary"/>
    <n v="0.09"/>
    <x v="0"/>
    <m/>
    <x v="0"/>
    <m/>
    <m/>
  </r>
  <r>
    <x v="140"/>
    <x v="6"/>
    <x v="10"/>
    <x v="45"/>
    <s v="Aerospace &amp; Defense"/>
    <x v="0"/>
    <s v="A"/>
    <s v="United States"/>
    <x v="0"/>
    <d v="2024-04-02T00:00:00"/>
    <x v="0"/>
    <x v="1"/>
    <x v="1"/>
    <n v="0.15"/>
    <s v="Cash Incentive"/>
    <n v="0.15"/>
    <x v="1"/>
    <s v="Profitability"/>
    <x v="14"/>
    <s v="Adjusted EPS"/>
    <n v="0.4"/>
  </r>
  <r>
    <x v="140"/>
    <x v="6"/>
    <x v="10"/>
    <x v="45"/>
    <s v="Aerospace &amp; Defense"/>
    <x v="0"/>
    <s v="A"/>
    <s v="United States"/>
    <x v="0"/>
    <d v="2024-04-02T00:00:00"/>
    <x v="0"/>
    <x v="1"/>
    <x v="1"/>
    <m/>
    <s v="Cash Incentive"/>
    <n v="0.15"/>
    <x v="1"/>
    <s v="Cash Flow"/>
    <x v="25"/>
    <s v="Free Cash Flow"/>
    <n v="0.4"/>
  </r>
  <r>
    <x v="140"/>
    <x v="6"/>
    <x v="10"/>
    <x v="45"/>
    <s v="Aerospace &amp; Defense"/>
    <x v="0"/>
    <s v="A"/>
    <s v="United States"/>
    <x v="0"/>
    <d v="2024-04-02T00:00:00"/>
    <x v="0"/>
    <x v="1"/>
    <x v="1"/>
    <m/>
    <s v="Cash Incentive"/>
    <n v="0.15"/>
    <x v="2"/>
    <s v="Individual Assessment"/>
    <x v="13"/>
    <s v="Individual Performance Assessment"/>
    <n v="0.15"/>
  </r>
  <r>
    <x v="140"/>
    <x v="6"/>
    <x v="10"/>
    <x v="45"/>
    <s v="Aerospace &amp; Defense"/>
    <x v="0"/>
    <s v="A"/>
    <s v="United States"/>
    <x v="0"/>
    <d v="2024-04-02T00:00:00"/>
    <x v="0"/>
    <x v="1"/>
    <x v="1"/>
    <m/>
    <s v="Cash Incentive"/>
    <n v="0.15"/>
    <x v="2"/>
    <s v="ESG"/>
    <x v="7"/>
    <s v="ESG"/>
    <n v="0.05"/>
  </r>
  <r>
    <x v="140"/>
    <x v="6"/>
    <x v="10"/>
    <x v="45"/>
    <s v="Aerospace &amp; Defense"/>
    <x v="0"/>
    <s v="A"/>
    <s v="United States"/>
    <x v="0"/>
    <d v="2024-04-02T00:00:00"/>
    <x v="0"/>
    <x v="2"/>
    <x v="1"/>
    <n v="0.38"/>
    <s v="Performance Stock"/>
    <n v="0.38"/>
    <x v="1"/>
    <s v="Growth"/>
    <x v="1"/>
    <s v="3Y Cumulative Adjusted Revenue"/>
    <n v="0.25"/>
  </r>
  <r>
    <x v="140"/>
    <x v="6"/>
    <x v="10"/>
    <x v="45"/>
    <s v="Aerospace &amp; Defense"/>
    <x v="0"/>
    <s v="A"/>
    <s v="United States"/>
    <x v="0"/>
    <d v="2024-04-02T00:00:00"/>
    <x v="0"/>
    <x v="2"/>
    <x v="1"/>
    <m/>
    <s v="Performance Stock"/>
    <n v="0.38"/>
    <x v="1"/>
    <s v="Profitability"/>
    <x v="9"/>
    <s v="3Y Average Adjusted Segment Margin Rate"/>
    <n v="0.25"/>
  </r>
  <r>
    <x v="140"/>
    <x v="6"/>
    <x v="10"/>
    <x v="45"/>
    <s v="Aerospace &amp; Defense"/>
    <x v="0"/>
    <s v="A"/>
    <s v="United States"/>
    <x v="0"/>
    <d v="2024-04-02T00:00:00"/>
    <x v="0"/>
    <x v="2"/>
    <x v="1"/>
    <m/>
    <s v="Performance Stock"/>
    <n v="0.38"/>
    <x v="1"/>
    <s v="Return"/>
    <x v="55"/>
    <s v="3Y Average Adjusted Return on Investment"/>
    <n v="0.25"/>
  </r>
  <r>
    <x v="140"/>
    <x v="6"/>
    <x v="10"/>
    <x v="45"/>
    <s v="Aerospace &amp; Defense"/>
    <x v="0"/>
    <s v="A"/>
    <s v="United States"/>
    <x v="0"/>
    <d v="2024-04-02T00:00:00"/>
    <x v="0"/>
    <x v="2"/>
    <x v="1"/>
    <m/>
    <s v="Performance Stock"/>
    <n v="0.38"/>
    <x v="3"/>
    <s v="Stock Performance"/>
    <x v="11"/>
    <s v="3Y Relative TSR"/>
    <n v="0.25"/>
  </r>
  <r>
    <x v="140"/>
    <x v="6"/>
    <x v="10"/>
    <x v="45"/>
    <s v="Aerospace &amp; Defense"/>
    <x v="0"/>
    <s v="A"/>
    <s v="United States"/>
    <x v="0"/>
    <d v="2024-04-02T00:00:00"/>
    <x v="0"/>
    <x v="2"/>
    <x v="0"/>
    <n v="0.19"/>
    <s v="Stock Options"/>
    <n v="0.19"/>
    <x v="0"/>
    <m/>
    <x v="0"/>
    <m/>
    <m/>
  </r>
  <r>
    <x v="140"/>
    <x v="6"/>
    <x v="10"/>
    <x v="45"/>
    <s v="Aerospace &amp; Defense"/>
    <x v="0"/>
    <s v="A"/>
    <s v="United States"/>
    <x v="0"/>
    <d v="2024-04-02T00:00:00"/>
    <x v="0"/>
    <x v="2"/>
    <x v="0"/>
    <n v="0.19"/>
    <s v="Time-Based Stock"/>
    <n v="0.19"/>
    <x v="0"/>
    <m/>
    <x v="0"/>
    <m/>
    <m/>
  </r>
  <r>
    <x v="140"/>
    <x v="6"/>
    <x v="10"/>
    <x v="45"/>
    <s v="Aerospace &amp; Defense"/>
    <x v="0"/>
    <s v="A"/>
    <s v="United States"/>
    <x v="0"/>
    <d v="2024-04-02T00:00:00"/>
    <x v="1"/>
    <x v="0"/>
    <x v="0"/>
    <n v="0.14000000000000001"/>
    <s v="Base Salary"/>
    <n v="0.14000000000000001"/>
    <x v="0"/>
    <m/>
    <x v="0"/>
    <m/>
    <m/>
  </r>
  <r>
    <x v="140"/>
    <x v="6"/>
    <x v="10"/>
    <x v="45"/>
    <s v="Aerospace &amp; Defense"/>
    <x v="0"/>
    <s v="A"/>
    <s v="United States"/>
    <x v="0"/>
    <d v="2024-04-02T00:00:00"/>
    <x v="1"/>
    <x v="1"/>
    <x v="1"/>
    <n v="0.14000000000000001"/>
    <s v="Cash Incentive"/>
    <n v="0.14000000000000001"/>
    <x v="1"/>
    <s v="Profitability"/>
    <x v="14"/>
    <s v="Adjusted EPS"/>
    <n v="0.3"/>
  </r>
  <r>
    <x v="140"/>
    <x v="6"/>
    <x v="10"/>
    <x v="45"/>
    <s v="Aerospace &amp; Defense"/>
    <x v="0"/>
    <s v="A"/>
    <s v="United States"/>
    <x v="0"/>
    <d v="2024-04-02T00:00:00"/>
    <x v="1"/>
    <x v="1"/>
    <x v="1"/>
    <m/>
    <s v="Cash Incentive"/>
    <n v="0.14000000000000001"/>
    <x v="1"/>
    <s v="Profitability"/>
    <x v="3"/>
    <s v="Business Unit Income Contribution"/>
    <n v="0.1"/>
  </r>
  <r>
    <x v="140"/>
    <x v="6"/>
    <x v="10"/>
    <x v="45"/>
    <s v="Aerospace &amp; Defense"/>
    <x v="0"/>
    <s v="A"/>
    <s v="United States"/>
    <x v="0"/>
    <d v="2024-04-02T00:00:00"/>
    <x v="1"/>
    <x v="1"/>
    <x v="1"/>
    <m/>
    <s v="Cash Incentive"/>
    <n v="0.14000000000000001"/>
    <x v="1"/>
    <s v="Cash Flow"/>
    <x v="25"/>
    <s v="Free Cash Flow"/>
    <n v="0.4"/>
  </r>
  <r>
    <x v="140"/>
    <x v="6"/>
    <x v="10"/>
    <x v="45"/>
    <s v="Aerospace &amp; Defense"/>
    <x v="0"/>
    <s v="A"/>
    <s v="United States"/>
    <x v="0"/>
    <d v="2024-04-02T00:00:00"/>
    <x v="1"/>
    <x v="1"/>
    <x v="1"/>
    <m/>
    <s v="Cash Incentive"/>
    <n v="0.14000000000000001"/>
    <x v="2"/>
    <s v="Individual Assessment"/>
    <x v="13"/>
    <s v="Individual Performance Assessment"/>
    <n v="0.15"/>
  </r>
  <r>
    <x v="140"/>
    <x v="6"/>
    <x v="10"/>
    <x v="45"/>
    <s v="Aerospace &amp; Defense"/>
    <x v="0"/>
    <s v="A"/>
    <s v="United States"/>
    <x v="0"/>
    <d v="2024-04-02T00:00:00"/>
    <x v="1"/>
    <x v="1"/>
    <x v="1"/>
    <m/>
    <s v="Cash Incentive"/>
    <n v="0.14000000000000001"/>
    <x v="2"/>
    <s v="ESG"/>
    <x v="7"/>
    <s v="ESG"/>
    <n v="0.05"/>
  </r>
  <r>
    <x v="140"/>
    <x v="6"/>
    <x v="10"/>
    <x v="45"/>
    <s v="Aerospace &amp; Defense"/>
    <x v="0"/>
    <s v="A"/>
    <s v="United States"/>
    <x v="0"/>
    <d v="2024-04-02T00:00:00"/>
    <x v="1"/>
    <x v="2"/>
    <x v="1"/>
    <n v="0.36"/>
    <s v="Performance Stock"/>
    <n v="0.36"/>
    <x v="1"/>
    <s v="Growth"/>
    <x v="1"/>
    <s v="3Y Cumulative Adjusted Revenue"/>
    <n v="0.25"/>
  </r>
  <r>
    <x v="140"/>
    <x v="6"/>
    <x v="10"/>
    <x v="45"/>
    <s v="Aerospace &amp; Defense"/>
    <x v="0"/>
    <s v="A"/>
    <s v="United States"/>
    <x v="0"/>
    <d v="2024-04-02T00:00:00"/>
    <x v="1"/>
    <x v="2"/>
    <x v="1"/>
    <m/>
    <s v="Performance Stock"/>
    <n v="0.36"/>
    <x v="1"/>
    <s v="Profitability"/>
    <x v="9"/>
    <s v="3Y Average Adjusted Segment Margin Rate"/>
    <n v="0.25"/>
  </r>
  <r>
    <x v="140"/>
    <x v="6"/>
    <x v="10"/>
    <x v="45"/>
    <s v="Aerospace &amp; Defense"/>
    <x v="0"/>
    <s v="A"/>
    <s v="United States"/>
    <x v="0"/>
    <d v="2024-04-02T00:00:00"/>
    <x v="1"/>
    <x v="2"/>
    <x v="1"/>
    <m/>
    <s v="Performance Stock"/>
    <n v="0.36"/>
    <x v="1"/>
    <s v="Return"/>
    <x v="55"/>
    <s v="3Y Average Adjusted Return on Investment"/>
    <n v="0.25"/>
  </r>
  <r>
    <x v="140"/>
    <x v="6"/>
    <x v="10"/>
    <x v="45"/>
    <s v="Aerospace &amp; Defense"/>
    <x v="0"/>
    <s v="A"/>
    <s v="United States"/>
    <x v="0"/>
    <d v="2024-04-02T00:00:00"/>
    <x v="1"/>
    <x v="2"/>
    <x v="1"/>
    <m/>
    <s v="Performance Stock"/>
    <n v="0.36"/>
    <x v="3"/>
    <s v="Stock Performance"/>
    <x v="11"/>
    <s v="3Y Relative TSR"/>
    <n v="0.25"/>
  </r>
  <r>
    <x v="140"/>
    <x v="6"/>
    <x v="10"/>
    <x v="45"/>
    <s v="Aerospace &amp; Defense"/>
    <x v="0"/>
    <s v="A"/>
    <s v="United States"/>
    <x v="0"/>
    <d v="2024-04-02T00:00:00"/>
    <x v="1"/>
    <x v="2"/>
    <x v="0"/>
    <n v="0.18"/>
    <s v="Stock Options"/>
    <n v="0.18"/>
    <x v="0"/>
    <m/>
    <x v="0"/>
    <m/>
    <m/>
  </r>
  <r>
    <x v="140"/>
    <x v="6"/>
    <x v="10"/>
    <x v="45"/>
    <s v="Aerospace &amp; Defense"/>
    <x v="0"/>
    <s v="A"/>
    <s v="United States"/>
    <x v="0"/>
    <d v="2024-04-02T00:00:00"/>
    <x v="1"/>
    <x v="2"/>
    <x v="0"/>
    <n v="0.18"/>
    <s v="Time-Based Stock"/>
    <n v="0.18"/>
    <x v="0"/>
    <m/>
    <x v="0"/>
    <m/>
    <m/>
  </r>
  <r>
    <x v="141"/>
    <x v="5"/>
    <x v="8"/>
    <x v="8"/>
    <s v="Bank"/>
    <x v="1"/>
    <s v="A"/>
    <s v="Spain"/>
    <x v="2"/>
    <d v="2024-02-15T00:00:00"/>
    <x v="0"/>
    <x v="0"/>
    <x v="0"/>
    <n v="0.45"/>
    <s v="Base Salary"/>
    <n v="0.45"/>
    <x v="0"/>
    <m/>
    <x v="0"/>
    <m/>
    <m/>
  </r>
  <r>
    <x v="141"/>
    <x v="5"/>
    <x v="8"/>
    <x v="8"/>
    <s v="Bank"/>
    <x v="1"/>
    <s v="A"/>
    <s v="Spain"/>
    <x v="2"/>
    <d v="2024-02-15T00:00:00"/>
    <x v="0"/>
    <x v="1"/>
    <x v="1"/>
    <n v="0.15309"/>
    <s v="Cash Incentive"/>
    <n v="0.15309"/>
    <x v="1"/>
    <s v="Profitability"/>
    <x v="24"/>
    <s v="Adjusted Net Attributable Profit"/>
    <n v="0.2"/>
  </r>
  <r>
    <x v="141"/>
    <x v="5"/>
    <x v="8"/>
    <x v="8"/>
    <s v="Bank"/>
    <x v="1"/>
    <s v="A"/>
    <s v="Spain"/>
    <x v="2"/>
    <d v="2024-02-15T00:00:00"/>
    <x v="0"/>
    <x v="1"/>
    <x v="1"/>
    <m/>
    <s v="Cash Incentive"/>
    <n v="0.15309"/>
    <x v="1"/>
    <s v="Return"/>
    <x v="3"/>
    <s v="Adjusted Return on Regulatory Capital"/>
    <n v="0.2"/>
  </r>
  <r>
    <x v="141"/>
    <x v="5"/>
    <x v="8"/>
    <x v="8"/>
    <s v="Bank"/>
    <x v="1"/>
    <s v="A"/>
    <s v="Spain"/>
    <x v="2"/>
    <d v="2024-02-15T00:00:00"/>
    <x v="0"/>
    <x v="1"/>
    <x v="1"/>
    <m/>
    <s v="Cash Incentive"/>
    <n v="0.15309"/>
    <x v="1"/>
    <s v="Profitability"/>
    <x v="96"/>
    <s v="Efficiency Ratio"/>
    <n v="0.2"/>
  </r>
  <r>
    <x v="141"/>
    <x v="5"/>
    <x v="8"/>
    <x v="8"/>
    <s v="Bank"/>
    <x v="1"/>
    <s v="A"/>
    <s v="Spain"/>
    <x v="2"/>
    <d v="2024-02-15T00:00:00"/>
    <x v="0"/>
    <x v="1"/>
    <x v="1"/>
    <m/>
    <s v="Cash Incentive"/>
    <n v="0.15309"/>
    <x v="2"/>
    <s v="Strategy &amp; Operations"/>
    <x v="4"/>
    <s v="Net Recommendation Index"/>
    <n v="0.15"/>
  </r>
  <r>
    <x v="141"/>
    <x v="5"/>
    <x v="8"/>
    <x v="8"/>
    <s v="Bank"/>
    <x v="1"/>
    <s v="A"/>
    <s v="Spain"/>
    <x v="2"/>
    <d v="2024-02-15T00:00:00"/>
    <x v="0"/>
    <x v="1"/>
    <x v="1"/>
    <m/>
    <s v="Cash Incentive"/>
    <n v="0.15309"/>
    <x v="2"/>
    <s v="Strategy &amp; Operations"/>
    <x v="4"/>
    <s v="Target Customers"/>
    <n v="0.15"/>
  </r>
  <r>
    <x v="141"/>
    <x v="5"/>
    <x v="8"/>
    <x v="8"/>
    <s v="Bank"/>
    <x v="1"/>
    <s v="A"/>
    <s v="Spain"/>
    <x v="2"/>
    <d v="2024-02-15T00:00:00"/>
    <x v="0"/>
    <x v="1"/>
    <x v="1"/>
    <m/>
    <s v="Cash Incentive"/>
    <n v="0.15309"/>
    <x v="2"/>
    <s v="ESG"/>
    <x v="7"/>
    <s v="Channeling of Sustainable Business"/>
    <n v="0.1"/>
  </r>
  <r>
    <x v="141"/>
    <x v="5"/>
    <x v="8"/>
    <x v="8"/>
    <s v="Bank"/>
    <x v="1"/>
    <s v="A"/>
    <s v="Spain"/>
    <x v="2"/>
    <d v="2024-02-15T00:00:00"/>
    <x v="0"/>
    <x v="1"/>
    <x v="1"/>
    <m/>
    <s v="Cash Incentive"/>
    <n v="0.15309"/>
    <x v="0"/>
    <s v="Modifier/Threshold"/>
    <x v="67"/>
    <s v="Net Attributable Profit"/>
    <m/>
  </r>
  <r>
    <x v="141"/>
    <x v="5"/>
    <x v="8"/>
    <x v="8"/>
    <s v="Bank"/>
    <x v="1"/>
    <s v="A"/>
    <s v="Spain"/>
    <x v="2"/>
    <d v="2024-02-15T00:00:00"/>
    <x v="0"/>
    <x v="1"/>
    <x v="1"/>
    <m/>
    <s v="Cash Incentive"/>
    <n v="0.15309"/>
    <x v="0"/>
    <s v="Modifier/Threshold"/>
    <x v="67"/>
    <s v="Capital Ratio"/>
    <m/>
  </r>
  <r>
    <x v="141"/>
    <x v="5"/>
    <x v="8"/>
    <x v="8"/>
    <s v="Bank"/>
    <x v="1"/>
    <s v="A"/>
    <s v="Spain"/>
    <x v="2"/>
    <d v="2024-02-15T00:00:00"/>
    <x v="0"/>
    <x v="1"/>
    <x v="1"/>
    <m/>
    <s v="Cash Incentive"/>
    <n v="0.15309"/>
    <x v="0"/>
    <s v="Modifier/Threshold"/>
    <x v="67"/>
    <s v="CET1"/>
    <m/>
  </r>
  <r>
    <x v="141"/>
    <x v="5"/>
    <x v="8"/>
    <x v="8"/>
    <s v="Bank"/>
    <x v="1"/>
    <s v="A"/>
    <s v="Spain"/>
    <x v="2"/>
    <d v="2024-02-15T00:00:00"/>
    <x v="0"/>
    <x v="1"/>
    <x v="1"/>
    <m/>
    <s v="Cash Incentive"/>
    <n v="0.15309"/>
    <x v="0"/>
    <s v="Modifier/Threshold"/>
    <x v="67"/>
    <s v="Liquidity Coverage Ratio"/>
    <m/>
  </r>
  <r>
    <x v="141"/>
    <x v="5"/>
    <x v="8"/>
    <x v="8"/>
    <s v="Bank"/>
    <x v="1"/>
    <s v="A"/>
    <s v="Spain"/>
    <x v="2"/>
    <d v="2024-02-15T00:00:00"/>
    <x v="0"/>
    <x v="1"/>
    <x v="1"/>
    <n v="0.19690999999999997"/>
    <s v="Deferred Equity Grant"/>
    <n v="0.19690999999999997"/>
    <x v="0"/>
    <m/>
    <x v="0"/>
    <m/>
    <m/>
  </r>
  <r>
    <x v="141"/>
    <x v="5"/>
    <x v="8"/>
    <x v="8"/>
    <s v="Bank"/>
    <x v="1"/>
    <s v="A"/>
    <s v="Spain"/>
    <x v="2"/>
    <d v="2024-02-15T00:00:00"/>
    <x v="0"/>
    <x v="2"/>
    <x v="1"/>
    <n v="0.2"/>
    <s v="Performance Stock"/>
    <n v="0.2"/>
    <x v="1"/>
    <s v="Profitability"/>
    <x v="97"/>
    <s v="4Y Adjusted Tangible Book Value Per Share CAGR"/>
    <n v="0.4"/>
  </r>
  <r>
    <x v="141"/>
    <x v="5"/>
    <x v="8"/>
    <x v="8"/>
    <s v="Bank"/>
    <x v="1"/>
    <s v="A"/>
    <s v="Spain"/>
    <x v="2"/>
    <d v="2024-02-15T00:00:00"/>
    <x v="0"/>
    <x v="2"/>
    <x v="1"/>
    <m/>
    <s v="Performance Stock"/>
    <n v="0.2"/>
    <x v="3"/>
    <s v="Stock Performance"/>
    <x v="11"/>
    <s v="4Y Relative TSR"/>
    <n v="0.4"/>
  </r>
  <r>
    <x v="141"/>
    <x v="5"/>
    <x v="8"/>
    <x v="8"/>
    <s v="Bank"/>
    <x v="1"/>
    <s v="A"/>
    <s v="Spain"/>
    <x v="2"/>
    <d v="2024-02-15T00:00:00"/>
    <x v="0"/>
    <x v="2"/>
    <x v="1"/>
    <m/>
    <s v="Performance Stock"/>
    <n v="0.2"/>
    <x v="2"/>
    <s v="ESG"/>
    <x v="7"/>
    <s v="4Y Decarbonization of Portfolio"/>
    <n v="0.15"/>
  </r>
  <r>
    <x v="141"/>
    <x v="5"/>
    <x v="8"/>
    <x v="8"/>
    <s v="Bank"/>
    <x v="1"/>
    <s v="A"/>
    <s v="Spain"/>
    <x v="2"/>
    <d v="2024-02-15T00:00:00"/>
    <x v="0"/>
    <x v="2"/>
    <x v="1"/>
    <m/>
    <s v="Performance Stock"/>
    <n v="0.2"/>
    <x v="2"/>
    <s v="ESG"/>
    <x v="7"/>
    <s v="4Y Percentage of Women in Management Positions"/>
    <n v="0.05"/>
  </r>
  <r>
    <x v="141"/>
    <x v="5"/>
    <x v="8"/>
    <x v="8"/>
    <s v="Bank"/>
    <x v="1"/>
    <s v="A"/>
    <s v="Spain"/>
    <x v="2"/>
    <d v="2024-02-15T00:00:00"/>
    <x v="0"/>
    <x v="2"/>
    <x v="1"/>
    <m/>
    <s v="Performance Stock"/>
    <n v="0.2"/>
    <x v="0"/>
    <s v="Modifier/Threshold"/>
    <x v="67"/>
    <s v="Net Attributable Profit"/>
    <m/>
  </r>
  <r>
    <x v="141"/>
    <x v="5"/>
    <x v="8"/>
    <x v="8"/>
    <s v="Bank"/>
    <x v="1"/>
    <s v="A"/>
    <s v="Spain"/>
    <x v="2"/>
    <d v="2024-02-15T00:00:00"/>
    <x v="0"/>
    <x v="2"/>
    <x v="1"/>
    <m/>
    <s v="Performance Stock"/>
    <n v="0.2"/>
    <x v="0"/>
    <s v="Modifier/Threshold"/>
    <x v="67"/>
    <s v="Capital Rati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3989E-AB53-4DC7-8C9B-1D56FDF312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21" firstHeaderRow="1" firstDataRow="1" firstDataCol="1" rowPageCount="6" colPageCount="1"/>
  <pivotFields count="21">
    <pivotField axis="axisRow" showAll="0">
      <items count="143">
        <item x="131"/>
        <item x="120"/>
        <item x="133"/>
        <item x="132"/>
        <item x="8"/>
        <item x="16"/>
        <item x="67"/>
        <item x="12"/>
        <item x="74"/>
        <item x="92"/>
        <item x="125"/>
        <item x="76"/>
        <item x="102"/>
        <item x="29"/>
        <item x="77"/>
        <item x="3"/>
        <item x="84"/>
        <item x="69"/>
        <item x="110"/>
        <item x="124"/>
        <item x="1"/>
        <item x="123"/>
        <item x="52"/>
        <item x="139"/>
        <item x="134"/>
        <item x="49"/>
        <item x="36"/>
        <item x="85"/>
        <item x="14"/>
        <item x="23"/>
        <item x="42"/>
        <item x="53"/>
        <item x="37"/>
        <item x="96"/>
        <item x="22"/>
        <item x="40"/>
        <item x="48"/>
        <item x="106"/>
        <item x="122"/>
        <item x="60"/>
        <item x="55"/>
        <item x="82"/>
        <item x="35"/>
        <item x="46"/>
        <item x="45"/>
        <item x="112"/>
        <item x="114"/>
        <item x="63"/>
        <item x="75"/>
        <item x="39"/>
        <item x="118"/>
        <item x="116"/>
        <item x="115"/>
        <item x="86"/>
        <item x="25"/>
        <item x="119"/>
        <item x="99"/>
        <item x="47"/>
        <item x="113"/>
        <item x="100"/>
        <item x="104"/>
        <item x="138"/>
        <item x="27"/>
        <item x="61"/>
        <item x="28"/>
        <item x="101"/>
        <item x="137"/>
        <item x="107"/>
        <item x="4"/>
        <item x="109"/>
        <item x="56"/>
        <item x="17"/>
        <item x="72"/>
        <item x="80"/>
        <item x="66"/>
        <item x="93"/>
        <item x="9"/>
        <item x="50"/>
        <item x="83"/>
        <item x="108"/>
        <item x="18"/>
        <item x="5"/>
        <item x="127"/>
        <item x="10"/>
        <item x="97"/>
        <item x="64"/>
        <item x="41"/>
        <item x="2"/>
        <item x="32"/>
        <item x="78"/>
        <item x="95"/>
        <item x="98"/>
        <item x="68"/>
        <item x="0"/>
        <item x="73"/>
        <item x="31"/>
        <item x="128"/>
        <item x="117"/>
        <item x="15"/>
        <item x="38"/>
        <item x="121"/>
        <item x="59"/>
        <item x="34"/>
        <item x="90"/>
        <item x="111"/>
        <item x="91"/>
        <item x="105"/>
        <item x="6"/>
        <item x="87"/>
        <item x="65"/>
        <item x="26"/>
        <item x="33"/>
        <item x="11"/>
        <item x="126"/>
        <item x="135"/>
        <item x="129"/>
        <item x="58"/>
        <item x="70"/>
        <item x="88"/>
        <item x="71"/>
        <item x="130"/>
        <item x="94"/>
        <item x="13"/>
        <item x="79"/>
        <item x="21"/>
        <item x="103"/>
        <item x="24"/>
        <item x="136"/>
        <item x="43"/>
        <item x="62"/>
        <item x="7"/>
        <item x="51"/>
        <item x="44"/>
        <item x="20"/>
        <item x="81"/>
        <item x="19"/>
        <item x="89"/>
        <item x="57"/>
        <item x="30"/>
        <item x="54"/>
        <item x="140"/>
        <item x="141"/>
        <item t="default"/>
      </items>
    </pivotField>
    <pivotField axis="axisPage" showAll="0">
      <items count="12">
        <item x="1"/>
        <item x="2"/>
        <item x="4"/>
        <item x="8"/>
        <item x="5"/>
        <item x="3"/>
        <item x="6"/>
        <item x="0"/>
        <item x="7"/>
        <item x="10"/>
        <item x="9"/>
        <item t="default"/>
      </items>
    </pivotField>
    <pivotField showAll="0"/>
    <pivotField showAll="0"/>
    <pivotField showAll="0"/>
    <pivotField axis="axisPage" multipleItemSelectionAllowed="1" showAll="0">
      <items count="11">
        <item m="1" x="8"/>
        <item m="1" x="4"/>
        <item m="1" x="9"/>
        <item m="1" x="7"/>
        <item x="2"/>
        <item m="1" x="6"/>
        <item x="0"/>
        <item x="3"/>
        <item x="1"/>
        <item m="1" x="5"/>
        <item t="default"/>
      </items>
    </pivotField>
    <pivotField multipleItemSelectionAllowed="1" showAll="0"/>
    <pivotField showAll="0"/>
    <pivotField axis="axisPage" showAll="0">
      <items count="5">
        <item x="1"/>
        <item x="3"/>
        <item x="2"/>
        <item x="0"/>
        <item t="default"/>
      </items>
    </pivotField>
    <pivotField numFmtId="14" showAll="0"/>
    <pivotField axis="axisPage" showAll="0">
      <items count="3">
        <item x="0"/>
        <item x="1"/>
        <item t="default"/>
      </items>
    </pivotField>
    <pivotField axis="axisPage" multipleItemSelectionAllowed="1" showAll="0">
      <items count="7">
        <item x="0"/>
        <item h="1" x="2"/>
        <item h="1" x="3"/>
        <item x="4"/>
        <item x="1"/>
        <item m="1" x="5"/>
        <item t="default"/>
      </items>
    </pivotField>
    <pivotField axis="axisPage" showAll="0">
      <items count="4">
        <item x="0"/>
        <item x="1"/>
        <item x="2"/>
        <item t="default"/>
      </items>
    </pivotField>
    <pivotField dataField="1" showAll="0"/>
    <pivotField multipleItemSelectionAllowed="1" showAll="0"/>
    <pivotField showAll="0"/>
    <pivotField showAll="0"/>
    <pivotField showAll="0"/>
    <pivotField multipleItemSelectionAllowed="1" showAll="0"/>
    <pivotField showAll="0"/>
    <pivotField showAll="0"/>
  </pivotFields>
  <rowFields count="1">
    <field x="0"/>
  </rowFields>
  <rowItems count="12">
    <i>
      <x v="41"/>
    </i>
    <i>
      <x v="47"/>
    </i>
    <i>
      <x v="50"/>
    </i>
    <i>
      <x v="65"/>
    </i>
    <i>
      <x v="77"/>
    </i>
    <i>
      <x v="85"/>
    </i>
    <i>
      <x v="89"/>
    </i>
    <i>
      <x v="105"/>
    </i>
    <i>
      <x v="107"/>
    </i>
    <i>
      <x v="120"/>
    </i>
    <i>
      <x v="123"/>
    </i>
    <i t="grand">
      <x/>
    </i>
  </rowItems>
  <colItems count="1">
    <i/>
  </colItems>
  <pageFields count="6">
    <pageField fld="10" item="1" hier="-1"/>
    <pageField fld="8" item="3" hier="-1"/>
    <pageField fld="1" item="2" hier="-1"/>
    <pageField fld="11" hier="-1"/>
    <pageField fld="5" hier="-1"/>
    <pageField fld="12" hier="-1"/>
  </pageFields>
  <dataFields count="1">
    <dataField name="Sum of Plan Type Weigh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539ED9-B3C1-43C5-962A-599A0A37DD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9" firstHeaderRow="1" firstDataRow="1" firstDataCol="1" rowPageCount="10" colPageCount="1"/>
  <pivotFields count="21">
    <pivotField axis="axisRow" showAll="0">
      <items count="143">
        <item x="131"/>
        <item x="120"/>
        <item x="133"/>
        <item x="132"/>
        <item x="8"/>
        <item x="16"/>
        <item x="67"/>
        <item x="12"/>
        <item x="74"/>
        <item x="92"/>
        <item x="125"/>
        <item x="76"/>
        <item x="102"/>
        <item x="29"/>
        <item x="77"/>
        <item x="3"/>
        <item x="84"/>
        <item x="69"/>
        <item x="110"/>
        <item x="124"/>
        <item x="1"/>
        <item x="123"/>
        <item x="52"/>
        <item x="139"/>
        <item x="134"/>
        <item x="49"/>
        <item x="36"/>
        <item x="85"/>
        <item x="14"/>
        <item x="23"/>
        <item x="42"/>
        <item x="53"/>
        <item x="37"/>
        <item x="96"/>
        <item x="22"/>
        <item x="40"/>
        <item x="48"/>
        <item x="106"/>
        <item x="122"/>
        <item x="60"/>
        <item x="55"/>
        <item x="82"/>
        <item x="35"/>
        <item x="46"/>
        <item x="45"/>
        <item x="112"/>
        <item x="114"/>
        <item x="63"/>
        <item x="75"/>
        <item x="39"/>
        <item x="118"/>
        <item x="116"/>
        <item x="115"/>
        <item x="86"/>
        <item x="25"/>
        <item x="119"/>
        <item x="99"/>
        <item x="47"/>
        <item x="113"/>
        <item x="100"/>
        <item x="104"/>
        <item x="138"/>
        <item x="27"/>
        <item x="61"/>
        <item x="28"/>
        <item x="101"/>
        <item x="137"/>
        <item x="107"/>
        <item x="4"/>
        <item x="109"/>
        <item x="56"/>
        <item x="17"/>
        <item x="72"/>
        <item x="80"/>
        <item x="66"/>
        <item x="93"/>
        <item x="9"/>
        <item x="50"/>
        <item x="83"/>
        <item x="108"/>
        <item x="18"/>
        <item x="5"/>
        <item x="127"/>
        <item x="10"/>
        <item x="97"/>
        <item x="64"/>
        <item x="41"/>
        <item x="2"/>
        <item x="32"/>
        <item x="78"/>
        <item x="95"/>
        <item x="98"/>
        <item x="68"/>
        <item x="0"/>
        <item x="73"/>
        <item x="31"/>
        <item x="128"/>
        <item x="117"/>
        <item x="15"/>
        <item x="38"/>
        <item x="121"/>
        <item x="59"/>
        <item x="34"/>
        <item x="90"/>
        <item x="111"/>
        <item x="91"/>
        <item x="105"/>
        <item x="6"/>
        <item x="87"/>
        <item x="65"/>
        <item x="26"/>
        <item x="33"/>
        <item x="11"/>
        <item x="126"/>
        <item x="135"/>
        <item x="129"/>
        <item x="58"/>
        <item x="70"/>
        <item x="88"/>
        <item x="71"/>
        <item x="130"/>
        <item x="94"/>
        <item x="13"/>
        <item x="79"/>
        <item x="21"/>
        <item x="103"/>
        <item x="24"/>
        <item x="136"/>
        <item x="43"/>
        <item x="62"/>
        <item x="7"/>
        <item x="51"/>
        <item x="44"/>
        <item x="20"/>
        <item x="81"/>
        <item x="19"/>
        <item x="89"/>
        <item x="57"/>
        <item x="30"/>
        <item x="54"/>
        <item x="140"/>
        <item x="141"/>
        <item t="default"/>
      </items>
    </pivotField>
    <pivotField axis="axisPage" showAll="0">
      <items count="12">
        <item x="1"/>
        <item x="2"/>
        <item x="4"/>
        <item x="8"/>
        <item x="5"/>
        <item x="3"/>
        <item x="6"/>
        <item x="0"/>
        <item x="7"/>
        <item x="10"/>
        <item x="9"/>
        <item t="default"/>
      </items>
    </pivotField>
    <pivotField axis="axisPage" showAll="0">
      <items count="26">
        <item x="12"/>
        <item x="8"/>
        <item x="10"/>
        <item x="23"/>
        <item x="3"/>
        <item x="21"/>
        <item x="14"/>
        <item x="18"/>
        <item x="13"/>
        <item x="22"/>
        <item x="9"/>
        <item x="5"/>
        <item x="6"/>
        <item x="20"/>
        <item x="24"/>
        <item x="15"/>
        <item x="19"/>
        <item x="11"/>
        <item x="2"/>
        <item x="4"/>
        <item x="1"/>
        <item x="0"/>
        <item x="7"/>
        <item x="17"/>
        <item x="16"/>
        <item t="default"/>
      </items>
    </pivotField>
    <pivotField axis="axisPage" multipleItemSelectionAllowed="1" showAll="0">
      <items count="47">
        <item x="10"/>
        <item h="1" x="43"/>
        <item h="1" x="20"/>
        <item h="1" x="8"/>
        <item h="1" x="28"/>
        <item h="1" x="14"/>
        <item h="1" x="3"/>
        <item h="1" x="12"/>
        <item h="1" x="24"/>
        <item h="1" x="16"/>
        <item h="1" x="36"/>
        <item h="1" x="31"/>
        <item h="1" x="32"/>
        <item h="1" x="25"/>
        <item h="1" x="30"/>
        <item h="1" x="13"/>
        <item h="1" x="9"/>
        <item h="1" x="33"/>
        <item h="1" x="29"/>
        <item h="1" x="11"/>
        <item h="1" x="6"/>
        <item h="1" x="41"/>
        <item h="1" x="22"/>
        <item h="1" x="38"/>
        <item h="1" x="42"/>
        <item h="1" x="45"/>
        <item h="1" x="34"/>
        <item h="1" x="23"/>
        <item h="1" x="2"/>
        <item h="1" x="37"/>
        <item h="1" x="17"/>
        <item h="1" x="19"/>
        <item h="1" x="18"/>
        <item h="1" x="27"/>
        <item h="1" x="35"/>
        <item h="1" x="21"/>
        <item h="1" x="4"/>
        <item h="1" x="40"/>
        <item h="1" x="1"/>
        <item h="1" x="0"/>
        <item h="1" x="39"/>
        <item h="1" x="15"/>
        <item h="1" x="7"/>
        <item h="1" x="44"/>
        <item h="1" x="5"/>
        <item h="1" x="26"/>
        <item t="default"/>
      </items>
    </pivotField>
    <pivotField showAll="0"/>
    <pivotField axis="axisPage" multipleItemSelectionAllowed="1" showAll="0">
      <items count="11">
        <item m="1" x="8"/>
        <item m="1" x="4"/>
        <item m="1" x="9"/>
        <item m="1" x="7"/>
        <item x="2"/>
        <item x="0"/>
        <item x="1"/>
        <item m="1" x="5"/>
        <item x="3"/>
        <item m="1" x="6"/>
        <item t="default"/>
      </items>
    </pivotField>
    <pivotField showAll="0"/>
    <pivotField showAll="0"/>
    <pivotField axis="axisPage" multipleItemSelectionAllowed="1" showAll="0">
      <items count="5">
        <item x="1"/>
        <item x="3"/>
        <item x="2"/>
        <item x="0"/>
        <item t="default"/>
      </items>
    </pivotField>
    <pivotField numFmtId="14" showAll="0"/>
    <pivotField axis="axisPage" showAll="0">
      <items count="3">
        <item x="0"/>
        <item x="1"/>
        <item t="default"/>
      </items>
    </pivotField>
    <pivotField axis="axisPage" multipleItemSelectionAllowed="1" showAll="0">
      <items count="7">
        <item h="1" x="0"/>
        <item h="1" x="2"/>
        <item h="1" x="3"/>
        <item h="1" x="4"/>
        <item x="1"/>
        <item m="1" x="5"/>
        <item t="default"/>
      </items>
    </pivotField>
    <pivotField axis="axisPage" showAll="0">
      <items count="4">
        <item x="0"/>
        <item x="1"/>
        <item x="2"/>
        <item t="default"/>
      </items>
    </pivotField>
    <pivotField showAll="0"/>
    <pivotField showAll="0"/>
    <pivotField showAll="0"/>
    <pivotField axis="axisPage" showAll="0">
      <items count="5">
        <item x="1"/>
        <item x="2"/>
        <item x="3"/>
        <item x="0"/>
        <item t="default"/>
      </items>
    </pivotField>
    <pivotField showAll="0"/>
    <pivotField axis="axisPage" multipleItemSelectionAllowed="1" showAll="0">
      <items count="99">
        <item x="8"/>
        <item x="92"/>
        <item x="12"/>
        <item x="53"/>
        <item x="84"/>
        <item x="63"/>
        <item x="50"/>
        <item x="57"/>
        <item x="23"/>
        <item x="4"/>
        <item x="34"/>
        <item x="87"/>
        <item x="86"/>
        <item x="32"/>
        <item x="31"/>
        <item x="14"/>
        <item x="46"/>
        <item x="74"/>
        <item x="7"/>
        <item x="20"/>
        <item x="25"/>
        <item x="82"/>
        <item x="95"/>
        <item x="29"/>
        <item x="47"/>
        <item x="71"/>
        <item x="13"/>
        <item x="10"/>
        <item x="73"/>
        <item x="88"/>
        <item x="49"/>
        <item x="38"/>
        <item x="16"/>
        <item x="72"/>
        <item x="24"/>
        <item x="68"/>
        <item x="42"/>
        <item x="52"/>
        <item x="77"/>
        <item x="62"/>
        <item x="18"/>
        <item x="2"/>
        <item x="37"/>
        <item x="66"/>
        <item x="35"/>
        <item x="9"/>
        <item x="91"/>
        <item x="43"/>
        <item x="3"/>
        <item x="19"/>
        <item x="45"/>
        <item x="67"/>
        <item x="15"/>
        <item x="93"/>
        <item x="33"/>
        <item x="83"/>
        <item x="17"/>
        <item x="80"/>
        <item x="61"/>
        <item x="54"/>
        <item x="79"/>
        <item x="65"/>
        <item x="89"/>
        <item x="81"/>
        <item x="11"/>
        <item x="78"/>
        <item x="6"/>
        <item x="94"/>
        <item x="27"/>
        <item x="36"/>
        <item x="39"/>
        <item x="64"/>
        <item x="21"/>
        <item x="28"/>
        <item x="55"/>
        <item x="22"/>
        <item x="69"/>
        <item x="1"/>
        <item x="85"/>
        <item x="44"/>
        <item x="76"/>
        <item x="26"/>
        <item x="51"/>
        <item x="40"/>
        <item x="41"/>
        <item x="90"/>
        <item x="56"/>
        <item x="48"/>
        <item x="75"/>
        <item x="59"/>
        <item x="58"/>
        <item x="5"/>
        <item x="70"/>
        <item x="30"/>
        <item x="0"/>
        <item x="60"/>
        <item x="96"/>
        <item x="97"/>
        <item t="default"/>
      </items>
    </pivotField>
    <pivotField multipleItemSelectionAllowed="1" showAll="0"/>
    <pivotField dataField="1" showAll="0"/>
  </pivotFields>
  <rowFields count="1">
    <field x="0"/>
  </rowFields>
  <rowItems count="7">
    <i>
      <x v="10"/>
    </i>
    <i>
      <x v="22"/>
    </i>
    <i>
      <x v="23"/>
    </i>
    <i>
      <x v="99"/>
    </i>
    <i>
      <x v="112"/>
    </i>
    <i>
      <x v="113"/>
    </i>
    <i t="grand">
      <x/>
    </i>
  </rowItems>
  <colItems count="1">
    <i/>
  </colItems>
  <pageFields count="10">
    <pageField fld="10" item="0" hier="-1"/>
    <pageField fld="11" hier="-1"/>
    <pageField fld="12" hier="-1"/>
    <pageField fld="5" hier="-1"/>
    <pageField fld="16" item="1" hier="-1"/>
    <pageField fld="8" hier="-1"/>
    <pageField fld="1" hier="-1"/>
    <pageField fld="2" hier="-1"/>
    <pageField fld="3" hier="-1"/>
    <pageField fld="18" hier="-1"/>
  </pageFields>
  <dataFields count="1">
    <dataField name="Sum of Metric Weigh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F4568E-131B-43BF-9040-47C421B65D19}" name="Table1" displayName="Table1" ref="A1:U2617" totalsRowShown="0">
  <autoFilter ref="A1:U2617" xr:uid="{A7F4568E-131B-43BF-9040-47C421B65D19}"/>
  <tableColumns count="21">
    <tableColumn id="2" xr3:uid="{0B759C9B-373C-4DB5-9168-B39D2CF15F87}" name="Ticker"/>
    <tableColumn id="14" xr3:uid="{78F07BBB-BE3A-4724-B4B0-A2BE0DC043CC}" name="Sector" dataDxfId="13">
      <calculatedColumnFormula>OFFSET(Industries!C$1,MATCH(Table1[[#This Row],[Ticker]],Industries!$A$2:$A$150,0),0)</calculatedColumnFormula>
    </tableColumn>
    <tableColumn id="15" xr3:uid="{B5B27109-B9B0-4D58-A46E-9E963965B48A}" name="Industry Group" dataDxfId="12">
      <calculatedColumnFormula>OFFSET(Industries!D$1,MATCH(Table1[[#This Row],[Ticker]],Industries!$A$2:$A$150,0),0)</calculatedColumnFormula>
    </tableColumn>
    <tableColumn id="1" xr3:uid="{89EE8655-46DB-488F-A2A3-1EBEB49C5286}" name="Industry" dataDxfId="11">
      <calculatedColumnFormula>OFFSET(Industries!E$1,MATCH(Table1[[#This Row],[Ticker]],Industries!$A$2:$A$150,0),0)</calculatedColumnFormula>
    </tableColumn>
    <tableColumn id="3" xr3:uid="{A81114A7-201A-4EF1-9367-4B376ACA3337}" name="FactSet Industry"/>
    <tableColumn id="12" xr3:uid="{4C9AD99D-92F4-416E-AE65-0147F989DA1D}" name="Market Cap Category">
      <calculatedColumnFormula>OFFSET(Industries!B$1,MATCH(Table1[[#This Row],[Ticker]],Industries!$A$2:$A$140,0),0)</calculatedColumnFormula>
    </tableColumn>
    <tableColumn id="16" xr3:uid="{99AE5F0A-5E99-4639-AFA4-C73D16ABFA22}" name="Credit Rating" dataDxfId="10">
      <calculatedColumnFormula>OFFSET(Industries!F$1,MATCH(Table1[[#This Row],[Ticker]],Industries!$A$2:$A$140,0),0)</calculatedColumnFormula>
    </tableColumn>
    <tableColumn id="13" xr3:uid="{AA02D39D-9F08-40FF-98C5-A5803DE3E83C}" name="Country of Listing"/>
    <tableColumn id="17" xr3:uid="{0C3301E3-3A79-4B4C-A510-A788F55A3AB3}" name="Region of Listing"/>
    <tableColumn id="4" xr3:uid="{BDC23584-0258-431F-A229-01827D8A281F}" name="Filing Date" dataDxfId="9"/>
    <tableColumn id="5" xr3:uid="{2F2C9D1A-9F46-4D96-B651-94332209AA09}" name="CEO/NEO"/>
    <tableColumn id="19" xr3:uid="{02BFA28D-1397-45EB-90CE-F0CC93CCD0A4}" name="Plan Type"/>
    <tableColumn id="20" xr3:uid="{2E3CE2BF-23AA-40F4-AE96-F0FE4DB41952}" name="Non/Performance"/>
    <tableColumn id="22" xr3:uid="{1CFE2BB4-ACF4-490B-B754-6457308B15FE}" name="Plan Type Weight" dataDxfId="8"/>
    <tableColumn id="6" xr3:uid="{DFE7E8C6-7F1C-48E8-8A14-A744CF126078}" name="Plan Consideration"/>
    <tableColumn id="7" xr3:uid="{5B1E8E01-36B8-4073-A203-1EC289B02992}" name="Consideration Weight" dataDxfId="7"/>
    <tableColumn id="18" xr3:uid="{C8AB9461-DB42-48A4-9200-BBAF53A67D89}" name="Financial/Non-Financial/TSR" dataDxfId="6"/>
    <tableColumn id="8" xr3:uid="{3DFBF2AE-5364-44F9-8D05-B6284F1C8B21}" name="Metric Category"/>
    <tableColumn id="9" xr3:uid="{A82DE6A0-41BF-4EDC-916C-CB02D5D8B3C3}" name="Metric Sub-Category"/>
    <tableColumn id="10" xr3:uid="{48F2510B-6E6B-447F-8D60-ACEB21C65507}" name="Metric" dataDxfId="5"/>
    <tableColumn id="11" xr3:uid="{C56D0F62-56D5-4676-8C0A-6B3CCAE5F53E}" name="Metric Weight"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FCDB-1D46-4E0E-B503-E8DCF6546260}">
  <dimension ref="A1:W2617"/>
  <sheetViews>
    <sheetView tabSelected="1" zoomScaleNormal="100" workbookViewId="0">
      <selection activeCell="C19" sqref="C19"/>
    </sheetView>
  </sheetViews>
  <sheetFormatPr defaultRowHeight="14.4" x14ac:dyDescent="0.3"/>
  <cols>
    <col min="1" max="1" width="44.109375" bestFit="1" customWidth="1"/>
    <col min="2" max="3" width="40.44140625" bestFit="1" customWidth="1"/>
    <col min="4" max="4" width="40.44140625" customWidth="1"/>
    <col min="5" max="5" width="30.6640625" bestFit="1" customWidth="1"/>
    <col min="6" max="6" width="33.5546875" bestFit="1" customWidth="1"/>
    <col min="7" max="8" width="14" bestFit="1" customWidth="1"/>
    <col min="9" max="9" width="18.109375" bestFit="1" customWidth="1"/>
    <col min="10" max="10" width="11.88671875" bestFit="1" customWidth="1"/>
    <col min="11" max="11" width="11.33203125" bestFit="1" customWidth="1"/>
    <col min="12" max="13" width="19.6640625" customWidth="1"/>
    <col min="14" max="14" width="18" bestFit="1" customWidth="1"/>
    <col min="15" max="15" width="23.5546875" bestFit="1" customWidth="1"/>
    <col min="16" max="16" width="21.5546875" style="1" bestFit="1" customWidth="1"/>
    <col min="17" max="17" width="25.5546875" style="1" customWidth="1"/>
    <col min="18" max="18" width="19.109375" bestFit="1" customWidth="1"/>
    <col min="19" max="20" width="40.88671875" bestFit="1" customWidth="1"/>
    <col min="21" max="21" width="15.109375" style="1" bestFit="1" customWidth="1"/>
  </cols>
  <sheetData>
    <row r="1" spans="1:22" x14ac:dyDescent="0.3">
      <c r="A1" t="s">
        <v>32</v>
      </c>
      <c r="B1" t="s">
        <v>1361</v>
      </c>
      <c r="C1" t="s">
        <v>1588</v>
      </c>
      <c r="D1" t="s">
        <v>33</v>
      </c>
      <c r="E1" t="s">
        <v>1388</v>
      </c>
      <c r="F1" t="s">
        <v>1341</v>
      </c>
      <c r="G1" t="s">
        <v>448</v>
      </c>
      <c r="H1" t="s">
        <v>1433</v>
      </c>
      <c r="I1" t="s">
        <v>1436</v>
      </c>
      <c r="J1" t="s">
        <v>31</v>
      </c>
      <c r="K1" t="s">
        <v>1</v>
      </c>
      <c r="L1" t="s">
        <v>1704</v>
      </c>
      <c r="M1" t="s">
        <v>1712</v>
      </c>
      <c r="N1" t="s">
        <v>1705</v>
      </c>
      <c r="O1" t="s">
        <v>1706</v>
      </c>
      <c r="P1" s="1" t="s">
        <v>1707</v>
      </c>
      <c r="Q1" s="1" t="s">
        <v>1645</v>
      </c>
      <c r="R1" t="s">
        <v>22</v>
      </c>
      <c r="S1" t="s">
        <v>1082</v>
      </c>
      <c r="T1" t="s">
        <v>5</v>
      </c>
      <c r="U1" s="1" t="s">
        <v>6</v>
      </c>
      <c r="V1" t="s">
        <v>15</v>
      </c>
    </row>
    <row r="2" spans="1:22" x14ac:dyDescent="0.3">
      <c r="A2" t="s">
        <v>265</v>
      </c>
      <c r="B2" t="str">
        <f ca="1">OFFSET(Industries!C$1,MATCH(Table1[[#This Row],[Ticker]],Industries!$A$2:$A$150,0),0)</f>
        <v>Information Technology</v>
      </c>
      <c r="C2" t="str">
        <f ca="1">OFFSET(Industries!D$1,MATCH(Table1[[#This Row],[Ticker]],Industries!$A$2:$A$150,0),0)</f>
        <v>Software and Services</v>
      </c>
      <c r="D2" t="str">
        <f ca="1">OFFSET(Industries!E$1,MATCH(Table1[[#This Row],[Ticker]],Industries!$A$2:$A$150,0),0)</f>
        <v>Software</v>
      </c>
      <c r="E2" t="s">
        <v>42</v>
      </c>
      <c r="F2" t="str">
        <f ca="1">OFFSET(Industries!B$1,MATCH(Table1[[#This Row],[Ticker]],Industries!$A$2:$A$140,0),0)</f>
        <v>Mega-Cap</v>
      </c>
      <c r="G2" t="str">
        <f ca="1">OFFSET(Industries!F$1,MATCH(Table1[[#This Row],[Ticker]],Industries!$A$2:$A$140,0),0)</f>
        <v>AAA</v>
      </c>
      <c r="H2" t="s">
        <v>1434</v>
      </c>
      <c r="I2" t="s">
        <v>1434</v>
      </c>
      <c r="J2" s="2">
        <v>45218</v>
      </c>
      <c r="K2" t="s">
        <v>2</v>
      </c>
      <c r="L2" t="s">
        <v>3</v>
      </c>
      <c r="M2" t="s">
        <v>1711</v>
      </c>
      <c r="N2" s="1">
        <f>Table1[[#This Row],[Consideration Weight]]</f>
        <v>4.2000000000000003E-2</v>
      </c>
      <c r="O2" t="s">
        <v>3</v>
      </c>
      <c r="P2" s="1">
        <v>4.2000000000000003E-2</v>
      </c>
      <c r="R2" s="1"/>
      <c r="S2" s="1"/>
    </row>
    <row r="3" spans="1:22" x14ac:dyDescent="0.3">
      <c r="A3" t="s">
        <v>265</v>
      </c>
      <c r="B3" t="str">
        <f ca="1">OFFSET(Industries!C$1,MATCH(Table1[[#This Row],[Ticker]],Industries!$A$2:$A$150,0),0)</f>
        <v>Information Technology</v>
      </c>
      <c r="C3" t="str">
        <f ca="1">OFFSET(Industries!D$1,MATCH(Table1[[#This Row],[Ticker]],Industries!$A$2:$A$150,0),0)</f>
        <v>Software and Services</v>
      </c>
      <c r="D3" t="str">
        <f ca="1">OFFSET(Industries!E$1,MATCH(Table1[[#This Row],[Ticker]],Industries!$A$2:$A$150,0),0)</f>
        <v>Software</v>
      </c>
      <c r="E3" t="s">
        <v>42</v>
      </c>
      <c r="F3" t="str">
        <f ca="1">OFFSET(Industries!B$1,MATCH(Table1[[#This Row],[Ticker]],Industries!$A$2:$A$140,0),0)</f>
        <v>Mega-Cap</v>
      </c>
      <c r="G3" t="str">
        <f ca="1">OFFSET(Industries!F$1,MATCH(Table1[[#This Row],[Ticker]],Industries!$A$2:$A$140,0),0)</f>
        <v>AAA</v>
      </c>
      <c r="H3" t="s">
        <v>1434</v>
      </c>
      <c r="I3" t="s">
        <v>1434</v>
      </c>
      <c r="J3" s="2">
        <v>45218</v>
      </c>
      <c r="K3" t="s">
        <v>2</v>
      </c>
      <c r="L3" t="s">
        <v>1708</v>
      </c>
      <c r="M3" t="s">
        <v>1709</v>
      </c>
      <c r="N3" s="1">
        <f>Table1[[#This Row],[Consideration Weight]]</f>
        <v>0.125</v>
      </c>
      <c r="O3" t="s">
        <v>4</v>
      </c>
      <c r="P3" s="1">
        <v>0.125</v>
      </c>
      <c r="Q3" s="1" t="s">
        <v>1636</v>
      </c>
      <c r="R3" s="1" t="s">
        <v>23</v>
      </c>
      <c r="S3" s="1" t="s">
        <v>1083</v>
      </c>
      <c r="T3" t="s">
        <v>7</v>
      </c>
      <c r="U3" s="1">
        <v>0.35</v>
      </c>
    </row>
    <row r="4" spans="1:22" x14ac:dyDescent="0.3">
      <c r="A4" t="s">
        <v>265</v>
      </c>
      <c r="B4" t="str">
        <f ca="1">OFFSET(Industries!C$1,MATCH(Table1[[#This Row],[Ticker]],Industries!$A$2:$A$150,0),0)</f>
        <v>Information Technology</v>
      </c>
      <c r="C4" t="str">
        <f ca="1">OFFSET(Industries!D$1,MATCH(Table1[[#This Row],[Ticker]],Industries!$A$2:$A$150,0),0)</f>
        <v>Software and Services</v>
      </c>
      <c r="D4" t="str">
        <f ca="1">OFFSET(Industries!E$1,MATCH(Table1[[#This Row],[Ticker]],Industries!$A$2:$A$150,0),0)</f>
        <v>Software</v>
      </c>
      <c r="E4" t="s">
        <v>42</v>
      </c>
      <c r="F4" t="str">
        <f ca="1">OFFSET(Industries!B$1,MATCH(Table1[[#This Row],[Ticker]],Industries!$A$2:$A$140,0),0)</f>
        <v>Mega-Cap</v>
      </c>
      <c r="G4" t="str">
        <f ca="1">OFFSET(Industries!F$1,MATCH(Table1[[#This Row],[Ticker]],Industries!$A$2:$A$140,0),0)</f>
        <v>AAA</v>
      </c>
      <c r="H4" t="s">
        <v>1434</v>
      </c>
      <c r="I4" t="s">
        <v>1434</v>
      </c>
      <c r="J4" s="2">
        <v>45218</v>
      </c>
      <c r="K4" t="s">
        <v>2</v>
      </c>
      <c r="L4" t="s">
        <v>1708</v>
      </c>
      <c r="M4" t="s">
        <v>1709</v>
      </c>
      <c r="N4" s="1"/>
      <c r="O4" t="s">
        <v>4</v>
      </c>
      <c r="P4" s="1">
        <v>0.125</v>
      </c>
      <c r="Q4" s="1" t="s">
        <v>1636</v>
      </c>
      <c r="R4" s="1" t="s">
        <v>24</v>
      </c>
      <c r="S4" s="1" t="s">
        <v>90</v>
      </c>
      <c r="T4" t="s">
        <v>8</v>
      </c>
      <c r="U4" s="1">
        <v>0.35</v>
      </c>
    </row>
    <row r="5" spans="1:22" x14ac:dyDescent="0.3">
      <c r="A5" t="s">
        <v>265</v>
      </c>
      <c r="B5" t="str">
        <f ca="1">OFFSET(Industries!C$1,MATCH(Table1[[#This Row],[Ticker]],Industries!$A$2:$A$150,0),0)</f>
        <v>Information Technology</v>
      </c>
      <c r="C5" t="str">
        <f ca="1">OFFSET(Industries!D$1,MATCH(Table1[[#This Row],[Ticker]],Industries!$A$2:$A$150,0),0)</f>
        <v>Software and Services</v>
      </c>
      <c r="D5" t="str">
        <f ca="1">OFFSET(Industries!E$1,MATCH(Table1[[#This Row],[Ticker]],Industries!$A$2:$A$150,0),0)</f>
        <v>Software</v>
      </c>
      <c r="E5" t="s">
        <v>42</v>
      </c>
      <c r="F5" t="str">
        <f ca="1">OFFSET(Industries!B$1,MATCH(Table1[[#This Row],[Ticker]],Industries!$A$2:$A$140,0),0)</f>
        <v>Mega-Cap</v>
      </c>
      <c r="G5" t="str">
        <f ca="1">OFFSET(Industries!F$1,MATCH(Table1[[#This Row],[Ticker]],Industries!$A$2:$A$140,0),0)</f>
        <v>AAA</v>
      </c>
      <c r="H5" t="s">
        <v>1434</v>
      </c>
      <c r="I5" t="s">
        <v>1434</v>
      </c>
      <c r="J5" s="2">
        <v>45218</v>
      </c>
      <c r="K5" t="s">
        <v>2</v>
      </c>
      <c r="L5" t="s">
        <v>1708</v>
      </c>
      <c r="M5" t="s">
        <v>1709</v>
      </c>
      <c r="N5" s="1"/>
      <c r="O5" t="s">
        <v>4</v>
      </c>
      <c r="P5" s="1">
        <v>0.125</v>
      </c>
      <c r="Q5" s="1" t="s">
        <v>1637</v>
      </c>
      <c r="R5" s="1" t="s">
        <v>25</v>
      </c>
      <c r="S5" s="1" t="s">
        <v>1086</v>
      </c>
      <c r="T5" t="s">
        <v>9</v>
      </c>
      <c r="U5" s="1">
        <v>0.1</v>
      </c>
    </row>
    <row r="6" spans="1:22" x14ac:dyDescent="0.3">
      <c r="A6" t="s">
        <v>265</v>
      </c>
      <c r="B6" t="str">
        <f ca="1">OFFSET(Industries!C$1,MATCH(Table1[[#This Row],[Ticker]],Industries!$A$2:$A$150,0),0)</f>
        <v>Information Technology</v>
      </c>
      <c r="C6" t="str">
        <f ca="1">OFFSET(Industries!D$1,MATCH(Table1[[#This Row],[Ticker]],Industries!$A$2:$A$150,0),0)</f>
        <v>Software and Services</v>
      </c>
      <c r="D6" t="str">
        <f ca="1">OFFSET(Industries!E$1,MATCH(Table1[[#This Row],[Ticker]],Industries!$A$2:$A$150,0),0)</f>
        <v>Software</v>
      </c>
      <c r="E6" t="s">
        <v>42</v>
      </c>
      <c r="F6" t="str">
        <f ca="1">OFFSET(Industries!B$1,MATCH(Table1[[#This Row],[Ticker]],Industries!$A$2:$A$140,0),0)</f>
        <v>Mega-Cap</v>
      </c>
      <c r="G6" t="str">
        <f ca="1">OFFSET(Industries!F$1,MATCH(Table1[[#This Row],[Ticker]],Industries!$A$2:$A$140,0),0)</f>
        <v>AAA</v>
      </c>
      <c r="H6" t="s">
        <v>1434</v>
      </c>
      <c r="I6" t="s">
        <v>1434</v>
      </c>
      <c r="J6" s="2">
        <v>45218</v>
      </c>
      <c r="K6" t="s">
        <v>2</v>
      </c>
      <c r="L6" t="s">
        <v>1708</v>
      </c>
      <c r="M6" t="s">
        <v>1709</v>
      </c>
      <c r="N6" s="1"/>
      <c r="O6" t="s">
        <v>4</v>
      </c>
      <c r="P6" s="1">
        <v>0.125</v>
      </c>
      <c r="Q6" s="1" t="s">
        <v>1637</v>
      </c>
      <c r="R6" s="1" t="s">
        <v>25</v>
      </c>
      <c r="S6" s="1" t="s">
        <v>1130</v>
      </c>
      <c r="T6" t="s">
        <v>10</v>
      </c>
      <c r="U6" s="1">
        <v>0.1</v>
      </c>
    </row>
    <row r="7" spans="1:22" x14ac:dyDescent="0.3">
      <c r="A7" t="s">
        <v>265</v>
      </c>
      <c r="B7" t="str">
        <f ca="1">OFFSET(Industries!C$1,MATCH(Table1[[#This Row],[Ticker]],Industries!$A$2:$A$150,0),0)</f>
        <v>Information Technology</v>
      </c>
      <c r="C7" t="str">
        <f ca="1">OFFSET(Industries!D$1,MATCH(Table1[[#This Row],[Ticker]],Industries!$A$2:$A$150,0),0)</f>
        <v>Software and Services</v>
      </c>
      <c r="D7" t="str">
        <f ca="1">OFFSET(Industries!E$1,MATCH(Table1[[#This Row],[Ticker]],Industries!$A$2:$A$150,0),0)</f>
        <v>Software</v>
      </c>
      <c r="E7" t="s">
        <v>42</v>
      </c>
      <c r="F7" t="str">
        <f ca="1">OFFSET(Industries!B$1,MATCH(Table1[[#This Row],[Ticker]],Industries!$A$2:$A$140,0),0)</f>
        <v>Mega-Cap</v>
      </c>
      <c r="G7" t="str">
        <f ca="1">OFFSET(Industries!F$1,MATCH(Table1[[#This Row],[Ticker]],Industries!$A$2:$A$140,0),0)</f>
        <v>AAA</v>
      </c>
      <c r="H7" t="s">
        <v>1434</v>
      </c>
      <c r="I7" t="s">
        <v>1434</v>
      </c>
      <c r="J7" s="2">
        <v>45218</v>
      </c>
      <c r="K7" t="s">
        <v>2</v>
      </c>
      <c r="L7" t="s">
        <v>1708</v>
      </c>
      <c r="M7" t="s">
        <v>1709</v>
      </c>
      <c r="N7" s="1"/>
      <c r="O7" t="s">
        <v>4</v>
      </c>
      <c r="P7" s="1">
        <v>0.125</v>
      </c>
      <c r="Q7" s="1" t="s">
        <v>1637</v>
      </c>
      <c r="R7" s="1" t="s">
        <v>26</v>
      </c>
      <c r="S7" s="1" t="s">
        <v>1086</v>
      </c>
      <c r="T7" t="s">
        <v>27</v>
      </c>
      <c r="U7" s="1">
        <v>0.1</v>
      </c>
    </row>
    <row r="8" spans="1:22" x14ac:dyDescent="0.3">
      <c r="A8" t="s">
        <v>265</v>
      </c>
      <c r="B8" t="str">
        <f ca="1">OFFSET(Industries!C$1,MATCH(Table1[[#This Row],[Ticker]],Industries!$A$2:$A$150,0),0)</f>
        <v>Information Technology</v>
      </c>
      <c r="C8" t="str">
        <f ca="1">OFFSET(Industries!D$1,MATCH(Table1[[#This Row],[Ticker]],Industries!$A$2:$A$150,0),0)</f>
        <v>Software and Services</v>
      </c>
      <c r="D8" t="str">
        <f ca="1">OFFSET(Industries!E$1,MATCH(Table1[[#This Row],[Ticker]],Industries!$A$2:$A$150,0),0)</f>
        <v>Software</v>
      </c>
      <c r="E8" t="s">
        <v>42</v>
      </c>
      <c r="F8" t="str">
        <f ca="1">OFFSET(Industries!B$1,MATCH(Table1[[#This Row],[Ticker]],Industries!$A$2:$A$140,0),0)</f>
        <v>Mega-Cap</v>
      </c>
      <c r="G8" t="str">
        <f ca="1">OFFSET(Industries!F$1,MATCH(Table1[[#This Row],[Ticker]],Industries!$A$2:$A$140,0),0)</f>
        <v>AAA</v>
      </c>
      <c r="H8" t="s">
        <v>1434</v>
      </c>
      <c r="I8" t="s">
        <v>1434</v>
      </c>
      <c r="J8" s="2">
        <v>45218</v>
      </c>
      <c r="K8" t="s">
        <v>2</v>
      </c>
      <c r="L8" t="s">
        <v>1710</v>
      </c>
      <c r="M8" t="s">
        <v>1709</v>
      </c>
      <c r="N8" s="1">
        <f>Table1[[#This Row],[Consideration Weight]]</f>
        <v>0.83299999999999996</v>
      </c>
      <c r="O8" t="s">
        <v>476</v>
      </c>
      <c r="P8" s="1">
        <v>0.83299999999999996</v>
      </c>
      <c r="Q8" s="1" t="s">
        <v>1636</v>
      </c>
      <c r="R8" s="1" t="s">
        <v>23</v>
      </c>
      <c r="S8" s="1" t="s">
        <v>1083</v>
      </c>
      <c r="T8" t="s">
        <v>11</v>
      </c>
      <c r="U8" s="1">
        <v>0.3</v>
      </c>
    </row>
    <row r="9" spans="1:22" x14ac:dyDescent="0.3">
      <c r="A9" t="s">
        <v>265</v>
      </c>
      <c r="B9" t="str">
        <f ca="1">OFFSET(Industries!C$1,MATCH(Table1[[#This Row],[Ticker]],Industries!$A$2:$A$150,0),0)</f>
        <v>Information Technology</v>
      </c>
      <c r="C9" t="str">
        <f ca="1">OFFSET(Industries!D$1,MATCH(Table1[[#This Row],[Ticker]],Industries!$A$2:$A$150,0),0)</f>
        <v>Software and Services</v>
      </c>
      <c r="D9" t="str">
        <f ca="1">OFFSET(Industries!E$1,MATCH(Table1[[#This Row],[Ticker]],Industries!$A$2:$A$150,0),0)</f>
        <v>Software</v>
      </c>
      <c r="E9" t="s">
        <v>42</v>
      </c>
      <c r="F9" t="str">
        <f ca="1">OFFSET(Industries!B$1,MATCH(Table1[[#This Row],[Ticker]],Industries!$A$2:$A$140,0),0)</f>
        <v>Mega-Cap</v>
      </c>
      <c r="G9" t="str">
        <f ca="1">OFFSET(Industries!F$1,MATCH(Table1[[#This Row],[Ticker]],Industries!$A$2:$A$140,0),0)</f>
        <v>AAA</v>
      </c>
      <c r="H9" t="s">
        <v>1434</v>
      </c>
      <c r="I9" t="s">
        <v>1434</v>
      </c>
      <c r="J9" s="2">
        <v>45218</v>
      </c>
      <c r="K9" t="s">
        <v>2</v>
      </c>
      <c r="L9" t="s">
        <v>1710</v>
      </c>
      <c r="M9" t="s">
        <v>1709</v>
      </c>
      <c r="N9" s="1"/>
      <c r="O9" t="s">
        <v>476</v>
      </c>
      <c r="P9" s="1">
        <v>0.83299999999999996</v>
      </c>
      <c r="Q9" s="1" t="s">
        <v>1636</v>
      </c>
      <c r="R9" s="1" t="s">
        <v>23</v>
      </c>
      <c r="S9" s="1" t="s">
        <v>1084</v>
      </c>
      <c r="T9" t="s">
        <v>12</v>
      </c>
      <c r="U9" s="1">
        <v>0.2</v>
      </c>
    </row>
    <row r="10" spans="1:22" x14ac:dyDescent="0.3">
      <c r="A10" t="s">
        <v>265</v>
      </c>
      <c r="B10" t="str">
        <f ca="1">OFFSET(Industries!C$1,MATCH(Table1[[#This Row],[Ticker]],Industries!$A$2:$A$150,0),0)</f>
        <v>Information Technology</v>
      </c>
      <c r="C10" t="str">
        <f ca="1">OFFSET(Industries!D$1,MATCH(Table1[[#This Row],[Ticker]],Industries!$A$2:$A$150,0),0)</f>
        <v>Software and Services</v>
      </c>
      <c r="D10" t="str">
        <f ca="1">OFFSET(Industries!E$1,MATCH(Table1[[#This Row],[Ticker]],Industries!$A$2:$A$150,0),0)</f>
        <v>Software</v>
      </c>
      <c r="E10" t="s">
        <v>42</v>
      </c>
      <c r="F10" t="str">
        <f ca="1">OFFSET(Industries!B$1,MATCH(Table1[[#This Row],[Ticker]],Industries!$A$2:$A$140,0),0)</f>
        <v>Mega-Cap</v>
      </c>
      <c r="G10" t="str">
        <f ca="1">OFFSET(Industries!F$1,MATCH(Table1[[#This Row],[Ticker]],Industries!$A$2:$A$140,0),0)</f>
        <v>AAA</v>
      </c>
      <c r="H10" t="s">
        <v>1434</v>
      </c>
      <c r="I10" t="s">
        <v>1434</v>
      </c>
      <c r="J10" s="2">
        <v>45218</v>
      </c>
      <c r="K10" t="s">
        <v>2</v>
      </c>
      <c r="L10" t="s">
        <v>1710</v>
      </c>
      <c r="M10" t="s">
        <v>1709</v>
      </c>
      <c r="N10" s="1"/>
      <c r="O10" t="s">
        <v>476</v>
      </c>
      <c r="P10" s="1">
        <v>0.83299999999999996</v>
      </c>
      <c r="Q10" s="1" t="s">
        <v>1636</v>
      </c>
      <c r="R10" s="1" t="s">
        <v>23</v>
      </c>
      <c r="S10" s="1" t="s">
        <v>1084</v>
      </c>
      <c r="T10" t="s">
        <v>13</v>
      </c>
      <c r="U10" s="1">
        <v>0.2</v>
      </c>
      <c r="V10" t="s">
        <v>18</v>
      </c>
    </row>
    <row r="11" spans="1:22" x14ac:dyDescent="0.3">
      <c r="A11" t="s">
        <v>265</v>
      </c>
      <c r="B11" t="str">
        <f ca="1">OFFSET(Industries!C$1,MATCH(Table1[[#This Row],[Ticker]],Industries!$A$2:$A$150,0),0)</f>
        <v>Information Technology</v>
      </c>
      <c r="C11" t="str">
        <f ca="1">OFFSET(Industries!D$1,MATCH(Table1[[#This Row],[Ticker]],Industries!$A$2:$A$150,0),0)</f>
        <v>Software and Services</v>
      </c>
      <c r="D11" t="str">
        <f ca="1">OFFSET(Industries!E$1,MATCH(Table1[[#This Row],[Ticker]],Industries!$A$2:$A$150,0),0)</f>
        <v>Software</v>
      </c>
      <c r="E11" t="s">
        <v>42</v>
      </c>
      <c r="F11" t="str">
        <f ca="1">OFFSET(Industries!B$1,MATCH(Table1[[#This Row],[Ticker]],Industries!$A$2:$A$140,0),0)</f>
        <v>Mega-Cap</v>
      </c>
      <c r="G11" t="str">
        <f ca="1">OFFSET(Industries!F$1,MATCH(Table1[[#This Row],[Ticker]],Industries!$A$2:$A$140,0),0)</f>
        <v>AAA</v>
      </c>
      <c r="H11" t="s">
        <v>1434</v>
      </c>
      <c r="I11" t="s">
        <v>1434</v>
      </c>
      <c r="J11" s="2">
        <v>45218</v>
      </c>
      <c r="K11" t="s">
        <v>2</v>
      </c>
      <c r="L11" t="s">
        <v>1710</v>
      </c>
      <c r="M11" t="s">
        <v>1709</v>
      </c>
      <c r="N11" s="1"/>
      <c r="O11" t="s">
        <v>476</v>
      </c>
      <c r="P11" s="1">
        <v>0.83299999999999996</v>
      </c>
      <c r="Q11" s="1" t="s">
        <v>1636</v>
      </c>
      <c r="R11" s="1" t="s">
        <v>23</v>
      </c>
      <c r="S11" s="1" t="s">
        <v>1083</v>
      </c>
      <c r="T11" t="s">
        <v>14</v>
      </c>
      <c r="U11" s="1">
        <v>0.1</v>
      </c>
    </row>
    <row r="12" spans="1:22" x14ac:dyDescent="0.3">
      <c r="A12" t="s">
        <v>265</v>
      </c>
      <c r="B12" t="str">
        <f ca="1">OFFSET(Industries!C$1,MATCH(Table1[[#This Row],[Ticker]],Industries!$A$2:$A$150,0),0)</f>
        <v>Information Technology</v>
      </c>
      <c r="C12" t="str">
        <f ca="1">OFFSET(Industries!D$1,MATCH(Table1[[#This Row],[Ticker]],Industries!$A$2:$A$150,0),0)</f>
        <v>Software and Services</v>
      </c>
      <c r="D12" t="str">
        <f ca="1">OFFSET(Industries!E$1,MATCH(Table1[[#This Row],[Ticker]],Industries!$A$2:$A$150,0),0)</f>
        <v>Software</v>
      </c>
      <c r="E12" t="s">
        <v>42</v>
      </c>
      <c r="F12" t="str">
        <f ca="1">OFFSET(Industries!B$1,MATCH(Table1[[#This Row],[Ticker]],Industries!$A$2:$A$140,0),0)</f>
        <v>Mega-Cap</v>
      </c>
      <c r="G12" t="str">
        <f ca="1">OFFSET(Industries!F$1,MATCH(Table1[[#This Row],[Ticker]],Industries!$A$2:$A$140,0),0)</f>
        <v>AAA</v>
      </c>
      <c r="H12" t="s">
        <v>1434</v>
      </c>
      <c r="I12" t="s">
        <v>1434</v>
      </c>
      <c r="J12" s="2">
        <v>45218</v>
      </c>
      <c r="K12" t="s">
        <v>2</v>
      </c>
      <c r="L12" t="s">
        <v>1710</v>
      </c>
      <c r="M12" t="s">
        <v>1709</v>
      </c>
      <c r="N12" s="1"/>
      <c r="O12" t="s">
        <v>476</v>
      </c>
      <c r="P12" s="1">
        <v>0.83299999999999996</v>
      </c>
      <c r="Q12" s="1" t="s">
        <v>1636</v>
      </c>
      <c r="R12" s="1" t="s">
        <v>23</v>
      </c>
      <c r="S12" s="1" t="s">
        <v>1084</v>
      </c>
      <c r="T12" t="s">
        <v>16</v>
      </c>
      <c r="U12" s="1">
        <v>0.1</v>
      </c>
      <c r="V12" t="s">
        <v>17</v>
      </c>
    </row>
    <row r="13" spans="1:22" x14ac:dyDescent="0.3">
      <c r="A13" t="s">
        <v>265</v>
      </c>
      <c r="B13" t="str">
        <f ca="1">OFFSET(Industries!C$1,MATCH(Table1[[#This Row],[Ticker]],Industries!$A$2:$A$150,0),0)</f>
        <v>Information Technology</v>
      </c>
      <c r="C13" t="str">
        <f ca="1">OFFSET(Industries!D$1,MATCH(Table1[[#This Row],[Ticker]],Industries!$A$2:$A$150,0),0)</f>
        <v>Software and Services</v>
      </c>
      <c r="D13" t="str">
        <f ca="1">OFFSET(Industries!E$1,MATCH(Table1[[#This Row],[Ticker]],Industries!$A$2:$A$150,0),0)</f>
        <v>Software</v>
      </c>
      <c r="E13" t="s">
        <v>42</v>
      </c>
      <c r="F13" t="str">
        <f ca="1">OFFSET(Industries!B$1,MATCH(Table1[[#This Row],[Ticker]],Industries!$A$2:$A$140,0),0)</f>
        <v>Mega-Cap</v>
      </c>
      <c r="G13" t="str">
        <f ca="1">OFFSET(Industries!F$1,MATCH(Table1[[#This Row],[Ticker]],Industries!$A$2:$A$140,0),0)</f>
        <v>AAA</v>
      </c>
      <c r="H13" t="s">
        <v>1434</v>
      </c>
      <c r="I13" t="s">
        <v>1434</v>
      </c>
      <c r="J13" s="2">
        <v>45218</v>
      </c>
      <c r="K13" t="s">
        <v>2</v>
      </c>
      <c r="L13" t="s">
        <v>1710</v>
      </c>
      <c r="M13" t="s">
        <v>1709</v>
      </c>
      <c r="N13" s="1"/>
      <c r="O13" t="s">
        <v>476</v>
      </c>
      <c r="P13" s="1">
        <v>0.83299999999999996</v>
      </c>
      <c r="Q13" s="1" t="s">
        <v>1636</v>
      </c>
      <c r="R13" s="1" t="s">
        <v>23</v>
      </c>
      <c r="S13" s="1" t="s">
        <v>1084</v>
      </c>
      <c r="T13" t="s">
        <v>19</v>
      </c>
      <c r="U13" s="1">
        <v>0.1</v>
      </c>
      <c r="V13" t="s">
        <v>20</v>
      </c>
    </row>
    <row r="14" spans="1:22" x14ac:dyDescent="0.3">
      <c r="A14" t="s">
        <v>265</v>
      </c>
      <c r="B14" t="str">
        <f ca="1">OFFSET(Industries!C$1,MATCH(Table1[[#This Row],[Ticker]],Industries!$A$2:$A$150,0),0)</f>
        <v>Information Technology</v>
      </c>
      <c r="C14" t="str">
        <f ca="1">OFFSET(Industries!D$1,MATCH(Table1[[#This Row],[Ticker]],Industries!$A$2:$A$150,0),0)</f>
        <v>Software and Services</v>
      </c>
      <c r="D14" t="str">
        <f ca="1">OFFSET(Industries!E$1,MATCH(Table1[[#This Row],[Ticker]],Industries!$A$2:$A$150,0),0)</f>
        <v>Software</v>
      </c>
      <c r="E14" t="s">
        <v>42</v>
      </c>
      <c r="F14" t="str">
        <f ca="1">OFFSET(Industries!B$1,MATCH(Table1[[#This Row],[Ticker]],Industries!$A$2:$A$140,0),0)</f>
        <v>Mega-Cap</v>
      </c>
      <c r="G14" t="str">
        <f ca="1">OFFSET(Industries!F$1,MATCH(Table1[[#This Row],[Ticker]],Industries!$A$2:$A$140,0),0)</f>
        <v>AAA</v>
      </c>
      <c r="H14" t="s">
        <v>1434</v>
      </c>
      <c r="I14" t="s">
        <v>1434</v>
      </c>
      <c r="J14" s="2">
        <v>45218</v>
      </c>
      <c r="K14" t="s">
        <v>2</v>
      </c>
      <c r="L14" t="s">
        <v>1710</v>
      </c>
      <c r="M14" t="s">
        <v>1709</v>
      </c>
      <c r="N14" s="1"/>
      <c r="O14" t="s">
        <v>476</v>
      </c>
      <c r="P14" s="1">
        <v>0.83299999999999996</v>
      </c>
      <c r="R14" s="1" t="s">
        <v>28</v>
      </c>
      <c r="S14" s="1" t="s">
        <v>1085</v>
      </c>
      <c r="T14" t="s">
        <v>30</v>
      </c>
      <c r="V14" s="1"/>
    </row>
    <row r="15" spans="1:22" x14ac:dyDescent="0.3">
      <c r="A15" t="s">
        <v>265</v>
      </c>
      <c r="B15" t="str">
        <f ca="1">OFFSET(Industries!C$1,MATCH(Table1[[#This Row],[Ticker]],Industries!$A$2:$A$150,0),0)</f>
        <v>Information Technology</v>
      </c>
      <c r="C15" t="str">
        <f ca="1">OFFSET(Industries!D$1,MATCH(Table1[[#This Row],[Ticker]],Industries!$A$2:$A$150,0),0)</f>
        <v>Software and Services</v>
      </c>
      <c r="D15" t="str">
        <f ca="1">OFFSET(Industries!E$1,MATCH(Table1[[#This Row],[Ticker]],Industries!$A$2:$A$150,0),0)</f>
        <v>Software</v>
      </c>
      <c r="E15" t="s">
        <v>42</v>
      </c>
      <c r="F15" t="str">
        <f ca="1">OFFSET(Industries!B$1,MATCH(Table1[[#This Row],[Ticker]],Industries!$A$2:$A$140,0),0)</f>
        <v>Mega-Cap</v>
      </c>
      <c r="G15" t="str">
        <f ca="1">OFFSET(Industries!F$1,MATCH(Table1[[#This Row],[Ticker]],Industries!$A$2:$A$140,0),0)</f>
        <v>AAA</v>
      </c>
      <c r="H15" t="s">
        <v>1434</v>
      </c>
      <c r="I15" t="s">
        <v>1434</v>
      </c>
      <c r="J15" s="2">
        <v>45218</v>
      </c>
      <c r="K15" t="s">
        <v>21</v>
      </c>
      <c r="L15" t="s">
        <v>3</v>
      </c>
      <c r="M15" t="s">
        <v>1711</v>
      </c>
      <c r="N15" s="1">
        <f>Table1[[#This Row],[Consideration Weight]]</f>
        <v>5.5999999999999994E-2</v>
      </c>
      <c r="O15" t="s">
        <v>3</v>
      </c>
      <c r="P15" s="1">
        <v>5.5999999999999994E-2</v>
      </c>
      <c r="R15" s="1"/>
      <c r="S15" s="1"/>
    </row>
    <row r="16" spans="1:22" x14ac:dyDescent="0.3">
      <c r="A16" t="s">
        <v>265</v>
      </c>
      <c r="B16" t="str">
        <f ca="1">OFFSET(Industries!C$1,MATCH(Table1[[#This Row],[Ticker]],Industries!$A$2:$A$150,0),0)</f>
        <v>Information Technology</v>
      </c>
      <c r="C16" t="str">
        <f ca="1">OFFSET(Industries!D$1,MATCH(Table1[[#This Row],[Ticker]],Industries!$A$2:$A$150,0),0)</f>
        <v>Software and Services</v>
      </c>
      <c r="D16" t="str">
        <f ca="1">OFFSET(Industries!E$1,MATCH(Table1[[#This Row],[Ticker]],Industries!$A$2:$A$150,0),0)</f>
        <v>Software</v>
      </c>
      <c r="E16" t="s">
        <v>42</v>
      </c>
      <c r="F16" t="str">
        <f ca="1">OFFSET(Industries!B$1,MATCH(Table1[[#This Row],[Ticker]],Industries!$A$2:$A$140,0),0)</f>
        <v>Mega-Cap</v>
      </c>
      <c r="G16" t="str">
        <f ca="1">OFFSET(Industries!F$1,MATCH(Table1[[#This Row],[Ticker]],Industries!$A$2:$A$140,0),0)</f>
        <v>AAA</v>
      </c>
      <c r="H16" t="s">
        <v>1434</v>
      </c>
      <c r="I16" t="s">
        <v>1434</v>
      </c>
      <c r="J16" s="2">
        <v>45218</v>
      </c>
      <c r="K16" t="s">
        <v>21</v>
      </c>
      <c r="L16" t="s">
        <v>1708</v>
      </c>
      <c r="M16" t="s">
        <v>1709</v>
      </c>
      <c r="N16" s="1">
        <f>Table1[[#This Row],[Consideration Weight]]</f>
        <v>0.13400000000000001</v>
      </c>
      <c r="O16" t="s">
        <v>4</v>
      </c>
      <c r="P16" s="1">
        <v>0.13400000000000001</v>
      </c>
      <c r="Q16" s="1" t="s">
        <v>1636</v>
      </c>
      <c r="R16" s="1" t="s">
        <v>23</v>
      </c>
      <c r="S16" s="1" t="s">
        <v>1083</v>
      </c>
      <c r="T16" t="s">
        <v>7</v>
      </c>
      <c r="U16" s="1">
        <v>0.25</v>
      </c>
    </row>
    <row r="17" spans="1:22" x14ac:dyDescent="0.3">
      <c r="A17" t="s">
        <v>265</v>
      </c>
      <c r="B17" t="str">
        <f ca="1">OFFSET(Industries!C$1,MATCH(Table1[[#This Row],[Ticker]],Industries!$A$2:$A$150,0),0)</f>
        <v>Information Technology</v>
      </c>
      <c r="C17" t="str">
        <f ca="1">OFFSET(Industries!D$1,MATCH(Table1[[#This Row],[Ticker]],Industries!$A$2:$A$150,0),0)</f>
        <v>Software and Services</v>
      </c>
      <c r="D17" t="str">
        <f ca="1">OFFSET(Industries!E$1,MATCH(Table1[[#This Row],[Ticker]],Industries!$A$2:$A$150,0),0)</f>
        <v>Software</v>
      </c>
      <c r="E17" t="s">
        <v>42</v>
      </c>
      <c r="F17" t="str">
        <f ca="1">OFFSET(Industries!B$1,MATCH(Table1[[#This Row],[Ticker]],Industries!$A$2:$A$140,0),0)</f>
        <v>Mega-Cap</v>
      </c>
      <c r="G17" t="str">
        <f ca="1">OFFSET(Industries!F$1,MATCH(Table1[[#This Row],[Ticker]],Industries!$A$2:$A$140,0),0)</f>
        <v>AAA</v>
      </c>
      <c r="H17" t="s">
        <v>1434</v>
      </c>
      <c r="I17" t="s">
        <v>1434</v>
      </c>
      <c r="J17" s="2">
        <v>45218</v>
      </c>
      <c r="K17" t="s">
        <v>21</v>
      </c>
      <c r="L17" t="s">
        <v>1708</v>
      </c>
      <c r="M17" t="s">
        <v>1709</v>
      </c>
      <c r="N17" s="1"/>
      <c r="O17" t="s">
        <v>4</v>
      </c>
      <c r="P17" s="1">
        <v>0.13400000000000001</v>
      </c>
      <c r="Q17" s="1" t="s">
        <v>1636</v>
      </c>
      <c r="R17" s="1" t="s">
        <v>24</v>
      </c>
      <c r="S17" s="1" t="s">
        <v>90</v>
      </c>
      <c r="T17" t="s">
        <v>8</v>
      </c>
      <c r="U17" s="1">
        <v>0.25</v>
      </c>
    </row>
    <row r="18" spans="1:22" x14ac:dyDescent="0.3">
      <c r="A18" t="s">
        <v>265</v>
      </c>
      <c r="B18" t="str">
        <f ca="1">OFFSET(Industries!C$1,MATCH(Table1[[#This Row],[Ticker]],Industries!$A$2:$A$150,0),0)</f>
        <v>Information Technology</v>
      </c>
      <c r="C18" t="str">
        <f ca="1">OFFSET(Industries!D$1,MATCH(Table1[[#This Row],[Ticker]],Industries!$A$2:$A$150,0),0)</f>
        <v>Software and Services</v>
      </c>
      <c r="D18" t="str">
        <f ca="1">OFFSET(Industries!E$1,MATCH(Table1[[#This Row],[Ticker]],Industries!$A$2:$A$150,0),0)</f>
        <v>Software</v>
      </c>
      <c r="E18" t="s">
        <v>42</v>
      </c>
      <c r="F18" t="str">
        <f ca="1">OFFSET(Industries!B$1,MATCH(Table1[[#This Row],[Ticker]],Industries!$A$2:$A$140,0),0)</f>
        <v>Mega-Cap</v>
      </c>
      <c r="G18" t="str">
        <f ca="1">OFFSET(Industries!F$1,MATCH(Table1[[#This Row],[Ticker]],Industries!$A$2:$A$140,0),0)</f>
        <v>AAA</v>
      </c>
      <c r="H18" t="s">
        <v>1434</v>
      </c>
      <c r="I18" t="s">
        <v>1434</v>
      </c>
      <c r="J18" s="2">
        <v>45218</v>
      </c>
      <c r="K18" t="s">
        <v>21</v>
      </c>
      <c r="L18" t="s">
        <v>1708</v>
      </c>
      <c r="M18" t="s">
        <v>1709</v>
      </c>
      <c r="N18" s="1"/>
      <c r="O18" t="s">
        <v>4</v>
      </c>
      <c r="P18" s="1">
        <v>0.13400000000000001</v>
      </c>
      <c r="Q18" s="1" t="s">
        <v>1637</v>
      </c>
      <c r="R18" s="1" t="s">
        <v>25</v>
      </c>
      <c r="S18" s="1" t="s">
        <v>1086</v>
      </c>
      <c r="T18" t="s">
        <v>9</v>
      </c>
      <c r="U18" s="1">
        <v>0.16669999999999999</v>
      </c>
    </row>
    <row r="19" spans="1:22" x14ac:dyDescent="0.3">
      <c r="A19" t="s">
        <v>265</v>
      </c>
      <c r="B19" t="str">
        <f ca="1">OFFSET(Industries!C$1,MATCH(Table1[[#This Row],[Ticker]],Industries!$A$2:$A$150,0),0)</f>
        <v>Information Technology</v>
      </c>
      <c r="C19" t="str">
        <f ca="1">OFFSET(Industries!D$1,MATCH(Table1[[#This Row],[Ticker]],Industries!$A$2:$A$150,0),0)</f>
        <v>Software and Services</v>
      </c>
      <c r="D19" t="str">
        <f ca="1">OFFSET(Industries!E$1,MATCH(Table1[[#This Row],[Ticker]],Industries!$A$2:$A$150,0),0)</f>
        <v>Software</v>
      </c>
      <c r="E19" t="s">
        <v>42</v>
      </c>
      <c r="F19" t="str">
        <f ca="1">OFFSET(Industries!B$1,MATCH(Table1[[#This Row],[Ticker]],Industries!$A$2:$A$140,0),0)</f>
        <v>Mega-Cap</v>
      </c>
      <c r="G19" t="str">
        <f ca="1">OFFSET(Industries!F$1,MATCH(Table1[[#This Row],[Ticker]],Industries!$A$2:$A$140,0),0)</f>
        <v>AAA</v>
      </c>
      <c r="H19" t="s">
        <v>1434</v>
      </c>
      <c r="I19" t="s">
        <v>1434</v>
      </c>
      <c r="J19" s="2">
        <v>45218</v>
      </c>
      <c r="K19" t="s">
        <v>21</v>
      </c>
      <c r="L19" t="s">
        <v>1708</v>
      </c>
      <c r="M19" t="s">
        <v>1709</v>
      </c>
      <c r="N19" s="1"/>
      <c r="O19" t="s">
        <v>4</v>
      </c>
      <c r="P19" s="1">
        <v>0.13400000000000001</v>
      </c>
      <c r="Q19" s="1" t="s">
        <v>1637</v>
      </c>
      <c r="R19" s="1" t="s">
        <v>25</v>
      </c>
      <c r="S19" s="1" t="s">
        <v>1130</v>
      </c>
      <c r="T19" t="s">
        <v>10</v>
      </c>
      <c r="U19" s="1">
        <v>0.16669999999999999</v>
      </c>
    </row>
    <row r="20" spans="1:22" x14ac:dyDescent="0.3">
      <c r="A20" t="s">
        <v>265</v>
      </c>
      <c r="B20" t="str">
        <f ca="1">OFFSET(Industries!C$1,MATCH(Table1[[#This Row],[Ticker]],Industries!$A$2:$A$150,0),0)</f>
        <v>Information Technology</v>
      </c>
      <c r="C20" t="str">
        <f ca="1">OFFSET(Industries!D$1,MATCH(Table1[[#This Row],[Ticker]],Industries!$A$2:$A$150,0),0)</f>
        <v>Software and Services</v>
      </c>
      <c r="D20" t="str">
        <f ca="1">OFFSET(Industries!E$1,MATCH(Table1[[#This Row],[Ticker]],Industries!$A$2:$A$150,0),0)</f>
        <v>Software</v>
      </c>
      <c r="E20" t="s">
        <v>42</v>
      </c>
      <c r="F20" t="str">
        <f ca="1">OFFSET(Industries!B$1,MATCH(Table1[[#This Row],[Ticker]],Industries!$A$2:$A$140,0),0)</f>
        <v>Mega-Cap</v>
      </c>
      <c r="G20" t="str">
        <f ca="1">OFFSET(Industries!F$1,MATCH(Table1[[#This Row],[Ticker]],Industries!$A$2:$A$140,0),0)</f>
        <v>AAA</v>
      </c>
      <c r="H20" t="s">
        <v>1434</v>
      </c>
      <c r="I20" t="s">
        <v>1434</v>
      </c>
      <c r="J20" s="2">
        <v>45218</v>
      </c>
      <c r="K20" t="s">
        <v>21</v>
      </c>
      <c r="L20" t="s">
        <v>1708</v>
      </c>
      <c r="M20" t="s">
        <v>1709</v>
      </c>
      <c r="N20" s="1"/>
      <c r="O20" t="s">
        <v>4</v>
      </c>
      <c r="P20" s="1">
        <v>0.13400000000000001</v>
      </c>
      <c r="Q20" s="1" t="s">
        <v>1637</v>
      </c>
      <c r="R20" s="1" t="s">
        <v>26</v>
      </c>
      <c r="S20" s="1" t="s">
        <v>26</v>
      </c>
      <c r="T20" t="s">
        <v>27</v>
      </c>
      <c r="U20" s="1">
        <v>0.16669999999999999</v>
      </c>
    </row>
    <row r="21" spans="1:22" x14ac:dyDescent="0.3">
      <c r="A21" t="s">
        <v>265</v>
      </c>
      <c r="B21" t="str">
        <f ca="1">OFFSET(Industries!C$1,MATCH(Table1[[#This Row],[Ticker]],Industries!$A$2:$A$150,0),0)</f>
        <v>Information Technology</v>
      </c>
      <c r="C21" t="str">
        <f ca="1">OFFSET(Industries!D$1,MATCH(Table1[[#This Row],[Ticker]],Industries!$A$2:$A$150,0),0)</f>
        <v>Software and Services</v>
      </c>
      <c r="D21" t="str">
        <f ca="1">OFFSET(Industries!E$1,MATCH(Table1[[#This Row],[Ticker]],Industries!$A$2:$A$150,0),0)</f>
        <v>Software</v>
      </c>
      <c r="E21" t="s">
        <v>42</v>
      </c>
      <c r="F21" t="str">
        <f ca="1">OFFSET(Industries!B$1,MATCH(Table1[[#This Row],[Ticker]],Industries!$A$2:$A$140,0),0)</f>
        <v>Mega-Cap</v>
      </c>
      <c r="G21" t="str">
        <f ca="1">OFFSET(Industries!F$1,MATCH(Table1[[#This Row],[Ticker]],Industries!$A$2:$A$140,0),0)</f>
        <v>AAA</v>
      </c>
      <c r="H21" t="s">
        <v>1434</v>
      </c>
      <c r="I21" t="s">
        <v>1434</v>
      </c>
      <c r="J21" s="2">
        <v>45218</v>
      </c>
      <c r="K21" t="s">
        <v>21</v>
      </c>
      <c r="L21" t="s">
        <v>1710</v>
      </c>
      <c r="M21" t="s">
        <v>1709</v>
      </c>
      <c r="N21" s="1">
        <f>Table1[[#This Row],[Consideration Weight]]</f>
        <v>0.40500000000000003</v>
      </c>
      <c r="O21" t="s">
        <v>476</v>
      </c>
      <c r="P21" s="1">
        <v>0.40500000000000003</v>
      </c>
      <c r="Q21" s="1" t="s">
        <v>1636</v>
      </c>
      <c r="R21" s="1" t="s">
        <v>23</v>
      </c>
      <c r="S21" s="1" t="s">
        <v>1083</v>
      </c>
      <c r="T21" t="s">
        <v>11</v>
      </c>
      <c r="U21" s="1">
        <v>0.3</v>
      </c>
    </row>
    <row r="22" spans="1:22" x14ac:dyDescent="0.3">
      <c r="A22" t="s">
        <v>265</v>
      </c>
      <c r="B22" t="str">
        <f ca="1">OFFSET(Industries!C$1,MATCH(Table1[[#This Row],[Ticker]],Industries!$A$2:$A$150,0),0)</f>
        <v>Information Technology</v>
      </c>
      <c r="C22" t="str">
        <f ca="1">OFFSET(Industries!D$1,MATCH(Table1[[#This Row],[Ticker]],Industries!$A$2:$A$150,0),0)</f>
        <v>Software and Services</v>
      </c>
      <c r="D22" t="str">
        <f ca="1">OFFSET(Industries!E$1,MATCH(Table1[[#This Row],[Ticker]],Industries!$A$2:$A$150,0),0)</f>
        <v>Software</v>
      </c>
      <c r="E22" t="s">
        <v>42</v>
      </c>
      <c r="F22" t="str">
        <f ca="1">OFFSET(Industries!B$1,MATCH(Table1[[#This Row],[Ticker]],Industries!$A$2:$A$140,0),0)</f>
        <v>Mega-Cap</v>
      </c>
      <c r="G22" t="str">
        <f ca="1">OFFSET(Industries!F$1,MATCH(Table1[[#This Row],[Ticker]],Industries!$A$2:$A$140,0),0)</f>
        <v>AAA</v>
      </c>
      <c r="H22" t="s">
        <v>1434</v>
      </c>
      <c r="I22" t="s">
        <v>1434</v>
      </c>
      <c r="J22" s="2">
        <v>45218</v>
      </c>
      <c r="K22" t="s">
        <v>21</v>
      </c>
      <c r="L22" t="s">
        <v>1710</v>
      </c>
      <c r="M22" t="s">
        <v>1709</v>
      </c>
      <c r="N22" s="1"/>
      <c r="O22" t="s">
        <v>476</v>
      </c>
      <c r="P22" s="1">
        <v>0.40500000000000003</v>
      </c>
      <c r="Q22" s="1" t="s">
        <v>1636</v>
      </c>
      <c r="R22" s="1" t="s">
        <v>23</v>
      </c>
      <c r="S22" s="1" t="s">
        <v>1084</v>
      </c>
      <c r="T22" t="s">
        <v>12</v>
      </c>
      <c r="U22" s="1">
        <v>0.2</v>
      </c>
    </row>
    <row r="23" spans="1:22" x14ac:dyDescent="0.3">
      <c r="A23" t="s">
        <v>265</v>
      </c>
      <c r="B23" t="str">
        <f ca="1">OFFSET(Industries!C$1,MATCH(Table1[[#This Row],[Ticker]],Industries!$A$2:$A$150,0),0)</f>
        <v>Information Technology</v>
      </c>
      <c r="C23" t="str">
        <f ca="1">OFFSET(Industries!D$1,MATCH(Table1[[#This Row],[Ticker]],Industries!$A$2:$A$150,0),0)</f>
        <v>Software and Services</v>
      </c>
      <c r="D23" t="str">
        <f ca="1">OFFSET(Industries!E$1,MATCH(Table1[[#This Row],[Ticker]],Industries!$A$2:$A$150,0),0)</f>
        <v>Software</v>
      </c>
      <c r="E23" t="s">
        <v>42</v>
      </c>
      <c r="F23" t="str">
        <f ca="1">OFFSET(Industries!B$1,MATCH(Table1[[#This Row],[Ticker]],Industries!$A$2:$A$140,0),0)</f>
        <v>Mega-Cap</v>
      </c>
      <c r="G23" t="str">
        <f ca="1">OFFSET(Industries!F$1,MATCH(Table1[[#This Row],[Ticker]],Industries!$A$2:$A$140,0),0)</f>
        <v>AAA</v>
      </c>
      <c r="H23" t="s">
        <v>1434</v>
      </c>
      <c r="I23" t="s">
        <v>1434</v>
      </c>
      <c r="J23" s="2">
        <v>45218</v>
      </c>
      <c r="K23" t="s">
        <v>21</v>
      </c>
      <c r="L23" t="s">
        <v>1710</v>
      </c>
      <c r="M23" t="s">
        <v>1709</v>
      </c>
      <c r="N23" s="1"/>
      <c r="O23" t="s">
        <v>476</v>
      </c>
      <c r="P23" s="1">
        <v>0.40500000000000003</v>
      </c>
      <c r="Q23" s="1" t="s">
        <v>1636</v>
      </c>
      <c r="R23" s="1" t="s">
        <v>23</v>
      </c>
      <c r="S23" s="1" t="s">
        <v>1084</v>
      </c>
      <c r="T23" t="s">
        <v>13</v>
      </c>
      <c r="U23" s="1">
        <v>0.2</v>
      </c>
    </row>
    <row r="24" spans="1:22" x14ac:dyDescent="0.3">
      <c r="A24" t="s">
        <v>265</v>
      </c>
      <c r="B24" t="str">
        <f ca="1">OFFSET(Industries!C$1,MATCH(Table1[[#This Row],[Ticker]],Industries!$A$2:$A$150,0),0)</f>
        <v>Information Technology</v>
      </c>
      <c r="C24" t="str">
        <f ca="1">OFFSET(Industries!D$1,MATCH(Table1[[#This Row],[Ticker]],Industries!$A$2:$A$150,0),0)</f>
        <v>Software and Services</v>
      </c>
      <c r="D24" t="str">
        <f ca="1">OFFSET(Industries!E$1,MATCH(Table1[[#This Row],[Ticker]],Industries!$A$2:$A$150,0),0)</f>
        <v>Software</v>
      </c>
      <c r="E24" t="s">
        <v>42</v>
      </c>
      <c r="F24" t="str">
        <f ca="1">OFFSET(Industries!B$1,MATCH(Table1[[#This Row],[Ticker]],Industries!$A$2:$A$140,0),0)</f>
        <v>Mega-Cap</v>
      </c>
      <c r="G24" t="str">
        <f ca="1">OFFSET(Industries!F$1,MATCH(Table1[[#This Row],[Ticker]],Industries!$A$2:$A$140,0),0)</f>
        <v>AAA</v>
      </c>
      <c r="H24" t="s">
        <v>1434</v>
      </c>
      <c r="I24" t="s">
        <v>1434</v>
      </c>
      <c r="J24" s="2">
        <v>45218</v>
      </c>
      <c r="K24" t="s">
        <v>21</v>
      </c>
      <c r="L24" t="s">
        <v>1710</v>
      </c>
      <c r="M24" t="s">
        <v>1709</v>
      </c>
      <c r="N24" s="1"/>
      <c r="O24" t="s">
        <v>476</v>
      </c>
      <c r="P24" s="1">
        <v>0.40500000000000003</v>
      </c>
      <c r="Q24" s="1" t="s">
        <v>1636</v>
      </c>
      <c r="R24" s="1" t="s">
        <v>23</v>
      </c>
      <c r="S24" s="1" t="s">
        <v>1083</v>
      </c>
      <c r="T24" t="s">
        <v>14</v>
      </c>
      <c r="U24" s="1">
        <v>0.1</v>
      </c>
    </row>
    <row r="25" spans="1:22" x14ac:dyDescent="0.3">
      <c r="A25" t="s">
        <v>265</v>
      </c>
      <c r="B25" t="str">
        <f ca="1">OFFSET(Industries!C$1,MATCH(Table1[[#This Row],[Ticker]],Industries!$A$2:$A$150,0),0)</f>
        <v>Information Technology</v>
      </c>
      <c r="C25" t="str">
        <f ca="1">OFFSET(Industries!D$1,MATCH(Table1[[#This Row],[Ticker]],Industries!$A$2:$A$150,0),0)</f>
        <v>Software and Services</v>
      </c>
      <c r="D25" t="str">
        <f ca="1">OFFSET(Industries!E$1,MATCH(Table1[[#This Row],[Ticker]],Industries!$A$2:$A$150,0),0)</f>
        <v>Software</v>
      </c>
      <c r="E25" t="s">
        <v>42</v>
      </c>
      <c r="F25" t="str">
        <f ca="1">OFFSET(Industries!B$1,MATCH(Table1[[#This Row],[Ticker]],Industries!$A$2:$A$140,0),0)</f>
        <v>Mega-Cap</v>
      </c>
      <c r="G25" t="str">
        <f ca="1">OFFSET(Industries!F$1,MATCH(Table1[[#This Row],[Ticker]],Industries!$A$2:$A$140,0),0)</f>
        <v>AAA</v>
      </c>
      <c r="H25" t="s">
        <v>1434</v>
      </c>
      <c r="I25" t="s">
        <v>1434</v>
      </c>
      <c r="J25" s="2">
        <v>45218</v>
      </c>
      <c r="K25" t="s">
        <v>21</v>
      </c>
      <c r="L25" t="s">
        <v>1710</v>
      </c>
      <c r="M25" t="s">
        <v>1709</v>
      </c>
      <c r="N25" s="1"/>
      <c r="O25" t="s">
        <v>476</v>
      </c>
      <c r="P25" s="1">
        <v>0.40500000000000003</v>
      </c>
      <c r="Q25" s="1" t="s">
        <v>1636</v>
      </c>
      <c r="R25" s="1" t="s">
        <v>23</v>
      </c>
      <c r="S25" s="1" t="s">
        <v>1084</v>
      </c>
      <c r="T25" t="s">
        <v>16</v>
      </c>
      <c r="U25" s="1">
        <v>0.1</v>
      </c>
    </row>
    <row r="26" spans="1:22" x14ac:dyDescent="0.3">
      <c r="A26" t="s">
        <v>265</v>
      </c>
      <c r="B26" t="str">
        <f ca="1">OFFSET(Industries!C$1,MATCH(Table1[[#This Row],[Ticker]],Industries!$A$2:$A$150,0),0)</f>
        <v>Information Technology</v>
      </c>
      <c r="C26" t="str">
        <f ca="1">OFFSET(Industries!D$1,MATCH(Table1[[#This Row],[Ticker]],Industries!$A$2:$A$150,0),0)</f>
        <v>Software and Services</v>
      </c>
      <c r="D26" t="str">
        <f ca="1">OFFSET(Industries!E$1,MATCH(Table1[[#This Row],[Ticker]],Industries!$A$2:$A$150,0),0)</f>
        <v>Software</v>
      </c>
      <c r="E26" t="s">
        <v>42</v>
      </c>
      <c r="F26" t="str">
        <f ca="1">OFFSET(Industries!B$1,MATCH(Table1[[#This Row],[Ticker]],Industries!$A$2:$A$140,0),0)</f>
        <v>Mega-Cap</v>
      </c>
      <c r="G26" t="str">
        <f ca="1">OFFSET(Industries!F$1,MATCH(Table1[[#This Row],[Ticker]],Industries!$A$2:$A$140,0),0)</f>
        <v>AAA</v>
      </c>
      <c r="H26" t="s">
        <v>1434</v>
      </c>
      <c r="I26" t="s">
        <v>1434</v>
      </c>
      <c r="J26" s="2">
        <v>45218</v>
      </c>
      <c r="K26" t="s">
        <v>21</v>
      </c>
      <c r="L26" t="s">
        <v>1710</v>
      </c>
      <c r="M26" t="s">
        <v>1709</v>
      </c>
      <c r="N26" s="1"/>
      <c r="O26" t="s">
        <v>476</v>
      </c>
      <c r="P26" s="1">
        <v>0.40500000000000003</v>
      </c>
      <c r="Q26" s="1" t="s">
        <v>1636</v>
      </c>
      <c r="R26" s="1" t="s">
        <v>23</v>
      </c>
      <c r="S26" s="1" t="s">
        <v>1084</v>
      </c>
      <c r="T26" t="s">
        <v>19</v>
      </c>
      <c r="U26" s="1">
        <v>0.1</v>
      </c>
    </row>
    <row r="27" spans="1:22" x14ac:dyDescent="0.3">
      <c r="A27" t="s">
        <v>265</v>
      </c>
      <c r="B27" t="str">
        <f ca="1">OFFSET(Industries!C$1,MATCH(Table1[[#This Row],[Ticker]],Industries!$A$2:$A$150,0),0)</f>
        <v>Information Technology</v>
      </c>
      <c r="C27" t="str">
        <f ca="1">OFFSET(Industries!D$1,MATCH(Table1[[#This Row],[Ticker]],Industries!$A$2:$A$150,0),0)</f>
        <v>Software and Services</v>
      </c>
      <c r="D27" t="str">
        <f ca="1">OFFSET(Industries!E$1,MATCH(Table1[[#This Row],[Ticker]],Industries!$A$2:$A$150,0),0)</f>
        <v>Software</v>
      </c>
      <c r="E27" t="s">
        <v>42</v>
      </c>
      <c r="F27" t="str">
        <f ca="1">OFFSET(Industries!B$1,MATCH(Table1[[#This Row],[Ticker]],Industries!$A$2:$A$140,0),0)</f>
        <v>Mega-Cap</v>
      </c>
      <c r="G27" t="str">
        <f ca="1">OFFSET(Industries!F$1,MATCH(Table1[[#This Row],[Ticker]],Industries!$A$2:$A$140,0),0)</f>
        <v>AAA</v>
      </c>
      <c r="H27" t="s">
        <v>1434</v>
      </c>
      <c r="I27" t="s">
        <v>1434</v>
      </c>
      <c r="J27" s="2">
        <v>45218</v>
      </c>
      <c r="K27" t="s">
        <v>21</v>
      </c>
      <c r="L27" t="s">
        <v>1710</v>
      </c>
      <c r="M27" t="s">
        <v>1709</v>
      </c>
      <c r="N27" s="1"/>
      <c r="O27" t="s">
        <v>476</v>
      </c>
      <c r="P27" s="1">
        <v>0.40500000000000003</v>
      </c>
      <c r="R27" s="1" t="s">
        <v>28</v>
      </c>
      <c r="S27" s="1" t="s">
        <v>1085</v>
      </c>
      <c r="T27" t="s">
        <v>30</v>
      </c>
    </row>
    <row r="28" spans="1:22" x14ac:dyDescent="0.3">
      <c r="A28" t="s">
        <v>265</v>
      </c>
      <c r="B28" t="str">
        <f ca="1">OFFSET(Industries!C$1,MATCH(Table1[[#This Row],[Ticker]],Industries!$A$2:$A$150,0),0)</f>
        <v>Information Technology</v>
      </c>
      <c r="C28" t="str">
        <f ca="1">OFFSET(Industries!D$1,MATCH(Table1[[#This Row],[Ticker]],Industries!$A$2:$A$150,0),0)</f>
        <v>Software and Services</v>
      </c>
      <c r="D28" t="str">
        <f ca="1">OFFSET(Industries!E$1,MATCH(Table1[[#This Row],[Ticker]],Industries!$A$2:$A$150,0),0)</f>
        <v>Software</v>
      </c>
      <c r="E28" t="s">
        <v>42</v>
      </c>
      <c r="F28" t="str">
        <f ca="1">OFFSET(Industries!B$1,MATCH(Table1[[#This Row],[Ticker]],Industries!$A$2:$A$140,0),0)</f>
        <v>Mega-Cap</v>
      </c>
      <c r="G28" t="str">
        <f ca="1">OFFSET(Industries!F$1,MATCH(Table1[[#This Row],[Ticker]],Industries!$A$2:$A$140,0),0)</f>
        <v>AAA</v>
      </c>
      <c r="H28" t="s">
        <v>1434</v>
      </c>
      <c r="I28" t="s">
        <v>1434</v>
      </c>
      <c r="J28" s="2">
        <v>45218</v>
      </c>
      <c r="K28" t="s">
        <v>21</v>
      </c>
      <c r="L28" t="s">
        <v>1710</v>
      </c>
      <c r="M28" t="s">
        <v>1711</v>
      </c>
      <c r="N28" s="1">
        <f>Table1[[#This Row],[Consideration Weight]]</f>
        <v>0.40500000000000003</v>
      </c>
      <c r="O28" t="s">
        <v>194</v>
      </c>
      <c r="P28" s="1">
        <v>0.40500000000000003</v>
      </c>
    </row>
    <row r="29" spans="1:22" x14ac:dyDescent="0.3">
      <c r="A29" t="s">
        <v>266</v>
      </c>
      <c r="B29" t="str">
        <f ca="1">OFFSET(Industries!C$1,MATCH(Table1[[#This Row],[Ticker]],Industries!$A$2:$A$150,0),0)</f>
        <v>Information Technology</v>
      </c>
      <c r="C29" t="str">
        <f ca="1">OFFSET(Industries!D$1,MATCH(Table1[[#This Row],[Ticker]],Industries!$A$2:$A$150,0),0)</f>
        <v>Semiconductors</v>
      </c>
      <c r="D29" t="str">
        <f ca="1">OFFSET(Industries!E$1,MATCH(Table1[[#This Row],[Ticker]],Industries!$A$2:$A$150,0),0)</f>
        <v>Semiconductors</v>
      </c>
      <c r="E29" t="s">
        <v>34</v>
      </c>
      <c r="F29" t="str">
        <f ca="1">OFFSET(Industries!B$1,MATCH(Table1[[#This Row],[Ticker]],Industries!$A$2:$A$140,0),0)</f>
        <v>Mega-Cap</v>
      </c>
      <c r="G29" t="str">
        <f ca="1">OFFSET(Industries!F$1,MATCH(Table1[[#This Row],[Ticker]],Industries!$A$2:$A$140,0),0)</f>
        <v>BBB</v>
      </c>
      <c r="H29" t="s">
        <v>1434</v>
      </c>
      <c r="I29" t="s">
        <v>1434</v>
      </c>
      <c r="J29" s="2">
        <v>45348</v>
      </c>
      <c r="K29" t="s">
        <v>2</v>
      </c>
      <c r="L29" t="s">
        <v>3</v>
      </c>
      <c r="M29" t="s">
        <v>1711</v>
      </c>
      <c r="N29" s="1">
        <f>Table1[[#This Row],[Consideration Weight]]</f>
        <v>0.04</v>
      </c>
      <c r="O29" t="s">
        <v>3</v>
      </c>
      <c r="P29" s="1">
        <v>0.04</v>
      </c>
    </row>
    <row r="30" spans="1:22" x14ac:dyDescent="0.3">
      <c r="A30" t="s">
        <v>266</v>
      </c>
      <c r="B30" t="str">
        <f ca="1">OFFSET(Industries!C$1,MATCH(Table1[[#This Row],[Ticker]],Industries!$A$2:$A$150,0),0)</f>
        <v>Information Technology</v>
      </c>
      <c r="C30" t="str">
        <f ca="1">OFFSET(Industries!D$1,MATCH(Table1[[#This Row],[Ticker]],Industries!$A$2:$A$150,0),0)</f>
        <v>Semiconductors</v>
      </c>
      <c r="D30" t="str">
        <f ca="1">OFFSET(Industries!E$1,MATCH(Table1[[#This Row],[Ticker]],Industries!$A$2:$A$150,0),0)</f>
        <v>Semiconductors</v>
      </c>
      <c r="E30" t="s">
        <v>34</v>
      </c>
      <c r="F30" t="str">
        <f ca="1">OFFSET(Industries!B$1,MATCH(Table1[[#This Row],[Ticker]],Industries!$A$2:$A$140,0),0)</f>
        <v>Mega-Cap</v>
      </c>
      <c r="G30" t="str">
        <f ca="1">OFFSET(Industries!F$1,MATCH(Table1[[#This Row],[Ticker]],Industries!$A$2:$A$140,0),0)</f>
        <v>BBB</v>
      </c>
      <c r="H30" t="s">
        <v>1434</v>
      </c>
      <c r="I30" t="s">
        <v>1434</v>
      </c>
      <c r="J30" s="2">
        <v>45348</v>
      </c>
      <c r="K30" t="s">
        <v>2</v>
      </c>
      <c r="L30" t="s">
        <v>1710</v>
      </c>
      <c r="M30" t="s">
        <v>1709</v>
      </c>
      <c r="N30" s="1">
        <f>Table1[[#This Row],[Consideration Weight]]</f>
        <v>0.96</v>
      </c>
      <c r="O30" t="s">
        <v>476</v>
      </c>
      <c r="P30" s="1">
        <v>0.96</v>
      </c>
      <c r="Q30" s="1" t="s">
        <v>1646</v>
      </c>
      <c r="R30" s="1" t="s">
        <v>35</v>
      </c>
      <c r="S30" s="1" t="s">
        <v>36</v>
      </c>
      <c r="T30" t="s">
        <v>36</v>
      </c>
      <c r="U30" s="1">
        <v>1</v>
      </c>
      <c r="V30" s="1" t="s">
        <v>1639</v>
      </c>
    </row>
    <row r="31" spans="1:22" x14ac:dyDescent="0.3">
      <c r="A31" t="s">
        <v>266</v>
      </c>
      <c r="B31" t="str">
        <f ca="1">OFFSET(Industries!C$1,MATCH(Table1[[#This Row],[Ticker]],Industries!$A$2:$A$150,0),0)</f>
        <v>Information Technology</v>
      </c>
      <c r="C31" t="str">
        <f ca="1">OFFSET(Industries!D$1,MATCH(Table1[[#This Row],[Ticker]],Industries!$A$2:$A$150,0),0)</f>
        <v>Semiconductors</v>
      </c>
      <c r="D31" t="str">
        <f ca="1">OFFSET(Industries!E$1,MATCH(Table1[[#This Row],[Ticker]],Industries!$A$2:$A$150,0),0)</f>
        <v>Semiconductors</v>
      </c>
      <c r="E31" t="s">
        <v>34</v>
      </c>
      <c r="F31" t="str">
        <f ca="1">OFFSET(Industries!B$1,MATCH(Table1[[#This Row],[Ticker]],Industries!$A$2:$A$140,0),0)</f>
        <v>Mega-Cap</v>
      </c>
      <c r="G31" t="str">
        <f ca="1">OFFSET(Industries!F$1,MATCH(Table1[[#This Row],[Ticker]],Industries!$A$2:$A$140,0),0)</f>
        <v>BBB</v>
      </c>
      <c r="H31" t="s">
        <v>1434</v>
      </c>
      <c r="I31" t="s">
        <v>1434</v>
      </c>
      <c r="J31" s="2">
        <v>45348</v>
      </c>
      <c r="K31" t="s">
        <v>21</v>
      </c>
      <c r="L31" t="s">
        <v>3</v>
      </c>
      <c r="M31" t="s">
        <v>1711</v>
      </c>
      <c r="N31" s="1">
        <f>Table1[[#This Row],[Consideration Weight]]</f>
        <v>4.2030590936743405E-2</v>
      </c>
      <c r="O31" t="s">
        <v>3</v>
      </c>
      <c r="P31" s="1">
        <v>4.2030590936743405E-2</v>
      </c>
    </row>
    <row r="32" spans="1:22" x14ac:dyDescent="0.3">
      <c r="A32" t="s">
        <v>266</v>
      </c>
      <c r="B32" t="str">
        <f ca="1">OFFSET(Industries!C$1,MATCH(Table1[[#This Row],[Ticker]],Industries!$A$2:$A$150,0),0)</f>
        <v>Information Technology</v>
      </c>
      <c r="C32" t="str">
        <f ca="1">OFFSET(Industries!D$1,MATCH(Table1[[#This Row],[Ticker]],Industries!$A$2:$A$150,0),0)</f>
        <v>Semiconductors</v>
      </c>
      <c r="D32" t="str">
        <f ca="1">OFFSET(Industries!E$1,MATCH(Table1[[#This Row],[Ticker]],Industries!$A$2:$A$150,0),0)</f>
        <v>Semiconductors</v>
      </c>
      <c r="E32" t="s">
        <v>34</v>
      </c>
      <c r="F32" t="str">
        <f ca="1">OFFSET(Industries!B$1,MATCH(Table1[[#This Row],[Ticker]],Industries!$A$2:$A$140,0),0)</f>
        <v>Mega-Cap</v>
      </c>
      <c r="G32" t="str">
        <f ca="1">OFFSET(Industries!F$1,MATCH(Table1[[#This Row],[Ticker]],Industries!$A$2:$A$140,0),0)</f>
        <v>BBB</v>
      </c>
      <c r="H32" t="s">
        <v>1434</v>
      </c>
      <c r="I32" t="s">
        <v>1434</v>
      </c>
      <c r="J32" s="2">
        <v>45348</v>
      </c>
      <c r="K32" t="s">
        <v>21</v>
      </c>
      <c r="L32" t="s">
        <v>1708</v>
      </c>
      <c r="M32" t="s">
        <v>1709</v>
      </c>
      <c r="N32" s="1">
        <f>Table1[[#This Row],[Consideration Weight]]</f>
        <v>4.2030590936743405E-2</v>
      </c>
      <c r="O32" t="s">
        <v>4</v>
      </c>
      <c r="P32" s="1">
        <v>4.2030590936743405E-2</v>
      </c>
      <c r="Q32" s="1" t="s">
        <v>1636</v>
      </c>
      <c r="R32" t="s">
        <v>23</v>
      </c>
      <c r="S32" t="s">
        <v>1083</v>
      </c>
      <c r="T32" t="s">
        <v>37</v>
      </c>
      <c r="U32" s="1">
        <v>0.25</v>
      </c>
      <c r="V32" t="s">
        <v>1640</v>
      </c>
    </row>
    <row r="33" spans="1:22" x14ac:dyDescent="0.3">
      <c r="A33" t="s">
        <v>266</v>
      </c>
      <c r="B33" t="str">
        <f ca="1">OFFSET(Industries!C$1,MATCH(Table1[[#This Row],[Ticker]],Industries!$A$2:$A$150,0),0)</f>
        <v>Information Technology</v>
      </c>
      <c r="C33" t="str">
        <f ca="1">OFFSET(Industries!D$1,MATCH(Table1[[#This Row],[Ticker]],Industries!$A$2:$A$150,0),0)</f>
        <v>Semiconductors</v>
      </c>
      <c r="D33" t="str">
        <f ca="1">OFFSET(Industries!E$1,MATCH(Table1[[#This Row],[Ticker]],Industries!$A$2:$A$150,0),0)</f>
        <v>Semiconductors</v>
      </c>
      <c r="E33" t="s">
        <v>34</v>
      </c>
      <c r="F33" t="str">
        <f ca="1">OFFSET(Industries!B$1,MATCH(Table1[[#This Row],[Ticker]],Industries!$A$2:$A$140,0),0)</f>
        <v>Mega-Cap</v>
      </c>
      <c r="G33" t="str">
        <f ca="1">OFFSET(Industries!F$1,MATCH(Table1[[#This Row],[Ticker]],Industries!$A$2:$A$140,0),0)</f>
        <v>BBB</v>
      </c>
      <c r="H33" t="s">
        <v>1434</v>
      </c>
      <c r="I33" t="s">
        <v>1434</v>
      </c>
      <c r="J33" s="2">
        <v>45348</v>
      </c>
      <c r="K33" t="s">
        <v>21</v>
      </c>
      <c r="L33" t="s">
        <v>1708</v>
      </c>
      <c r="M33" t="s">
        <v>1709</v>
      </c>
      <c r="N33" s="1"/>
      <c r="O33" t="s">
        <v>4</v>
      </c>
      <c r="P33" s="1">
        <v>4.2030590936743405E-2</v>
      </c>
      <c r="Q33" s="1" t="s">
        <v>1636</v>
      </c>
      <c r="R33" t="s">
        <v>24</v>
      </c>
      <c r="S33" t="s">
        <v>509</v>
      </c>
      <c r="T33" t="s">
        <v>38</v>
      </c>
      <c r="U33" s="1">
        <v>0.25</v>
      </c>
      <c r="V33" t="s">
        <v>1641</v>
      </c>
    </row>
    <row r="34" spans="1:22" x14ac:dyDescent="0.3">
      <c r="A34" t="s">
        <v>266</v>
      </c>
      <c r="B34" t="str">
        <f ca="1">OFFSET(Industries!C$1,MATCH(Table1[[#This Row],[Ticker]],Industries!$A$2:$A$150,0),0)</f>
        <v>Information Technology</v>
      </c>
      <c r="C34" t="str">
        <f ca="1">OFFSET(Industries!D$1,MATCH(Table1[[#This Row],[Ticker]],Industries!$A$2:$A$150,0),0)</f>
        <v>Semiconductors</v>
      </c>
      <c r="D34" t="str">
        <f ca="1">OFFSET(Industries!E$1,MATCH(Table1[[#This Row],[Ticker]],Industries!$A$2:$A$150,0),0)</f>
        <v>Semiconductors</v>
      </c>
      <c r="E34" t="s">
        <v>34</v>
      </c>
      <c r="F34" t="str">
        <f ca="1">OFFSET(Industries!B$1,MATCH(Table1[[#This Row],[Ticker]],Industries!$A$2:$A$140,0),0)</f>
        <v>Mega-Cap</v>
      </c>
      <c r="G34" t="str">
        <f ca="1">OFFSET(Industries!F$1,MATCH(Table1[[#This Row],[Ticker]],Industries!$A$2:$A$140,0),0)</f>
        <v>BBB</v>
      </c>
      <c r="H34" t="s">
        <v>1434</v>
      </c>
      <c r="I34" t="s">
        <v>1434</v>
      </c>
      <c r="J34" s="2">
        <v>45348</v>
      </c>
      <c r="K34" t="s">
        <v>21</v>
      </c>
      <c r="L34" t="s">
        <v>1708</v>
      </c>
      <c r="M34" t="s">
        <v>1709</v>
      </c>
      <c r="N34" s="1"/>
      <c r="O34" t="s">
        <v>4</v>
      </c>
      <c r="P34" s="1">
        <v>4.2030590936743405E-2</v>
      </c>
      <c r="Q34" s="1" t="s">
        <v>1637</v>
      </c>
      <c r="R34" t="s">
        <v>25</v>
      </c>
      <c r="S34" t="s">
        <v>1086</v>
      </c>
      <c r="T34" t="s">
        <v>39</v>
      </c>
      <c r="U34" s="1">
        <v>0.5</v>
      </c>
      <c r="V34" t="s">
        <v>1642</v>
      </c>
    </row>
    <row r="35" spans="1:22" x14ac:dyDescent="0.3">
      <c r="A35" t="s">
        <v>266</v>
      </c>
      <c r="B35" t="str">
        <f ca="1">OFFSET(Industries!C$1,MATCH(Table1[[#This Row],[Ticker]],Industries!$A$2:$A$150,0),0)</f>
        <v>Information Technology</v>
      </c>
      <c r="C35" t="str">
        <f ca="1">OFFSET(Industries!D$1,MATCH(Table1[[#This Row],[Ticker]],Industries!$A$2:$A$150,0),0)</f>
        <v>Semiconductors</v>
      </c>
      <c r="D35" t="str">
        <f ca="1">OFFSET(Industries!E$1,MATCH(Table1[[#This Row],[Ticker]],Industries!$A$2:$A$150,0),0)</f>
        <v>Semiconductors</v>
      </c>
      <c r="E35" t="s">
        <v>34</v>
      </c>
      <c r="F35" t="str">
        <f ca="1">OFFSET(Industries!B$1,MATCH(Table1[[#This Row],[Ticker]],Industries!$A$2:$A$140,0),0)</f>
        <v>Mega-Cap</v>
      </c>
      <c r="G35" t="str">
        <f ca="1">OFFSET(Industries!F$1,MATCH(Table1[[#This Row],[Ticker]],Industries!$A$2:$A$140,0),0)</f>
        <v>BBB</v>
      </c>
      <c r="H35" t="s">
        <v>1434</v>
      </c>
      <c r="I35" t="s">
        <v>1434</v>
      </c>
      <c r="J35" s="2">
        <v>45348</v>
      </c>
      <c r="K35" t="s">
        <v>21</v>
      </c>
      <c r="L35" t="s">
        <v>1708</v>
      </c>
      <c r="M35" t="s">
        <v>1709</v>
      </c>
      <c r="N35" s="1"/>
      <c r="O35" t="s">
        <v>4</v>
      </c>
      <c r="P35" s="1">
        <v>4.2030590936743405E-2</v>
      </c>
      <c r="R35" t="s">
        <v>28</v>
      </c>
      <c r="S35" t="s">
        <v>1087</v>
      </c>
      <c r="T35" t="s">
        <v>40</v>
      </c>
      <c r="V35" t="s">
        <v>41</v>
      </c>
    </row>
    <row r="36" spans="1:22" x14ac:dyDescent="0.3">
      <c r="A36" t="s">
        <v>266</v>
      </c>
      <c r="B36" t="str">
        <f ca="1">OFFSET(Industries!C$1,MATCH(Table1[[#This Row],[Ticker]],Industries!$A$2:$A$150,0),0)</f>
        <v>Information Technology</v>
      </c>
      <c r="C36" t="str">
        <f ca="1">OFFSET(Industries!D$1,MATCH(Table1[[#This Row],[Ticker]],Industries!$A$2:$A$150,0),0)</f>
        <v>Semiconductors</v>
      </c>
      <c r="D36" t="str">
        <f ca="1">OFFSET(Industries!E$1,MATCH(Table1[[#This Row],[Ticker]],Industries!$A$2:$A$150,0),0)</f>
        <v>Semiconductors</v>
      </c>
      <c r="E36" t="s">
        <v>34</v>
      </c>
      <c r="F36" t="str">
        <f ca="1">OFFSET(Industries!B$1,MATCH(Table1[[#This Row],[Ticker]],Industries!$A$2:$A$140,0),0)</f>
        <v>Mega-Cap</v>
      </c>
      <c r="G36" t="str">
        <f ca="1">OFFSET(Industries!F$1,MATCH(Table1[[#This Row],[Ticker]],Industries!$A$2:$A$140,0),0)</f>
        <v>BBB</v>
      </c>
      <c r="H36" t="s">
        <v>1434</v>
      </c>
      <c r="I36" t="s">
        <v>1434</v>
      </c>
      <c r="J36" s="2">
        <v>45348</v>
      </c>
      <c r="K36" t="s">
        <v>21</v>
      </c>
      <c r="L36" t="s">
        <v>1710</v>
      </c>
      <c r="M36" t="s">
        <v>1709</v>
      </c>
      <c r="N36" s="1">
        <f>Table1[[#This Row],[Consideration Weight]]</f>
        <v>0.60287069506216984</v>
      </c>
      <c r="O36" t="s">
        <v>476</v>
      </c>
      <c r="P36" s="1">
        <v>0.60287069506216984</v>
      </c>
      <c r="Q36" s="1" t="s">
        <v>1646</v>
      </c>
      <c r="R36" t="s">
        <v>35</v>
      </c>
      <c r="S36" t="s">
        <v>29</v>
      </c>
      <c r="T36" t="s">
        <v>29</v>
      </c>
      <c r="U36" s="1">
        <v>1</v>
      </c>
    </row>
    <row r="37" spans="1:22" x14ac:dyDescent="0.3">
      <c r="A37" t="s">
        <v>266</v>
      </c>
      <c r="B37" t="str">
        <f ca="1">OFFSET(Industries!C$1,MATCH(Table1[[#This Row],[Ticker]],Industries!$A$2:$A$150,0),0)</f>
        <v>Information Technology</v>
      </c>
      <c r="C37" t="str">
        <f ca="1">OFFSET(Industries!D$1,MATCH(Table1[[#This Row],[Ticker]],Industries!$A$2:$A$150,0),0)</f>
        <v>Semiconductors</v>
      </c>
      <c r="D37" t="str">
        <f ca="1">OFFSET(Industries!E$1,MATCH(Table1[[#This Row],[Ticker]],Industries!$A$2:$A$150,0),0)</f>
        <v>Semiconductors</v>
      </c>
      <c r="E37" t="s">
        <v>34</v>
      </c>
      <c r="F37" t="str">
        <f ca="1">OFFSET(Industries!B$1,MATCH(Table1[[#This Row],[Ticker]],Industries!$A$2:$A$140,0),0)</f>
        <v>Mega-Cap</v>
      </c>
      <c r="G37" t="str">
        <f ca="1">OFFSET(Industries!F$1,MATCH(Table1[[#This Row],[Ticker]],Industries!$A$2:$A$140,0),0)</f>
        <v>BBB</v>
      </c>
      <c r="H37" t="s">
        <v>1434</v>
      </c>
      <c r="I37" t="s">
        <v>1434</v>
      </c>
      <c r="J37" s="2">
        <v>45348</v>
      </c>
      <c r="K37" t="s">
        <v>21</v>
      </c>
      <c r="L37" t="s">
        <v>1710</v>
      </c>
      <c r="M37" t="s">
        <v>1709</v>
      </c>
      <c r="N37" s="1"/>
      <c r="O37" t="s">
        <v>476</v>
      </c>
      <c r="P37" s="1">
        <v>0.60287069506216984</v>
      </c>
      <c r="R37" t="s">
        <v>28</v>
      </c>
      <c r="S37" t="s">
        <v>1095</v>
      </c>
      <c r="T37" t="s">
        <v>36</v>
      </c>
    </row>
    <row r="38" spans="1:22" x14ac:dyDescent="0.3">
      <c r="A38" t="s">
        <v>266</v>
      </c>
      <c r="B38" t="str">
        <f ca="1">OFFSET(Industries!C$1,MATCH(Table1[[#This Row],[Ticker]],Industries!$A$2:$A$150,0),0)</f>
        <v>Information Technology</v>
      </c>
      <c r="C38" t="str">
        <f ca="1">OFFSET(Industries!D$1,MATCH(Table1[[#This Row],[Ticker]],Industries!$A$2:$A$150,0),0)</f>
        <v>Semiconductors</v>
      </c>
      <c r="D38" t="str">
        <f ca="1">OFFSET(Industries!E$1,MATCH(Table1[[#This Row],[Ticker]],Industries!$A$2:$A$150,0),0)</f>
        <v>Semiconductors</v>
      </c>
      <c r="E38" t="s">
        <v>34</v>
      </c>
      <c r="F38" t="str">
        <f ca="1">OFFSET(Industries!B$1,MATCH(Table1[[#This Row],[Ticker]],Industries!$A$2:$A$140,0),0)</f>
        <v>Mega-Cap</v>
      </c>
      <c r="G38" t="str">
        <f ca="1">OFFSET(Industries!F$1,MATCH(Table1[[#This Row],[Ticker]],Industries!$A$2:$A$140,0),0)</f>
        <v>BBB</v>
      </c>
      <c r="H38" t="s">
        <v>1434</v>
      </c>
      <c r="I38" t="s">
        <v>1434</v>
      </c>
      <c r="J38" s="2">
        <v>45348</v>
      </c>
      <c r="K38" t="s">
        <v>21</v>
      </c>
      <c r="L38" t="s">
        <v>1710</v>
      </c>
      <c r="M38" t="s">
        <v>1711</v>
      </c>
      <c r="N38" s="1">
        <f>Table1[[#This Row],[Consideration Weight]]</f>
        <v>0.31306812306434334</v>
      </c>
      <c r="O38" t="s">
        <v>194</v>
      </c>
      <c r="P38" s="1">
        <v>0.31306812306434334</v>
      </c>
    </row>
    <row r="39" spans="1:22" x14ac:dyDescent="0.3">
      <c r="A39" t="s">
        <v>267</v>
      </c>
      <c r="B39" t="str">
        <f ca="1">OFFSET(Industries!C$1,MATCH(Table1[[#This Row],[Ticker]],Industries!$A$2:$A$150,0),0)</f>
        <v>Communication Services</v>
      </c>
      <c r="C39" t="str">
        <f ca="1">OFFSET(Industries!D$1,MATCH(Table1[[#This Row],[Ticker]],Industries!$A$2:$A$150,0),0)</f>
        <v>Media and Entertainment</v>
      </c>
      <c r="D39" t="str">
        <f ca="1">OFFSET(Industries!E$1,MATCH(Table1[[#This Row],[Ticker]],Industries!$A$2:$A$150,0),0)</f>
        <v>Interactive Media and Services</v>
      </c>
      <c r="E39" t="s">
        <v>43</v>
      </c>
      <c r="F39" t="str">
        <f ca="1">OFFSET(Industries!B$1,MATCH(Table1[[#This Row],[Ticker]],Industries!$A$2:$A$140,0),0)</f>
        <v>Mega-Cap</v>
      </c>
      <c r="G39" t="str">
        <f ca="1">OFFSET(Industries!F$1,MATCH(Table1[[#This Row],[Ticker]],Industries!$A$2:$A$140,0),0)</f>
        <v>AA-</v>
      </c>
      <c r="H39" t="s">
        <v>1434</v>
      </c>
      <c r="I39" t="s">
        <v>1434</v>
      </c>
      <c r="J39" s="2">
        <v>45401</v>
      </c>
      <c r="K39" t="s">
        <v>21</v>
      </c>
      <c r="L39" t="s">
        <v>3</v>
      </c>
      <c r="M39" t="s">
        <v>1711</v>
      </c>
      <c r="N39" s="1">
        <f>Table1[[#This Row],[Consideration Weight]]</f>
        <v>4.1500000000000002E-2</v>
      </c>
      <c r="O39" t="s">
        <v>3</v>
      </c>
      <c r="P39" s="1">
        <v>4.1500000000000002E-2</v>
      </c>
    </row>
    <row r="40" spans="1:22" x14ac:dyDescent="0.3">
      <c r="A40" t="s">
        <v>267</v>
      </c>
      <c r="B40" t="str">
        <f ca="1">OFFSET(Industries!C$1,MATCH(Table1[[#This Row],[Ticker]],Industries!$A$2:$A$150,0),0)</f>
        <v>Communication Services</v>
      </c>
      <c r="C40" t="str">
        <f ca="1">OFFSET(Industries!D$1,MATCH(Table1[[#This Row],[Ticker]],Industries!$A$2:$A$150,0),0)</f>
        <v>Media and Entertainment</v>
      </c>
      <c r="D40" t="str">
        <f ca="1">OFFSET(Industries!E$1,MATCH(Table1[[#This Row],[Ticker]],Industries!$A$2:$A$150,0),0)</f>
        <v>Interactive Media and Services</v>
      </c>
      <c r="E40" t="s">
        <v>43</v>
      </c>
      <c r="F40" t="str">
        <f ca="1">OFFSET(Industries!B$1,MATCH(Table1[[#This Row],[Ticker]],Industries!$A$2:$A$140,0),0)</f>
        <v>Mega-Cap</v>
      </c>
      <c r="G40" t="str">
        <f ca="1">OFFSET(Industries!F$1,MATCH(Table1[[#This Row],[Ticker]],Industries!$A$2:$A$140,0),0)</f>
        <v>AA-</v>
      </c>
      <c r="H40" t="s">
        <v>1434</v>
      </c>
      <c r="I40" t="s">
        <v>1434</v>
      </c>
      <c r="J40" s="2">
        <v>45401</v>
      </c>
      <c r="K40" t="s">
        <v>21</v>
      </c>
      <c r="L40" t="s">
        <v>1708</v>
      </c>
      <c r="M40" t="s">
        <v>1709</v>
      </c>
      <c r="N40" s="1">
        <f>Table1[[#This Row],[Consideration Weight]]</f>
        <v>3.1099999999999999E-2</v>
      </c>
      <c r="O40" t="s">
        <v>4</v>
      </c>
      <c r="P40" s="1">
        <v>3.1099999999999999E-2</v>
      </c>
      <c r="Q40" s="1" t="s">
        <v>1637</v>
      </c>
      <c r="R40" t="s">
        <v>25</v>
      </c>
      <c r="S40" t="s">
        <v>380</v>
      </c>
      <c r="T40" t="s">
        <v>1638</v>
      </c>
      <c r="U40" s="1">
        <v>1</v>
      </c>
      <c r="V40" t="s">
        <v>1080</v>
      </c>
    </row>
    <row r="41" spans="1:22" x14ac:dyDescent="0.3">
      <c r="A41" t="s">
        <v>267</v>
      </c>
      <c r="B41" t="str">
        <f ca="1">OFFSET(Industries!C$1,MATCH(Table1[[#This Row],[Ticker]],Industries!$A$2:$A$150,0),0)</f>
        <v>Communication Services</v>
      </c>
      <c r="C41" t="str">
        <f ca="1">OFFSET(Industries!D$1,MATCH(Table1[[#This Row],[Ticker]],Industries!$A$2:$A$150,0),0)</f>
        <v>Media and Entertainment</v>
      </c>
      <c r="D41" t="str">
        <f ca="1">OFFSET(Industries!E$1,MATCH(Table1[[#This Row],[Ticker]],Industries!$A$2:$A$150,0),0)</f>
        <v>Interactive Media and Services</v>
      </c>
      <c r="E41" t="s">
        <v>43</v>
      </c>
      <c r="F41" t="str">
        <f ca="1">OFFSET(Industries!B$1,MATCH(Table1[[#This Row],[Ticker]],Industries!$A$2:$A$140,0),0)</f>
        <v>Mega-Cap</v>
      </c>
      <c r="G41" t="str">
        <f ca="1">OFFSET(Industries!F$1,MATCH(Table1[[#This Row],[Ticker]],Industries!$A$2:$A$140,0),0)</f>
        <v>AA-</v>
      </c>
      <c r="H41" t="s">
        <v>1434</v>
      </c>
      <c r="I41" t="s">
        <v>1434</v>
      </c>
      <c r="J41" s="2">
        <v>45401</v>
      </c>
      <c r="K41" t="s">
        <v>21</v>
      </c>
      <c r="L41" t="s">
        <v>1710</v>
      </c>
      <c r="M41" t="s">
        <v>1711</v>
      </c>
      <c r="N41" s="1">
        <f>Table1[[#This Row],[Consideration Weight]]</f>
        <v>0.9274</v>
      </c>
      <c r="O41" t="s">
        <v>194</v>
      </c>
      <c r="P41" s="1">
        <v>0.9274</v>
      </c>
    </row>
    <row r="42" spans="1:22" x14ac:dyDescent="0.3">
      <c r="A42" t="s">
        <v>268</v>
      </c>
      <c r="B42" t="str">
        <f ca="1">OFFSET(Industries!C$1,MATCH(Table1[[#This Row],[Ticker]],Industries!$A$2:$A$150,0),0)</f>
        <v>Consumer Discretionary</v>
      </c>
      <c r="C42" t="str">
        <f ca="1">OFFSET(Industries!D$1,MATCH(Table1[[#This Row],[Ticker]],Industries!$A$2:$A$150,0),0)</f>
        <v>Consumer Discretionary Distribution and Retail</v>
      </c>
      <c r="D42" t="str">
        <f ca="1">OFFSET(Industries!E$1,MATCH(Table1[[#This Row],[Ticker]],Industries!$A$2:$A$150,0),0)</f>
        <v>Broadline Retail</v>
      </c>
      <c r="E42" t="s">
        <v>44</v>
      </c>
      <c r="F42" t="str">
        <f ca="1">OFFSET(Industries!B$1,MATCH(Table1[[#This Row],[Ticker]],Industries!$A$2:$A$140,0),0)</f>
        <v>Mega-Cap</v>
      </c>
      <c r="G42" t="str">
        <f ca="1">OFFSET(Industries!F$1,MATCH(Table1[[#This Row],[Ticker]],Industries!$A$2:$A$140,0),0)</f>
        <v>AA</v>
      </c>
      <c r="H42" t="s">
        <v>1434</v>
      </c>
      <c r="I42" t="s">
        <v>1434</v>
      </c>
      <c r="J42" s="2">
        <v>45393</v>
      </c>
      <c r="K42" t="s">
        <v>2</v>
      </c>
      <c r="L42" t="s">
        <v>3</v>
      </c>
      <c r="M42" t="s">
        <v>1711</v>
      </c>
      <c r="N42" s="1">
        <f>Table1[[#This Row],[Consideration Weight]]</f>
        <v>1.3000000000000001E-2</v>
      </c>
      <c r="O42" t="s">
        <v>3</v>
      </c>
      <c r="P42" s="1">
        <v>1.3000000000000001E-2</v>
      </c>
    </row>
    <row r="43" spans="1:22" x14ac:dyDescent="0.3">
      <c r="A43" t="s">
        <v>268</v>
      </c>
      <c r="B43" t="str">
        <f ca="1">OFFSET(Industries!C$1,MATCH(Table1[[#This Row],[Ticker]],Industries!$A$2:$A$150,0),0)</f>
        <v>Consumer Discretionary</v>
      </c>
      <c r="C43" t="str">
        <f ca="1">OFFSET(Industries!D$1,MATCH(Table1[[#This Row],[Ticker]],Industries!$A$2:$A$150,0),0)</f>
        <v>Consumer Discretionary Distribution and Retail</v>
      </c>
      <c r="D43" t="str">
        <f ca="1">OFFSET(Industries!E$1,MATCH(Table1[[#This Row],[Ticker]],Industries!$A$2:$A$150,0),0)</f>
        <v>Broadline Retail</v>
      </c>
      <c r="E43" t="s">
        <v>44</v>
      </c>
      <c r="F43" t="str">
        <f ca="1">OFFSET(Industries!B$1,MATCH(Table1[[#This Row],[Ticker]],Industries!$A$2:$A$140,0),0)</f>
        <v>Mega-Cap</v>
      </c>
      <c r="G43" t="str">
        <f ca="1">OFFSET(Industries!F$1,MATCH(Table1[[#This Row],[Ticker]],Industries!$A$2:$A$140,0),0)</f>
        <v>AA</v>
      </c>
      <c r="H43" t="s">
        <v>1434</v>
      </c>
      <c r="I43" t="s">
        <v>1434</v>
      </c>
      <c r="J43" s="2">
        <v>45393</v>
      </c>
      <c r="K43" t="s">
        <v>2</v>
      </c>
      <c r="L43" t="s">
        <v>1710</v>
      </c>
      <c r="M43" t="s">
        <v>1711</v>
      </c>
      <c r="N43" s="1">
        <f>Table1[[#This Row],[Consideration Weight]]</f>
        <v>0.98699999999999999</v>
      </c>
      <c r="O43" t="s">
        <v>194</v>
      </c>
      <c r="P43" s="1">
        <v>0.98699999999999999</v>
      </c>
      <c r="V43" t="s">
        <v>46</v>
      </c>
    </row>
    <row r="44" spans="1:22" x14ac:dyDescent="0.3">
      <c r="A44" t="s">
        <v>268</v>
      </c>
      <c r="B44" t="str">
        <f ca="1">OFFSET(Industries!C$1,MATCH(Table1[[#This Row],[Ticker]],Industries!$A$2:$A$150,0),0)</f>
        <v>Consumer Discretionary</v>
      </c>
      <c r="C44" t="str">
        <f ca="1">OFFSET(Industries!D$1,MATCH(Table1[[#This Row],[Ticker]],Industries!$A$2:$A$150,0),0)</f>
        <v>Consumer Discretionary Distribution and Retail</v>
      </c>
      <c r="D44" t="str">
        <f ca="1">OFFSET(Industries!E$1,MATCH(Table1[[#This Row],[Ticker]],Industries!$A$2:$A$150,0),0)</f>
        <v>Broadline Retail</v>
      </c>
      <c r="E44" t="s">
        <v>44</v>
      </c>
      <c r="F44" t="str">
        <f ca="1">OFFSET(Industries!B$1,MATCH(Table1[[#This Row],[Ticker]],Industries!$A$2:$A$140,0),0)</f>
        <v>Mega-Cap</v>
      </c>
      <c r="G44" t="str">
        <f ca="1">OFFSET(Industries!F$1,MATCH(Table1[[#This Row],[Ticker]],Industries!$A$2:$A$140,0),0)</f>
        <v>AA</v>
      </c>
      <c r="H44" t="s">
        <v>1434</v>
      </c>
      <c r="I44" t="s">
        <v>1434</v>
      </c>
      <c r="J44" s="2">
        <v>45393</v>
      </c>
      <c r="K44" t="s">
        <v>21</v>
      </c>
      <c r="L44" t="s">
        <v>3</v>
      </c>
      <c r="M44" t="s">
        <v>1711</v>
      </c>
      <c r="N44" s="1">
        <f>Table1[[#This Row],[Consideration Weight]]</f>
        <v>3.2000000000000001E-2</v>
      </c>
      <c r="O44" t="s">
        <v>3</v>
      </c>
      <c r="P44" s="1">
        <v>3.2000000000000001E-2</v>
      </c>
    </row>
    <row r="45" spans="1:22" x14ac:dyDescent="0.3">
      <c r="A45" t="s">
        <v>268</v>
      </c>
      <c r="B45" t="str">
        <f ca="1">OFFSET(Industries!C$1,MATCH(Table1[[#This Row],[Ticker]],Industries!$A$2:$A$150,0),0)</f>
        <v>Consumer Discretionary</v>
      </c>
      <c r="C45" t="str">
        <f ca="1">OFFSET(Industries!D$1,MATCH(Table1[[#This Row],[Ticker]],Industries!$A$2:$A$150,0),0)</f>
        <v>Consumer Discretionary Distribution and Retail</v>
      </c>
      <c r="D45" t="str">
        <f ca="1">OFFSET(Industries!E$1,MATCH(Table1[[#This Row],[Ticker]],Industries!$A$2:$A$150,0),0)</f>
        <v>Broadline Retail</v>
      </c>
      <c r="E45" t="s">
        <v>44</v>
      </c>
      <c r="F45" t="str">
        <f ca="1">OFFSET(Industries!B$1,MATCH(Table1[[#This Row],[Ticker]],Industries!$A$2:$A$140,0),0)</f>
        <v>Mega-Cap</v>
      </c>
      <c r="G45" t="str">
        <f ca="1">OFFSET(Industries!F$1,MATCH(Table1[[#This Row],[Ticker]],Industries!$A$2:$A$140,0),0)</f>
        <v>AA</v>
      </c>
      <c r="H45" t="s">
        <v>1434</v>
      </c>
      <c r="I45" t="s">
        <v>1434</v>
      </c>
      <c r="J45" s="2">
        <v>45393</v>
      </c>
      <c r="K45" t="s">
        <v>21</v>
      </c>
      <c r="L45" t="s">
        <v>1710</v>
      </c>
      <c r="M45" t="s">
        <v>1711</v>
      </c>
      <c r="N45" s="1">
        <f>Table1[[#This Row],[Consideration Weight]]</f>
        <v>0.96799999999999997</v>
      </c>
      <c r="O45" t="s">
        <v>194</v>
      </c>
      <c r="P45" s="1">
        <v>0.96799999999999997</v>
      </c>
      <c r="V45" t="s">
        <v>45</v>
      </c>
    </row>
    <row r="46" spans="1:22" x14ac:dyDescent="0.3">
      <c r="A46" t="s">
        <v>269</v>
      </c>
      <c r="B46" t="str">
        <f ca="1">OFFSET(Industries!C$1,MATCH(Table1[[#This Row],[Ticker]],Industries!$A$2:$A$150,0),0)</f>
        <v>Communication Services</v>
      </c>
      <c r="C46" t="str">
        <f ca="1">OFFSET(Industries!D$1,MATCH(Table1[[#This Row],[Ticker]],Industries!$A$2:$A$150,0),0)</f>
        <v>Media and Entertainment</v>
      </c>
      <c r="D46" t="str">
        <f ca="1">OFFSET(Industries!E$1,MATCH(Table1[[#This Row],[Ticker]],Industries!$A$2:$A$150,0),0)</f>
        <v>Interactive Media and Services</v>
      </c>
      <c r="E46" t="s">
        <v>43</v>
      </c>
      <c r="F46" t="str">
        <f ca="1">OFFSET(Industries!B$1,MATCH(Table1[[#This Row],[Ticker]],Industries!$A$2:$A$140,0),0)</f>
        <v>Mega-Cap</v>
      </c>
      <c r="G46" t="str">
        <f ca="1">OFFSET(Industries!F$1,MATCH(Table1[[#This Row],[Ticker]],Industries!$A$2:$A$140,0),0)</f>
        <v>AA+</v>
      </c>
      <c r="H46" t="s">
        <v>1434</v>
      </c>
      <c r="I46" t="s">
        <v>1434</v>
      </c>
      <c r="J46" s="2">
        <v>45408</v>
      </c>
      <c r="K46" t="s">
        <v>2</v>
      </c>
      <c r="L46" t="s">
        <v>3</v>
      </c>
      <c r="M46" t="s">
        <v>1711</v>
      </c>
      <c r="N46" s="1">
        <f>Table1[[#This Row],[Consideration Weight]]</f>
        <v>1.2999999999999999E-2</v>
      </c>
      <c r="O46" t="s">
        <v>3</v>
      </c>
      <c r="P46" s="1">
        <v>1.2999999999999999E-2</v>
      </c>
    </row>
    <row r="47" spans="1:22" x14ac:dyDescent="0.3">
      <c r="A47" t="s">
        <v>269</v>
      </c>
      <c r="B47" t="str">
        <f ca="1">OFFSET(Industries!C$1,MATCH(Table1[[#This Row],[Ticker]],Industries!$A$2:$A$150,0),0)</f>
        <v>Communication Services</v>
      </c>
      <c r="C47" t="str">
        <f ca="1">OFFSET(Industries!D$1,MATCH(Table1[[#This Row],[Ticker]],Industries!$A$2:$A$150,0),0)</f>
        <v>Media and Entertainment</v>
      </c>
      <c r="D47" t="str">
        <f ca="1">OFFSET(Industries!E$1,MATCH(Table1[[#This Row],[Ticker]],Industries!$A$2:$A$150,0),0)</f>
        <v>Interactive Media and Services</v>
      </c>
      <c r="E47" t="s">
        <v>43</v>
      </c>
      <c r="F47" t="str">
        <f ca="1">OFFSET(Industries!B$1,MATCH(Table1[[#This Row],[Ticker]],Industries!$A$2:$A$140,0),0)</f>
        <v>Mega-Cap</v>
      </c>
      <c r="G47" t="str">
        <f ca="1">OFFSET(Industries!F$1,MATCH(Table1[[#This Row],[Ticker]],Industries!$A$2:$A$140,0),0)</f>
        <v>AA+</v>
      </c>
      <c r="H47" t="s">
        <v>1434</v>
      </c>
      <c r="I47" t="s">
        <v>1434</v>
      </c>
      <c r="J47" s="2">
        <v>45408</v>
      </c>
      <c r="K47" t="s">
        <v>2</v>
      </c>
      <c r="L47" t="s">
        <v>1710</v>
      </c>
      <c r="M47" t="s">
        <v>1711</v>
      </c>
      <c r="N47" s="1">
        <f>Table1[[#This Row],[Consideration Weight]]</f>
        <v>0.98699999999999999</v>
      </c>
      <c r="O47" t="s">
        <v>194</v>
      </c>
      <c r="P47" s="1">
        <v>0.98699999999999999</v>
      </c>
      <c r="V47" t="s">
        <v>47</v>
      </c>
    </row>
    <row r="48" spans="1:22" x14ac:dyDescent="0.3">
      <c r="A48" t="s">
        <v>269</v>
      </c>
      <c r="B48" t="str">
        <f ca="1">OFFSET(Industries!C$1,MATCH(Table1[[#This Row],[Ticker]],Industries!$A$2:$A$150,0),0)</f>
        <v>Communication Services</v>
      </c>
      <c r="C48" t="str">
        <f ca="1">OFFSET(Industries!D$1,MATCH(Table1[[#This Row],[Ticker]],Industries!$A$2:$A$150,0),0)</f>
        <v>Media and Entertainment</v>
      </c>
      <c r="D48" t="str">
        <f ca="1">OFFSET(Industries!E$1,MATCH(Table1[[#This Row],[Ticker]],Industries!$A$2:$A$150,0),0)</f>
        <v>Interactive Media and Services</v>
      </c>
      <c r="E48" t="s">
        <v>43</v>
      </c>
      <c r="F48" t="str">
        <f ca="1">OFFSET(Industries!B$1,MATCH(Table1[[#This Row],[Ticker]],Industries!$A$2:$A$140,0),0)</f>
        <v>Mega-Cap</v>
      </c>
      <c r="G48" t="str">
        <f ca="1">OFFSET(Industries!F$1,MATCH(Table1[[#This Row],[Ticker]],Industries!$A$2:$A$140,0),0)</f>
        <v>AA+</v>
      </c>
      <c r="H48" t="s">
        <v>1434</v>
      </c>
      <c r="I48" t="s">
        <v>1434</v>
      </c>
      <c r="J48" s="2">
        <v>45408</v>
      </c>
      <c r="K48" t="s">
        <v>21</v>
      </c>
      <c r="L48" t="s">
        <v>3</v>
      </c>
      <c r="M48" t="s">
        <v>1711</v>
      </c>
      <c r="N48" s="1">
        <f>Table1[[#This Row],[Consideration Weight]]</f>
        <v>0.03</v>
      </c>
      <c r="O48" t="s">
        <v>3</v>
      </c>
      <c r="P48" s="1">
        <v>0.03</v>
      </c>
    </row>
    <row r="49" spans="1:22" x14ac:dyDescent="0.3">
      <c r="A49" t="s">
        <v>269</v>
      </c>
      <c r="B49" t="str">
        <f ca="1">OFFSET(Industries!C$1,MATCH(Table1[[#This Row],[Ticker]],Industries!$A$2:$A$150,0),0)</f>
        <v>Communication Services</v>
      </c>
      <c r="C49" t="str">
        <f ca="1">OFFSET(Industries!D$1,MATCH(Table1[[#This Row],[Ticker]],Industries!$A$2:$A$150,0),0)</f>
        <v>Media and Entertainment</v>
      </c>
      <c r="D49" t="str">
        <f ca="1">OFFSET(Industries!E$1,MATCH(Table1[[#This Row],[Ticker]],Industries!$A$2:$A$150,0),0)</f>
        <v>Interactive Media and Services</v>
      </c>
      <c r="E49" t="s">
        <v>43</v>
      </c>
      <c r="F49" t="str">
        <f ca="1">OFFSET(Industries!B$1,MATCH(Table1[[#This Row],[Ticker]],Industries!$A$2:$A$140,0),0)</f>
        <v>Mega-Cap</v>
      </c>
      <c r="G49" t="str">
        <f ca="1">OFFSET(Industries!F$1,MATCH(Table1[[#This Row],[Ticker]],Industries!$A$2:$A$140,0),0)</f>
        <v>AA+</v>
      </c>
      <c r="H49" t="s">
        <v>1434</v>
      </c>
      <c r="I49" t="s">
        <v>1434</v>
      </c>
      <c r="J49" s="2">
        <v>45408</v>
      </c>
      <c r="K49" t="s">
        <v>21</v>
      </c>
      <c r="L49" t="s">
        <v>1708</v>
      </c>
      <c r="M49" t="s">
        <v>1709</v>
      </c>
      <c r="N49" s="1">
        <f>Table1[[#This Row],[Consideration Weight]]</f>
        <v>0.05</v>
      </c>
      <c r="O49" t="s">
        <v>4</v>
      </c>
      <c r="P49" s="1">
        <v>0.05</v>
      </c>
      <c r="Q49" s="1" t="s">
        <v>1637</v>
      </c>
      <c r="R49" t="s">
        <v>26</v>
      </c>
      <c r="S49" t="s">
        <v>26</v>
      </c>
      <c r="T49" t="s">
        <v>26</v>
      </c>
      <c r="V49" t="s">
        <v>1713</v>
      </c>
    </row>
    <row r="50" spans="1:22" x14ac:dyDescent="0.3">
      <c r="A50" t="s">
        <v>269</v>
      </c>
      <c r="B50" t="str">
        <f ca="1">OFFSET(Industries!C$1,MATCH(Table1[[#This Row],[Ticker]],Industries!$A$2:$A$150,0),0)</f>
        <v>Communication Services</v>
      </c>
      <c r="C50" t="str">
        <f ca="1">OFFSET(Industries!D$1,MATCH(Table1[[#This Row],[Ticker]],Industries!$A$2:$A$150,0),0)</f>
        <v>Media and Entertainment</v>
      </c>
      <c r="D50" t="str">
        <f ca="1">OFFSET(Industries!E$1,MATCH(Table1[[#This Row],[Ticker]],Industries!$A$2:$A$150,0),0)</f>
        <v>Interactive Media and Services</v>
      </c>
      <c r="E50" t="s">
        <v>43</v>
      </c>
      <c r="F50" t="str">
        <f ca="1">OFFSET(Industries!B$1,MATCH(Table1[[#This Row],[Ticker]],Industries!$A$2:$A$140,0),0)</f>
        <v>Mega-Cap</v>
      </c>
      <c r="G50" t="str">
        <f ca="1">OFFSET(Industries!F$1,MATCH(Table1[[#This Row],[Ticker]],Industries!$A$2:$A$140,0),0)</f>
        <v>AA+</v>
      </c>
      <c r="H50" t="s">
        <v>1434</v>
      </c>
      <c r="I50" t="s">
        <v>1434</v>
      </c>
      <c r="J50" s="2">
        <v>45408</v>
      </c>
      <c r="K50" t="s">
        <v>21</v>
      </c>
      <c r="L50" t="s">
        <v>1710</v>
      </c>
      <c r="M50" t="s">
        <v>1709</v>
      </c>
      <c r="N50" s="1">
        <f>Table1[[#This Row],[Consideration Weight]]</f>
        <v>0.26</v>
      </c>
      <c r="O50" t="s">
        <v>476</v>
      </c>
      <c r="P50" s="1">
        <v>0.26</v>
      </c>
      <c r="Q50" s="1" t="s">
        <v>1646</v>
      </c>
      <c r="R50" t="s">
        <v>35</v>
      </c>
      <c r="S50" t="s">
        <v>29</v>
      </c>
      <c r="T50" t="s">
        <v>30</v>
      </c>
      <c r="U50" s="1">
        <v>1</v>
      </c>
      <c r="V50" t="s">
        <v>48</v>
      </c>
    </row>
    <row r="51" spans="1:22" x14ac:dyDescent="0.3">
      <c r="A51" t="s">
        <v>269</v>
      </c>
      <c r="B51" t="str">
        <f ca="1">OFFSET(Industries!C$1,MATCH(Table1[[#This Row],[Ticker]],Industries!$A$2:$A$150,0),0)</f>
        <v>Communication Services</v>
      </c>
      <c r="C51" t="str">
        <f ca="1">OFFSET(Industries!D$1,MATCH(Table1[[#This Row],[Ticker]],Industries!$A$2:$A$150,0),0)</f>
        <v>Media and Entertainment</v>
      </c>
      <c r="D51" t="str">
        <f ca="1">OFFSET(Industries!E$1,MATCH(Table1[[#This Row],[Ticker]],Industries!$A$2:$A$150,0),0)</f>
        <v>Interactive Media and Services</v>
      </c>
      <c r="E51" t="s">
        <v>43</v>
      </c>
      <c r="F51" t="str">
        <f ca="1">OFFSET(Industries!B$1,MATCH(Table1[[#This Row],[Ticker]],Industries!$A$2:$A$140,0),0)</f>
        <v>Mega-Cap</v>
      </c>
      <c r="G51" t="str">
        <f ca="1">OFFSET(Industries!F$1,MATCH(Table1[[#This Row],[Ticker]],Industries!$A$2:$A$140,0),0)</f>
        <v>AA+</v>
      </c>
      <c r="H51" t="s">
        <v>1434</v>
      </c>
      <c r="I51" t="s">
        <v>1434</v>
      </c>
      <c r="J51" s="2">
        <v>45408</v>
      </c>
      <c r="K51" t="s">
        <v>21</v>
      </c>
      <c r="L51" t="s">
        <v>1710</v>
      </c>
      <c r="M51" t="s">
        <v>1711</v>
      </c>
      <c r="N51" s="1">
        <f>Table1[[#This Row],[Consideration Weight]]</f>
        <v>0.66</v>
      </c>
      <c r="O51" t="s">
        <v>194</v>
      </c>
      <c r="P51" s="1">
        <v>0.66</v>
      </c>
    </row>
    <row r="52" spans="1:22" x14ac:dyDescent="0.3">
      <c r="A52" t="s">
        <v>270</v>
      </c>
      <c r="B52" t="str">
        <f ca="1">OFFSET(Industries!C$1,MATCH(Table1[[#This Row],[Ticker]],Industries!$A$2:$A$150,0),0)</f>
        <v>Health Care</v>
      </c>
      <c r="C52" t="str">
        <f ca="1">OFFSET(Industries!D$1,MATCH(Table1[[#This Row],[Ticker]],Industries!$A$2:$A$150,0),0)</f>
        <v>Pharmaceuticals, Biotechnology and Life Sciences</v>
      </c>
      <c r="D52" t="str">
        <f ca="1">OFFSET(Industries!E$1,MATCH(Table1[[#This Row],[Ticker]],Industries!$A$2:$A$150,0),0)</f>
        <v>Pharmaceuticals</v>
      </c>
      <c r="E52" t="s">
        <v>49</v>
      </c>
      <c r="F52" t="str">
        <f ca="1">OFFSET(Industries!B$1,MATCH(Table1[[#This Row],[Ticker]],Industries!$A$2:$A$140,0),0)</f>
        <v>Mega-Cap</v>
      </c>
      <c r="G52" t="str">
        <f ca="1">OFFSET(Industries!F$1,MATCH(Table1[[#This Row],[Ticker]],Industries!$A$2:$A$140,0),0)</f>
        <v>A+</v>
      </c>
      <c r="H52" t="s">
        <v>1434</v>
      </c>
      <c r="I52" t="s">
        <v>1434</v>
      </c>
      <c r="J52" s="2">
        <v>45373</v>
      </c>
      <c r="K52" t="s">
        <v>2</v>
      </c>
      <c r="L52" t="s">
        <v>3</v>
      </c>
      <c r="M52" t="s">
        <v>1711</v>
      </c>
      <c r="N52" s="1">
        <f>Table1[[#This Row],[Consideration Weight]]</f>
        <v>0.08</v>
      </c>
      <c r="O52" t="s">
        <v>3</v>
      </c>
      <c r="P52" s="1">
        <v>0.08</v>
      </c>
    </row>
    <row r="53" spans="1:22" x14ac:dyDescent="0.3">
      <c r="A53" t="s">
        <v>270</v>
      </c>
      <c r="B53" t="str">
        <f ca="1">OFFSET(Industries!C$1,MATCH(Table1[[#This Row],[Ticker]],Industries!$A$2:$A$150,0),0)</f>
        <v>Health Care</v>
      </c>
      <c r="C53" t="str">
        <f ca="1">OFFSET(Industries!D$1,MATCH(Table1[[#This Row],[Ticker]],Industries!$A$2:$A$150,0),0)</f>
        <v>Pharmaceuticals, Biotechnology and Life Sciences</v>
      </c>
      <c r="D53" t="str">
        <f ca="1">OFFSET(Industries!E$1,MATCH(Table1[[#This Row],[Ticker]],Industries!$A$2:$A$150,0),0)</f>
        <v>Pharmaceuticals</v>
      </c>
      <c r="E53" t="s">
        <v>49</v>
      </c>
      <c r="F53" t="str">
        <f ca="1">OFFSET(Industries!B$1,MATCH(Table1[[#This Row],[Ticker]],Industries!$A$2:$A$140,0),0)</f>
        <v>Mega-Cap</v>
      </c>
      <c r="G53" t="str">
        <f ca="1">OFFSET(Industries!F$1,MATCH(Table1[[#This Row],[Ticker]],Industries!$A$2:$A$140,0),0)</f>
        <v>A+</v>
      </c>
      <c r="H53" t="s">
        <v>1434</v>
      </c>
      <c r="I53" t="s">
        <v>1434</v>
      </c>
      <c r="J53" s="2">
        <v>45373</v>
      </c>
      <c r="K53" t="s">
        <v>2</v>
      </c>
      <c r="L53" t="s">
        <v>1708</v>
      </c>
      <c r="M53" t="s">
        <v>1709</v>
      </c>
      <c r="N53" s="1">
        <f>Table1[[#This Row],[Consideration Weight]]</f>
        <v>0.11</v>
      </c>
      <c r="O53" t="s">
        <v>4</v>
      </c>
      <c r="P53" s="1">
        <v>0.11</v>
      </c>
      <c r="Q53" s="1" t="s">
        <v>1636</v>
      </c>
      <c r="R53" t="s">
        <v>23</v>
      </c>
      <c r="S53" t="s">
        <v>1083</v>
      </c>
      <c r="T53" t="s">
        <v>7</v>
      </c>
      <c r="U53" s="1">
        <v>0.25</v>
      </c>
      <c r="V53" t="s">
        <v>52</v>
      </c>
    </row>
    <row r="54" spans="1:22" x14ac:dyDescent="0.3">
      <c r="A54" t="s">
        <v>270</v>
      </c>
      <c r="B54" t="str">
        <f ca="1">OFFSET(Industries!C$1,MATCH(Table1[[#This Row],[Ticker]],Industries!$A$2:$A$150,0),0)</f>
        <v>Health Care</v>
      </c>
      <c r="C54" t="str">
        <f ca="1">OFFSET(Industries!D$1,MATCH(Table1[[#This Row],[Ticker]],Industries!$A$2:$A$150,0),0)</f>
        <v>Pharmaceuticals, Biotechnology and Life Sciences</v>
      </c>
      <c r="D54" t="str">
        <f ca="1">OFFSET(Industries!E$1,MATCH(Table1[[#This Row],[Ticker]],Industries!$A$2:$A$150,0),0)</f>
        <v>Pharmaceuticals</v>
      </c>
      <c r="E54" t="s">
        <v>49</v>
      </c>
      <c r="F54" t="str">
        <f ca="1">OFFSET(Industries!B$1,MATCH(Table1[[#This Row],[Ticker]],Industries!$A$2:$A$140,0),0)</f>
        <v>Mega-Cap</v>
      </c>
      <c r="G54" t="str">
        <f ca="1">OFFSET(Industries!F$1,MATCH(Table1[[#This Row],[Ticker]],Industries!$A$2:$A$140,0),0)</f>
        <v>A+</v>
      </c>
      <c r="H54" t="s">
        <v>1434</v>
      </c>
      <c r="I54" t="s">
        <v>1434</v>
      </c>
      <c r="J54" s="2">
        <v>45373</v>
      </c>
      <c r="K54" t="s">
        <v>2</v>
      </c>
      <c r="L54" t="s">
        <v>1708</v>
      </c>
      <c r="M54" t="s">
        <v>1709</v>
      </c>
      <c r="N54" s="1"/>
      <c r="O54" t="s">
        <v>4</v>
      </c>
      <c r="P54" s="1">
        <v>0.11</v>
      </c>
      <c r="Q54" s="1" t="s">
        <v>1636</v>
      </c>
      <c r="R54" t="s">
        <v>24</v>
      </c>
      <c r="S54" t="s">
        <v>1089</v>
      </c>
      <c r="T54" t="s">
        <v>50</v>
      </c>
      <c r="U54" s="1">
        <v>0.5</v>
      </c>
      <c r="V54" t="s">
        <v>53</v>
      </c>
    </row>
    <row r="55" spans="1:22" x14ac:dyDescent="0.3">
      <c r="A55" t="s">
        <v>270</v>
      </c>
      <c r="B55" t="str">
        <f ca="1">OFFSET(Industries!C$1,MATCH(Table1[[#This Row],[Ticker]],Industries!$A$2:$A$150,0),0)</f>
        <v>Health Care</v>
      </c>
      <c r="C55" t="str">
        <f ca="1">OFFSET(Industries!D$1,MATCH(Table1[[#This Row],[Ticker]],Industries!$A$2:$A$150,0),0)</f>
        <v>Pharmaceuticals, Biotechnology and Life Sciences</v>
      </c>
      <c r="D55" t="str">
        <f ca="1">OFFSET(Industries!E$1,MATCH(Table1[[#This Row],[Ticker]],Industries!$A$2:$A$150,0),0)</f>
        <v>Pharmaceuticals</v>
      </c>
      <c r="E55" t="s">
        <v>49</v>
      </c>
      <c r="F55" t="str">
        <f ca="1">OFFSET(Industries!B$1,MATCH(Table1[[#This Row],[Ticker]],Industries!$A$2:$A$140,0),0)</f>
        <v>Mega-Cap</v>
      </c>
      <c r="G55" t="str">
        <f ca="1">OFFSET(Industries!F$1,MATCH(Table1[[#This Row],[Ticker]],Industries!$A$2:$A$140,0),0)</f>
        <v>A+</v>
      </c>
      <c r="H55" t="s">
        <v>1434</v>
      </c>
      <c r="I55" t="s">
        <v>1434</v>
      </c>
      <c r="J55" s="2">
        <v>45373</v>
      </c>
      <c r="K55" t="s">
        <v>2</v>
      </c>
      <c r="L55" t="s">
        <v>1708</v>
      </c>
      <c r="M55" t="s">
        <v>1709</v>
      </c>
      <c r="N55" s="1"/>
      <c r="O55" t="s">
        <v>4</v>
      </c>
      <c r="P55" s="1">
        <v>0.11</v>
      </c>
      <c r="Q55" s="1" t="s">
        <v>1637</v>
      </c>
      <c r="R55" t="s">
        <v>25</v>
      </c>
      <c r="S55" t="s">
        <v>344</v>
      </c>
      <c r="T55" t="s">
        <v>51</v>
      </c>
      <c r="U55" s="1">
        <v>0.25</v>
      </c>
      <c r="V55" t="s">
        <v>54</v>
      </c>
    </row>
    <row r="56" spans="1:22" x14ac:dyDescent="0.3">
      <c r="A56" t="s">
        <v>270</v>
      </c>
      <c r="B56" t="str">
        <f ca="1">OFFSET(Industries!C$1,MATCH(Table1[[#This Row],[Ticker]],Industries!$A$2:$A$150,0),0)</f>
        <v>Health Care</v>
      </c>
      <c r="C56" t="str">
        <f ca="1">OFFSET(Industries!D$1,MATCH(Table1[[#This Row],[Ticker]],Industries!$A$2:$A$150,0),0)</f>
        <v>Pharmaceuticals, Biotechnology and Life Sciences</v>
      </c>
      <c r="D56" t="str">
        <f ca="1">OFFSET(Industries!E$1,MATCH(Table1[[#This Row],[Ticker]],Industries!$A$2:$A$150,0),0)</f>
        <v>Pharmaceuticals</v>
      </c>
      <c r="E56" t="s">
        <v>49</v>
      </c>
      <c r="F56" t="str">
        <f ca="1">OFFSET(Industries!B$1,MATCH(Table1[[#This Row],[Ticker]],Industries!$A$2:$A$140,0),0)</f>
        <v>Mega-Cap</v>
      </c>
      <c r="G56" t="str">
        <f ca="1">OFFSET(Industries!F$1,MATCH(Table1[[#This Row],[Ticker]],Industries!$A$2:$A$140,0),0)</f>
        <v>A+</v>
      </c>
      <c r="H56" t="s">
        <v>1434</v>
      </c>
      <c r="I56" t="s">
        <v>1434</v>
      </c>
      <c r="J56" s="2">
        <v>45373</v>
      </c>
      <c r="K56" t="s">
        <v>2</v>
      </c>
      <c r="L56" t="s">
        <v>1710</v>
      </c>
      <c r="M56" t="s">
        <v>1709</v>
      </c>
      <c r="N56" s="1">
        <f>Table1[[#This Row],[Consideration Weight]]</f>
        <v>0.81</v>
      </c>
      <c r="O56" t="s">
        <v>476</v>
      </c>
      <c r="P56" s="1">
        <v>0.81</v>
      </c>
      <c r="Q56" s="1" t="s">
        <v>1646</v>
      </c>
      <c r="R56" t="s">
        <v>35</v>
      </c>
      <c r="S56" t="s">
        <v>36</v>
      </c>
      <c r="T56" t="s">
        <v>55</v>
      </c>
      <c r="U56" s="1">
        <v>0.35</v>
      </c>
      <c r="V56" t="s">
        <v>1096</v>
      </c>
    </row>
    <row r="57" spans="1:22" x14ac:dyDescent="0.3">
      <c r="A57" t="s">
        <v>270</v>
      </c>
      <c r="B57" t="str">
        <f ca="1">OFFSET(Industries!C$1,MATCH(Table1[[#This Row],[Ticker]],Industries!$A$2:$A$150,0),0)</f>
        <v>Health Care</v>
      </c>
      <c r="C57" t="str">
        <f ca="1">OFFSET(Industries!D$1,MATCH(Table1[[#This Row],[Ticker]],Industries!$A$2:$A$150,0),0)</f>
        <v>Pharmaceuticals, Biotechnology and Life Sciences</v>
      </c>
      <c r="D57" t="str">
        <f ca="1">OFFSET(Industries!E$1,MATCH(Table1[[#This Row],[Ticker]],Industries!$A$2:$A$150,0),0)</f>
        <v>Pharmaceuticals</v>
      </c>
      <c r="E57" t="s">
        <v>49</v>
      </c>
      <c r="F57" t="str">
        <f ca="1">OFFSET(Industries!B$1,MATCH(Table1[[#This Row],[Ticker]],Industries!$A$2:$A$140,0),0)</f>
        <v>Mega-Cap</v>
      </c>
      <c r="G57" t="str">
        <f ca="1">OFFSET(Industries!F$1,MATCH(Table1[[#This Row],[Ticker]],Industries!$A$2:$A$140,0),0)</f>
        <v>A+</v>
      </c>
      <c r="H57" t="s">
        <v>1434</v>
      </c>
      <c r="I57" t="s">
        <v>1434</v>
      </c>
      <c r="J57" s="2">
        <v>45373</v>
      </c>
      <c r="K57" t="s">
        <v>2</v>
      </c>
      <c r="L57" t="s">
        <v>1710</v>
      </c>
      <c r="M57" t="s">
        <v>1709</v>
      </c>
      <c r="N57" s="1"/>
      <c r="O57" t="s">
        <v>476</v>
      </c>
      <c r="P57" s="1">
        <v>0.81</v>
      </c>
      <c r="Q57" s="1" t="s">
        <v>1646</v>
      </c>
      <c r="R57" t="s">
        <v>35</v>
      </c>
      <c r="S57" t="s">
        <v>29</v>
      </c>
      <c r="T57" t="s">
        <v>30</v>
      </c>
      <c r="U57" s="1">
        <v>0.35</v>
      </c>
      <c r="V57" t="s">
        <v>56</v>
      </c>
    </row>
    <row r="58" spans="1:22" x14ac:dyDescent="0.3">
      <c r="A58" t="s">
        <v>270</v>
      </c>
      <c r="B58" t="str">
        <f ca="1">OFFSET(Industries!C$1,MATCH(Table1[[#This Row],[Ticker]],Industries!$A$2:$A$150,0),0)</f>
        <v>Health Care</v>
      </c>
      <c r="C58" t="str">
        <f ca="1">OFFSET(Industries!D$1,MATCH(Table1[[#This Row],[Ticker]],Industries!$A$2:$A$150,0),0)</f>
        <v>Pharmaceuticals, Biotechnology and Life Sciences</v>
      </c>
      <c r="D58" t="str">
        <f ca="1">OFFSET(Industries!E$1,MATCH(Table1[[#This Row],[Ticker]],Industries!$A$2:$A$150,0),0)</f>
        <v>Pharmaceuticals</v>
      </c>
      <c r="E58" t="s">
        <v>49</v>
      </c>
      <c r="F58" t="str">
        <f ca="1">OFFSET(Industries!B$1,MATCH(Table1[[#This Row],[Ticker]],Industries!$A$2:$A$140,0),0)</f>
        <v>Mega-Cap</v>
      </c>
      <c r="G58" t="str">
        <f ca="1">OFFSET(Industries!F$1,MATCH(Table1[[#This Row],[Ticker]],Industries!$A$2:$A$140,0),0)</f>
        <v>A+</v>
      </c>
      <c r="H58" t="s">
        <v>1434</v>
      </c>
      <c r="I58" t="s">
        <v>1434</v>
      </c>
      <c r="J58" s="2">
        <v>45373</v>
      </c>
      <c r="K58" t="s">
        <v>2</v>
      </c>
      <c r="L58" t="s">
        <v>1710</v>
      </c>
      <c r="M58" t="s">
        <v>1709</v>
      </c>
      <c r="N58" s="1"/>
      <c r="O58" t="s">
        <v>476</v>
      </c>
      <c r="P58" s="1">
        <v>0.81</v>
      </c>
      <c r="Q58" s="1" t="s">
        <v>1636</v>
      </c>
      <c r="R58" t="s">
        <v>24</v>
      </c>
      <c r="S58" t="s">
        <v>1089</v>
      </c>
      <c r="T58" t="s">
        <v>57</v>
      </c>
      <c r="U58" s="1">
        <v>0.3</v>
      </c>
      <c r="V58" t="s">
        <v>58</v>
      </c>
    </row>
    <row r="59" spans="1:22" x14ac:dyDescent="0.3">
      <c r="A59" t="s">
        <v>270</v>
      </c>
      <c r="B59" t="str">
        <f ca="1">OFFSET(Industries!C$1,MATCH(Table1[[#This Row],[Ticker]],Industries!$A$2:$A$150,0),0)</f>
        <v>Health Care</v>
      </c>
      <c r="C59" t="str">
        <f ca="1">OFFSET(Industries!D$1,MATCH(Table1[[#This Row],[Ticker]],Industries!$A$2:$A$150,0),0)</f>
        <v>Pharmaceuticals, Biotechnology and Life Sciences</v>
      </c>
      <c r="D59" t="str">
        <f ca="1">OFFSET(Industries!E$1,MATCH(Table1[[#This Row],[Ticker]],Industries!$A$2:$A$150,0),0)</f>
        <v>Pharmaceuticals</v>
      </c>
      <c r="E59" t="s">
        <v>49</v>
      </c>
      <c r="F59" t="str">
        <f ca="1">OFFSET(Industries!B$1,MATCH(Table1[[#This Row],[Ticker]],Industries!$A$2:$A$140,0),0)</f>
        <v>Mega-Cap</v>
      </c>
      <c r="G59" t="str">
        <f ca="1">OFFSET(Industries!F$1,MATCH(Table1[[#This Row],[Ticker]],Industries!$A$2:$A$140,0),0)</f>
        <v>A+</v>
      </c>
      <c r="H59" t="s">
        <v>1434</v>
      </c>
      <c r="I59" t="s">
        <v>1434</v>
      </c>
      <c r="J59" s="2">
        <v>45373</v>
      </c>
      <c r="K59" t="s">
        <v>2</v>
      </c>
      <c r="L59" t="s">
        <v>1710</v>
      </c>
      <c r="M59" t="s">
        <v>1709</v>
      </c>
      <c r="N59" s="1"/>
      <c r="O59" t="s">
        <v>476</v>
      </c>
      <c r="P59" s="1">
        <v>0.81</v>
      </c>
      <c r="R59" t="s">
        <v>28</v>
      </c>
      <c r="S59" t="s">
        <v>1095</v>
      </c>
      <c r="T59" t="s">
        <v>55</v>
      </c>
      <c r="V59" t="s">
        <v>1097</v>
      </c>
    </row>
    <row r="60" spans="1:22" x14ac:dyDescent="0.3">
      <c r="A60" t="s">
        <v>270</v>
      </c>
      <c r="B60" t="str">
        <f ca="1">OFFSET(Industries!C$1,MATCH(Table1[[#This Row],[Ticker]],Industries!$A$2:$A$150,0),0)</f>
        <v>Health Care</v>
      </c>
      <c r="C60" t="str">
        <f ca="1">OFFSET(Industries!D$1,MATCH(Table1[[#This Row],[Ticker]],Industries!$A$2:$A$150,0),0)</f>
        <v>Pharmaceuticals, Biotechnology and Life Sciences</v>
      </c>
      <c r="D60" t="str">
        <f ca="1">OFFSET(Industries!E$1,MATCH(Table1[[#This Row],[Ticker]],Industries!$A$2:$A$150,0),0)</f>
        <v>Pharmaceuticals</v>
      </c>
      <c r="E60" t="s">
        <v>49</v>
      </c>
      <c r="F60" t="str">
        <f ca="1">OFFSET(Industries!B$1,MATCH(Table1[[#This Row],[Ticker]],Industries!$A$2:$A$140,0),0)</f>
        <v>Mega-Cap</v>
      </c>
      <c r="G60" t="str">
        <f ca="1">OFFSET(Industries!F$1,MATCH(Table1[[#This Row],[Ticker]],Industries!$A$2:$A$140,0),0)</f>
        <v>A+</v>
      </c>
      <c r="H60" t="s">
        <v>1434</v>
      </c>
      <c r="I60" t="s">
        <v>1434</v>
      </c>
      <c r="J60" s="2">
        <v>45373</v>
      </c>
      <c r="K60" t="s">
        <v>21</v>
      </c>
      <c r="L60" t="s">
        <v>3</v>
      </c>
      <c r="M60" t="s">
        <v>1711</v>
      </c>
      <c r="N60" s="1">
        <f>Table1[[#This Row],[Consideration Weight]]</f>
        <v>0.17</v>
      </c>
      <c r="O60" t="s">
        <v>3</v>
      </c>
      <c r="P60" s="1">
        <v>0.17</v>
      </c>
    </row>
    <row r="61" spans="1:22" x14ac:dyDescent="0.3">
      <c r="A61" t="s">
        <v>270</v>
      </c>
      <c r="B61" t="str">
        <f ca="1">OFFSET(Industries!C$1,MATCH(Table1[[#This Row],[Ticker]],Industries!$A$2:$A$150,0),0)</f>
        <v>Health Care</v>
      </c>
      <c r="C61" t="str">
        <f ca="1">OFFSET(Industries!D$1,MATCH(Table1[[#This Row],[Ticker]],Industries!$A$2:$A$150,0),0)</f>
        <v>Pharmaceuticals, Biotechnology and Life Sciences</v>
      </c>
      <c r="D61" t="str">
        <f ca="1">OFFSET(Industries!E$1,MATCH(Table1[[#This Row],[Ticker]],Industries!$A$2:$A$150,0),0)</f>
        <v>Pharmaceuticals</v>
      </c>
      <c r="E61" t="s">
        <v>49</v>
      </c>
      <c r="F61" t="str">
        <f ca="1">OFFSET(Industries!B$1,MATCH(Table1[[#This Row],[Ticker]],Industries!$A$2:$A$140,0),0)</f>
        <v>Mega-Cap</v>
      </c>
      <c r="G61" t="str">
        <f ca="1">OFFSET(Industries!F$1,MATCH(Table1[[#This Row],[Ticker]],Industries!$A$2:$A$140,0),0)</f>
        <v>A+</v>
      </c>
      <c r="H61" t="s">
        <v>1434</v>
      </c>
      <c r="I61" t="s">
        <v>1434</v>
      </c>
      <c r="J61" s="2">
        <v>45373</v>
      </c>
      <c r="K61" t="s">
        <v>21</v>
      </c>
      <c r="L61" t="s">
        <v>1708</v>
      </c>
      <c r="M61" t="s">
        <v>1709</v>
      </c>
      <c r="N61" s="1">
        <f>Table1[[#This Row],[Consideration Weight]]</f>
        <v>0.17</v>
      </c>
      <c r="O61" t="s">
        <v>4</v>
      </c>
      <c r="P61" s="1">
        <v>0.17</v>
      </c>
      <c r="Q61" s="1" t="s">
        <v>1636</v>
      </c>
      <c r="R61" t="s">
        <v>23</v>
      </c>
      <c r="S61" t="s">
        <v>1083</v>
      </c>
      <c r="T61" t="s">
        <v>7</v>
      </c>
      <c r="U61" s="1">
        <v>0.25</v>
      </c>
    </row>
    <row r="62" spans="1:22" x14ac:dyDescent="0.3">
      <c r="A62" t="s">
        <v>270</v>
      </c>
      <c r="B62" t="str">
        <f ca="1">OFFSET(Industries!C$1,MATCH(Table1[[#This Row],[Ticker]],Industries!$A$2:$A$150,0),0)</f>
        <v>Health Care</v>
      </c>
      <c r="C62" t="str">
        <f ca="1">OFFSET(Industries!D$1,MATCH(Table1[[#This Row],[Ticker]],Industries!$A$2:$A$150,0),0)</f>
        <v>Pharmaceuticals, Biotechnology and Life Sciences</v>
      </c>
      <c r="D62" t="str">
        <f ca="1">OFFSET(Industries!E$1,MATCH(Table1[[#This Row],[Ticker]],Industries!$A$2:$A$150,0),0)</f>
        <v>Pharmaceuticals</v>
      </c>
      <c r="E62" t="s">
        <v>49</v>
      </c>
      <c r="F62" t="str">
        <f ca="1">OFFSET(Industries!B$1,MATCH(Table1[[#This Row],[Ticker]],Industries!$A$2:$A$140,0),0)</f>
        <v>Mega-Cap</v>
      </c>
      <c r="G62" t="str">
        <f ca="1">OFFSET(Industries!F$1,MATCH(Table1[[#This Row],[Ticker]],Industries!$A$2:$A$140,0),0)</f>
        <v>A+</v>
      </c>
      <c r="H62" t="s">
        <v>1434</v>
      </c>
      <c r="I62" t="s">
        <v>1434</v>
      </c>
      <c r="J62" s="2">
        <v>45373</v>
      </c>
      <c r="K62" t="s">
        <v>21</v>
      </c>
      <c r="L62" t="s">
        <v>1708</v>
      </c>
      <c r="M62" t="s">
        <v>1709</v>
      </c>
      <c r="N62" s="1"/>
      <c r="O62" t="s">
        <v>4</v>
      </c>
      <c r="P62" s="1">
        <v>0.17</v>
      </c>
      <c r="Q62" s="1" t="s">
        <v>1636</v>
      </c>
      <c r="R62" t="s">
        <v>24</v>
      </c>
      <c r="S62" t="s">
        <v>1089</v>
      </c>
      <c r="T62" t="s">
        <v>50</v>
      </c>
      <c r="U62" s="1">
        <v>0.5</v>
      </c>
    </row>
    <row r="63" spans="1:22" x14ac:dyDescent="0.3">
      <c r="A63" t="s">
        <v>270</v>
      </c>
      <c r="B63" t="str">
        <f ca="1">OFFSET(Industries!C$1,MATCH(Table1[[#This Row],[Ticker]],Industries!$A$2:$A$150,0),0)</f>
        <v>Health Care</v>
      </c>
      <c r="C63" t="str">
        <f ca="1">OFFSET(Industries!D$1,MATCH(Table1[[#This Row],[Ticker]],Industries!$A$2:$A$150,0),0)</f>
        <v>Pharmaceuticals, Biotechnology and Life Sciences</v>
      </c>
      <c r="D63" t="str">
        <f ca="1">OFFSET(Industries!E$1,MATCH(Table1[[#This Row],[Ticker]],Industries!$A$2:$A$150,0),0)</f>
        <v>Pharmaceuticals</v>
      </c>
      <c r="E63" t="s">
        <v>49</v>
      </c>
      <c r="F63" t="str">
        <f ca="1">OFFSET(Industries!B$1,MATCH(Table1[[#This Row],[Ticker]],Industries!$A$2:$A$140,0),0)</f>
        <v>Mega-Cap</v>
      </c>
      <c r="G63" t="str">
        <f ca="1">OFFSET(Industries!F$1,MATCH(Table1[[#This Row],[Ticker]],Industries!$A$2:$A$140,0),0)</f>
        <v>A+</v>
      </c>
      <c r="H63" t="s">
        <v>1434</v>
      </c>
      <c r="I63" t="s">
        <v>1434</v>
      </c>
      <c r="J63" s="2">
        <v>45373</v>
      </c>
      <c r="K63" t="s">
        <v>21</v>
      </c>
      <c r="L63" t="s">
        <v>1708</v>
      </c>
      <c r="M63" t="s">
        <v>1709</v>
      </c>
      <c r="N63" s="1"/>
      <c r="O63" t="s">
        <v>4</v>
      </c>
      <c r="P63" s="1">
        <v>0.17</v>
      </c>
      <c r="Q63" s="1" t="s">
        <v>1637</v>
      </c>
      <c r="R63" t="s">
        <v>25</v>
      </c>
      <c r="S63" t="s">
        <v>344</v>
      </c>
      <c r="T63" t="s">
        <v>51</v>
      </c>
      <c r="U63" s="1">
        <v>0.25</v>
      </c>
    </row>
    <row r="64" spans="1:22" x14ac:dyDescent="0.3">
      <c r="A64" t="s">
        <v>270</v>
      </c>
      <c r="B64" t="str">
        <f ca="1">OFFSET(Industries!C$1,MATCH(Table1[[#This Row],[Ticker]],Industries!$A$2:$A$150,0),0)</f>
        <v>Health Care</v>
      </c>
      <c r="C64" t="str">
        <f ca="1">OFFSET(Industries!D$1,MATCH(Table1[[#This Row],[Ticker]],Industries!$A$2:$A$150,0),0)</f>
        <v>Pharmaceuticals, Biotechnology and Life Sciences</v>
      </c>
      <c r="D64" t="str">
        <f ca="1">OFFSET(Industries!E$1,MATCH(Table1[[#This Row],[Ticker]],Industries!$A$2:$A$150,0),0)</f>
        <v>Pharmaceuticals</v>
      </c>
      <c r="E64" t="s">
        <v>49</v>
      </c>
      <c r="F64" t="str">
        <f ca="1">OFFSET(Industries!B$1,MATCH(Table1[[#This Row],[Ticker]],Industries!$A$2:$A$140,0),0)</f>
        <v>Mega-Cap</v>
      </c>
      <c r="G64" t="str">
        <f ca="1">OFFSET(Industries!F$1,MATCH(Table1[[#This Row],[Ticker]],Industries!$A$2:$A$140,0),0)</f>
        <v>A+</v>
      </c>
      <c r="H64" t="s">
        <v>1434</v>
      </c>
      <c r="I64" t="s">
        <v>1434</v>
      </c>
      <c r="J64" s="2">
        <v>45373</v>
      </c>
      <c r="K64" t="s">
        <v>21</v>
      </c>
      <c r="L64" t="s">
        <v>1710</v>
      </c>
      <c r="M64" t="s">
        <v>1709</v>
      </c>
      <c r="N64" s="1">
        <f>Table1[[#This Row],[Consideration Weight]]</f>
        <v>0.66</v>
      </c>
      <c r="O64" t="s">
        <v>476</v>
      </c>
      <c r="P64" s="1">
        <v>0.66</v>
      </c>
      <c r="Q64" s="1" t="s">
        <v>1646</v>
      </c>
      <c r="R64" t="s">
        <v>35</v>
      </c>
      <c r="S64" t="s">
        <v>36</v>
      </c>
      <c r="T64" t="s">
        <v>55</v>
      </c>
      <c r="U64" s="1">
        <v>0.35</v>
      </c>
    </row>
    <row r="65" spans="1:22" x14ac:dyDescent="0.3">
      <c r="A65" t="s">
        <v>270</v>
      </c>
      <c r="B65" t="str">
        <f ca="1">OFFSET(Industries!C$1,MATCH(Table1[[#This Row],[Ticker]],Industries!$A$2:$A$150,0),0)</f>
        <v>Health Care</v>
      </c>
      <c r="C65" t="str">
        <f ca="1">OFFSET(Industries!D$1,MATCH(Table1[[#This Row],[Ticker]],Industries!$A$2:$A$150,0),0)</f>
        <v>Pharmaceuticals, Biotechnology and Life Sciences</v>
      </c>
      <c r="D65" t="str">
        <f ca="1">OFFSET(Industries!E$1,MATCH(Table1[[#This Row],[Ticker]],Industries!$A$2:$A$150,0),0)</f>
        <v>Pharmaceuticals</v>
      </c>
      <c r="E65" t="s">
        <v>49</v>
      </c>
      <c r="F65" t="str">
        <f ca="1">OFFSET(Industries!B$1,MATCH(Table1[[#This Row],[Ticker]],Industries!$A$2:$A$140,0),0)</f>
        <v>Mega-Cap</v>
      </c>
      <c r="G65" t="str">
        <f ca="1">OFFSET(Industries!F$1,MATCH(Table1[[#This Row],[Ticker]],Industries!$A$2:$A$140,0),0)</f>
        <v>A+</v>
      </c>
      <c r="H65" t="s">
        <v>1434</v>
      </c>
      <c r="I65" t="s">
        <v>1434</v>
      </c>
      <c r="J65" s="2">
        <v>45373</v>
      </c>
      <c r="K65" t="s">
        <v>21</v>
      </c>
      <c r="L65" t="s">
        <v>1710</v>
      </c>
      <c r="M65" t="s">
        <v>1709</v>
      </c>
      <c r="N65" s="1"/>
      <c r="O65" t="s">
        <v>476</v>
      </c>
      <c r="P65" s="1">
        <v>0.66</v>
      </c>
      <c r="Q65" s="1" t="s">
        <v>1646</v>
      </c>
      <c r="R65" t="s">
        <v>35</v>
      </c>
      <c r="S65" t="s">
        <v>29</v>
      </c>
      <c r="T65" t="s">
        <v>30</v>
      </c>
      <c r="U65" s="1">
        <v>0.35</v>
      </c>
    </row>
    <row r="66" spans="1:22" x14ac:dyDescent="0.3">
      <c r="A66" t="s">
        <v>270</v>
      </c>
      <c r="B66" t="str">
        <f ca="1">OFFSET(Industries!C$1,MATCH(Table1[[#This Row],[Ticker]],Industries!$A$2:$A$150,0),0)</f>
        <v>Health Care</v>
      </c>
      <c r="C66" t="str">
        <f ca="1">OFFSET(Industries!D$1,MATCH(Table1[[#This Row],[Ticker]],Industries!$A$2:$A$150,0),0)</f>
        <v>Pharmaceuticals, Biotechnology and Life Sciences</v>
      </c>
      <c r="D66" t="str">
        <f ca="1">OFFSET(Industries!E$1,MATCH(Table1[[#This Row],[Ticker]],Industries!$A$2:$A$150,0),0)</f>
        <v>Pharmaceuticals</v>
      </c>
      <c r="E66" t="s">
        <v>49</v>
      </c>
      <c r="F66" t="str">
        <f ca="1">OFFSET(Industries!B$1,MATCH(Table1[[#This Row],[Ticker]],Industries!$A$2:$A$140,0),0)</f>
        <v>Mega-Cap</v>
      </c>
      <c r="G66" t="str">
        <f ca="1">OFFSET(Industries!F$1,MATCH(Table1[[#This Row],[Ticker]],Industries!$A$2:$A$140,0),0)</f>
        <v>A+</v>
      </c>
      <c r="H66" t="s">
        <v>1434</v>
      </c>
      <c r="I66" t="s">
        <v>1434</v>
      </c>
      <c r="J66" s="2">
        <v>45373</v>
      </c>
      <c r="K66" t="s">
        <v>21</v>
      </c>
      <c r="L66" t="s">
        <v>1710</v>
      </c>
      <c r="M66" t="s">
        <v>1709</v>
      </c>
      <c r="N66" s="1"/>
      <c r="O66" t="s">
        <v>476</v>
      </c>
      <c r="P66" s="1">
        <v>0.66</v>
      </c>
      <c r="Q66" s="1" t="s">
        <v>1636</v>
      </c>
      <c r="R66" t="s">
        <v>24</v>
      </c>
      <c r="S66" t="s">
        <v>1089</v>
      </c>
      <c r="T66" t="s">
        <v>57</v>
      </c>
      <c r="U66" s="1">
        <v>0.3</v>
      </c>
    </row>
    <row r="67" spans="1:22" x14ac:dyDescent="0.3">
      <c r="A67" t="s">
        <v>270</v>
      </c>
      <c r="B67" t="str">
        <f ca="1">OFFSET(Industries!C$1,MATCH(Table1[[#This Row],[Ticker]],Industries!$A$2:$A$150,0),0)</f>
        <v>Health Care</v>
      </c>
      <c r="C67" t="str">
        <f ca="1">OFFSET(Industries!D$1,MATCH(Table1[[#This Row],[Ticker]],Industries!$A$2:$A$150,0),0)</f>
        <v>Pharmaceuticals, Biotechnology and Life Sciences</v>
      </c>
      <c r="D67" t="str">
        <f ca="1">OFFSET(Industries!E$1,MATCH(Table1[[#This Row],[Ticker]],Industries!$A$2:$A$150,0),0)</f>
        <v>Pharmaceuticals</v>
      </c>
      <c r="E67" t="s">
        <v>49</v>
      </c>
      <c r="F67" t="str">
        <f ca="1">OFFSET(Industries!B$1,MATCH(Table1[[#This Row],[Ticker]],Industries!$A$2:$A$140,0),0)</f>
        <v>Mega-Cap</v>
      </c>
      <c r="G67" t="str">
        <f ca="1">OFFSET(Industries!F$1,MATCH(Table1[[#This Row],[Ticker]],Industries!$A$2:$A$140,0),0)</f>
        <v>A+</v>
      </c>
      <c r="H67" t="s">
        <v>1434</v>
      </c>
      <c r="I67" t="s">
        <v>1434</v>
      </c>
      <c r="J67" s="2">
        <v>45373</v>
      </c>
      <c r="K67" t="s">
        <v>21</v>
      </c>
      <c r="L67" t="s">
        <v>1710</v>
      </c>
      <c r="M67" t="s">
        <v>1709</v>
      </c>
      <c r="N67" s="1"/>
      <c r="O67" t="s">
        <v>476</v>
      </c>
      <c r="P67" s="1">
        <v>0.66</v>
      </c>
      <c r="R67" t="s">
        <v>28</v>
      </c>
      <c r="S67" t="s">
        <v>1095</v>
      </c>
      <c r="T67" t="s">
        <v>55</v>
      </c>
    </row>
    <row r="68" spans="1:22" x14ac:dyDescent="0.3">
      <c r="A68" t="s">
        <v>271</v>
      </c>
      <c r="B68" t="str">
        <f ca="1">OFFSET(Industries!C$1,MATCH(Table1[[#This Row],[Ticker]],Industries!$A$2:$A$150,0),0)</f>
        <v>Consumer Staples</v>
      </c>
      <c r="C68" t="str">
        <f ca="1">OFFSET(Industries!D$1,MATCH(Table1[[#This Row],[Ticker]],Industries!$A$2:$A$150,0),0)</f>
        <v>Food, Beverage and Tobacco</v>
      </c>
      <c r="D68" t="str">
        <f ca="1">OFFSET(Industries!E$1,MATCH(Table1[[#This Row],[Ticker]],Industries!$A$2:$A$150,0),0)</f>
        <v>Tobacco</v>
      </c>
      <c r="E68" t="s">
        <v>59</v>
      </c>
      <c r="F68" t="str">
        <f ca="1">OFFSET(Industries!B$1,MATCH(Table1[[#This Row],[Ticker]],Industries!$A$2:$A$140,0),0)</f>
        <v>Mega-Cap</v>
      </c>
      <c r="G68" t="str">
        <f ca="1">OFFSET(Industries!F$1,MATCH(Table1[[#This Row],[Ticker]],Industries!$A$2:$A$140,0),0)</f>
        <v>A-</v>
      </c>
      <c r="H68" t="s">
        <v>1434</v>
      </c>
      <c r="I68" t="s">
        <v>1434</v>
      </c>
      <c r="J68" s="2">
        <v>45379</v>
      </c>
      <c r="K68" t="s">
        <v>2</v>
      </c>
      <c r="L68" t="s">
        <v>3</v>
      </c>
      <c r="M68" t="s">
        <v>1711</v>
      </c>
      <c r="N68" s="1">
        <f>Table1[[#This Row],[Consideration Weight]]</f>
        <v>0.111</v>
      </c>
      <c r="O68" t="s">
        <v>3</v>
      </c>
      <c r="P68" s="1">
        <v>0.111</v>
      </c>
    </row>
    <row r="69" spans="1:22" x14ac:dyDescent="0.3">
      <c r="A69" t="s">
        <v>271</v>
      </c>
      <c r="B69" t="str">
        <f ca="1">OFFSET(Industries!C$1,MATCH(Table1[[#This Row],[Ticker]],Industries!$A$2:$A$150,0),0)</f>
        <v>Consumer Staples</v>
      </c>
      <c r="C69" t="str">
        <f ca="1">OFFSET(Industries!D$1,MATCH(Table1[[#This Row],[Ticker]],Industries!$A$2:$A$150,0),0)</f>
        <v>Food, Beverage and Tobacco</v>
      </c>
      <c r="D69" t="str">
        <f ca="1">OFFSET(Industries!E$1,MATCH(Table1[[#This Row],[Ticker]],Industries!$A$2:$A$150,0),0)</f>
        <v>Tobacco</v>
      </c>
      <c r="E69" t="s">
        <v>59</v>
      </c>
      <c r="F69" t="str">
        <f ca="1">OFFSET(Industries!B$1,MATCH(Table1[[#This Row],[Ticker]],Industries!$A$2:$A$140,0),0)</f>
        <v>Mega-Cap</v>
      </c>
      <c r="G69" t="str">
        <f ca="1">OFFSET(Industries!F$1,MATCH(Table1[[#This Row],[Ticker]],Industries!$A$2:$A$140,0),0)</f>
        <v>A-</v>
      </c>
      <c r="H69" t="s">
        <v>1434</v>
      </c>
      <c r="I69" t="s">
        <v>1434</v>
      </c>
      <c r="J69" s="2">
        <v>45379</v>
      </c>
      <c r="K69" t="s">
        <v>2</v>
      </c>
      <c r="L69" t="s">
        <v>1708</v>
      </c>
      <c r="M69" t="s">
        <v>1709</v>
      </c>
      <c r="N69" s="1">
        <f>Table1[[#This Row],[Consideration Weight]]</f>
        <v>0.222</v>
      </c>
      <c r="O69" t="s">
        <v>4</v>
      </c>
      <c r="P69" s="1">
        <v>0.222</v>
      </c>
      <c r="Q69" s="1" t="s">
        <v>1636</v>
      </c>
      <c r="R69" t="s">
        <v>25</v>
      </c>
      <c r="S69" t="s">
        <v>137</v>
      </c>
      <c r="T69" t="s">
        <v>60</v>
      </c>
      <c r="U69" s="1">
        <v>0.15</v>
      </c>
      <c r="V69" t="s">
        <v>67</v>
      </c>
    </row>
    <row r="70" spans="1:22" x14ac:dyDescent="0.3">
      <c r="A70" t="s">
        <v>271</v>
      </c>
      <c r="B70" t="str">
        <f ca="1">OFFSET(Industries!C$1,MATCH(Table1[[#This Row],[Ticker]],Industries!$A$2:$A$150,0),0)</f>
        <v>Consumer Staples</v>
      </c>
      <c r="C70" t="str">
        <f ca="1">OFFSET(Industries!D$1,MATCH(Table1[[#This Row],[Ticker]],Industries!$A$2:$A$150,0),0)</f>
        <v>Food, Beverage and Tobacco</v>
      </c>
      <c r="D70" t="str">
        <f ca="1">OFFSET(Industries!E$1,MATCH(Table1[[#This Row],[Ticker]],Industries!$A$2:$A$150,0),0)</f>
        <v>Tobacco</v>
      </c>
      <c r="E70" t="s">
        <v>59</v>
      </c>
      <c r="F70" t="str">
        <f ca="1">OFFSET(Industries!B$1,MATCH(Table1[[#This Row],[Ticker]],Industries!$A$2:$A$140,0),0)</f>
        <v>Mega-Cap</v>
      </c>
      <c r="G70" t="str">
        <f ca="1">OFFSET(Industries!F$1,MATCH(Table1[[#This Row],[Ticker]],Industries!$A$2:$A$140,0),0)</f>
        <v>A-</v>
      </c>
      <c r="H70" t="s">
        <v>1434</v>
      </c>
      <c r="I70" t="s">
        <v>1434</v>
      </c>
      <c r="J70" s="2">
        <v>45379</v>
      </c>
      <c r="K70" t="s">
        <v>2</v>
      </c>
      <c r="L70" t="s">
        <v>1708</v>
      </c>
      <c r="M70" t="s">
        <v>1709</v>
      </c>
      <c r="N70" s="1"/>
      <c r="O70" t="s">
        <v>4</v>
      </c>
      <c r="P70" s="1">
        <v>0.222</v>
      </c>
      <c r="Q70" s="1" t="s">
        <v>1636</v>
      </c>
      <c r="R70" t="s">
        <v>25</v>
      </c>
      <c r="S70" t="s">
        <v>1090</v>
      </c>
      <c r="T70" t="s">
        <v>61</v>
      </c>
      <c r="U70" s="1">
        <v>0.15</v>
      </c>
      <c r="V70" t="s">
        <v>68</v>
      </c>
    </row>
    <row r="71" spans="1:22" x14ac:dyDescent="0.3">
      <c r="A71" t="s">
        <v>271</v>
      </c>
      <c r="B71" t="str">
        <f ca="1">OFFSET(Industries!C$1,MATCH(Table1[[#This Row],[Ticker]],Industries!$A$2:$A$150,0),0)</f>
        <v>Consumer Staples</v>
      </c>
      <c r="C71" t="str">
        <f ca="1">OFFSET(Industries!D$1,MATCH(Table1[[#This Row],[Ticker]],Industries!$A$2:$A$150,0),0)</f>
        <v>Food, Beverage and Tobacco</v>
      </c>
      <c r="D71" t="str">
        <f ca="1">OFFSET(Industries!E$1,MATCH(Table1[[#This Row],[Ticker]],Industries!$A$2:$A$150,0),0)</f>
        <v>Tobacco</v>
      </c>
      <c r="E71" t="s">
        <v>59</v>
      </c>
      <c r="F71" t="str">
        <f ca="1">OFFSET(Industries!B$1,MATCH(Table1[[#This Row],[Ticker]],Industries!$A$2:$A$140,0),0)</f>
        <v>Mega-Cap</v>
      </c>
      <c r="G71" t="str">
        <f ca="1">OFFSET(Industries!F$1,MATCH(Table1[[#This Row],[Ticker]],Industries!$A$2:$A$140,0),0)</f>
        <v>A-</v>
      </c>
      <c r="H71" t="s">
        <v>1434</v>
      </c>
      <c r="I71" t="s">
        <v>1434</v>
      </c>
      <c r="J71" s="2">
        <v>45379</v>
      </c>
      <c r="K71" t="s">
        <v>2</v>
      </c>
      <c r="L71" t="s">
        <v>1708</v>
      </c>
      <c r="M71" t="s">
        <v>1709</v>
      </c>
      <c r="N71" s="1"/>
      <c r="O71" t="s">
        <v>4</v>
      </c>
      <c r="P71" s="1">
        <v>0.222</v>
      </c>
      <c r="Q71" s="1" t="s">
        <v>1636</v>
      </c>
      <c r="R71" t="s">
        <v>23</v>
      </c>
      <c r="S71" t="s">
        <v>1083</v>
      </c>
      <c r="T71" t="s">
        <v>226</v>
      </c>
      <c r="U71" s="1">
        <v>0.2</v>
      </c>
      <c r="V71" t="s">
        <v>69</v>
      </c>
    </row>
    <row r="72" spans="1:22" x14ac:dyDescent="0.3">
      <c r="A72" t="s">
        <v>271</v>
      </c>
      <c r="B72" t="str">
        <f ca="1">OFFSET(Industries!C$1,MATCH(Table1[[#This Row],[Ticker]],Industries!$A$2:$A$150,0),0)</f>
        <v>Consumer Staples</v>
      </c>
      <c r="C72" t="str">
        <f ca="1">OFFSET(Industries!D$1,MATCH(Table1[[#This Row],[Ticker]],Industries!$A$2:$A$150,0),0)</f>
        <v>Food, Beverage and Tobacco</v>
      </c>
      <c r="D72" t="str">
        <f ca="1">OFFSET(Industries!E$1,MATCH(Table1[[#This Row],[Ticker]],Industries!$A$2:$A$150,0),0)</f>
        <v>Tobacco</v>
      </c>
      <c r="E72" t="s">
        <v>59</v>
      </c>
      <c r="F72" t="str">
        <f ca="1">OFFSET(Industries!B$1,MATCH(Table1[[#This Row],[Ticker]],Industries!$A$2:$A$140,0),0)</f>
        <v>Mega-Cap</v>
      </c>
      <c r="G72" t="str">
        <f ca="1">OFFSET(Industries!F$1,MATCH(Table1[[#This Row],[Ticker]],Industries!$A$2:$A$140,0),0)</f>
        <v>A-</v>
      </c>
      <c r="H72" t="s">
        <v>1434</v>
      </c>
      <c r="I72" t="s">
        <v>1434</v>
      </c>
      <c r="J72" s="2">
        <v>45379</v>
      </c>
      <c r="K72" t="s">
        <v>2</v>
      </c>
      <c r="L72" t="s">
        <v>1708</v>
      </c>
      <c r="M72" t="s">
        <v>1709</v>
      </c>
      <c r="N72" s="1"/>
      <c r="O72" t="s">
        <v>4</v>
      </c>
      <c r="P72" s="1">
        <v>0.222</v>
      </c>
      <c r="Q72" s="1" t="s">
        <v>1636</v>
      </c>
      <c r="R72" t="s">
        <v>24</v>
      </c>
      <c r="S72" t="s">
        <v>90</v>
      </c>
      <c r="T72" t="s">
        <v>732</v>
      </c>
      <c r="U72" s="1">
        <v>0.15</v>
      </c>
      <c r="V72" t="s">
        <v>70</v>
      </c>
    </row>
    <row r="73" spans="1:22" x14ac:dyDescent="0.3">
      <c r="A73" t="s">
        <v>271</v>
      </c>
      <c r="B73" t="str">
        <f ca="1">OFFSET(Industries!C$1,MATCH(Table1[[#This Row],[Ticker]],Industries!$A$2:$A$150,0),0)</f>
        <v>Consumer Staples</v>
      </c>
      <c r="C73" t="str">
        <f ca="1">OFFSET(Industries!D$1,MATCH(Table1[[#This Row],[Ticker]],Industries!$A$2:$A$150,0),0)</f>
        <v>Food, Beverage and Tobacco</v>
      </c>
      <c r="D73" t="str">
        <f ca="1">OFFSET(Industries!E$1,MATCH(Table1[[#This Row],[Ticker]],Industries!$A$2:$A$150,0),0)</f>
        <v>Tobacco</v>
      </c>
      <c r="E73" t="s">
        <v>59</v>
      </c>
      <c r="F73" t="str">
        <f ca="1">OFFSET(Industries!B$1,MATCH(Table1[[#This Row],[Ticker]],Industries!$A$2:$A$140,0),0)</f>
        <v>Mega-Cap</v>
      </c>
      <c r="G73" t="str">
        <f ca="1">OFFSET(Industries!F$1,MATCH(Table1[[#This Row],[Ticker]],Industries!$A$2:$A$140,0),0)</f>
        <v>A-</v>
      </c>
      <c r="H73" t="s">
        <v>1434</v>
      </c>
      <c r="I73" t="s">
        <v>1434</v>
      </c>
      <c r="J73" s="2">
        <v>45379</v>
      </c>
      <c r="K73" t="s">
        <v>2</v>
      </c>
      <c r="L73" t="s">
        <v>1708</v>
      </c>
      <c r="M73" t="s">
        <v>1709</v>
      </c>
      <c r="N73" s="1"/>
      <c r="O73" t="s">
        <v>4</v>
      </c>
      <c r="P73" s="1">
        <v>0.222</v>
      </c>
      <c r="Q73" s="1" t="s">
        <v>1636</v>
      </c>
      <c r="R73" t="s">
        <v>62</v>
      </c>
      <c r="S73" t="s">
        <v>63</v>
      </c>
      <c r="T73" t="s">
        <v>63</v>
      </c>
      <c r="U73" s="1">
        <v>0.2</v>
      </c>
    </row>
    <row r="74" spans="1:22" x14ac:dyDescent="0.3">
      <c r="A74" t="s">
        <v>271</v>
      </c>
      <c r="B74" t="str">
        <f ca="1">OFFSET(Industries!C$1,MATCH(Table1[[#This Row],[Ticker]],Industries!$A$2:$A$150,0),0)</f>
        <v>Consumer Staples</v>
      </c>
      <c r="C74" t="str">
        <f ca="1">OFFSET(Industries!D$1,MATCH(Table1[[#This Row],[Ticker]],Industries!$A$2:$A$150,0),0)</f>
        <v>Food, Beverage and Tobacco</v>
      </c>
      <c r="D74" t="str">
        <f ca="1">OFFSET(Industries!E$1,MATCH(Table1[[#This Row],[Ticker]],Industries!$A$2:$A$150,0),0)</f>
        <v>Tobacco</v>
      </c>
      <c r="E74" t="s">
        <v>59</v>
      </c>
      <c r="F74" t="str">
        <f ca="1">OFFSET(Industries!B$1,MATCH(Table1[[#This Row],[Ticker]],Industries!$A$2:$A$140,0),0)</f>
        <v>Mega-Cap</v>
      </c>
      <c r="G74" t="str">
        <f ca="1">OFFSET(Industries!F$1,MATCH(Table1[[#This Row],[Ticker]],Industries!$A$2:$A$140,0),0)</f>
        <v>A-</v>
      </c>
      <c r="H74" t="s">
        <v>1434</v>
      </c>
      <c r="I74" t="s">
        <v>1434</v>
      </c>
      <c r="J74" s="2">
        <v>45379</v>
      </c>
      <c r="K74" t="s">
        <v>2</v>
      </c>
      <c r="L74" t="s">
        <v>1708</v>
      </c>
      <c r="M74" t="s">
        <v>1709</v>
      </c>
      <c r="N74" s="1"/>
      <c r="O74" t="s">
        <v>4</v>
      </c>
      <c r="P74" s="1">
        <v>0.222</v>
      </c>
      <c r="Q74" s="1" t="s">
        <v>1637</v>
      </c>
      <c r="R74" t="s">
        <v>25</v>
      </c>
      <c r="S74" t="s">
        <v>26</v>
      </c>
      <c r="T74" t="s">
        <v>64</v>
      </c>
      <c r="U74" s="1">
        <v>0.15</v>
      </c>
      <c r="V74" t="s">
        <v>71</v>
      </c>
    </row>
    <row r="75" spans="1:22" x14ac:dyDescent="0.3">
      <c r="A75" t="s">
        <v>271</v>
      </c>
      <c r="B75" t="str">
        <f ca="1">OFFSET(Industries!C$1,MATCH(Table1[[#This Row],[Ticker]],Industries!$A$2:$A$150,0),0)</f>
        <v>Consumer Staples</v>
      </c>
      <c r="C75" t="str">
        <f ca="1">OFFSET(Industries!D$1,MATCH(Table1[[#This Row],[Ticker]],Industries!$A$2:$A$150,0),0)</f>
        <v>Food, Beverage and Tobacco</v>
      </c>
      <c r="D75" t="str">
        <f ca="1">OFFSET(Industries!E$1,MATCH(Table1[[#This Row],[Ticker]],Industries!$A$2:$A$150,0),0)</f>
        <v>Tobacco</v>
      </c>
      <c r="E75" t="s">
        <v>59</v>
      </c>
      <c r="F75" t="str">
        <f ca="1">OFFSET(Industries!B$1,MATCH(Table1[[#This Row],[Ticker]],Industries!$A$2:$A$140,0),0)</f>
        <v>Mega-Cap</v>
      </c>
      <c r="G75" t="str">
        <f ca="1">OFFSET(Industries!F$1,MATCH(Table1[[#This Row],[Ticker]],Industries!$A$2:$A$140,0),0)</f>
        <v>A-</v>
      </c>
      <c r="H75" t="s">
        <v>1434</v>
      </c>
      <c r="I75" t="s">
        <v>1434</v>
      </c>
      <c r="J75" s="2">
        <v>45379</v>
      </c>
      <c r="K75" t="s">
        <v>2</v>
      </c>
      <c r="L75" t="s">
        <v>1708</v>
      </c>
      <c r="M75" t="s">
        <v>1709</v>
      </c>
      <c r="N75" s="1"/>
      <c r="O75" t="s">
        <v>4</v>
      </c>
      <c r="P75" s="1">
        <v>0.222</v>
      </c>
      <c r="R75" t="s">
        <v>28</v>
      </c>
      <c r="S75" t="s">
        <v>1091</v>
      </c>
      <c r="T75" t="s">
        <v>65</v>
      </c>
      <c r="V75" t="s">
        <v>66</v>
      </c>
    </row>
    <row r="76" spans="1:22" x14ac:dyDescent="0.3">
      <c r="A76" t="s">
        <v>271</v>
      </c>
      <c r="B76" t="str">
        <f ca="1">OFFSET(Industries!C$1,MATCH(Table1[[#This Row],[Ticker]],Industries!$A$2:$A$150,0),0)</f>
        <v>Consumer Staples</v>
      </c>
      <c r="C76" t="str">
        <f ca="1">OFFSET(Industries!D$1,MATCH(Table1[[#This Row],[Ticker]],Industries!$A$2:$A$150,0),0)</f>
        <v>Food, Beverage and Tobacco</v>
      </c>
      <c r="D76" t="str">
        <f ca="1">OFFSET(Industries!E$1,MATCH(Table1[[#This Row],[Ticker]],Industries!$A$2:$A$150,0),0)</f>
        <v>Tobacco</v>
      </c>
      <c r="E76" t="s">
        <v>59</v>
      </c>
      <c r="F76" t="str">
        <f ca="1">OFFSET(Industries!B$1,MATCH(Table1[[#This Row],[Ticker]],Industries!$A$2:$A$140,0),0)</f>
        <v>Mega-Cap</v>
      </c>
      <c r="G76" t="str">
        <f ca="1">OFFSET(Industries!F$1,MATCH(Table1[[#This Row],[Ticker]],Industries!$A$2:$A$140,0),0)</f>
        <v>A-</v>
      </c>
      <c r="H76" t="s">
        <v>1434</v>
      </c>
      <c r="I76" t="s">
        <v>1434</v>
      </c>
      <c r="J76" s="2">
        <v>45379</v>
      </c>
      <c r="K76" t="s">
        <v>2</v>
      </c>
      <c r="L76" t="s">
        <v>1708</v>
      </c>
      <c r="M76" t="s">
        <v>1709</v>
      </c>
      <c r="N76" s="1"/>
      <c r="O76" t="s">
        <v>4</v>
      </c>
      <c r="P76" s="1">
        <v>0.222</v>
      </c>
      <c r="R76" t="s">
        <v>28</v>
      </c>
      <c r="S76" t="s">
        <v>1087</v>
      </c>
      <c r="T76" t="s">
        <v>40</v>
      </c>
    </row>
    <row r="77" spans="1:22" x14ac:dyDescent="0.3">
      <c r="A77" t="s">
        <v>271</v>
      </c>
      <c r="B77" t="str">
        <f ca="1">OFFSET(Industries!C$1,MATCH(Table1[[#This Row],[Ticker]],Industries!$A$2:$A$150,0),0)</f>
        <v>Consumer Staples</v>
      </c>
      <c r="C77" t="str">
        <f ca="1">OFFSET(Industries!D$1,MATCH(Table1[[#This Row],[Ticker]],Industries!$A$2:$A$150,0),0)</f>
        <v>Food, Beverage and Tobacco</v>
      </c>
      <c r="D77" t="str">
        <f ca="1">OFFSET(Industries!E$1,MATCH(Table1[[#This Row],[Ticker]],Industries!$A$2:$A$150,0),0)</f>
        <v>Tobacco</v>
      </c>
      <c r="E77" t="s">
        <v>59</v>
      </c>
      <c r="F77" t="str">
        <f ca="1">OFFSET(Industries!B$1,MATCH(Table1[[#This Row],[Ticker]],Industries!$A$2:$A$140,0),0)</f>
        <v>Mega-Cap</v>
      </c>
      <c r="G77" t="str">
        <f ca="1">OFFSET(Industries!F$1,MATCH(Table1[[#This Row],[Ticker]],Industries!$A$2:$A$140,0),0)</f>
        <v>A-</v>
      </c>
      <c r="H77" t="s">
        <v>1434</v>
      </c>
      <c r="I77" t="s">
        <v>1434</v>
      </c>
      <c r="J77" s="2">
        <v>45379</v>
      </c>
      <c r="K77" t="s">
        <v>2</v>
      </c>
      <c r="L77" t="s">
        <v>1710</v>
      </c>
      <c r="M77" t="s">
        <v>1709</v>
      </c>
      <c r="N77" s="1">
        <f>Table1[[#This Row],[Consideration Weight]]</f>
        <v>0.4</v>
      </c>
      <c r="O77" t="s">
        <v>476</v>
      </c>
      <c r="P77" s="1">
        <v>0.4</v>
      </c>
      <c r="Q77" s="1" t="s">
        <v>1646</v>
      </c>
      <c r="R77" t="s">
        <v>35</v>
      </c>
      <c r="S77" t="s">
        <v>29</v>
      </c>
      <c r="T77" t="s">
        <v>30</v>
      </c>
      <c r="U77" s="1">
        <v>0.4</v>
      </c>
      <c r="V77" t="s">
        <v>73</v>
      </c>
    </row>
    <row r="78" spans="1:22" x14ac:dyDescent="0.3">
      <c r="A78" t="s">
        <v>271</v>
      </c>
      <c r="B78" t="str">
        <f ca="1">OFFSET(Industries!C$1,MATCH(Table1[[#This Row],[Ticker]],Industries!$A$2:$A$150,0),0)</f>
        <v>Consumer Staples</v>
      </c>
      <c r="C78" t="str">
        <f ca="1">OFFSET(Industries!D$1,MATCH(Table1[[#This Row],[Ticker]],Industries!$A$2:$A$150,0),0)</f>
        <v>Food, Beverage and Tobacco</v>
      </c>
      <c r="D78" t="str">
        <f ca="1">OFFSET(Industries!E$1,MATCH(Table1[[#This Row],[Ticker]],Industries!$A$2:$A$150,0),0)</f>
        <v>Tobacco</v>
      </c>
      <c r="E78" t="s">
        <v>59</v>
      </c>
      <c r="F78" t="str">
        <f ca="1">OFFSET(Industries!B$1,MATCH(Table1[[#This Row],[Ticker]],Industries!$A$2:$A$140,0),0)</f>
        <v>Mega-Cap</v>
      </c>
      <c r="G78" t="str">
        <f ca="1">OFFSET(Industries!F$1,MATCH(Table1[[#This Row],[Ticker]],Industries!$A$2:$A$140,0),0)</f>
        <v>A-</v>
      </c>
      <c r="H78" t="s">
        <v>1434</v>
      </c>
      <c r="I78" t="s">
        <v>1434</v>
      </c>
      <c r="J78" s="2">
        <v>45379</v>
      </c>
      <c r="K78" t="s">
        <v>2</v>
      </c>
      <c r="L78" t="s">
        <v>1710</v>
      </c>
      <c r="M78" t="s">
        <v>1709</v>
      </c>
      <c r="N78" s="1"/>
      <c r="O78" t="s">
        <v>476</v>
      </c>
      <c r="P78" s="1">
        <v>0.4</v>
      </c>
      <c r="Q78" s="1" t="s">
        <v>1636</v>
      </c>
      <c r="R78" t="s">
        <v>24</v>
      </c>
      <c r="S78" t="s">
        <v>1089</v>
      </c>
      <c r="T78" t="s">
        <v>72</v>
      </c>
      <c r="U78" s="1">
        <v>0.3</v>
      </c>
      <c r="V78" t="s">
        <v>74</v>
      </c>
    </row>
    <row r="79" spans="1:22" x14ac:dyDescent="0.3">
      <c r="A79" t="s">
        <v>271</v>
      </c>
      <c r="B79" t="str">
        <f ca="1">OFFSET(Industries!C$1,MATCH(Table1[[#This Row],[Ticker]],Industries!$A$2:$A$150,0),0)</f>
        <v>Consumer Staples</v>
      </c>
      <c r="C79" t="str">
        <f ca="1">OFFSET(Industries!D$1,MATCH(Table1[[#This Row],[Ticker]],Industries!$A$2:$A$150,0),0)</f>
        <v>Food, Beverage and Tobacco</v>
      </c>
      <c r="D79" t="str">
        <f ca="1">OFFSET(Industries!E$1,MATCH(Table1[[#This Row],[Ticker]],Industries!$A$2:$A$150,0),0)</f>
        <v>Tobacco</v>
      </c>
      <c r="E79" t="s">
        <v>59</v>
      </c>
      <c r="F79" t="str">
        <f ca="1">OFFSET(Industries!B$1,MATCH(Table1[[#This Row],[Ticker]],Industries!$A$2:$A$140,0),0)</f>
        <v>Mega-Cap</v>
      </c>
      <c r="G79" t="str">
        <f ca="1">OFFSET(Industries!F$1,MATCH(Table1[[#This Row],[Ticker]],Industries!$A$2:$A$140,0),0)</f>
        <v>A-</v>
      </c>
      <c r="H79" t="s">
        <v>1434</v>
      </c>
      <c r="I79" t="s">
        <v>1434</v>
      </c>
      <c r="J79" s="2">
        <v>45379</v>
      </c>
      <c r="K79" t="s">
        <v>2</v>
      </c>
      <c r="L79" t="s">
        <v>1710</v>
      </c>
      <c r="M79" t="s">
        <v>1709</v>
      </c>
      <c r="N79" s="1"/>
      <c r="O79" t="s">
        <v>476</v>
      </c>
      <c r="P79" s="1">
        <v>0.4</v>
      </c>
      <c r="Q79" s="1" t="s">
        <v>1637</v>
      </c>
      <c r="R79" t="s">
        <v>26</v>
      </c>
      <c r="S79" t="s">
        <v>26</v>
      </c>
      <c r="T79" t="s">
        <v>421</v>
      </c>
      <c r="U79" s="1">
        <v>0.3</v>
      </c>
      <c r="V79" t="s">
        <v>1819</v>
      </c>
    </row>
    <row r="80" spans="1:22" x14ac:dyDescent="0.3">
      <c r="A80" t="s">
        <v>271</v>
      </c>
      <c r="B80" t="str">
        <f ca="1">OFFSET(Industries!C$1,MATCH(Table1[[#This Row],[Ticker]],Industries!$A$2:$A$150,0),0)</f>
        <v>Consumer Staples</v>
      </c>
      <c r="C80" t="str">
        <f ca="1">OFFSET(Industries!D$1,MATCH(Table1[[#This Row],[Ticker]],Industries!$A$2:$A$150,0),0)</f>
        <v>Food, Beverage and Tobacco</v>
      </c>
      <c r="D80" t="str">
        <f ca="1">OFFSET(Industries!E$1,MATCH(Table1[[#This Row],[Ticker]],Industries!$A$2:$A$150,0),0)</f>
        <v>Tobacco</v>
      </c>
      <c r="E80" t="s">
        <v>59</v>
      </c>
      <c r="F80" t="str">
        <f ca="1">OFFSET(Industries!B$1,MATCH(Table1[[#This Row],[Ticker]],Industries!$A$2:$A$140,0),0)</f>
        <v>Mega-Cap</v>
      </c>
      <c r="G80" t="str">
        <f ca="1">OFFSET(Industries!F$1,MATCH(Table1[[#This Row],[Ticker]],Industries!$A$2:$A$140,0),0)</f>
        <v>A-</v>
      </c>
      <c r="H80" t="s">
        <v>1434</v>
      </c>
      <c r="I80" t="s">
        <v>1434</v>
      </c>
      <c r="J80" s="2">
        <v>45379</v>
      </c>
      <c r="K80" t="s">
        <v>2</v>
      </c>
      <c r="L80" t="s">
        <v>1710</v>
      </c>
      <c r="M80" t="s">
        <v>1709</v>
      </c>
      <c r="N80" s="1"/>
      <c r="O80" t="s">
        <v>476</v>
      </c>
      <c r="P80" s="1">
        <v>0.4</v>
      </c>
      <c r="R80" t="s">
        <v>28</v>
      </c>
      <c r="S80" t="s">
        <v>1095</v>
      </c>
      <c r="T80" t="s">
        <v>55</v>
      </c>
      <c r="V80" t="s">
        <v>468</v>
      </c>
    </row>
    <row r="81" spans="1:22" x14ac:dyDescent="0.3">
      <c r="A81" t="s">
        <v>271</v>
      </c>
      <c r="B81" t="str">
        <f ca="1">OFFSET(Industries!C$1,MATCH(Table1[[#This Row],[Ticker]],Industries!$A$2:$A$150,0),0)</f>
        <v>Consumer Staples</v>
      </c>
      <c r="C81" t="str">
        <f ca="1">OFFSET(Industries!D$1,MATCH(Table1[[#This Row],[Ticker]],Industries!$A$2:$A$150,0),0)</f>
        <v>Food, Beverage and Tobacco</v>
      </c>
      <c r="D81" t="str">
        <f ca="1">OFFSET(Industries!E$1,MATCH(Table1[[#This Row],[Ticker]],Industries!$A$2:$A$150,0),0)</f>
        <v>Tobacco</v>
      </c>
      <c r="E81" t="s">
        <v>59</v>
      </c>
      <c r="F81" t="str">
        <f ca="1">OFFSET(Industries!B$1,MATCH(Table1[[#This Row],[Ticker]],Industries!$A$2:$A$140,0),0)</f>
        <v>Mega-Cap</v>
      </c>
      <c r="G81" t="str">
        <f ca="1">OFFSET(Industries!F$1,MATCH(Table1[[#This Row],[Ticker]],Industries!$A$2:$A$140,0),0)</f>
        <v>A-</v>
      </c>
      <c r="H81" t="s">
        <v>1434</v>
      </c>
      <c r="I81" t="s">
        <v>1434</v>
      </c>
      <c r="J81" s="2">
        <v>45379</v>
      </c>
      <c r="K81" t="s">
        <v>2</v>
      </c>
      <c r="L81" t="s">
        <v>1710</v>
      </c>
      <c r="M81" t="s">
        <v>1709</v>
      </c>
      <c r="N81" s="1"/>
      <c r="O81" t="s">
        <v>476</v>
      </c>
      <c r="P81" s="1">
        <v>0.4</v>
      </c>
      <c r="R81" t="s">
        <v>28</v>
      </c>
      <c r="S81" t="s">
        <v>1091</v>
      </c>
      <c r="T81" t="s">
        <v>75</v>
      </c>
      <c r="V81" t="s">
        <v>76</v>
      </c>
    </row>
    <row r="82" spans="1:22" x14ac:dyDescent="0.3">
      <c r="A82" t="s">
        <v>271</v>
      </c>
      <c r="B82" t="str">
        <f ca="1">OFFSET(Industries!C$1,MATCH(Table1[[#This Row],[Ticker]],Industries!$A$2:$A$150,0),0)</f>
        <v>Consumer Staples</v>
      </c>
      <c r="C82" t="str">
        <f ca="1">OFFSET(Industries!D$1,MATCH(Table1[[#This Row],[Ticker]],Industries!$A$2:$A$150,0),0)</f>
        <v>Food, Beverage and Tobacco</v>
      </c>
      <c r="D82" t="str">
        <f ca="1">OFFSET(Industries!E$1,MATCH(Table1[[#This Row],[Ticker]],Industries!$A$2:$A$150,0),0)</f>
        <v>Tobacco</v>
      </c>
      <c r="E82" t="s">
        <v>59</v>
      </c>
      <c r="F82" t="str">
        <f ca="1">OFFSET(Industries!B$1,MATCH(Table1[[#This Row],[Ticker]],Industries!$A$2:$A$140,0),0)</f>
        <v>Mega-Cap</v>
      </c>
      <c r="G82" t="str">
        <f ca="1">OFFSET(Industries!F$1,MATCH(Table1[[#This Row],[Ticker]],Industries!$A$2:$A$140,0),0)</f>
        <v>A-</v>
      </c>
      <c r="H82" t="s">
        <v>1434</v>
      </c>
      <c r="I82" t="s">
        <v>1434</v>
      </c>
      <c r="J82" s="2">
        <v>45379</v>
      </c>
      <c r="K82" t="s">
        <v>2</v>
      </c>
      <c r="L82" t="s">
        <v>1710</v>
      </c>
      <c r="M82" t="s">
        <v>1709</v>
      </c>
      <c r="N82" s="1"/>
      <c r="O82" t="s">
        <v>476</v>
      </c>
      <c r="P82" s="1">
        <v>0.4</v>
      </c>
      <c r="R82" t="s">
        <v>28</v>
      </c>
      <c r="S82" t="s">
        <v>1093</v>
      </c>
      <c r="T82" t="s">
        <v>170</v>
      </c>
      <c r="V82" t="s">
        <v>78</v>
      </c>
    </row>
    <row r="83" spans="1:22" x14ac:dyDescent="0.3">
      <c r="A83" t="s">
        <v>271</v>
      </c>
      <c r="B83" t="str">
        <f ca="1">OFFSET(Industries!C$1,MATCH(Table1[[#This Row],[Ticker]],Industries!$A$2:$A$150,0),0)</f>
        <v>Consumer Staples</v>
      </c>
      <c r="C83" t="str">
        <f ca="1">OFFSET(Industries!D$1,MATCH(Table1[[#This Row],[Ticker]],Industries!$A$2:$A$150,0),0)</f>
        <v>Food, Beverage and Tobacco</v>
      </c>
      <c r="D83" t="str">
        <f ca="1">OFFSET(Industries!E$1,MATCH(Table1[[#This Row],[Ticker]],Industries!$A$2:$A$150,0),0)</f>
        <v>Tobacco</v>
      </c>
      <c r="E83" t="s">
        <v>59</v>
      </c>
      <c r="F83" t="str">
        <f ca="1">OFFSET(Industries!B$1,MATCH(Table1[[#This Row],[Ticker]],Industries!$A$2:$A$140,0),0)</f>
        <v>Mega-Cap</v>
      </c>
      <c r="G83" t="str">
        <f ca="1">OFFSET(Industries!F$1,MATCH(Table1[[#This Row],[Ticker]],Industries!$A$2:$A$140,0),0)</f>
        <v>A-</v>
      </c>
      <c r="H83" t="s">
        <v>1434</v>
      </c>
      <c r="I83" t="s">
        <v>1434</v>
      </c>
      <c r="J83" s="2">
        <v>45379</v>
      </c>
      <c r="K83" t="s">
        <v>2</v>
      </c>
      <c r="L83" t="s">
        <v>1710</v>
      </c>
      <c r="M83" t="s">
        <v>1709</v>
      </c>
      <c r="N83" s="1"/>
      <c r="O83" t="s">
        <v>476</v>
      </c>
      <c r="P83" s="1">
        <v>0.4</v>
      </c>
      <c r="R83" t="s">
        <v>28</v>
      </c>
      <c r="S83" t="s">
        <v>1087</v>
      </c>
      <c r="T83" t="s">
        <v>40</v>
      </c>
    </row>
    <row r="84" spans="1:22" x14ac:dyDescent="0.3">
      <c r="A84" t="s">
        <v>271</v>
      </c>
      <c r="B84" t="str">
        <f ca="1">OFFSET(Industries!C$1,MATCH(Table1[[#This Row],[Ticker]],Industries!$A$2:$A$150,0),0)</f>
        <v>Consumer Staples</v>
      </c>
      <c r="C84" t="str">
        <f ca="1">OFFSET(Industries!D$1,MATCH(Table1[[#This Row],[Ticker]],Industries!$A$2:$A$150,0),0)</f>
        <v>Food, Beverage and Tobacco</v>
      </c>
      <c r="D84" t="str">
        <f ca="1">OFFSET(Industries!E$1,MATCH(Table1[[#This Row],[Ticker]],Industries!$A$2:$A$150,0),0)</f>
        <v>Tobacco</v>
      </c>
      <c r="E84" t="s">
        <v>59</v>
      </c>
      <c r="F84" t="str">
        <f ca="1">OFFSET(Industries!B$1,MATCH(Table1[[#This Row],[Ticker]],Industries!$A$2:$A$140,0),0)</f>
        <v>Mega-Cap</v>
      </c>
      <c r="G84" t="str">
        <f ca="1">OFFSET(Industries!F$1,MATCH(Table1[[#This Row],[Ticker]],Industries!$A$2:$A$140,0),0)</f>
        <v>A-</v>
      </c>
      <c r="H84" t="s">
        <v>1434</v>
      </c>
      <c r="I84" t="s">
        <v>1434</v>
      </c>
      <c r="J84" s="2">
        <v>45379</v>
      </c>
      <c r="K84" t="s">
        <v>2</v>
      </c>
      <c r="L84" t="s">
        <v>1710</v>
      </c>
      <c r="M84" t="s">
        <v>1711</v>
      </c>
      <c r="N84" s="1">
        <f>Table1[[#This Row],[Consideration Weight]]</f>
        <v>0.26700000000000002</v>
      </c>
      <c r="O84" t="s">
        <v>194</v>
      </c>
      <c r="P84" s="1">
        <v>0.26700000000000002</v>
      </c>
    </row>
    <row r="85" spans="1:22" x14ac:dyDescent="0.3">
      <c r="A85" t="s">
        <v>271</v>
      </c>
      <c r="B85" t="str">
        <f ca="1">OFFSET(Industries!C$1,MATCH(Table1[[#This Row],[Ticker]],Industries!$A$2:$A$150,0),0)</f>
        <v>Consumer Staples</v>
      </c>
      <c r="C85" t="str">
        <f ca="1">OFFSET(Industries!D$1,MATCH(Table1[[#This Row],[Ticker]],Industries!$A$2:$A$150,0),0)</f>
        <v>Food, Beverage and Tobacco</v>
      </c>
      <c r="D85" t="str">
        <f ca="1">OFFSET(Industries!E$1,MATCH(Table1[[#This Row],[Ticker]],Industries!$A$2:$A$150,0),0)</f>
        <v>Tobacco</v>
      </c>
      <c r="E85" t="s">
        <v>59</v>
      </c>
      <c r="F85" t="str">
        <f ca="1">OFFSET(Industries!B$1,MATCH(Table1[[#This Row],[Ticker]],Industries!$A$2:$A$140,0),0)</f>
        <v>Mega-Cap</v>
      </c>
      <c r="G85" t="str">
        <f ca="1">OFFSET(Industries!F$1,MATCH(Table1[[#This Row],[Ticker]],Industries!$A$2:$A$140,0),0)</f>
        <v>A-</v>
      </c>
      <c r="H85" t="s">
        <v>1434</v>
      </c>
      <c r="I85" t="s">
        <v>1434</v>
      </c>
      <c r="J85" s="2">
        <v>45379</v>
      </c>
      <c r="K85" t="s">
        <v>21</v>
      </c>
      <c r="L85" t="s">
        <v>3</v>
      </c>
      <c r="M85" t="s">
        <v>1711</v>
      </c>
      <c r="N85" s="1">
        <f>Table1[[#This Row],[Consideration Weight]]</f>
        <v>0.25269607843137254</v>
      </c>
      <c r="O85" t="s">
        <v>3</v>
      </c>
      <c r="P85" s="1">
        <v>0.25269607843137254</v>
      </c>
      <c r="V85" s="1" t="s">
        <v>79</v>
      </c>
    </row>
    <row r="86" spans="1:22" x14ac:dyDescent="0.3">
      <c r="A86" t="s">
        <v>271</v>
      </c>
      <c r="B86" t="str">
        <f ca="1">OFFSET(Industries!C$1,MATCH(Table1[[#This Row],[Ticker]],Industries!$A$2:$A$150,0),0)</f>
        <v>Consumer Staples</v>
      </c>
      <c r="C86" t="str">
        <f ca="1">OFFSET(Industries!D$1,MATCH(Table1[[#This Row],[Ticker]],Industries!$A$2:$A$150,0),0)</f>
        <v>Food, Beverage and Tobacco</v>
      </c>
      <c r="D86" t="str">
        <f ca="1">OFFSET(Industries!E$1,MATCH(Table1[[#This Row],[Ticker]],Industries!$A$2:$A$150,0),0)</f>
        <v>Tobacco</v>
      </c>
      <c r="E86" t="s">
        <v>59</v>
      </c>
      <c r="F86" t="str">
        <f ca="1">OFFSET(Industries!B$1,MATCH(Table1[[#This Row],[Ticker]],Industries!$A$2:$A$140,0),0)</f>
        <v>Mega-Cap</v>
      </c>
      <c r="G86" t="str">
        <f ca="1">OFFSET(Industries!F$1,MATCH(Table1[[#This Row],[Ticker]],Industries!$A$2:$A$140,0),0)</f>
        <v>A-</v>
      </c>
      <c r="H86" t="s">
        <v>1434</v>
      </c>
      <c r="I86" t="s">
        <v>1434</v>
      </c>
      <c r="J86" s="2">
        <v>45379</v>
      </c>
      <c r="K86" t="s">
        <v>21</v>
      </c>
      <c r="L86" t="s">
        <v>1708</v>
      </c>
      <c r="M86" t="s">
        <v>1709</v>
      </c>
      <c r="N86" s="1">
        <f>Table1[[#This Row],[Consideration Weight]]</f>
        <v>0.28082107843137255</v>
      </c>
      <c r="O86" t="s">
        <v>4</v>
      </c>
      <c r="P86" s="1">
        <v>0.28082107843137255</v>
      </c>
      <c r="Q86" s="1" t="s">
        <v>1636</v>
      </c>
      <c r="R86" t="s">
        <v>25</v>
      </c>
      <c r="S86" t="s">
        <v>137</v>
      </c>
      <c r="T86" t="s">
        <v>60</v>
      </c>
      <c r="U86" s="1">
        <v>0.15</v>
      </c>
      <c r="V86" s="1" t="s">
        <v>79</v>
      </c>
    </row>
    <row r="87" spans="1:22" x14ac:dyDescent="0.3">
      <c r="A87" t="s">
        <v>271</v>
      </c>
      <c r="B87" t="str">
        <f ca="1">OFFSET(Industries!C$1,MATCH(Table1[[#This Row],[Ticker]],Industries!$A$2:$A$150,0),0)</f>
        <v>Consumer Staples</v>
      </c>
      <c r="C87" t="str">
        <f ca="1">OFFSET(Industries!D$1,MATCH(Table1[[#This Row],[Ticker]],Industries!$A$2:$A$150,0),0)</f>
        <v>Food, Beverage and Tobacco</v>
      </c>
      <c r="D87" t="str">
        <f ca="1">OFFSET(Industries!E$1,MATCH(Table1[[#This Row],[Ticker]],Industries!$A$2:$A$150,0),0)</f>
        <v>Tobacco</v>
      </c>
      <c r="E87" t="s">
        <v>59</v>
      </c>
      <c r="F87" t="str">
        <f ca="1">OFFSET(Industries!B$1,MATCH(Table1[[#This Row],[Ticker]],Industries!$A$2:$A$140,0),0)</f>
        <v>Mega-Cap</v>
      </c>
      <c r="G87" t="str">
        <f ca="1">OFFSET(Industries!F$1,MATCH(Table1[[#This Row],[Ticker]],Industries!$A$2:$A$140,0),0)</f>
        <v>A-</v>
      </c>
      <c r="H87" t="s">
        <v>1434</v>
      </c>
      <c r="I87" t="s">
        <v>1434</v>
      </c>
      <c r="J87" s="2">
        <v>45379</v>
      </c>
      <c r="K87" t="s">
        <v>21</v>
      </c>
      <c r="L87" t="s">
        <v>1708</v>
      </c>
      <c r="M87" t="s">
        <v>1709</v>
      </c>
      <c r="N87" s="1"/>
      <c r="O87" t="s">
        <v>4</v>
      </c>
      <c r="P87" s="1">
        <v>0.28082107843137255</v>
      </c>
      <c r="Q87" s="1" t="s">
        <v>1636</v>
      </c>
      <c r="R87" t="s">
        <v>25</v>
      </c>
      <c r="S87" t="s">
        <v>1090</v>
      </c>
      <c r="T87" t="s">
        <v>61</v>
      </c>
      <c r="U87" s="1">
        <v>0.15</v>
      </c>
    </row>
    <row r="88" spans="1:22" x14ac:dyDescent="0.3">
      <c r="A88" t="s">
        <v>271</v>
      </c>
      <c r="B88" t="str">
        <f ca="1">OFFSET(Industries!C$1,MATCH(Table1[[#This Row],[Ticker]],Industries!$A$2:$A$150,0),0)</f>
        <v>Consumer Staples</v>
      </c>
      <c r="C88" t="str">
        <f ca="1">OFFSET(Industries!D$1,MATCH(Table1[[#This Row],[Ticker]],Industries!$A$2:$A$150,0),0)</f>
        <v>Food, Beverage and Tobacco</v>
      </c>
      <c r="D88" t="str">
        <f ca="1">OFFSET(Industries!E$1,MATCH(Table1[[#This Row],[Ticker]],Industries!$A$2:$A$150,0),0)</f>
        <v>Tobacco</v>
      </c>
      <c r="E88" t="s">
        <v>59</v>
      </c>
      <c r="F88" t="str">
        <f ca="1">OFFSET(Industries!B$1,MATCH(Table1[[#This Row],[Ticker]],Industries!$A$2:$A$140,0),0)</f>
        <v>Mega-Cap</v>
      </c>
      <c r="G88" t="str">
        <f ca="1">OFFSET(Industries!F$1,MATCH(Table1[[#This Row],[Ticker]],Industries!$A$2:$A$140,0),0)</f>
        <v>A-</v>
      </c>
      <c r="H88" t="s">
        <v>1434</v>
      </c>
      <c r="I88" t="s">
        <v>1434</v>
      </c>
      <c r="J88" s="2">
        <v>45379</v>
      </c>
      <c r="K88" t="s">
        <v>21</v>
      </c>
      <c r="L88" t="s">
        <v>1708</v>
      </c>
      <c r="M88" t="s">
        <v>1709</v>
      </c>
      <c r="N88" s="1"/>
      <c r="O88" t="s">
        <v>4</v>
      </c>
      <c r="P88" s="1">
        <v>0.28082107843137255</v>
      </c>
      <c r="Q88" s="1" t="s">
        <v>1636</v>
      </c>
      <c r="R88" t="s">
        <v>23</v>
      </c>
      <c r="S88" t="s">
        <v>1083</v>
      </c>
      <c r="T88" t="s">
        <v>226</v>
      </c>
      <c r="U88" s="1">
        <v>0.2</v>
      </c>
    </row>
    <row r="89" spans="1:22" x14ac:dyDescent="0.3">
      <c r="A89" t="s">
        <v>271</v>
      </c>
      <c r="B89" t="str">
        <f ca="1">OFFSET(Industries!C$1,MATCH(Table1[[#This Row],[Ticker]],Industries!$A$2:$A$150,0),0)</f>
        <v>Consumer Staples</v>
      </c>
      <c r="C89" t="str">
        <f ca="1">OFFSET(Industries!D$1,MATCH(Table1[[#This Row],[Ticker]],Industries!$A$2:$A$150,0),0)</f>
        <v>Food, Beverage and Tobacco</v>
      </c>
      <c r="D89" t="str">
        <f ca="1">OFFSET(Industries!E$1,MATCH(Table1[[#This Row],[Ticker]],Industries!$A$2:$A$150,0),0)</f>
        <v>Tobacco</v>
      </c>
      <c r="E89" t="s">
        <v>59</v>
      </c>
      <c r="F89" t="str">
        <f ca="1">OFFSET(Industries!B$1,MATCH(Table1[[#This Row],[Ticker]],Industries!$A$2:$A$140,0),0)</f>
        <v>Mega-Cap</v>
      </c>
      <c r="G89" t="str">
        <f ca="1">OFFSET(Industries!F$1,MATCH(Table1[[#This Row],[Ticker]],Industries!$A$2:$A$140,0),0)</f>
        <v>A-</v>
      </c>
      <c r="H89" t="s">
        <v>1434</v>
      </c>
      <c r="I89" t="s">
        <v>1434</v>
      </c>
      <c r="J89" s="2">
        <v>45379</v>
      </c>
      <c r="K89" t="s">
        <v>21</v>
      </c>
      <c r="L89" t="s">
        <v>1708</v>
      </c>
      <c r="M89" t="s">
        <v>1709</v>
      </c>
      <c r="N89" s="1"/>
      <c r="O89" t="s">
        <v>4</v>
      </c>
      <c r="P89" s="1">
        <v>0.28082107843137255</v>
      </c>
      <c r="Q89" s="1" t="s">
        <v>1636</v>
      </c>
      <c r="R89" t="s">
        <v>24</v>
      </c>
      <c r="S89" t="s">
        <v>90</v>
      </c>
      <c r="T89" t="s">
        <v>732</v>
      </c>
      <c r="U89" s="1">
        <v>0.15</v>
      </c>
    </row>
    <row r="90" spans="1:22" x14ac:dyDescent="0.3">
      <c r="A90" t="s">
        <v>271</v>
      </c>
      <c r="B90" t="str">
        <f ca="1">OFFSET(Industries!C$1,MATCH(Table1[[#This Row],[Ticker]],Industries!$A$2:$A$150,0),0)</f>
        <v>Consumer Staples</v>
      </c>
      <c r="C90" t="str">
        <f ca="1">OFFSET(Industries!D$1,MATCH(Table1[[#This Row],[Ticker]],Industries!$A$2:$A$150,0),0)</f>
        <v>Food, Beverage and Tobacco</v>
      </c>
      <c r="D90" t="str">
        <f ca="1">OFFSET(Industries!E$1,MATCH(Table1[[#This Row],[Ticker]],Industries!$A$2:$A$150,0),0)</f>
        <v>Tobacco</v>
      </c>
      <c r="E90" t="s">
        <v>59</v>
      </c>
      <c r="F90" t="str">
        <f ca="1">OFFSET(Industries!B$1,MATCH(Table1[[#This Row],[Ticker]],Industries!$A$2:$A$140,0),0)</f>
        <v>Mega-Cap</v>
      </c>
      <c r="G90" t="str">
        <f ca="1">OFFSET(Industries!F$1,MATCH(Table1[[#This Row],[Ticker]],Industries!$A$2:$A$140,0),0)</f>
        <v>A-</v>
      </c>
      <c r="H90" t="s">
        <v>1434</v>
      </c>
      <c r="I90" t="s">
        <v>1434</v>
      </c>
      <c r="J90" s="2">
        <v>45379</v>
      </c>
      <c r="K90" t="s">
        <v>21</v>
      </c>
      <c r="L90" t="s">
        <v>1708</v>
      </c>
      <c r="M90" t="s">
        <v>1709</v>
      </c>
      <c r="N90" s="1"/>
      <c r="O90" t="s">
        <v>4</v>
      </c>
      <c r="P90" s="1">
        <v>0.28082107843137255</v>
      </c>
      <c r="Q90" s="1" t="s">
        <v>1636</v>
      </c>
      <c r="R90" t="s">
        <v>62</v>
      </c>
      <c r="S90" t="s">
        <v>63</v>
      </c>
      <c r="T90" t="s">
        <v>63</v>
      </c>
      <c r="U90" s="1">
        <v>0.2</v>
      </c>
    </row>
    <row r="91" spans="1:22" x14ac:dyDescent="0.3">
      <c r="A91" t="s">
        <v>271</v>
      </c>
      <c r="B91" t="str">
        <f ca="1">OFFSET(Industries!C$1,MATCH(Table1[[#This Row],[Ticker]],Industries!$A$2:$A$150,0),0)</f>
        <v>Consumer Staples</v>
      </c>
      <c r="C91" t="str">
        <f ca="1">OFFSET(Industries!D$1,MATCH(Table1[[#This Row],[Ticker]],Industries!$A$2:$A$150,0),0)</f>
        <v>Food, Beverage and Tobacco</v>
      </c>
      <c r="D91" t="str">
        <f ca="1">OFFSET(Industries!E$1,MATCH(Table1[[#This Row],[Ticker]],Industries!$A$2:$A$150,0),0)</f>
        <v>Tobacco</v>
      </c>
      <c r="E91" t="s">
        <v>59</v>
      </c>
      <c r="F91" t="str">
        <f ca="1">OFFSET(Industries!B$1,MATCH(Table1[[#This Row],[Ticker]],Industries!$A$2:$A$140,0),0)</f>
        <v>Mega-Cap</v>
      </c>
      <c r="G91" t="str">
        <f ca="1">OFFSET(Industries!F$1,MATCH(Table1[[#This Row],[Ticker]],Industries!$A$2:$A$140,0),0)</f>
        <v>A-</v>
      </c>
      <c r="H91" t="s">
        <v>1434</v>
      </c>
      <c r="I91" t="s">
        <v>1434</v>
      </c>
      <c r="J91" s="2">
        <v>45379</v>
      </c>
      <c r="K91" t="s">
        <v>21</v>
      </c>
      <c r="L91" t="s">
        <v>1708</v>
      </c>
      <c r="M91" t="s">
        <v>1709</v>
      </c>
      <c r="N91" s="1"/>
      <c r="O91" t="s">
        <v>4</v>
      </c>
      <c r="P91" s="1">
        <v>0.28082107843137255</v>
      </c>
      <c r="Q91" s="1" t="s">
        <v>1637</v>
      </c>
      <c r="R91" t="s">
        <v>25</v>
      </c>
      <c r="S91" t="s">
        <v>26</v>
      </c>
      <c r="T91" t="s">
        <v>64</v>
      </c>
      <c r="U91" s="1">
        <v>0.15</v>
      </c>
    </row>
    <row r="92" spans="1:22" x14ac:dyDescent="0.3">
      <c r="A92" t="s">
        <v>271</v>
      </c>
      <c r="B92" t="str">
        <f ca="1">OFFSET(Industries!C$1,MATCH(Table1[[#This Row],[Ticker]],Industries!$A$2:$A$150,0),0)</f>
        <v>Consumer Staples</v>
      </c>
      <c r="C92" t="str">
        <f ca="1">OFFSET(Industries!D$1,MATCH(Table1[[#This Row],[Ticker]],Industries!$A$2:$A$150,0),0)</f>
        <v>Food, Beverage and Tobacco</v>
      </c>
      <c r="D92" t="str">
        <f ca="1">OFFSET(Industries!E$1,MATCH(Table1[[#This Row],[Ticker]],Industries!$A$2:$A$150,0),0)</f>
        <v>Tobacco</v>
      </c>
      <c r="E92" t="s">
        <v>59</v>
      </c>
      <c r="F92" t="str">
        <f ca="1">OFFSET(Industries!B$1,MATCH(Table1[[#This Row],[Ticker]],Industries!$A$2:$A$140,0),0)</f>
        <v>Mega-Cap</v>
      </c>
      <c r="G92" t="str">
        <f ca="1">OFFSET(Industries!F$1,MATCH(Table1[[#This Row],[Ticker]],Industries!$A$2:$A$140,0),0)</f>
        <v>A-</v>
      </c>
      <c r="H92" t="s">
        <v>1434</v>
      </c>
      <c r="I92" t="s">
        <v>1434</v>
      </c>
      <c r="J92" s="2">
        <v>45379</v>
      </c>
      <c r="K92" t="s">
        <v>21</v>
      </c>
      <c r="L92" t="s">
        <v>1708</v>
      </c>
      <c r="M92" t="s">
        <v>1709</v>
      </c>
      <c r="N92" s="1"/>
      <c r="O92" t="s">
        <v>4</v>
      </c>
      <c r="P92" s="1">
        <v>0.28082107843137255</v>
      </c>
      <c r="R92" t="s">
        <v>28</v>
      </c>
      <c r="S92" t="s">
        <v>1091</v>
      </c>
      <c r="T92" t="s">
        <v>65</v>
      </c>
    </row>
    <row r="93" spans="1:22" x14ac:dyDescent="0.3">
      <c r="A93" t="s">
        <v>271</v>
      </c>
      <c r="B93" t="str">
        <f ca="1">OFFSET(Industries!C$1,MATCH(Table1[[#This Row],[Ticker]],Industries!$A$2:$A$150,0),0)</f>
        <v>Consumer Staples</v>
      </c>
      <c r="C93" t="str">
        <f ca="1">OFFSET(Industries!D$1,MATCH(Table1[[#This Row],[Ticker]],Industries!$A$2:$A$150,0),0)</f>
        <v>Food, Beverage and Tobacco</v>
      </c>
      <c r="D93" t="str">
        <f ca="1">OFFSET(Industries!E$1,MATCH(Table1[[#This Row],[Ticker]],Industries!$A$2:$A$150,0),0)</f>
        <v>Tobacco</v>
      </c>
      <c r="E93" t="s">
        <v>59</v>
      </c>
      <c r="F93" t="str">
        <f ca="1">OFFSET(Industries!B$1,MATCH(Table1[[#This Row],[Ticker]],Industries!$A$2:$A$140,0),0)</f>
        <v>Mega-Cap</v>
      </c>
      <c r="G93" t="str">
        <f ca="1">OFFSET(Industries!F$1,MATCH(Table1[[#This Row],[Ticker]],Industries!$A$2:$A$140,0),0)</f>
        <v>A-</v>
      </c>
      <c r="H93" t="s">
        <v>1434</v>
      </c>
      <c r="I93" t="s">
        <v>1434</v>
      </c>
      <c r="J93" s="2">
        <v>45379</v>
      </c>
      <c r="K93" t="s">
        <v>21</v>
      </c>
      <c r="L93" t="s">
        <v>1708</v>
      </c>
      <c r="M93" t="s">
        <v>1709</v>
      </c>
      <c r="N93" s="1"/>
      <c r="O93" t="s">
        <v>4</v>
      </c>
      <c r="P93" s="1">
        <v>0.28082107843137255</v>
      </c>
      <c r="R93" t="s">
        <v>28</v>
      </c>
      <c r="S93" t="s">
        <v>1087</v>
      </c>
      <c r="T93" t="s">
        <v>40</v>
      </c>
    </row>
    <row r="94" spans="1:22" x14ac:dyDescent="0.3">
      <c r="A94" t="s">
        <v>271</v>
      </c>
      <c r="B94" t="str">
        <f ca="1">OFFSET(Industries!C$1,MATCH(Table1[[#This Row],[Ticker]],Industries!$A$2:$A$150,0),0)</f>
        <v>Consumer Staples</v>
      </c>
      <c r="C94" t="str">
        <f ca="1">OFFSET(Industries!D$1,MATCH(Table1[[#This Row],[Ticker]],Industries!$A$2:$A$150,0),0)</f>
        <v>Food, Beverage and Tobacco</v>
      </c>
      <c r="D94" t="str">
        <f ca="1">OFFSET(Industries!E$1,MATCH(Table1[[#This Row],[Ticker]],Industries!$A$2:$A$150,0),0)</f>
        <v>Tobacco</v>
      </c>
      <c r="E94" t="s">
        <v>59</v>
      </c>
      <c r="F94" t="str">
        <f ca="1">OFFSET(Industries!B$1,MATCH(Table1[[#This Row],[Ticker]],Industries!$A$2:$A$140,0),0)</f>
        <v>Mega-Cap</v>
      </c>
      <c r="G94" t="str">
        <f ca="1">OFFSET(Industries!F$1,MATCH(Table1[[#This Row],[Ticker]],Industries!$A$2:$A$140,0),0)</f>
        <v>A-</v>
      </c>
      <c r="H94" t="s">
        <v>1434</v>
      </c>
      <c r="I94" t="s">
        <v>1434</v>
      </c>
      <c r="J94" s="2">
        <v>45379</v>
      </c>
      <c r="K94" t="s">
        <v>21</v>
      </c>
      <c r="L94" t="s">
        <v>1710</v>
      </c>
      <c r="M94" t="s">
        <v>1709</v>
      </c>
      <c r="N94" s="1">
        <f>Table1[[#This Row],[Consideration Weight]]</f>
        <v>0.27474264705882356</v>
      </c>
      <c r="O94" t="s">
        <v>476</v>
      </c>
      <c r="P94" s="1">
        <v>0.27474264705882356</v>
      </c>
      <c r="Q94" s="1" t="s">
        <v>1646</v>
      </c>
      <c r="R94" t="s">
        <v>35</v>
      </c>
      <c r="S94" t="s">
        <v>29</v>
      </c>
      <c r="T94" t="s">
        <v>30</v>
      </c>
      <c r="U94" s="1">
        <v>0.4</v>
      </c>
    </row>
    <row r="95" spans="1:22" x14ac:dyDescent="0.3">
      <c r="A95" t="s">
        <v>271</v>
      </c>
      <c r="B95" t="str">
        <f ca="1">OFFSET(Industries!C$1,MATCH(Table1[[#This Row],[Ticker]],Industries!$A$2:$A$150,0),0)</f>
        <v>Consumer Staples</v>
      </c>
      <c r="C95" t="str">
        <f ca="1">OFFSET(Industries!D$1,MATCH(Table1[[#This Row],[Ticker]],Industries!$A$2:$A$150,0),0)</f>
        <v>Food, Beverage and Tobacco</v>
      </c>
      <c r="D95" t="str">
        <f ca="1">OFFSET(Industries!E$1,MATCH(Table1[[#This Row],[Ticker]],Industries!$A$2:$A$150,0),0)</f>
        <v>Tobacco</v>
      </c>
      <c r="E95" t="s">
        <v>59</v>
      </c>
      <c r="F95" t="str">
        <f ca="1">OFFSET(Industries!B$1,MATCH(Table1[[#This Row],[Ticker]],Industries!$A$2:$A$140,0),0)</f>
        <v>Mega-Cap</v>
      </c>
      <c r="G95" t="str">
        <f ca="1">OFFSET(Industries!F$1,MATCH(Table1[[#This Row],[Ticker]],Industries!$A$2:$A$140,0),0)</f>
        <v>A-</v>
      </c>
      <c r="H95" t="s">
        <v>1434</v>
      </c>
      <c r="I95" t="s">
        <v>1434</v>
      </c>
      <c r="J95" s="2">
        <v>45379</v>
      </c>
      <c r="K95" t="s">
        <v>21</v>
      </c>
      <c r="L95" t="s">
        <v>1710</v>
      </c>
      <c r="M95" t="s">
        <v>1709</v>
      </c>
      <c r="N95" s="1"/>
      <c r="O95" t="s">
        <v>476</v>
      </c>
      <c r="P95" s="1">
        <v>0.27474264705882356</v>
      </c>
      <c r="Q95" s="1" t="s">
        <v>1636</v>
      </c>
      <c r="R95" t="s">
        <v>24</v>
      </c>
      <c r="S95" t="s">
        <v>1089</v>
      </c>
      <c r="T95" t="s">
        <v>72</v>
      </c>
      <c r="U95" s="1">
        <v>0.3</v>
      </c>
    </row>
    <row r="96" spans="1:22" x14ac:dyDescent="0.3">
      <c r="A96" t="s">
        <v>271</v>
      </c>
      <c r="B96" t="str">
        <f ca="1">OFFSET(Industries!C$1,MATCH(Table1[[#This Row],[Ticker]],Industries!$A$2:$A$150,0),0)</f>
        <v>Consumer Staples</v>
      </c>
      <c r="C96" t="str">
        <f ca="1">OFFSET(Industries!D$1,MATCH(Table1[[#This Row],[Ticker]],Industries!$A$2:$A$150,0),0)</f>
        <v>Food, Beverage and Tobacco</v>
      </c>
      <c r="D96" t="str">
        <f ca="1">OFFSET(Industries!E$1,MATCH(Table1[[#This Row],[Ticker]],Industries!$A$2:$A$150,0),0)</f>
        <v>Tobacco</v>
      </c>
      <c r="E96" t="s">
        <v>59</v>
      </c>
      <c r="F96" t="str">
        <f ca="1">OFFSET(Industries!B$1,MATCH(Table1[[#This Row],[Ticker]],Industries!$A$2:$A$140,0),0)</f>
        <v>Mega-Cap</v>
      </c>
      <c r="G96" t="str">
        <f ca="1">OFFSET(Industries!F$1,MATCH(Table1[[#This Row],[Ticker]],Industries!$A$2:$A$140,0),0)</f>
        <v>A-</v>
      </c>
      <c r="H96" t="s">
        <v>1434</v>
      </c>
      <c r="I96" t="s">
        <v>1434</v>
      </c>
      <c r="J96" s="2">
        <v>45379</v>
      </c>
      <c r="K96" t="s">
        <v>21</v>
      </c>
      <c r="L96" t="s">
        <v>1710</v>
      </c>
      <c r="M96" t="s">
        <v>1709</v>
      </c>
      <c r="N96" s="1"/>
      <c r="O96" t="s">
        <v>476</v>
      </c>
      <c r="P96" s="1">
        <v>0.27474264705882356</v>
      </c>
      <c r="Q96" s="1" t="s">
        <v>1637</v>
      </c>
      <c r="R96" t="s">
        <v>26</v>
      </c>
      <c r="S96" t="s">
        <v>26</v>
      </c>
      <c r="T96" t="s">
        <v>421</v>
      </c>
      <c r="U96" s="1">
        <v>0.3</v>
      </c>
    </row>
    <row r="97" spans="1:22" x14ac:dyDescent="0.3">
      <c r="A97" t="s">
        <v>271</v>
      </c>
      <c r="B97" t="str">
        <f ca="1">OFFSET(Industries!C$1,MATCH(Table1[[#This Row],[Ticker]],Industries!$A$2:$A$150,0),0)</f>
        <v>Consumer Staples</v>
      </c>
      <c r="C97" t="str">
        <f ca="1">OFFSET(Industries!D$1,MATCH(Table1[[#This Row],[Ticker]],Industries!$A$2:$A$150,0),0)</f>
        <v>Food, Beverage and Tobacco</v>
      </c>
      <c r="D97" t="str">
        <f ca="1">OFFSET(Industries!E$1,MATCH(Table1[[#This Row],[Ticker]],Industries!$A$2:$A$150,0),0)</f>
        <v>Tobacco</v>
      </c>
      <c r="E97" t="s">
        <v>59</v>
      </c>
      <c r="F97" t="str">
        <f ca="1">OFFSET(Industries!B$1,MATCH(Table1[[#This Row],[Ticker]],Industries!$A$2:$A$140,0),0)</f>
        <v>Mega-Cap</v>
      </c>
      <c r="G97" t="str">
        <f ca="1">OFFSET(Industries!F$1,MATCH(Table1[[#This Row],[Ticker]],Industries!$A$2:$A$140,0),0)</f>
        <v>A-</v>
      </c>
      <c r="H97" t="s">
        <v>1434</v>
      </c>
      <c r="I97" t="s">
        <v>1434</v>
      </c>
      <c r="J97" s="2">
        <v>45379</v>
      </c>
      <c r="K97" t="s">
        <v>21</v>
      </c>
      <c r="L97" t="s">
        <v>1710</v>
      </c>
      <c r="M97" t="s">
        <v>1709</v>
      </c>
      <c r="N97" s="1"/>
      <c r="O97" t="s">
        <v>476</v>
      </c>
      <c r="P97" s="1">
        <v>0.27474264705882356</v>
      </c>
      <c r="R97" t="s">
        <v>28</v>
      </c>
      <c r="S97" t="s">
        <v>1095</v>
      </c>
      <c r="T97" t="s">
        <v>55</v>
      </c>
    </row>
    <row r="98" spans="1:22" x14ac:dyDescent="0.3">
      <c r="A98" t="s">
        <v>271</v>
      </c>
      <c r="B98" t="str">
        <f ca="1">OFFSET(Industries!C$1,MATCH(Table1[[#This Row],[Ticker]],Industries!$A$2:$A$150,0),0)</f>
        <v>Consumer Staples</v>
      </c>
      <c r="C98" t="str">
        <f ca="1">OFFSET(Industries!D$1,MATCH(Table1[[#This Row],[Ticker]],Industries!$A$2:$A$150,0),0)</f>
        <v>Food, Beverage and Tobacco</v>
      </c>
      <c r="D98" t="str">
        <f ca="1">OFFSET(Industries!E$1,MATCH(Table1[[#This Row],[Ticker]],Industries!$A$2:$A$150,0),0)</f>
        <v>Tobacco</v>
      </c>
      <c r="E98" t="s">
        <v>59</v>
      </c>
      <c r="F98" t="str">
        <f ca="1">OFFSET(Industries!B$1,MATCH(Table1[[#This Row],[Ticker]],Industries!$A$2:$A$140,0),0)</f>
        <v>Mega-Cap</v>
      </c>
      <c r="G98" t="str">
        <f ca="1">OFFSET(Industries!F$1,MATCH(Table1[[#This Row],[Ticker]],Industries!$A$2:$A$140,0),0)</f>
        <v>A-</v>
      </c>
      <c r="H98" t="s">
        <v>1434</v>
      </c>
      <c r="I98" t="s">
        <v>1434</v>
      </c>
      <c r="J98" s="2">
        <v>45379</v>
      </c>
      <c r="K98" t="s">
        <v>21</v>
      </c>
      <c r="L98" t="s">
        <v>1710</v>
      </c>
      <c r="M98" t="s">
        <v>1709</v>
      </c>
      <c r="N98" s="1"/>
      <c r="O98" t="s">
        <v>476</v>
      </c>
      <c r="P98" s="1">
        <v>0.27474264705882356</v>
      </c>
      <c r="R98" t="s">
        <v>28</v>
      </c>
      <c r="S98" t="s">
        <v>1091</v>
      </c>
      <c r="T98" t="s">
        <v>75</v>
      </c>
    </row>
    <row r="99" spans="1:22" x14ac:dyDescent="0.3">
      <c r="A99" t="s">
        <v>271</v>
      </c>
      <c r="B99" t="str">
        <f ca="1">OFFSET(Industries!C$1,MATCH(Table1[[#This Row],[Ticker]],Industries!$A$2:$A$150,0),0)</f>
        <v>Consumer Staples</v>
      </c>
      <c r="C99" t="str">
        <f ca="1">OFFSET(Industries!D$1,MATCH(Table1[[#This Row],[Ticker]],Industries!$A$2:$A$150,0),0)</f>
        <v>Food, Beverage and Tobacco</v>
      </c>
      <c r="D99" t="str">
        <f ca="1">OFFSET(Industries!E$1,MATCH(Table1[[#This Row],[Ticker]],Industries!$A$2:$A$150,0),0)</f>
        <v>Tobacco</v>
      </c>
      <c r="E99" t="s">
        <v>59</v>
      </c>
      <c r="F99" t="str">
        <f ca="1">OFFSET(Industries!B$1,MATCH(Table1[[#This Row],[Ticker]],Industries!$A$2:$A$140,0),0)</f>
        <v>Mega-Cap</v>
      </c>
      <c r="G99" t="str">
        <f ca="1">OFFSET(Industries!F$1,MATCH(Table1[[#This Row],[Ticker]],Industries!$A$2:$A$140,0),0)</f>
        <v>A-</v>
      </c>
      <c r="H99" t="s">
        <v>1434</v>
      </c>
      <c r="I99" t="s">
        <v>1434</v>
      </c>
      <c r="J99" s="2">
        <v>45379</v>
      </c>
      <c r="K99" t="s">
        <v>21</v>
      </c>
      <c r="L99" t="s">
        <v>1710</v>
      </c>
      <c r="M99" t="s">
        <v>1709</v>
      </c>
      <c r="N99" s="1"/>
      <c r="O99" t="s">
        <v>476</v>
      </c>
      <c r="P99" s="1">
        <v>0.27474264705882356</v>
      </c>
      <c r="R99" t="s">
        <v>28</v>
      </c>
      <c r="S99" t="s">
        <v>1093</v>
      </c>
      <c r="T99" t="s">
        <v>77</v>
      </c>
    </row>
    <row r="100" spans="1:22" x14ac:dyDescent="0.3">
      <c r="A100" t="s">
        <v>271</v>
      </c>
      <c r="B100" t="str">
        <f ca="1">OFFSET(Industries!C$1,MATCH(Table1[[#This Row],[Ticker]],Industries!$A$2:$A$150,0),0)</f>
        <v>Consumer Staples</v>
      </c>
      <c r="C100" t="str">
        <f ca="1">OFFSET(Industries!D$1,MATCH(Table1[[#This Row],[Ticker]],Industries!$A$2:$A$150,0),0)</f>
        <v>Food, Beverage and Tobacco</v>
      </c>
      <c r="D100" t="str">
        <f ca="1">OFFSET(Industries!E$1,MATCH(Table1[[#This Row],[Ticker]],Industries!$A$2:$A$150,0),0)</f>
        <v>Tobacco</v>
      </c>
      <c r="E100" t="s">
        <v>59</v>
      </c>
      <c r="F100" t="str">
        <f ca="1">OFFSET(Industries!B$1,MATCH(Table1[[#This Row],[Ticker]],Industries!$A$2:$A$140,0),0)</f>
        <v>Mega-Cap</v>
      </c>
      <c r="G100" t="str">
        <f ca="1">OFFSET(Industries!F$1,MATCH(Table1[[#This Row],[Ticker]],Industries!$A$2:$A$140,0),0)</f>
        <v>A-</v>
      </c>
      <c r="H100" t="s">
        <v>1434</v>
      </c>
      <c r="I100" t="s">
        <v>1434</v>
      </c>
      <c r="J100" s="2">
        <v>45379</v>
      </c>
      <c r="K100" t="s">
        <v>21</v>
      </c>
      <c r="L100" t="s">
        <v>1710</v>
      </c>
      <c r="M100" t="s">
        <v>1709</v>
      </c>
      <c r="N100" s="1"/>
      <c r="O100" t="s">
        <v>476</v>
      </c>
      <c r="P100" s="1">
        <v>0.27474264705882356</v>
      </c>
      <c r="R100" t="s">
        <v>28</v>
      </c>
      <c r="S100" t="s">
        <v>1087</v>
      </c>
      <c r="T100" t="s">
        <v>40</v>
      </c>
    </row>
    <row r="101" spans="1:22" x14ac:dyDescent="0.3">
      <c r="A101" t="s">
        <v>271</v>
      </c>
      <c r="B101" t="str">
        <f ca="1">OFFSET(Industries!C$1,MATCH(Table1[[#This Row],[Ticker]],Industries!$A$2:$A$150,0),0)</f>
        <v>Consumer Staples</v>
      </c>
      <c r="C101" t="str">
        <f ca="1">OFFSET(Industries!D$1,MATCH(Table1[[#This Row],[Ticker]],Industries!$A$2:$A$150,0),0)</f>
        <v>Food, Beverage and Tobacco</v>
      </c>
      <c r="D101" t="str">
        <f ca="1">OFFSET(Industries!E$1,MATCH(Table1[[#This Row],[Ticker]],Industries!$A$2:$A$150,0),0)</f>
        <v>Tobacco</v>
      </c>
      <c r="E101" t="s">
        <v>59</v>
      </c>
      <c r="F101" t="str">
        <f ca="1">OFFSET(Industries!B$1,MATCH(Table1[[#This Row],[Ticker]],Industries!$A$2:$A$140,0),0)</f>
        <v>Mega-Cap</v>
      </c>
      <c r="G101" t="str">
        <f ca="1">OFFSET(Industries!F$1,MATCH(Table1[[#This Row],[Ticker]],Industries!$A$2:$A$140,0),0)</f>
        <v>A-</v>
      </c>
      <c r="H101" t="s">
        <v>1434</v>
      </c>
      <c r="I101" t="s">
        <v>1434</v>
      </c>
      <c r="J101" s="2">
        <v>45379</v>
      </c>
      <c r="K101" t="s">
        <v>21</v>
      </c>
      <c r="L101" t="s">
        <v>1710</v>
      </c>
      <c r="M101" t="s">
        <v>1711</v>
      </c>
      <c r="N101" s="1">
        <f>Table1[[#This Row],[Consideration Weight]]</f>
        <v>0.19174019607843137</v>
      </c>
      <c r="O101" t="s">
        <v>194</v>
      </c>
      <c r="P101" s="1">
        <v>0.19174019607843137</v>
      </c>
    </row>
    <row r="102" spans="1:22" x14ac:dyDescent="0.3">
      <c r="A102" t="s">
        <v>272</v>
      </c>
      <c r="B102" t="str">
        <f ca="1">OFFSET(Industries!C$1,MATCH(Table1[[#This Row],[Ticker]],Industries!$A$2:$A$150,0),0)</f>
        <v>Health Care</v>
      </c>
      <c r="C102" t="str">
        <f ca="1">OFFSET(Industries!D$1,MATCH(Table1[[#This Row],[Ticker]],Industries!$A$2:$A$150,0),0)</f>
        <v>Health Care Equipment and Services</v>
      </c>
      <c r="D102" t="str">
        <f ca="1">OFFSET(Industries!E$1,MATCH(Table1[[#This Row],[Ticker]],Industries!$A$2:$A$150,0),0)</f>
        <v>Health Care Providers and Services</v>
      </c>
      <c r="E102" t="s">
        <v>80</v>
      </c>
      <c r="F102" t="str">
        <f ca="1">OFFSET(Industries!B$1,MATCH(Table1[[#This Row],[Ticker]],Industries!$A$2:$A$140,0),0)</f>
        <v>Mega-Cap</v>
      </c>
      <c r="G102" t="str">
        <f ca="1">OFFSET(Industries!F$1,MATCH(Table1[[#This Row],[Ticker]],Industries!$A$2:$A$140,0),0)</f>
        <v>A+</v>
      </c>
      <c r="H102" t="s">
        <v>1434</v>
      </c>
      <c r="I102" t="s">
        <v>1434</v>
      </c>
      <c r="J102" s="2">
        <v>45404</v>
      </c>
      <c r="K102" t="s">
        <v>2</v>
      </c>
      <c r="L102" t="s">
        <v>3</v>
      </c>
      <c r="M102" t="s">
        <v>1711</v>
      </c>
      <c r="N102" s="1">
        <f>Table1[[#This Row],[Consideration Weight]]</f>
        <v>0.06</v>
      </c>
      <c r="O102" t="s">
        <v>3</v>
      </c>
      <c r="P102" s="1">
        <v>0.06</v>
      </c>
    </row>
    <row r="103" spans="1:22" x14ac:dyDescent="0.3">
      <c r="A103" t="s">
        <v>272</v>
      </c>
      <c r="B103" t="str">
        <f ca="1">OFFSET(Industries!C$1,MATCH(Table1[[#This Row],[Ticker]],Industries!$A$2:$A$150,0),0)</f>
        <v>Health Care</v>
      </c>
      <c r="C103" t="str">
        <f ca="1">OFFSET(Industries!D$1,MATCH(Table1[[#This Row],[Ticker]],Industries!$A$2:$A$150,0),0)</f>
        <v>Health Care Equipment and Services</v>
      </c>
      <c r="D103" t="str">
        <f ca="1">OFFSET(Industries!E$1,MATCH(Table1[[#This Row],[Ticker]],Industries!$A$2:$A$150,0),0)</f>
        <v>Health Care Providers and Services</v>
      </c>
      <c r="E103" t="s">
        <v>80</v>
      </c>
      <c r="F103" t="str">
        <f ca="1">OFFSET(Industries!B$1,MATCH(Table1[[#This Row],[Ticker]],Industries!$A$2:$A$140,0),0)</f>
        <v>Mega-Cap</v>
      </c>
      <c r="G103" t="str">
        <f ca="1">OFFSET(Industries!F$1,MATCH(Table1[[#This Row],[Ticker]],Industries!$A$2:$A$140,0),0)</f>
        <v>A+</v>
      </c>
      <c r="H103" t="s">
        <v>1434</v>
      </c>
      <c r="I103" t="s">
        <v>1434</v>
      </c>
      <c r="J103" s="2">
        <v>45404</v>
      </c>
      <c r="K103" t="s">
        <v>2</v>
      </c>
      <c r="L103" t="s">
        <v>1708</v>
      </c>
      <c r="M103" t="s">
        <v>1709</v>
      </c>
      <c r="N103" s="1">
        <f>Table1[[#This Row],[Consideration Weight]]</f>
        <v>0.12</v>
      </c>
      <c r="O103" t="s">
        <v>4</v>
      </c>
      <c r="P103" s="1">
        <v>0.12</v>
      </c>
      <c r="Q103" s="1" t="s">
        <v>1636</v>
      </c>
      <c r="R103" t="s">
        <v>23</v>
      </c>
      <c r="S103" t="s">
        <v>1083</v>
      </c>
      <c r="T103" t="s">
        <v>7</v>
      </c>
      <c r="U103" s="1">
        <v>0.3</v>
      </c>
      <c r="V103" t="s">
        <v>88</v>
      </c>
    </row>
    <row r="104" spans="1:22" x14ac:dyDescent="0.3">
      <c r="A104" t="s">
        <v>272</v>
      </c>
      <c r="B104" t="str">
        <f ca="1">OFFSET(Industries!C$1,MATCH(Table1[[#This Row],[Ticker]],Industries!$A$2:$A$150,0),0)</f>
        <v>Health Care</v>
      </c>
      <c r="C104" t="str">
        <f ca="1">OFFSET(Industries!D$1,MATCH(Table1[[#This Row],[Ticker]],Industries!$A$2:$A$150,0),0)</f>
        <v>Health Care Equipment and Services</v>
      </c>
      <c r="D104" t="str">
        <f ca="1">OFFSET(Industries!E$1,MATCH(Table1[[#This Row],[Ticker]],Industries!$A$2:$A$150,0),0)</f>
        <v>Health Care Providers and Services</v>
      </c>
      <c r="E104" t="s">
        <v>80</v>
      </c>
      <c r="F104" t="str">
        <f ca="1">OFFSET(Industries!B$1,MATCH(Table1[[#This Row],[Ticker]],Industries!$A$2:$A$140,0),0)</f>
        <v>Mega-Cap</v>
      </c>
      <c r="G104" t="str">
        <f ca="1">OFFSET(Industries!F$1,MATCH(Table1[[#This Row],[Ticker]],Industries!$A$2:$A$140,0),0)</f>
        <v>A+</v>
      </c>
      <c r="H104" t="s">
        <v>1434</v>
      </c>
      <c r="I104" t="s">
        <v>1434</v>
      </c>
      <c r="J104" s="2">
        <v>45404</v>
      </c>
      <c r="K104" t="s">
        <v>2</v>
      </c>
      <c r="L104" t="s">
        <v>1708</v>
      </c>
      <c r="M104" t="s">
        <v>1709</v>
      </c>
      <c r="N104" s="1"/>
      <c r="O104" t="s">
        <v>4</v>
      </c>
      <c r="P104" s="1">
        <v>0.12</v>
      </c>
      <c r="Q104" s="1" t="s">
        <v>1636</v>
      </c>
      <c r="R104" t="s">
        <v>24</v>
      </c>
      <c r="S104" t="s">
        <v>90</v>
      </c>
      <c r="T104" t="s">
        <v>8</v>
      </c>
      <c r="U104" s="1">
        <v>0.3</v>
      </c>
      <c r="V104" t="s">
        <v>88</v>
      </c>
    </row>
    <row r="105" spans="1:22" x14ac:dyDescent="0.3">
      <c r="A105" t="s">
        <v>272</v>
      </c>
      <c r="B105" t="str">
        <f ca="1">OFFSET(Industries!C$1,MATCH(Table1[[#This Row],[Ticker]],Industries!$A$2:$A$150,0),0)</f>
        <v>Health Care</v>
      </c>
      <c r="C105" t="str">
        <f ca="1">OFFSET(Industries!D$1,MATCH(Table1[[#This Row],[Ticker]],Industries!$A$2:$A$150,0),0)</f>
        <v>Health Care Equipment and Services</v>
      </c>
      <c r="D105" t="str">
        <f ca="1">OFFSET(Industries!E$1,MATCH(Table1[[#This Row],[Ticker]],Industries!$A$2:$A$150,0),0)</f>
        <v>Health Care Providers and Services</v>
      </c>
      <c r="E105" t="s">
        <v>80</v>
      </c>
      <c r="F105" t="str">
        <f ca="1">OFFSET(Industries!B$1,MATCH(Table1[[#This Row],[Ticker]],Industries!$A$2:$A$140,0),0)</f>
        <v>Mega-Cap</v>
      </c>
      <c r="G105" t="str">
        <f ca="1">OFFSET(Industries!F$1,MATCH(Table1[[#This Row],[Ticker]],Industries!$A$2:$A$140,0),0)</f>
        <v>A+</v>
      </c>
      <c r="H105" t="s">
        <v>1434</v>
      </c>
      <c r="I105" t="s">
        <v>1434</v>
      </c>
      <c r="J105" s="2">
        <v>45404</v>
      </c>
      <c r="K105" t="s">
        <v>2</v>
      </c>
      <c r="L105" t="s">
        <v>1708</v>
      </c>
      <c r="M105" t="s">
        <v>1709</v>
      </c>
      <c r="N105" s="1"/>
      <c r="O105" t="s">
        <v>4</v>
      </c>
      <c r="P105" s="1">
        <v>0.12</v>
      </c>
      <c r="Q105" s="1" t="s">
        <v>1636</v>
      </c>
      <c r="R105" t="s">
        <v>62</v>
      </c>
      <c r="S105" t="s">
        <v>63</v>
      </c>
      <c r="T105" t="s">
        <v>81</v>
      </c>
      <c r="U105" s="1">
        <v>0.15</v>
      </c>
      <c r="V105" t="s">
        <v>88</v>
      </c>
    </row>
    <row r="106" spans="1:22" x14ac:dyDescent="0.3">
      <c r="A106" t="s">
        <v>272</v>
      </c>
      <c r="B106" t="str">
        <f ca="1">OFFSET(Industries!C$1,MATCH(Table1[[#This Row],[Ticker]],Industries!$A$2:$A$150,0),0)</f>
        <v>Health Care</v>
      </c>
      <c r="C106" t="str">
        <f ca="1">OFFSET(Industries!D$1,MATCH(Table1[[#This Row],[Ticker]],Industries!$A$2:$A$150,0),0)</f>
        <v>Health Care Equipment and Services</v>
      </c>
      <c r="D106" t="str">
        <f ca="1">OFFSET(Industries!E$1,MATCH(Table1[[#This Row],[Ticker]],Industries!$A$2:$A$150,0),0)</f>
        <v>Health Care Providers and Services</v>
      </c>
      <c r="E106" t="s">
        <v>80</v>
      </c>
      <c r="F106" t="str">
        <f ca="1">OFFSET(Industries!B$1,MATCH(Table1[[#This Row],[Ticker]],Industries!$A$2:$A$140,0),0)</f>
        <v>Mega-Cap</v>
      </c>
      <c r="G106" t="str">
        <f ca="1">OFFSET(Industries!F$1,MATCH(Table1[[#This Row],[Ticker]],Industries!$A$2:$A$140,0),0)</f>
        <v>A+</v>
      </c>
      <c r="H106" t="s">
        <v>1434</v>
      </c>
      <c r="I106" t="s">
        <v>1434</v>
      </c>
      <c r="J106" s="2">
        <v>45404</v>
      </c>
      <c r="K106" t="s">
        <v>2</v>
      </c>
      <c r="L106" t="s">
        <v>1708</v>
      </c>
      <c r="M106" t="s">
        <v>1709</v>
      </c>
      <c r="N106" s="1"/>
      <c r="O106" t="s">
        <v>4</v>
      </c>
      <c r="P106" s="1">
        <v>0.12</v>
      </c>
      <c r="Q106" s="1" t="s">
        <v>1637</v>
      </c>
      <c r="R106" t="s">
        <v>26</v>
      </c>
      <c r="S106" t="s">
        <v>1130</v>
      </c>
      <c r="T106" t="s">
        <v>82</v>
      </c>
      <c r="U106" s="1">
        <v>0.25</v>
      </c>
      <c r="V106" t="s">
        <v>83</v>
      </c>
    </row>
    <row r="107" spans="1:22" x14ac:dyDescent="0.3">
      <c r="A107" t="s">
        <v>272</v>
      </c>
      <c r="B107" t="str">
        <f ca="1">OFFSET(Industries!C$1,MATCH(Table1[[#This Row],[Ticker]],Industries!$A$2:$A$150,0),0)</f>
        <v>Health Care</v>
      </c>
      <c r="C107" t="str">
        <f ca="1">OFFSET(Industries!D$1,MATCH(Table1[[#This Row],[Ticker]],Industries!$A$2:$A$150,0),0)</f>
        <v>Health Care Equipment and Services</v>
      </c>
      <c r="D107" t="str">
        <f ca="1">OFFSET(Industries!E$1,MATCH(Table1[[#This Row],[Ticker]],Industries!$A$2:$A$150,0),0)</f>
        <v>Health Care Providers and Services</v>
      </c>
      <c r="E107" t="s">
        <v>80</v>
      </c>
      <c r="F107" t="str">
        <f ca="1">OFFSET(Industries!B$1,MATCH(Table1[[#This Row],[Ticker]],Industries!$A$2:$A$140,0),0)</f>
        <v>Mega-Cap</v>
      </c>
      <c r="G107" t="str">
        <f ca="1">OFFSET(Industries!F$1,MATCH(Table1[[#This Row],[Ticker]],Industries!$A$2:$A$140,0),0)</f>
        <v>A+</v>
      </c>
      <c r="H107" t="s">
        <v>1434</v>
      </c>
      <c r="I107" t="s">
        <v>1434</v>
      </c>
      <c r="J107" s="2">
        <v>45404</v>
      </c>
      <c r="K107" t="s">
        <v>2</v>
      </c>
      <c r="L107" t="s">
        <v>1708</v>
      </c>
      <c r="M107" t="s">
        <v>1709</v>
      </c>
      <c r="N107" s="1"/>
      <c r="O107" t="s">
        <v>4</v>
      </c>
      <c r="P107" s="1">
        <v>0.12</v>
      </c>
      <c r="R107" t="s">
        <v>28</v>
      </c>
      <c r="S107" t="s">
        <v>1087</v>
      </c>
      <c r="T107" t="s">
        <v>40</v>
      </c>
      <c r="V107" t="s">
        <v>84</v>
      </c>
    </row>
    <row r="108" spans="1:22" x14ac:dyDescent="0.3">
      <c r="A108" t="s">
        <v>272</v>
      </c>
      <c r="B108" t="str">
        <f ca="1">OFFSET(Industries!C$1,MATCH(Table1[[#This Row],[Ticker]],Industries!$A$2:$A$150,0),0)</f>
        <v>Health Care</v>
      </c>
      <c r="C108" t="str">
        <f ca="1">OFFSET(Industries!D$1,MATCH(Table1[[#This Row],[Ticker]],Industries!$A$2:$A$150,0),0)</f>
        <v>Health Care Equipment and Services</v>
      </c>
      <c r="D108" t="str">
        <f ca="1">OFFSET(Industries!E$1,MATCH(Table1[[#This Row],[Ticker]],Industries!$A$2:$A$150,0),0)</f>
        <v>Health Care Providers and Services</v>
      </c>
      <c r="E108" t="s">
        <v>80</v>
      </c>
      <c r="F108" t="str">
        <f ca="1">OFFSET(Industries!B$1,MATCH(Table1[[#This Row],[Ticker]],Industries!$A$2:$A$140,0),0)</f>
        <v>Mega-Cap</v>
      </c>
      <c r="G108" t="str">
        <f ca="1">OFFSET(Industries!F$1,MATCH(Table1[[#This Row],[Ticker]],Industries!$A$2:$A$140,0),0)</f>
        <v>A+</v>
      </c>
      <c r="H108" t="s">
        <v>1434</v>
      </c>
      <c r="I108" t="s">
        <v>1434</v>
      </c>
      <c r="J108" s="2">
        <v>45404</v>
      </c>
      <c r="K108" t="s">
        <v>2</v>
      </c>
      <c r="L108" t="s">
        <v>1710</v>
      </c>
      <c r="M108" t="s">
        <v>1709</v>
      </c>
      <c r="N108" s="1">
        <f>Table1[[#This Row],[Consideration Weight]]</f>
        <v>0.4</v>
      </c>
      <c r="O108" t="s">
        <v>476</v>
      </c>
      <c r="P108" s="1">
        <v>0.4</v>
      </c>
      <c r="Q108" s="1" t="s">
        <v>1636</v>
      </c>
      <c r="R108" t="s">
        <v>24</v>
      </c>
      <c r="S108" t="s">
        <v>1089</v>
      </c>
      <c r="T108" t="s">
        <v>86</v>
      </c>
      <c r="U108" s="1">
        <v>0.5</v>
      </c>
    </row>
    <row r="109" spans="1:22" x14ac:dyDescent="0.3">
      <c r="A109" t="s">
        <v>272</v>
      </c>
      <c r="B109" t="str">
        <f ca="1">OFFSET(Industries!C$1,MATCH(Table1[[#This Row],[Ticker]],Industries!$A$2:$A$150,0),0)</f>
        <v>Health Care</v>
      </c>
      <c r="C109" t="str">
        <f ca="1">OFFSET(Industries!D$1,MATCH(Table1[[#This Row],[Ticker]],Industries!$A$2:$A$150,0),0)</f>
        <v>Health Care Equipment and Services</v>
      </c>
      <c r="D109" t="str">
        <f ca="1">OFFSET(Industries!E$1,MATCH(Table1[[#This Row],[Ticker]],Industries!$A$2:$A$150,0),0)</f>
        <v>Health Care Providers and Services</v>
      </c>
      <c r="E109" t="s">
        <v>80</v>
      </c>
      <c r="F109" t="str">
        <f ca="1">OFFSET(Industries!B$1,MATCH(Table1[[#This Row],[Ticker]],Industries!$A$2:$A$140,0),0)</f>
        <v>Mega-Cap</v>
      </c>
      <c r="G109" t="str">
        <f ca="1">OFFSET(Industries!F$1,MATCH(Table1[[#This Row],[Ticker]],Industries!$A$2:$A$140,0),0)</f>
        <v>A+</v>
      </c>
      <c r="H109" t="s">
        <v>1434</v>
      </c>
      <c r="I109" t="s">
        <v>1434</v>
      </c>
      <c r="J109" s="2">
        <v>45404</v>
      </c>
      <c r="K109" t="s">
        <v>2</v>
      </c>
      <c r="L109" t="s">
        <v>1710</v>
      </c>
      <c r="M109" t="s">
        <v>1709</v>
      </c>
      <c r="N109" s="1"/>
      <c r="O109" t="s">
        <v>476</v>
      </c>
      <c r="P109" s="1">
        <v>0.4</v>
      </c>
      <c r="Q109" s="1" t="s">
        <v>1636</v>
      </c>
      <c r="R109" t="s">
        <v>1059</v>
      </c>
      <c r="S109" t="s">
        <v>1092</v>
      </c>
      <c r="T109" t="s">
        <v>85</v>
      </c>
      <c r="U109" s="1">
        <v>0.5</v>
      </c>
    </row>
    <row r="110" spans="1:22" x14ac:dyDescent="0.3">
      <c r="A110" t="s">
        <v>272</v>
      </c>
      <c r="B110" t="str">
        <f ca="1">OFFSET(Industries!C$1,MATCH(Table1[[#This Row],[Ticker]],Industries!$A$2:$A$150,0),0)</f>
        <v>Health Care</v>
      </c>
      <c r="C110" t="str">
        <f ca="1">OFFSET(Industries!D$1,MATCH(Table1[[#This Row],[Ticker]],Industries!$A$2:$A$150,0),0)</f>
        <v>Health Care Equipment and Services</v>
      </c>
      <c r="D110" t="str">
        <f ca="1">OFFSET(Industries!E$1,MATCH(Table1[[#This Row],[Ticker]],Industries!$A$2:$A$150,0),0)</f>
        <v>Health Care Providers and Services</v>
      </c>
      <c r="E110" t="s">
        <v>80</v>
      </c>
      <c r="F110" t="str">
        <f ca="1">OFFSET(Industries!B$1,MATCH(Table1[[#This Row],[Ticker]],Industries!$A$2:$A$140,0),0)</f>
        <v>Mega-Cap</v>
      </c>
      <c r="G110" t="str">
        <f ca="1">OFFSET(Industries!F$1,MATCH(Table1[[#This Row],[Ticker]],Industries!$A$2:$A$140,0),0)</f>
        <v>A+</v>
      </c>
      <c r="H110" t="s">
        <v>1434</v>
      </c>
      <c r="I110" t="s">
        <v>1434</v>
      </c>
      <c r="J110" s="2">
        <v>45404</v>
      </c>
      <c r="K110" t="s">
        <v>2</v>
      </c>
      <c r="L110" t="s">
        <v>1710</v>
      </c>
      <c r="M110" t="s">
        <v>1711</v>
      </c>
      <c r="N110" s="1">
        <f>Table1[[#This Row],[Consideration Weight]]</f>
        <v>0.21</v>
      </c>
      <c r="O110" t="s">
        <v>194</v>
      </c>
      <c r="P110" s="1">
        <v>0.21</v>
      </c>
    </row>
    <row r="111" spans="1:22" x14ac:dyDescent="0.3">
      <c r="A111" t="s">
        <v>272</v>
      </c>
      <c r="B111" t="str">
        <f ca="1">OFFSET(Industries!C$1,MATCH(Table1[[#This Row],[Ticker]],Industries!$A$2:$A$150,0),0)</f>
        <v>Health Care</v>
      </c>
      <c r="C111" t="str">
        <f ca="1">OFFSET(Industries!D$1,MATCH(Table1[[#This Row],[Ticker]],Industries!$A$2:$A$150,0),0)</f>
        <v>Health Care Equipment and Services</v>
      </c>
      <c r="D111" t="str">
        <f ca="1">OFFSET(Industries!E$1,MATCH(Table1[[#This Row],[Ticker]],Industries!$A$2:$A$150,0),0)</f>
        <v>Health Care Providers and Services</v>
      </c>
      <c r="E111" t="s">
        <v>80</v>
      </c>
      <c r="F111" t="str">
        <f ca="1">OFFSET(Industries!B$1,MATCH(Table1[[#This Row],[Ticker]],Industries!$A$2:$A$140,0),0)</f>
        <v>Mega-Cap</v>
      </c>
      <c r="G111" t="str">
        <f ca="1">OFFSET(Industries!F$1,MATCH(Table1[[#This Row],[Ticker]],Industries!$A$2:$A$140,0),0)</f>
        <v>A+</v>
      </c>
      <c r="H111" t="s">
        <v>1434</v>
      </c>
      <c r="I111" t="s">
        <v>1434</v>
      </c>
      <c r="J111" s="2">
        <v>45404</v>
      </c>
      <c r="K111" t="s">
        <v>2</v>
      </c>
      <c r="L111" t="s">
        <v>1710</v>
      </c>
      <c r="M111" t="s">
        <v>1711</v>
      </c>
      <c r="N111" s="1">
        <f>Table1[[#This Row],[Consideration Weight]]</f>
        <v>0.21</v>
      </c>
      <c r="O111" t="s">
        <v>87</v>
      </c>
      <c r="P111" s="1">
        <v>0.21</v>
      </c>
    </row>
    <row r="112" spans="1:22" x14ac:dyDescent="0.3">
      <c r="A112" t="s">
        <v>272</v>
      </c>
      <c r="B112" t="str">
        <f ca="1">OFFSET(Industries!C$1,MATCH(Table1[[#This Row],[Ticker]],Industries!$A$2:$A$150,0),0)</f>
        <v>Health Care</v>
      </c>
      <c r="C112" t="str">
        <f ca="1">OFFSET(Industries!D$1,MATCH(Table1[[#This Row],[Ticker]],Industries!$A$2:$A$150,0),0)</f>
        <v>Health Care Equipment and Services</v>
      </c>
      <c r="D112" t="str">
        <f ca="1">OFFSET(Industries!E$1,MATCH(Table1[[#This Row],[Ticker]],Industries!$A$2:$A$150,0),0)</f>
        <v>Health Care Providers and Services</v>
      </c>
      <c r="E112" t="s">
        <v>80</v>
      </c>
      <c r="F112" t="str">
        <f ca="1">OFFSET(Industries!B$1,MATCH(Table1[[#This Row],[Ticker]],Industries!$A$2:$A$140,0),0)</f>
        <v>Mega-Cap</v>
      </c>
      <c r="G112" t="str">
        <f ca="1">OFFSET(Industries!F$1,MATCH(Table1[[#This Row],[Ticker]],Industries!$A$2:$A$140,0),0)</f>
        <v>A+</v>
      </c>
      <c r="H112" t="s">
        <v>1434</v>
      </c>
      <c r="I112" t="s">
        <v>1434</v>
      </c>
      <c r="J112" s="2">
        <v>45404</v>
      </c>
      <c r="K112" t="s">
        <v>21</v>
      </c>
      <c r="L112" t="s">
        <v>3</v>
      </c>
      <c r="M112" t="s">
        <v>1711</v>
      </c>
      <c r="N112" s="1">
        <f>Table1[[#This Row],[Consideration Weight]]</f>
        <v>0.08</v>
      </c>
      <c r="O112" t="s">
        <v>3</v>
      </c>
      <c r="P112" s="1">
        <v>0.08</v>
      </c>
    </row>
    <row r="113" spans="1:22" x14ac:dyDescent="0.3">
      <c r="A113" t="s">
        <v>272</v>
      </c>
      <c r="B113" t="str">
        <f ca="1">OFFSET(Industries!C$1,MATCH(Table1[[#This Row],[Ticker]],Industries!$A$2:$A$150,0),0)</f>
        <v>Health Care</v>
      </c>
      <c r="C113" t="str">
        <f ca="1">OFFSET(Industries!D$1,MATCH(Table1[[#This Row],[Ticker]],Industries!$A$2:$A$150,0),0)</f>
        <v>Health Care Equipment and Services</v>
      </c>
      <c r="D113" t="str">
        <f ca="1">OFFSET(Industries!E$1,MATCH(Table1[[#This Row],[Ticker]],Industries!$A$2:$A$150,0),0)</f>
        <v>Health Care Providers and Services</v>
      </c>
      <c r="E113" t="s">
        <v>80</v>
      </c>
      <c r="F113" t="str">
        <f ca="1">OFFSET(Industries!B$1,MATCH(Table1[[#This Row],[Ticker]],Industries!$A$2:$A$140,0),0)</f>
        <v>Mega-Cap</v>
      </c>
      <c r="G113" t="str">
        <f ca="1">OFFSET(Industries!F$1,MATCH(Table1[[#This Row],[Ticker]],Industries!$A$2:$A$140,0),0)</f>
        <v>A+</v>
      </c>
      <c r="H113" t="s">
        <v>1434</v>
      </c>
      <c r="I113" t="s">
        <v>1434</v>
      </c>
      <c r="J113" s="2">
        <v>45404</v>
      </c>
      <c r="K113" t="s">
        <v>21</v>
      </c>
      <c r="L113" t="s">
        <v>1708</v>
      </c>
      <c r="M113" t="s">
        <v>1709</v>
      </c>
      <c r="N113" s="1">
        <f>Table1[[#This Row],[Consideration Weight]]</f>
        <v>0.16</v>
      </c>
      <c r="O113" t="s">
        <v>4</v>
      </c>
      <c r="P113" s="1">
        <v>0.16</v>
      </c>
      <c r="Q113" s="1" t="s">
        <v>1636</v>
      </c>
      <c r="R113" t="s">
        <v>23</v>
      </c>
      <c r="S113" t="s">
        <v>1083</v>
      </c>
      <c r="T113" t="s">
        <v>7</v>
      </c>
      <c r="U113" s="1">
        <v>0.3</v>
      </c>
    </row>
    <row r="114" spans="1:22" x14ac:dyDescent="0.3">
      <c r="A114" t="s">
        <v>272</v>
      </c>
      <c r="B114" t="str">
        <f ca="1">OFFSET(Industries!C$1,MATCH(Table1[[#This Row],[Ticker]],Industries!$A$2:$A$150,0),0)</f>
        <v>Health Care</v>
      </c>
      <c r="C114" t="str">
        <f ca="1">OFFSET(Industries!D$1,MATCH(Table1[[#This Row],[Ticker]],Industries!$A$2:$A$150,0),0)</f>
        <v>Health Care Equipment and Services</v>
      </c>
      <c r="D114" t="str">
        <f ca="1">OFFSET(Industries!E$1,MATCH(Table1[[#This Row],[Ticker]],Industries!$A$2:$A$150,0),0)</f>
        <v>Health Care Providers and Services</v>
      </c>
      <c r="E114" t="s">
        <v>80</v>
      </c>
      <c r="F114" t="str">
        <f ca="1">OFFSET(Industries!B$1,MATCH(Table1[[#This Row],[Ticker]],Industries!$A$2:$A$140,0),0)</f>
        <v>Mega-Cap</v>
      </c>
      <c r="G114" t="str">
        <f ca="1">OFFSET(Industries!F$1,MATCH(Table1[[#This Row],[Ticker]],Industries!$A$2:$A$140,0),0)</f>
        <v>A+</v>
      </c>
      <c r="H114" t="s">
        <v>1434</v>
      </c>
      <c r="I114" t="s">
        <v>1434</v>
      </c>
      <c r="J114" s="2">
        <v>45404</v>
      </c>
      <c r="K114" t="s">
        <v>21</v>
      </c>
      <c r="L114" t="s">
        <v>1708</v>
      </c>
      <c r="M114" t="s">
        <v>1709</v>
      </c>
      <c r="N114" s="1"/>
      <c r="O114" t="s">
        <v>4</v>
      </c>
      <c r="P114" s="1">
        <v>0.16</v>
      </c>
      <c r="Q114" s="1" t="s">
        <v>1636</v>
      </c>
      <c r="R114" t="s">
        <v>24</v>
      </c>
      <c r="S114" t="s">
        <v>90</v>
      </c>
      <c r="T114" t="s">
        <v>8</v>
      </c>
      <c r="U114" s="1">
        <v>0.3</v>
      </c>
    </row>
    <row r="115" spans="1:22" x14ac:dyDescent="0.3">
      <c r="A115" t="s">
        <v>272</v>
      </c>
      <c r="B115" t="str">
        <f ca="1">OFFSET(Industries!C$1,MATCH(Table1[[#This Row],[Ticker]],Industries!$A$2:$A$150,0),0)</f>
        <v>Health Care</v>
      </c>
      <c r="C115" t="str">
        <f ca="1">OFFSET(Industries!D$1,MATCH(Table1[[#This Row],[Ticker]],Industries!$A$2:$A$150,0),0)</f>
        <v>Health Care Equipment and Services</v>
      </c>
      <c r="D115" t="str">
        <f ca="1">OFFSET(Industries!E$1,MATCH(Table1[[#This Row],[Ticker]],Industries!$A$2:$A$150,0),0)</f>
        <v>Health Care Providers and Services</v>
      </c>
      <c r="E115" t="s">
        <v>80</v>
      </c>
      <c r="F115" t="str">
        <f ca="1">OFFSET(Industries!B$1,MATCH(Table1[[#This Row],[Ticker]],Industries!$A$2:$A$140,0),0)</f>
        <v>Mega-Cap</v>
      </c>
      <c r="G115" t="str">
        <f ca="1">OFFSET(Industries!F$1,MATCH(Table1[[#This Row],[Ticker]],Industries!$A$2:$A$140,0),0)</f>
        <v>A+</v>
      </c>
      <c r="H115" t="s">
        <v>1434</v>
      </c>
      <c r="I115" t="s">
        <v>1434</v>
      </c>
      <c r="J115" s="2">
        <v>45404</v>
      </c>
      <c r="K115" t="s">
        <v>21</v>
      </c>
      <c r="L115" t="s">
        <v>1708</v>
      </c>
      <c r="M115" t="s">
        <v>1709</v>
      </c>
      <c r="N115" s="1"/>
      <c r="O115" t="s">
        <v>4</v>
      </c>
      <c r="P115" s="1">
        <v>0.16</v>
      </c>
      <c r="Q115" s="1" t="s">
        <v>1636</v>
      </c>
      <c r="R115" t="s">
        <v>62</v>
      </c>
      <c r="S115" t="s">
        <v>63</v>
      </c>
      <c r="T115" t="s">
        <v>81</v>
      </c>
      <c r="U115" s="1">
        <v>0.15</v>
      </c>
    </row>
    <row r="116" spans="1:22" x14ac:dyDescent="0.3">
      <c r="A116" t="s">
        <v>272</v>
      </c>
      <c r="B116" t="str">
        <f ca="1">OFFSET(Industries!C$1,MATCH(Table1[[#This Row],[Ticker]],Industries!$A$2:$A$150,0),0)</f>
        <v>Health Care</v>
      </c>
      <c r="C116" t="str">
        <f ca="1">OFFSET(Industries!D$1,MATCH(Table1[[#This Row],[Ticker]],Industries!$A$2:$A$150,0),0)</f>
        <v>Health Care Equipment and Services</v>
      </c>
      <c r="D116" t="str">
        <f ca="1">OFFSET(Industries!E$1,MATCH(Table1[[#This Row],[Ticker]],Industries!$A$2:$A$150,0),0)</f>
        <v>Health Care Providers and Services</v>
      </c>
      <c r="E116" t="s">
        <v>80</v>
      </c>
      <c r="F116" t="str">
        <f ca="1">OFFSET(Industries!B$1,MATCH(Table1[[#This Row],[Ticker]],Industries!$A$2:$A$140,0),0)</f>
        <v>Mega-Cap</v>
      </c>
      <c r="G116" t="str">
        <f ca="1">OFFSET(Industries!F$1,MATCH(Table1[[#This Row],[Ticker]],Industries!$A$2:$A$140,0),0)</f>
        <v>A+</v>
      </c>
      <c r="H116" t="s">
        <v>1434</v>
      </c>
      <c r="I116" t="s">
        <v>1434</v>
      </c>
      <c r="J116" s="2">
        <v>45404</v>
      </c>
      <c r="K116" t="s">
        <v>21</v>
      </c>
      <c r="L116" t="s">
        <v>1708</v>
      </c>
      <c r="M116" t="s">
        <v>1709</v>
      </c>
      <c r="N116" s="1"/>
      <c r="O116" t="s">
        <v>4</v>
      </c>
      <c r="P116" s="1">
        <v>0.16</v>
      </c>
      <c r="Q116" s="1" t="s">
        <v>1637</v>
      </c>
      <c r="R116" t="s">
        <v>25</v>
      </c>
      <c r="S116" t="s">
        <v>1130</v>
      </c>
      <c r="T116" t="s">
        <v>82</v>
      </c>
      <c r="U116" s="1">
        <v>0.25</v>
      </c>
    </row>
    <row r="117" spans="1:22" x14ac:dyDescent="0.3">
      <c r="A117" t="s">
        <v>272</v>
      </c>
      <c r="B117" t="str">
        <f ca="1">OFFSET(Industries!C$1,MATCH(Table1[[#This Row],[Ticker]],Industries!$A$2:$A$150,0),0)</f>
        <v>Health Care</v>
      </c>
      <c r="C117" t="str">
        <f ca="1">OFFSET(Industries!D$1,MATCH(Table1[[#This Row],[Ticker]],Industries!$A$2:$A$150,0),0)</f>
        <v>Health Care Equipment and Services</v>
      </c>
      <c r="D117" t="str">
        <f ca="1">OFFSET(Industries!E$1,MATCH(Table1[[#This Row],[Ticker]],Industries!$A$2:$A$150,0),0)</f>
        <v>Health Care Providers and Services</v>
      </c>
      <c r="E117" t="s">
        <v>80</v>
      </c>
      <c r="F117" t="str">
        <f ca="1">OFFSET(Industries!B$1,MATCH(Table1[[#This Row],[Ticker]],Industries!$A$2:$A$140,0),0)</f>
        <v>Mega-Cap</v>
      </c>
      <c r="G117" t="str">
        <f ca="1">OFFSET(Industries!F$1,MATCH(Table1[[#This Row],[Ticker]],Industries!$A$2:$A$140,0),0)</f>
        <v>A+</v>
      </c>
      <c r="H117" t="s">
        <v>1434</v>
      </c>
      <c r="I117" t="s">
        <v>1434</v>
      </c>
      <c r="J117" s="2">
        <v>45404</v>
      </c>
      <c r="K117" t="s">
        <v>21</v>
      </c>
      <c r="L117" t="s">
        <v>1708</v>
      </c>
      <c r="M117" t="s">
        <v>1709</v>
      </c>
      <c r="N117" s="1"/>
      <c r="O117" t="s">
        <v>4</v>
      </c>
      <c r="P117" s="1">
        <v>0.16</v>
      </c>
      <c r="R117" t="s">
        <v>28</v>
      </c>
      <c r="S117" t="s">
        <v>1087</v>
      </c>
      <c r="T117" t="s">
        <v>40</v>
      </c>
    </row>
    <row r="118" spans="1:22" x14ac:dyDescent="0.3">
      <c r="A118" t="s">
        <v>272</v>
      </c>
      <c r="B118" t="str">
        <f ca="1">OFFSET(Industries!C$1,MATCH(Table1[[#This Row],[Ticker]],Industries!$A$2:$A$150,0),0)</f>
        <v>Health Care</v>
      </c>
      <c r="C118" t="str">
        <f ca="1">OFFSET(Industries!D$1,MATCH(Table1[[#This Row],[Ticker]],Industries!$A$2:$A$150,0),0)</f>
        <v>Health Care Equipment and Services</v>
      </c>
      <c r="D118" t="str">
        <f ca="1">OFFSET(Industries!E$1,MATCH(Table1[[#This Row],[Ticker]],Industries!$A$2:$A$150,0),0)</f>
        <v>Health Care Providers and Services</v>
      </c>
      <c r="E118" t="s">
        <v>80</v>
      </c>
      <c r="F118" t="str">
        <f ca="1">OFFSET(Industries!B$1,MATCH(Table1[[#This Row],[Ticker]],Industries!$A$2:$A$140,0),0)</f>
        <v>Mega-Cap</v>
      </c>
      <c r="G118" t="str">
        <f ca="1">OFFSET(Industries!F$1,MATCH(Table1[[#This Row],[Ticker]],Industries!$A$2:$A$140,0),0)</f>
        <v>A+</v>
      </c>
      <c r="H118" t="s">
        <v>1434</v>
      </c>
      <c r="I118" t="s">
        <v>1434</v>
      </c>
      <c r="J118" s="2">
        <v>45404</v>
      </c>
      <c r="K118" t="s">
        <v>21</v>
      </c>
      <c r="L118" t="s">
        <v>1710</v>
      </c>
      <c r="M118" t="s">
        <v>1709</v>
      </c>
      <c r="N118" s="1">
        <f>Table1[[#This Row],[Consideration Weight]]</f>
        <v>0.38</v>
      </c>
      <c r="O118" t="s">
        <v>476</v>
      </c>
      <c r="P118" s="1">
        <v>0.38</v>
      </c>
      <c r="Q118" s="1" t="s">
        <v>1636</v>
      </c>
      <c r="R118" t="s">
        <v>24</v>
      </c>
      <c r="S118" t="s">
        <v>1089</v>
      </c>
      <c r="T118" t="s">
        <v>86</v>
      </c>
      <c r="U118" s="1">
        <v>0.5</v>
      </c>
    </row>
    <row r="119" spans="1:22" x14ac:dyDescent="0.3">
      <c r="A119" t="s">
        <v>272</v>
      </c>
      <c r="B119" t="str">
        <f ca="1">OFFSET(Industries!C$1,MATCH(Table1[[#This Row],[Ticker]],Industries!$A$2:$A$150,0),0)</f>
        <v>Health Care</v>
      </c>
      <c r="C119" t="str">
        <f ca="1">OFFSET(Industries!D$1,MATCH(Table1[[#This Row],[Ticker]],Industries!$A$2:$A$150,0),0)</f>
        <v>Health Care Equipment and Services</v>
      </c>
      <c r="D119" t="str">
        <f ca="1">OFFSET(Industries!E$1,MATCH(Table1[[#This Row],[Ticker]],Industries!$A$2:$A$150,0),0)</f>
        <v>Health Care Providers and Services</v>
      </c>
      <c r="E119" t="s">
        <v>80</v>
      </c>
      <c r="F119" t="str">
        <f ca="1">OFFSET(Industries!B$1,MATCH(Table1[[#This Row],[Ticker]],Industries!$A$2:$A$140,0),0)</f>
        <v>Mega-Cap</v>
      </c>
      <c r="G119" t="str">
        <f ca="1">OFFSET(Industries!F$1,MATCH(Table1[[#This Row],[Ticker]],Industries!$A$2:$A$140,0),0)</f>
        <v>A+</v>
      </c>
      <c r="H119" t="s">
        <v>1434</v>
      </c>
      <c r="I119" t="s">
        <v>1434</v>
      </c>
      <c r="J119" s="2">
        <v>45404</v>
      </c>
      <c r="K119" t="s">
        <v>21</v>
      </c>
      <c r="L119" t="s">
        <v>1710</v>
      </c>
      <c r="M119" t="s">
        <v>1709</v>
      </c>
      <c r="N119" s="1"/>
      <c r="O119" t="s">
        <v>476</v>
      </c>
      <c r="P119" s="1">
        <v>0.38</v>
      </c>
      <c r="Q119" s="1" t="s">
        <v>1636</v>
      </c>
      <c r="R119" t="s">
        <v>24</v>
      </c>
      <c r="S119" t="s">
        <v>1092</v>
      </c>
      <c r="T119" t="s">
        <v>85</v>
      </c>
      <c r="U119" s="1">
        <v>0.5</v>
      </c>
    </row>
    <row r="120" spans="1:22" x14ac:dyDescent="0.3">
      <c r="A120" t="s">
        <v>272</v>
      </c>
      <c r="B120" t="str">
        <f ca="1">OFFSET(Industries!C$1,MATCH(Table1[[#This Row],[Ticker]],Industries!$A$2:$A$150,0),0)</f>
        <v>Health Care</v>
      </c>
      <c r="C120" t="str">
        <f ca="1">OFFSET(Industries!D$1,MATCH(Table1[[#This Row],[Ticker]],Industries!$A$2:$A$150,0),0)</f>
        <v>Health Care Equipment and Services</v>
      </c>
      <c r="D120" t="str">
        <f ca="1">OFFSET(Industries!E$1,MATCH(Table1[[#This Row],[Ticker]],Industries!$A$2:$A$150,0),0)</f>
        <v>Health Care Providers and Services</v>
      </c>
      <c r="E120" t="s">
        <v>80</v>
      </c>
      <c r="F120" t="str">
        <f ca="1">OFFSET(Industries!B$1,MATCH(Table1[[#This Row],[Ticker]],Industries!$A$2:$A$140,0),0)</f>
        <v>Mega-Cap</v>
      </c>
      <c r="G120" t="str">
        <f ca="1">OFFSET(Industries!F$1,MATCH(Table1[[#This Row],[Ticker]],Industries!$A$2:$A$140,0),0)</f>
        <v>A+</v>
      </c>
      <c r="H120" t="s">
        <v>1434</v>
      </c>
      <c r="I120" t="s">
        <v>1434</v>
      </c>
      <c r="J120" s="2">
        <v>45404</v>
      </c>
      <c r="K120" t="s">
        <v>21</v>
      </c>
      <c r="L120" t="s">
        <v>1710</v>
      </c>
      <c r="M120" t="s">
        <v>1711</v>
      </c>
      <c r="N120" s="1">
        <f>Table1[[#This Row],[Consideration Weight]]</f>
        <v>0.19</v>
      </c>
      <c r="O120" t="s">
        <v>194</v>
      </c>
      <c r="P120" s="1">
        <v>0.19</v>
      </c>
    </row>
    <row r="121" spans="1:22" x14ac:dyDescent="0.3">
      <c r="A121" t="s">
        <v>272</v>
      </c>
      <c r="B121" t="str">
        <f ca="1">OFFSET(Industries!C$1,MATCH(Table1[[#This Row],[Ticker]],Industries!$A$2:$A$150,0),0)</f>
        <v>Health Care</v>
      </c>
      <c r="C121" t="str">
        <f ca="1">OFFSET(Industries!D$1,MATCH(Table1[[#This Row],[Ticker]],Industries!$A$2:$A$150,0),0)</f>
        <v>Health Care Equipment and Services</v>
      </c>
      <c r="D121" t="str">
        <f ca="1">OFFSET(Industries!E$1,MATCH(Table1[[#This Row],[Ticker]],Industries!$A$2:$A$150,0),0)</f>
        <v>Health Care Providers and Services</v>
      </c>
      <c r="E121" t="s">
        <v>80</v>
      </c>
      <c r="F121" t="str">
        <f ca="1">OFFSET(Industries!B$1,MATCH(Table1[[#This Row],[Ticker]],Industries!$A$2:$A$140,0),0)</f>
        <v>Mega-Cap</v>
      </c>
      <c r="G121" t="str">
        <f ca="1">OFFSET(Industries!F$1,MATCH(Table1[[#This Row],[Ticker]],Industries!$A$2:$A$140,0),0)</f>
        <v>A+</v>
      </c>
      <c r="H121" t="s">
        <v>1434</v>
      </c>
      <c r="I121" t="s">
        <v>1434</v>
      </c>
      <c r="J121" s="2">
        <v>45404</v>
      </c>
      <c r="K121" t="s">
        <v>21</v>
      </c>
      <c r="L121" t="s">
        <v>1710</v>
      </c>
      <c r="M121" t="s">
        <v>1711</v>
      </c>
      <c r="N121" s="1">
        <f>Table1[[#This Row],[Consideration Weight]]</f>
        <v>0.19</v>
      </c>
      <c r="O121" t="s">
        <v>87</v>
      </c>
      <c r="P121" s="1">
        <v>0.19</v>
      </c>
    </row>
    <row r="122" spans="1:22" x14ac:dyDescent="0.3">
      <c r="A122" t="s">
        <v>273</v>
      </c>
      <c r="B122" t="str">
        <f ca="1">OFFSET(Industries!C$1,MATCH(Table1[[#This Row],[Ticker]],Industries!$A$2:$A$150,0),0)</f>
        <v>Information Technology</v>
      </c>
      <c r="C122" t="str">
        <f ca="1">OFFSET(Industries!D$1,MATCH(Table1[[#This Row],[Ticker]],Industries!$A$2:$A$150,0),0)</f>
        <v>Technology Hardware and Equipment</v>
      </c>
      <c r="D122" t="str">
        <f ca="1">OFFSET(Industries!E$1,MATCH(Table1[[#This Row],[Ticker]],Industries!$A$2:$A$150,0),0)</f>
        <v>Technology Hardware, Storage and Peripherals</v>
      </c>
      <c r="E122" t="s">
        <v>89</v>
      </c>
      <c r="F122" t="str">
        <f ca="1">OFFSET(Industries!B$1,MATCH(Table1[[#This Row],[Ticker]],Industries!$A$2:$A$140,0),0)</f>
        <v>Mega-Cap</v>
      </c>
      <c r="G122" t="str">
        <f ca="1">OFFSET(Industries!F$1,MATCH(Table1[[#This Row],[Ticker]],Industries!$A$2:$A$140,0),0)</f>
        <v>AA+</v>
      </c>
      <c r="H122" t="s">
        <v>1434</v>
      </c>
      <c r="I122" t="s">
        <v>1434</v>
      </c>
      <c r="J122" s="2">
        <v>45302</v>
      </c>
      <c r="K122" t="s">
        <v>2</v>
      </c>
      <c r="L122" t="s">
        <v>3</v>
      </c>
      <c r="M122" t="s">
        <v>1711</v>
      </c>
      <c r="N122" s="1">
        <f>Table1[[#This Row],[Consideration Weight]]</f>
        <v>6.1224489795918366E-2</v>
      </c>
      <c r="O122" t="s">
        <v>3</v>
      </c>
      <c r="P122" s="1">
        <f>3/49</f>
        <v>6.1224489795918366E-2</v>
      </c>
    </row>
    <row r="123" spans="1:22" x14ac:dyDescent="0.3">
      <c r="A123" t="s">
        <v>273</v>
      </c>
      <c r="B123" t="str">
        <f ca="1">OFFSET(Industries!C$1,MATCH(Table1[[#This Row],[Ticker]],Industries!$A$2:$A$150,0),0)</f>
        <v>Information Technology</v>
      </c>
      <c r="C123" t="str">
        <f ca="1">OFFSET(Industries!D$1,MATCH(Table1[[#This Row],[Ticker]],Industries!$A$2:$A$150,0),0)</f>
        <v>Technology Hardware and Equipment</v>
      </c>
      <c r="D123" t="str">
        <f ca="1">OFFSET(Industries!E$1,MATCH(Table1[[#This Row],[Ticker]],Industries!$A$2:$A$150,0),0)</f>
        <v>Technology Hardware, Storage and Peripherals</v>
      </c>
      <c r="E123" t="s">
        <v>89</v>
      </c>
      <c r="F123" t="str">
        <f ca="1">OFFSET(Industries!B$1,MATCH(Table1[[#This Row],[Ticker]],Industries!$A$2:$A$140,0),0)</f>
        <v>Mega-Cap</v>
      </c>
      <c r="G123" t="str">
        <f ca="1">OFFSET(Industries!F$1,MATCH(Table1[[#This Row],[Ticker]],Industries!$A$2:$A$140,0),0)</f>
        <v>AA+</v>
      </c>
      <c r="H123" t="s">
        <v>1434</v>
      </c>
      <c r="I123" t="s">
        <v>1434</v>
      </c>
      <c r="J123" s="2">
        <v>45302</v>
      </c>
      <c r="K123" t="s">
        <v>2</v>
      </c>
      <c r="L123" t="s">
        <v>1708</v>
      </c>
      <c r="M123" t="s">
        <v>1709</v>
      </c>
      <c r="N123" s="1">
        <f>Table1[[#This Row],[Consideration Weight]]</f>
        <v>0.12244897959183673</v>
      </c>
      <c r="O123" t="s">
        <v>4</v>
      </c>
      <c r="P123" s="1">
        <f>6/49</f>
        <v>0.12244897959183673</v>
      </c>
      <c r="Q123" s="1" t="s">
        <v>1636</v>
      </c>
      <c r="R123" t="s">
        <v>23</v>
      </c>
      <c r="S123" t="s">
        <v>1083</v>
      </c>
      <c r="T123" t="s">
        <v>37</v>
      </c>
      <c r="U123" s="1">
        <v>0.5</v>
      </c>
    </row>
    <row r="124" spans="1:22" x14ac:dyDescent="0.3">
      <c r="A124" t="s">
        <v>273</v>
      </c>
      <c r="B124" t="str">
        <f ca="1">OFFSET(Industries!C$1,MATCH(Table1[[#This Row],[Ticker]],Industries!$A$2:$A$150,0),0)</f>
        <v>Information Technology</v>
      </c>
      <c r="C124" t="str">
        <f ca="1">OFFSET(Industries!D$1,MATCH(Table1[[#This Row],[Ticker]],Industries!$A$2:$A$150,0),0)</f>
        <v>Technology Hardware and Equipment</v>
      </c>
      <c r="D124" t="str">
        <f ca="1">OFFSET(Industries!E$1,MATCH(Table1[[#This Row],[Ticker]],Industries!$A$2:$A$150,0),0)</f>
        <v>Technology Hardware, Storage and Peripherals</v>
      </c>
      <c r="E124" t="s">
        <v>89</v>
      </c>
      <c r="F124" t="str">
        <f ca="1">OFFSET(Industries!B$1,MATCH(Table1[[#This Row],[Ticker]],Industries!$A$2:$A$140,0),0)</f>
        <v>Mega-Cap</v>
      </c>
      <c r="G124" t="str">
        <f ca="1">OFFSET(Industries!F$1,MATCH(Table1[[#This Row],[Ticker]],Industries!$A$2:$A$140,0),0)</f>
        <v>AA+</v>
      </c>
      <c r="H124" t="s">
        <v>1434</v>
      </c>
      <c r="I124" t="s">
        <v>1434</v>
      </c>
      <c r="J124" s="2">
        <v>45302</v>
      </c>
      <c r="K124" t="s">
        <v>2</v>
      </c>
      <c r="L124" t="s">
        <v>1708</v>
      </c>
      <c r="M124" t="s">
        <v>1709</v>
      </c>
      <c r="N124" s="1"/>
      <c r="O124" t="s">
        <v>4</v>
      </c>
      <c r="P124" s="1">
        <f t="shared" ref="P124:P125" si="0">6/49</f>
        <v>0.12244897959183673</v>
      </c>
      <c r="Q124" s="1" t="s">
        <v>1636</v>
      </c>
      <c r="R124" t="s">
        <v>24</v>
      </c>
      <c r="S124" t="s">
        <v>90</v>
      </c>
      <c r="T124" t="s">
        <v>90</v>
      </c>
      <c r="U124" s="1">
        <v>0.5</v>
      </c>
    </row>
    <row r="125" spans="1:22" x14ac:dyDescent="0.3">
      <c r="A125" t="s">
        <v>273</v>
      </c>
      <c r="B125" t="str">
        <f ca="1">OFFSET(Industries!C$1,MATCH(Table1[[#This Row],[Ticker]],Industries!$A$2:$A$150,0),0)</f>
        <v>Information Technology</v>
      </c>
      <c r="C125" t="str">
        <f ca="1">OFFSET(Industries!D$1,MATCH(Table1[[#This Row],[Ticker]],Industries!$A$2:$A$150,0),0)</f>
        <v>Technology Hardware and Equipment</v>
      </c>
      <c r="D125" t="str">
        <f ca="1">OFFSET(Industries!E$1,MATCH(Table1[[#This Row],[Ticker]],Industries!$A$2:$A$150,0),0)</f>
        <v>Technology Hardware, Storage and Peripherals</v>
      </c>
      <c r="E125" t="s">
        <v>89</v>
      </c>
      <c r="F125" t="str">
        <f ca="1">OFFSET(Industries!B$1,MATCH(Table1[[#This Row],[Ticker]],Industries!$A$2:$A$140,0),0)</f>
        <v>Mega-Cap</v>
      </c>
      <c r="G125" t="str">
        <f ca="1">OFFSET(Industries!F$1,MATCH(Table1[[#This Row],[Ticker]],Industries!$A$2:$A$140,0),0)</f>
        <v>AA+</v>
      </c>
      <c r="H125" t="s">
        <v>1434</v>
      </c>
      <c r="I125" t="s">
        <v>1434</v>
      </c>
      <c r="J125" s="2">
        <v>45302</v>
      </c>
      <c r="K125" t="s">
        <v>2</v>
      </c>
      <c r="L125" t="s">
        <v>1708</v>
      </c>
      <c r="M125" t="s">
        <v>1709</v>
      </c>
      <c r="N125" s="1"/>
      <c r="O125" t="s">
        <v>4</v>
      </c>
      <c r="P125" s="1">
        <f t="shared" si="0"/>
        <v>0.12244897959183673</v>
      </c>
      <c r="R125" t="s">
        <v>28</v>
      </c>
      <c r="S125" t="s">
        <v>1093</v>
      </c>
      <c r="T125" t="s">
        <v>171</v>
      </c>
      <c r="V125" t="s">
        <v>91</v>
      </c>
    </row>
    <row r="126" spans="1:22" x14ac:dyDescent="0.3">
      <c r="A126" t="s">
        <v>273</v>
      </c>
      <c r="B126" t="str">
        <f ca="1">OFFSET(Industries!C$1,MATCH(Table1[[#This Row],[Ticker]],Industries!$A$2:$A$150,0),0)</f>
        <v>Information Technology</v>
      </c>
      <c r="C126" t="str">
        <f ca="1">OFFSET(Industries!D$1,MATCH(Table1[[#This Row],[Ticker]],Industries!$A$2:$A$150,0),0)</f>
        <v>Technology Hardware and Equipment</v>
      </c>
      <c r="D126" t="str">
        <f ca="1">OFFSET(Industries!E$1,MATCH(Table1[[#This Row],[Ticker]],Industries!$A$2:$A$150,0),0)</f>
        <v>Technology Hardware, Storage and Peripherals</v>
      </c>
      <c r="E126" t="s">
        <v>89</v>
      </c>
      <c r="F126" t="str">
        <f ca="1">OFFSET(Industries!B$1,MATCH(Table1[[#This Row],[Ticker]],Industries!$A$2:$A$140,0),0)</f>
        <v>Mega-Cap</v>
      </c>
      <c r="G126" t="str">
        <f ca="1">OFFSET(Industries!F$1,MATCH(Table1[[#This Row],[Ticker]],Industries!$A$2:$A$140,0),0)</f>
        <v>AA+</v>
      </c>
      <c r="H126" t="s">
        <v>1434</v>
      </c>
      <c r="I126" t="s">
        <v>1434</v>
      </c>
      <c r="J126" s="2">
        <v>45302</v>
      </c>
      <c r="K126" t="s">
        <v>2</v>
      </c>
      <c r="L126" t="s">
        <v>1710</v>
      </c>
      <c r="M126" t="s">
        <v>1709</v>
      </c>
      <c r="N126" s="1">
        <f>Table1[[#This Row],[Consideration Weight]]</f>
        <v>0.61224489795918369</v>
      </c>
      <c r="O126" t="s">
        <v>476</v>
      </c>
      <c r="P126" s="1">
        <f>40*0.75/49</f>
        <v>0.61224489795918369</v>
      </c>
      <c r="Q126" s="1" t="s">
        <v>1646</v>
      </c>
      <c r="R126" t="s">
        <v>35</v>
      </c>
      <c r="S126" t="s">
        <v>29</v>
      </c>
      <c r="T126" t="s">
        <v>30</v>
      </c>
      <c r="U126" s="1">
        <v>1</v>
      </c>
      <c r="V126" t="s">
        <v>94</v>
      </c>
    </row>
    <row r="127" spans="1:22" x14ac:dyDescent="0.3">
      <c r="A127" t="s">
        <v>273</v>
      </c>
      <c r="B127" t="str">
        <f ca="1">OFFSET(Industries!C$1,MATCH(Table1[[#This Row],[Ticker]],Industries!$A$2:$A$150,0),0)</f>
        <v>Information Technology</v>
      </c>
      <c r="C127" t="str">
        <f ca="1">OFFSET(Industries!D$1,MATCH(Table1[[#This Row],[Ticker]],Industries!$A$2:$A$150,0),0)</f>
        <v>Technology Hardware and Equipment</v>
      </c>
      <c r="D127" t="str">
        <f ca="1">OFFSET(Industries!E$1,MATCH(Table1[[#This Row],[Ticker]],Industries!$A$2:$A$150,0),0)</f>
        <v>Technology Hardware, Storage and Peripherals</v>
      </c>
      <c r="E127" t="s">
        <v>89</v>
      </c>
      <c r="F127" t="str">
        <f ca="1">OFFSET(Industries!B$1,MATCH(Table1[[#This Row],[Ticker]],Industries!$A$2:$A$140,0),0)</f>
        <v>Mega-Cap</v>
      </c>
      <c r="G127" t="str">
        <f ca="1">OFFSET(Industries!F$1,MATCH(Table1[[#This Row],[Ticker]],Industries!$A$2:$A$140,0),0)</f>
        <v>AA+</v>
      </c>
      <c r="H127" t="s">
        <v>1434</v>
      </c>
      <c r="I127" t="s">
        <v>1434</v>
      </c>
      <c r="J127" s="2">
        <v>45302</v>
      </c>
      <c r="K127" t="s">
        <v>2</v>
      </c>
      <c r="L127" t="s">
        <v>1710</v>
      </c>
      <c r="M127" t="s">
        <v>1709</v>
      </c>
      <c r="N127" s="1"/>
      <c r="O127" t="s">
        <v>476</v>
      </c>
      <c r="P127" s="1">
        <f>40*0.75/49</f>
        <v>0.61224489795918369</v>
      </c>
      <c r="R127" t="s">
        <v>28</v>
      </c>
      <c r="S127" t="s">
        <v>1095</v>
      </c>
      <c r="T127" t="s">
        <v>55</v>
      </c>
      <c r="V127" t="s">
        <v>92</v>
      </c>
    </row>
    <row r="128" spans="1:22" x14ac:dyDescent="0.3">
      <c r="A128" t="s">
        <v>273</v>
      </c>
      <c r="B128" t="str">
        <f ca="1">OFFSET(Industries!C$1,MATCH(Table1[[#This Row],[Ticker]],Industries!$A$2:$A$150,0),0)</f>
        <v>Information Technology</v>
      </c>
      <c r="C128" t="str">
        <f ca="1">OFFSET(Industries!D$1,MATCH(Table1[[#This Row],[Ticker]],Industries!$A$2:$A$150,0),0)</f>
        <v>Technology Hardware and Equipment</v>
      </c>
      <c r="D128" t="str">
        <f ca="1">OFFSET(Industries!E$1,MATCH(Table1[[#This Row],[Ticker]],Industries!$A$2:$A$150,0),0)</f>
        <v>Technology Hardware, Storage and Peripherals</v>
      </c>
      <c r="E128" t="s">
        <v>89</v>
      </c>
      <c r="F128" t="str">
        <f ca="1">OFFSET(Industries!B$1,MATCH(Table1[[#This Row],[Ticker]],Industries!$A$2:$A$140,0),0)</f>
        <v>Mega-Cap</v>
      </c>
      <c r="G128" t="str">
        <f ca="1">OFFSET(Industries!F$1,MATCH(Table1[[#This Row],[Ticker]],Industries!$A$2:$A$140,0),0)</f>
        <v>AA+</v>
      </c>
      <c r="H128" t="s">
        <v>1434</v>
      </c>
      <c r="I128" t="s">
        <v>1434</v>
      </c>
      <c r="J128" s="2">
        <v>45302</v>
      </c>
      <c r="K128" t="s">
        <v>2</v>
      </c>
      <c r="L128" t="s">
        <v>1710</v>
      </c>
      <c r="M128" t="s">
        <v>1711</v>
      </c>
      <c r="N128" s="1">
        <f>Table1[[#This Row],[Consideration Weight]]</f>
        <v>0.20408163265306123</v>
      </c>
      <c r="O128" t="s">
        <v>194</v>
      </c>
      <c r="P128" s="1">
        <f>40*0.25/49</f>
        <v>0.20408163265306123</v>
      </c>
      <c r="V128" t="s">
        <v>188</v>
      </c>
    </row>
    <row r="129" spans="1:22" x14ac:dyDescent="0.3">
      <c r="A129" t="s">
        <v>273</v>
      </c>
      <c r="B129" t="str">
        <f ca="1">OFFSET(Industries!C$1,MATCH(Table1[[#This Row],[Ticker]],Industries!$A$2:$A$150,0),0)</f>
        <v>Information Technology</v>
      </c>
      <c r="C129" t="str">
        <f ca="1">OFFSET(Industries!D$1,MATCH(Table1[[#This Row],[Ticker]],Industries!$A$2:$A$150,0),0)</f>
        <v>Technology Hardware and Equipment</v>
      </c>
      <c r="D129" t="str">
        <f ca="1">OFFSET(Industries!E$1,MATCH(Table1[[#This Row],[Ticker]],Industries!$A$2:$A$150,0),0)</f>
        <v>Technology Hardware, Storage and Peripherals</v>
      </c>
      <c r="E129" t="s">
        <v>89</v>
      </c>
      <c r="F129" t="str">
        <f ca="1">OFFSET(Industries!B$1,MATCH(Table1[[#This Row],[Ticker]],Industries!$A$2:$A$140,0),0)</f>
        <v>Mega-Cap</v>
      </c>
      <c r="G129" t="str">
        <f ca="1">OFFSET(Industries!F$1,MATCH(Table1[[#This Row],[Ticker]],Industries!$A$2:$A$140,0),0)</f>
        <v>AA+</v>
      </c>
      <c r="H129" t="s">
        <v>1434</v>
      </c>
      <c r="I129" t="s">
        <v>1434</v>
      </c>
      <c r="J129" s="2">
        <v>45302</v>
      </c>
      <c r="K129" t="s">
        <v>21</v>
      </c>
      <c r="L129" t="s">
        <v>3</v>
      </c>
      <c r="M129" t="s">
        <v>1711</v>
      </c>
      <c r="N129" s="1">
        <f>Table1[[#This Row],[Consideration Weight]]</f>
        <v>4.3478260869565216E-2</v>
      </c>
      <c r="O129" t="s">
        <v>3</v>
      </c>
      <c r="P129" s="1">
        <f>1/23</f>
        <v>4.3478260869565216E-2</v>
      </c>
    </row>
    <row r="130" spans="1:22" x14ac:dyDescent="0.3">
      <c r="A130" t="s">
        <v>273</v>
      </c>
      <c r="B130" t="str">
        <f ca="1">OFFSET(Industries!C$1,MATCH(Table1[[#This Row],[Ticker]],Industries!$A$2:$A$150,0),0)</f>
        <v>Information Technology</v>
      </c>
      <c r="C130" t="str">
        <f ca="1">OFFSET(Industries!D$1,MATCH(Table1[[#This Row],[Ticker]],Industries!$A$2:$A$150,0),0)</f>
        <v>Technology Hardware and Equipment</v>
      </c>
      <c r="D130" t="str">
        <f ca="1">OFFSET(Industries!E$1,MATCH(Table1[[#This Row],[Ticker]],Industries!$A$2:$A$150,0),0)</f>
        <v>Technology Hardware, Storage and Peripherals</v>
      </c>
      <c r="E130" t="s">
        <v>89</v>
      </c>
      <c r="F130" t="str">
        <f ca="1">OFFSET(Industries!B$1,MATCH(Table1[[#This Row],[Ticker]],Industries!$A$2:$A$140,0),0)</f>
        <v>Mega-Cap</v>
      </c>
      <c r="G130" t="str">
        <f ca="1">OFFSET(Industries!F$1,MATCH(Table1[[#This Row],[Ticker]],Industries!$A$2:$A$140,0),0)</f>
        <v>AA+</v>
      </c>
      <c r="H130" t="s">
        <v>1434</v>
      </c>
      <c r="I130" t="s">
        <v>1434</v>
      </c>
      <c r="J130" s="2">
        <v>45302</v>
      </c>
      <c r="K130" t="s">
        <v>21</v>
      </c>
      <c r="L130" t="s">
        <v>1708</v>
      </c>
      <c r="M130" t="s">
        <v>1709</v>
      </c>
      <c r="N130" s="1">
        <f>Table1[[#This Row],[Consideration Weight]]</f>
        <v>8.6956521739130432E-2</v>
      </c>
      <c r="O130" t="s">
        <v>4</v>
      </c>
      <c r="P130" s="1">
        <f>2/23</f>
        <v>8.6956521739130432E-2</v>
      </c>
      <c r="Q130" s="1" t="s">
        <v>1636</v>
      </c>
      <c r="R130" t="s">
        <v>23</v>
      </c>
      <c r="S130" t="s">
        <v>1083</v>
      </c>
      <c r="T130" t="s">
        <v>37</v>
      </c>
      <c r="U130" s="1">
        <v>0.5</v>
      </c>
    </row>
    <row r="131" spans="1:22" x14ac:dyDescent="0.3">
      <c r="A131" t="s">
        <v>273</v>
      </c>
      <c r="B131" t="str">
        <f ca="1">OFFSET(Industries!C$1,MATCH(Table1[[#This Row],[Ticker]],Industries!$A$2:$A$150,0),0)</f>
        <v>Information Technology</v>
      </c>
      <c r="C131" t="str">
        <f ca="1">OFFSET(Industries!D$1,MATCH(Table1[[#This Row],[Ticker]],Industries!$A$2:$A$150,0),0)</f>
        <v>Technology Hardware and Equipment</v>
      </c>
      <c r="D131" t="str">
        <f ca="1">OFFSET(Industries!E$1,MATCH(Table1[[#This Row],[Ticker]],Industries!$A$2:$A$150,0),0)</f>
        <v>Technology Hardware, Storage and Peripherals</v>
      </c>
      <c r="E131" t="s">
        <v>89</v>
      </c>
      <c r="F131" t="str">
        <f ca="1">OFFSET(Industries!B$1,MATCH(Table1[[#This Row],[Ticker]],Industries!$A$2:$A$140,0),0)</f>
        <v>Mega-Cap</v>
      </c>
      <c r="G131" t="str">
        <f ca="1">OFFSET(Industries!F$1,MATCH(Table1[[#This Row],[Ticker]],Industries!$A$2:$A$140,0),0)</f>
        <v>AA+</v>
      </c>
      <c r="H131" t="s">
        <v>1434</v>
      </c>
      <c r="I131" t="s">
        <v>1434</v>
      </c>
      <c r="J131" s="2">
        <v>45302</v>
      </c>
      <c r="K131" t="s">
        <v>21</v>
      </c>
      <c r="L131" t="s">
        <v>1708</v>
      </c>
      <c r="M131" t="s">
        <v>1709</v>
      </c>
      <c r="N131" s="1"/>
      <c r="O131" t="s">
        <v>4</v>
      </c>
      <c r="P131" s="1">
        <f t="shared" ref="P131:P132" si="1">2/23</f>
        <v>8.6956521739130432E-2</v>
      </c>
      <c r="Q131" s="1" t="s">
        <v>1636</v>
      </c>
      <c r="R131" t="s">
        <v>24</v>
      </c>
      <c r="S131" t="s">
        <v>90</v>
      </c>
      <c r="T131" t="s">
        <v>90</v>
      </c>
      <c r="U131" s="1">
        <v>0.5</v>
      </c>
    </row>
    <row r="132" spans="1:22" x14ac:dyDescent="0.3">
      <c r="A132" t="s">
        <v>273</v>
      </c>
      <c r="B132" t="str">
        <f ca="1">OFFSET(Industries!C$1,MATCH(Table1[[#This Row],[Ticker]],Industries!$A$2:$A$150,0),0)</f>
        <v>Information Technology</v>
      </c>
      <c r="C132" t="str">
        <f ca="1">OFFSET(Industries!D$1,MATCH(Table1[[#This Row],[Ticker]],Industries!$A$2:$A$150,0),0)</f>
        <v>Technology Hardware and Equipment</v>
      </c>
      <c r="D132" t="str">
        <f ca="1">OFFSET(Industries!E$1,MATCH(Table1[[#This Row],[Ticker]],Industries!$A$2:$A$150,0),0)</f>
        <v>Technology Hardware, Storage and Peripherals</v>
      </c>
      <c r="E132" t="s">
        <v>89</v>
      </c>
      <c r="F132" t="str">
        <f ca="1">OFFSET(Industries!B$1,MATCH(Table1[[#This Row],[Ticker]],Industries!$A$2:$A$140,0),0)</f>
        <v>Mega-Cap</v>
      </c>
      <c r="G132" t="str">
        <f ca="1">OFFSET(Industries!F$1,MATCH(Table1[[#This Row],[Ticker]],Industries!$A$2:$A$140,0),0)</f>
        <v>AA+</v>
      </c>
      <c r="H132" t="s">
        <v>1434</v>
      </c>
      <c r="I132" t="s">
        <v>1434</v>
      </c>
      <c r="J132" s="2">
        <v>45302</v>
      </c>
      <c r="K132" t="s">
        <v>21</v>
      </c>
      <c r="L132" t="s">
        <v>1708</v>
      </c>
      <c r="M132" t="s">
        <v>1709</v>
      </c>
      <c r="N132" s="1"/>
      <c r="O132" t="s">
        <v>4</v>
      </c>
      <c r="P132" s="1">
        <f t="shared" si="1"/>
        <v>8.6956521739130432E-2</v>
      </c>
      <c r="R132" t="s">
        <v>28</v>
      </c>
      <c r="S132" t="s">
        <v>1093</v>
      </c>
      <c r="T132" t="s">
        <v>171</v>
      </c>
    </row>
    <row r="133" spans="1:22" x14ac:dyDescent="0.3">
      <c r="A133" t="s">
        <v>273</v>
      </c>
      <c r="B133" t="str">
        <f ca="1">OFFSET(Industries!C$1,MATCH(Table1[[#This Row],[Ticker]],Industries!$A$2:$A$150,0),0)</f>
        <v>Information Technology</v>
      </c>
      <c r="C133" t="str">
        <f ca="1">OFFSET(Industries!D$1,MATCH(Table1[[#This Row],[Ticker]],Industries!$A$2:$A$150,0),0)</f>
        <v>Technology Hardware and Equipment</v>
      </c>
      <c r="D133" t="str">
        <f ca="1">OFFSET(Industries!E$1,MATCH(Table1[[#This Row],[Ticker]],Industries!$A$2:$A$150,0),0)</f>
        <v>Technology Hardware, Storage and Peripherals</v>
      </c>
      <c r="E133" t="s">
        <v>89</v>
      </c>
      <c r="F133" t="str">
        <f ca="1">OFFSET(Industries!B$1,MATCH(Table1[[#This Row],[Ticker]],Industries!$A$2:$A$140,0),0)</f>
        <v>Mega-Cap</v>
      </c>
      <c r="G133" t="str">
        <f ca="1">OFFSET(Industries!F$1,MATCH(Table1[[#This Row],[Ticker]],Industries!$A$2:$A$140,0),0)</f>
        <v>AA+</v>
      </c>
      <c r="H133" t="s">
        <v>1434</v>
      </c>
      <c r="I133" t="s">
        <v>1434</v>
      </c>
      <c r="J133" s="2">
        <v>45302</v>
      </c>
      <c r="K133" t="s">
        <v>21</v>
      </c>
      <c r="L133" t="s">
        <v>1710</v>
      </c>
      <c r="M133" t="s">
        <v>1709</v>
      </c>
      <c r="N133" s="1">
        <f>Table1[[#This Row],[Consideration Weight]]</f>
        <v>0.43478260869565216</v>
      </c>
      <c r="O133" t="s">
        <v>476</v>
      </c>
      <c r="P133" s="1">
        <f>10/23</f>
        <v>0.43478260869565216</v>
      </c>
      <c r="Q133" s="1" t="s">
        <v>1646</v>
      </c>
      <c r="R133" t="s">
        <v>35</v>
      </c>
      <c r="S133" t="s">
        <v>29</v>
      </c>
      <c r="T133" t="s">
        <v>30</v>
      </c>
      <c r="U133" s="1">
        <v>1</v>
      </c>
      <c r="V133" t="s">
        <v>95</v>
      </c>
    </row>
    <row r="134" spans="1:22" x14ac:dyDescent="0.3">
      <c r="A134" t="s">
        <v>273</v>
      </c>
      <c r="B134" t="str">
        <f ca="1">OFFSET(Industries!C$1,MATCH(Table1[[#This Row],[Ticker]],Industries!$A$2:$A$150,0),0)</f>
        <v>Information Technology</v>
      </c>
      <c r="C134" t="str">
        <f ca="1">OFFSET(Industries!D$1,MATCH(Table1[[#This Row],[Ticker]],Industries!$A$2:$A$150,0),0)</f>
        <v>Technology Hardware and Equipment</v>
      </c>
      <c r="D134" t="str">
        <f ca="1">OFFSET(Industries!E$1,MATCH(Table1[[#This Row],[Ticker]],Industries!$A$2:$A$150,0),0)</f>
        <v>Technology Hardware, Storage and Peripherals</v>
      </c>
      <c r="E134" t="s">
        <v>89</v>
      </c>
      <c r="F134" t="str">
        <f ca="1">OFFSET(Industries!B$1,MATCH(Table1[[#This Row],[Ticker]],Industries!$A$2:$A$140,0),0)</f>
        <v>Mega-Cap</v>
      </c>
      <c r="G134" t="str">
        <f ca="1">OFFSET(Industries!F$1,MATCH(Table1[[#This Row],[Ticker]],Industries!$A$2:$A$140,0),0)</f>
        <v>AA+</v>
      </c>
      <c r="H134" t="s">
        <v>1434</v>
      </c>
      <c r="I134" t="s">
        <v>1434</v>
      </c>
      <c r="J134" s="2">
        <v>45302</v>
      </c>
      <c r="K134" t="s">
        <v>21</v>
      </c>
      <c r="L134" t="s">
        <v>1710</v>
      </c>
      <c r="M134" t="s">
        <v>1709</v>
      </c>
      <c r="N134" s="1"/>
      <c r="O134" t="s">
        <v>476</v>
      </c>
      <c r="P134" s="1">
        <f>10/23</f>
        <v>0.43478260869565216</v>
      </c>
      <c r="R134" t="s">
        <v>28</v>
      </c>
      <c r="S134" t="s">
        <v>1095</v>
      </c>
      <c r="T134" t="s">
        <v>55</v>
      </c>
    </row>
    <row r="135" spans="1:22" x14ac:dyDescent="0.3">
      <c r="A135" t="s">
        <v>273</v>
      </c>
      <c r="B135" t="str">
        <f ca="1">OFFSET(Industries!C$1,MATCH(Table1[[#This Row],[Ticker]],Industries!$A$2:$A$150,0),0)</f>
        <v>Information Technology</v>
      </c>
      <c r="C135" t="str">
        <f ca="1">OFFSET(Industries!D$1,MATCH(Table1[[#This Row],[Ticker]],Industries!$A$2:$A$150,0),0)</f>
        <v>Technology Hardware and Equipment</v>
      </c>
      <c r="D135" t="str">
        <f ca="1">OFFSET(Industries!E$1,MATCH(Table1[[#This Row],[Ticker]],Industries!$A$2:$A$150,0),0)</f>
        <v>Technology Hardware, Storage and Peripherals</v>
      </c>
      <c r="E135" t="s">
        <v>89</v>
      </c>
      <c r="F135" t="str">
        <f ca="1">OFFSET(Industries!B$1,MATCH(Table1[[#This Row],[Ticker]],Industries!$A$2:$A$140,0),0)</f>
        <v>Mega-Cap</v>
      </c>
      <c r="G135" t="str">
        <f ca="1">OFFSET(Industries!F$1,MATCH(Table1[[#This Row],[Ticker]],Industries!$A$2:$A$140,0),0)</f>
        <v>AA+</v>
      </c>
      <c r="H135" t="s">
        <v>1434</v>
      </c>
      <c r="I135" t="s">
        <v>1434</v>
      </c>
      <c r="J135" s="2">
        <v>45302</v>
      </c>
      <c r="K135" t="s">
        <v>21</v>
      </c>
      <c r="L135" t="s">
        <v>1710</v>
      </c>
      <c r="M135" t="s">
        <v>1711</v>
      </c>
      <c r="N135" s="1">
        <f>Table1[[#This Row],[Consideration Weight]]</f>
        <v>0.43478260869565216</v>
      </c>
      <c r="O135" t="s">
        <v>194</v>
      </c>
      <c r="P135" s="1">
        <f>10/23</f>
        <v>0.43478260869565216</v>
      </c>
      <c r="V135" t="s">
        <v>95</v>
      </c>
    </row>
    <row r="136" spans="1:22" x14ac:dyDescent="0.3">
      <c r="A136" t="s">
        <v>274</v>
      </c>
      <c r="B136" t="str">
        <f ca="1">OFFSET(Industries!C$1,MATCH(Table1[[#This Row],[Ticker]],Industries!$A$2:$A$150,0),0)</f>
        <v>Financials</v>
      </c>
      <c r="C136" t="str">
        <f ca="1">OFFSET(Industries!D$1,MATCH(Table1[[#This Row],[Ticker]],Industries!$A$2:$A$150,0),0)</f>
        <v>Banks</v>
      </c>
      <c r="D136" t="str">
        <f ca="1">OFFSET(Industries!E$1,MATCH(Table1[[#This Row],[Ticker]],Industries!$A$2:$A$150,0),0)</f>
        <v>Banks</v>
      </c>
      <c r="E136" t="s">
        <v>93</v>
      </c>
      <c r="F136" t="str">
        <f ca="1">OFFSET(Industries!B$1,MATCH(Table1[[#This Row],[Ticker]],Industries!$A$2:$A$140,0),0)</f>
        <v>Mega-Cap</v>
      </c>
      <c r="G136" t="str">
        <f ca="1">OFFSET(Industries!F$1,MATCH(Table1[[#This Row],[Ticker]],Industries!$A$2:$A$140,0),0)</f>
        <v>A-</v>
      </c>
      <c r="H136" t="s">
        <v>1434</v>
      </c>
      <c r="I136" t="s">
        <v>1434</v>
      </c>
      <c r="J136" s="2">
        <v>45390</v>
      </c>
      <c r="K136" t="s">
        <v>2</v>
      </c>
      <c r="L136" t="s">
        <v>3</v>
      </c>
      <c r="M136" t="s">
        <v>1711</v>
      </c>
      <c r="N136" s="1">
        <f>Table1[[#This Row],[Consideration Weight]]</f>
        <v>4.1666666666666664E-2</v>
      </c>
      <c r="O136" t="s">
        <v>3</v>
      </c>
      <c r="P136" s="1">
        <f>1.5/36</f>
        <v>4.1666666666666664E-2</v>
      </c>
    </row>
    <row r="137" spans="1:22" x14ac:dyDescent="0.3">
      <c r="A137" t="s">
        <v>274</v>
      </c>
      <c r="B137" t="str">
        <f ca="1">OFFSET(Industries!C$1,MATCH(Table1[[#This Row],[Ticker]],Industries!$A$2:$A$150,0),0)</f>
        <v>Financials</v>
      </c>
      <c r="C137" t="str">
        <f ca="1">OFFSET(Industries!D$1,MATCH(Table1[[#This Row],[Ticker]],Industries!$A$2:$A$150,0),0)</f>
        <v>Banks</v>
      </c>
      <c r="D137" t="str">
        <f ca="1">OFFSET(Industries!E$1,MATCH(Table1[[#This Row],[Ticker]],Industries!$A$2:$A$150,0),0)</f>
        <v>Banks</v>
      </c>
      <c r="E137" t="s">
        <v>93</v>
      </c>
      <c r="F137" t="str">
        <f ca="1">OFFSET(Industries!B$1,MATCH(Table1[[#This Row],[Ticker]],Industries!$A$2:$A$140,0),0)</f>
        <v>Mega-Cap</v>
      </c>
      <c r="G137" t="str">
        <f ca="1">OFFSET(Industries!F$1,MATCH(Table1[[#This Row],[Ticker]],Industries!$A$2:$A$140,0),0)</f>
        <v>A-</v>
      </c>
      <c r="H137" t="s">
        <v>1434</v>
      </c>
      <c r="I137" t="s">
        <v>1434</v>
      </c>
      <c r="J137" s="2">
        <v>45390</v>
      </c>
      <c r="K137" t="s">
        <v>2</v>
      </c>
      <c r="L137" t="s">
        <v>1708</v>
      </c>
      <c r="M137" t="s">
        <v>1709</v>
      </c>
      <c r="N137" s="1">
        <f>Table1[[#This Row],[Consideration Weight]]</f>
        <v>0.1388888888888889</v>
      </c>
      <c r="O137" t="s">
        <v>4</v>
      </c>
      <c r="P137" s="3">
        <f>5/36</f>
        <v>0.1388888888888889</v>
      </c>
      <c r="Q137" s="3" t="s">
        <v>1637</v>
      </c>
      <c r="R137" t="s">
        <v>25</v>
      </c>
      <c r="S137" t="s">
        <v>1086</v>
      </c>
      <c r="T137" t="s">
        <v>96</v>
      </c>
      <c r="U137" s="1">
        <v>0.5</v>
      </c>
      <c r="V137" t="s">
        <v>98</v>
      </c>
    </row>
    <row r="138" spans="1:22" x14ac:dyDescent="0.3">
      <c r="A138" t="s">
        <v>274</v>
      </c>
      <c r="B138" t="str">
        <f ca="1">OFFSET(Industries!C$1,MATCH(Table1[[#This Row],[Ticker]],Industries!$A$2:$A$150,0),0)</f>
        <v>Financials</v>
      </c>
      <c r="C138" t="str">
        <f ca="1">OFFSET(Industries!D$1,MATCH(Table1[[#This Row],[Ticker]],Industries!$A$2:$A$150,0),0)</f>
        <v>Banks</v>
      </c>
      <c r="D138" t="str">
        <f ca="1">OFFSET(Industries!E$1,MATCH(Table1[[#This Row],[Ticker]],Industries!$A$2:$A$150,0),0)</f>
        <v>Banks</v>
      </c>
      <c r="E138" t="s">
        <v>93</v>
      </c>
      <c r="F138" t="str">
        <f ca="1">OFFSET(Industries!B$1,MATCH(Table1[[#This Row],[Ticker]],Industries!$A$2:$A$140,0),0)</f>
        <v>Mega-Cap</v>
      </c>
      <c r="G138" t="str">
        <f ca="1">OFFSET(Industries!F$1,MATCH(Table1[[#This Row],[Ticker]],Industries!$A$2:$A$140,0),0)</f>
        <v>A-</v>
      </c>
      <c r="H138" t="s">
        <v>1434</v>
      </c>
      <c r="I138" t="s">
        <v>1434</v>
      </c>
      <c r="J138" s="2">
        <v>45390</v>
      </c>
      <c r="K138" t="s">
        <v>2</v>
      </c>
      <c r="L138" t="s">
        <v>1708</v>
      </c>
      <c r="M138" t="s">
        <v>1709</v>
      </c>
      <c r="N138" s="1"/>
      <c r="O138" t="s">
        <v>4</v>
      </c>
      <c r="P138" s="3">
        <f>5/36</f>
        <v>0.1388888888888889</v>
      </c>
      <c r="Q138" s="3" t="s">
        <v>1637</v>
      </c>
      <c r="R138" t="s">
        <v>25</v>
      </c>
      <c r="S138" t="s">
        <v>1086</v>
      </c>
      <c r="T138" t="s">
        <v>97</v>
      </c>
      <c r="U138" s="1">
        <v>0.5</v>
      </c>
      <c r="V138" t="s">
        <v>99</v>
      </c>
    </row>
    <row r="139" spans="1:22" x14ac:dyDescent="0.3">
      <c r="A139" t="s">
        <v>274</v>
      </c>
      <c r="B139" t="str">
        <f ca="1">OFFSET(Industries!C$1,MATCH(Table1[[#This Row],[Ticker]],Industries!$A$2:$A$150,0),0)</f>
        <v>Financials</v>
      </c>
      <c r="C139" t="str">
        <f ca="1">OFFSET(Industries!D$1,MATCH(Table1[[#This Row],[Ticker]],Industries!$A$2:$A$150,0),0)</f>
        <v>Banks</v>
      </c>
      <c r="D139" t="str">
        <f ca="1">OFFSET(Industries!E$1,MATCH(Table1[[#This Row],[Ticker]],Industries!$A$2:$A$150,0),0)</f>
        <v>Banks</v>
      </c>
      <c r="E139" t="s">
        <v>93</v>
      </c>
      <c r="F139" t="str">
        <f ca="1">OFFSET(Industries!B$1,MATCH(Table1[[#This Row],[Ticker]],Industries!$A$2:$A$140,0),0)</f>
        <v>Mega-Cap</v>
      </c>
      <c r="G139" t="str">
        <f ca="1">OFFSET(Industries!F$1,MATCH(Table1[[#This Row],[Ticker]],Industries!$A$2:$A$140,0),0)</f>
        <v>A-</v>
      </c>
      <c r="H139" t="s">
        <v>1434</v>
      </c>
      <c r="I139" t="s">
        <v>1434</v>
      </c>
      <c r="J139" s="2">
        <v>45390</v>
      </c>
      <c r="K139" t="s">
        <v>2</v>
      </c>
      <c r="L139" t="s">
        <v>1710</v>
      </c>
      <c r="M139" t="s">
        <v>1709</v>
      </c>
      <c r="N139" s="1">
        <f>Table1[[#This Row],[Consideration Weight]]</f>
        <v>0.81944444444444442</v>
      </c>
      <c r="O139" t="s">
        <v>476</v>
      </c>
      <c r="P139" s="3">
        <f>29.5/36</f>
        <v>0.81944444444444442</v>
      </c>
      <c r="Q139" s="3" t="s">
        <v>1636</v>
      </c>
      <c r="R139" t="s">
        <v>1059</v>
      </c>
      <c r="S139" t="s">
        <v>1099</v>
      </c>
      <c r="T139" t="s">
        <v>100</v>
      </c>
      <c r="U139" s="1">
        <v>1</v>
      </c>
      <c r="V139" t="s">
        <v>104</v>
      </c>
    </row>
    <row r="140" spans="1:22" x14ac:dyDescent="0.3">
      <c r="A140" t="s">
        <v>274</v>
      </c>
      <c r="B140" t="str">
        <f ca="1">OFFSET(Industries!C$1,MATCH(Table1[[#This Row],[Ticker]],Industries!$A$2:$A$150,0),0)</f>
        <v>Financials</v>
      </c>
      <c r="C140" t="str">
        <f ca="1">OFFSET(Industries!D$1,MATCH(Table1[[#This Row],[Ticker]],Industries!$A$2:$A$150,0),0)</f>
        <v>Banks</v>
      </c>
      <c r="D140" t="str">
        <f ca="1">OFFSET(Industries!E$1,MATCH(Table1[[#This Row],[Ticker]],Industries!$A$2:$A$150,0),0)</f>
        <v>Banks</v>
      </c>
      <c r="E140" t="s">
        <v>93</v>
      </c>
      <c r="F140" t="str">
        <f ca="1">OFFSET(Industries!B$1,MATCH(Table1[[#This Row],[Ticker]],Industries!$A$2:$A$140,0),0)</f>
        <v>Mega-Cap</v>
      </c>
      <c r="G140" t="str">
        <f ca="1">OFFSET(Industries!F$1,MATCH(Table1[[#This Row],[Ticker]],Industries!$A$2:$A$140,0),0)</f>
        <v>A-</v>
      </c>
      <c r="H140" t="s">
        <v>1434</v>
      </c>
      <c r="I140" t="s">
        <v>1434</v>
      </c>
      <c r="J140" s="2">
        <v>45390</v>
      </c>
      <c r="K140" t="s">
        <v>2</v>
      </c>
      <c r="L140" t="s">
        <v>1710</v>
      </c>
      <c r="M140" t="s">
        <v>1709</v>
      </c>
      <c r="N140" s="1"/>
      <c r="O140" t="s">
        <v>476</v>
      </c>
      <c r="P140" s="3">
        <f>29.5/36</f>
        <v>0.81944444444444442</v>
      </c>
      <c r="Q140" s="3"/>
      <c r="R140" t="s">
        <v>28</v>
      </c>
      <c r="S140" t="s">
        <v>1100</v>
      </c>
      <c r="T140" t="s">
        <v>101</v>
      </c>
      <c r="V140" t="s">
        <v>102</v>
      </c>
    </row>
    <row r="141" spans="1:22" x14ac:dyDescent="0.3">
      <c r="A141" t="s">
        <v>274</v>
      </c>
      <c r="B141" t="str">
        <f ca="1">OFFSET(Industries!C$1,MATCH(Table1[[#This Row],[Ticker]],Industries!$A$2:$A$150,0),0)</f>
        <v>Financials</v>
      </c>
      <c r="C141" t="str">
        <f ca="1">OFFSET(Industries!D$1,MATCH(Table1[[#This Row],[Ticker]],Industries!$A$2:$A$150,0),0)</f>
        <v>Banks</v>
      </c>
      <c r="D141" t="str">
        <f ca="1">OFFSET(Industries!E$1,MATCH(Table1[[#This Row],[Ticker]],Industries!$A$2:$A$150,0),0)</f>
        <v>Banks</v>
      </c>
      <c r="E141" t="s">
        <v>93</v>
      </c>
      <c r="F141" t="str">
        <f ca="1">OFFSET(Industries!B$1,MATCH(Table1[[#This Row],[Ticker]],Industries!$A$2:$A$140,0),0)</f>
        <v>Mega-Cap</v>
      </c>
      <c r="G141" t="str">
        <f ca="1">OFFSET(Industries!F$1,MATCH(Table1[[#This Row],[Ticker]],Industries!$A$2:$A$140,0),0)</f>
        <v>A-</v>
      </c>
      <c r="H141" t="s">
        <v>1434</v>
      </c>
      <c r="I141" t="s">
        <v>1434</v>
      </c>
      <c r="J141" s="2">
        <v>45390</v>
      </c>
      <c r="K141" t="s">
        <v>21</v>
      </c>
      <c r="L141" t="s">
        <v>3</v>
      </c>
      <c r="M141" t="s">
        <v>1711</v>
      </c>
      <c r="N141" s="1">
        <f>Table1[[#This Row],[Consideration Weight]]</f>
        <v>4.1771771771771771E-2</v>
      </c>
      <c r="O141" t="s">
        <v>3</v>
      </c>
      <c r="P141" s="3">
        <v>4.1771771771771771E-2</v>
      </c>
      <c r="Q141" s="3"/>
    </row>
    <row r="142" spans="1:22" x14ac:dyDescent="0.3">
      <c r="A142" t="s">
        <v>274</v>
      </c>
      <c r="B142" t="str">
        <f ca="1">OFFSET(Industries!C$1,MATCH(Table1[[#This Row],[Ticker]],Industries!$A$2:$A$150,0),0)</f>
        <v>Financials</v>
      </c>
      <c r="C142" t="str">
        <f ca="1">OFFSET(Industries!D$1,MATCH(Table1[[#This Row],[Ticker]],Industries!$A$2:$A$150,0),0)</f>
        <v>Banks</v>
      </c>
      <c r="D142" t="str">
        <f ca="1">OFFSET(Industries!E$1,MATCH(Table1[[#This Row],[Ticker]],Industries!$A$2:$A$150,0),0)</f>
        <v>Banks</v>
      </c>
      <c r="E142" t="s">
        <v>93</v>
      </c>
      <c r="F142" t="str">
        <f ca="1">OFFSET(Industries!B$1,MATCH(Table1[[#This Row],[Ticker]],Industries!$A$2:$A$140,0),0)</f>
        <v>Mega-Cap</v>
      </c>
      <c r="G142" t="str">
        <f ca="1">OFFSET(Industries!F$1,MATCH(Table1[[#This Row],[Ticker]],Industries!$A$2:$A$140,0),0)</f>
        <v>A-</v>
      </c>
      <c r="H142" t="s">
        <v>1434</v>
      </c>
      <c r="I142" t="s">
        <v>1434</v>
      </c>
      <c r="J142" s="2">
        <v>45390</v>
      </c>
      <c r="K142" t="s">
        <v>21</v>
      </c>
      <c r="L142" t="s">
        <v>1708</v>
      </c>
      <c r="M142" t="s">
        <v>1709</v>
      </c>
      <c r="N142" s="1">
        <f>Table1[[#This Row],[Consideration Weight]]</f>
        <v>0.34062462462462467</v>
      </c>
      <c r="O142" t="s">
        <v>4</v>
      </c>
      <c r="P142" s="3">
        <v>0.34062462462462467</v>
      </c>
      <c r="Q142" s="3" t="s">
        <v>1637</v>
      </c>
      <c r="R142" t="s">
        <v>25</v>
      </c>
      <c r="S142" t="s">
        <v>1086</v>
      </c>
      <c r="T142" t="s">
        <v>96</v>
      </c>
      <c r="U142" s="1">
        <v>0.5</v>
      </c>
      <c r="V142" t="s">
        <v>1644</v>
      </c>
    </row>
    <row r="143" spans="1:22" x14ac:dyDescent="0.3">
      <c r="A143" t="s">
        <v>274</v>
      </c>
      <c r="B143" t="str">
        <f ca="1">OFFSET(Industries!C$1,MATCH(Table1[[#This Row],[Ticker]],Industries!$A$2:$A$150,0),0)</f>
        <v>Financials</v>
      </c>
      <c r="C143" t="str">
        <f ca="1">OFFSET(Industries!D$1,MATCH(Table1[[#This Row],[Ticker]],Industries!$A$2:$A$150,0),0)</f>
        <v>Banks</v>
      </c>
      <c r="D143" t="str">
        <f ca="1">OFFSET(Industries!E$1,MATCH(Table1[[#This Row],[Ticker]],Industries!$A$2:$A$150,0),0)</f>
        <v>Banks</v>
      </c>
      <c r="E143" t="s">
        <v>93</v>
      </c>
      <c r="F143" t="str">
        <f ca="1">OFFSET(Industries!B$1,MATCH(Table1[[#This Row],[Ticker]],Industries!$A$2:$A$140,0),0)</f>
        <v>Mega-Cap</v>
      </c>
      <c r="G143" t="str">
        <f ca="1">OFFSET(Industries!F$1,MATCH(Table1[[#This Row],[Ticker]],Industries!$A$2:$A$140,0),0)</f>
        <v>A-</v>
      </c>
      <c r="H143" t="s">
        <v>1434</v>
      </c>
      <c r="I143" t="s">
        <v>1434</v>
      </c>
      <c r="J143" s="2">
        <v>45390</v>
      </c>
      <c r="K143" t="s">
        <v>21</v>
      </c>
      <c r="L143" t="s">
        <v>1708</v>
      </c>
      <c r="M143" t="s">
        <v>1709</v>
      </c>
      <c r="N143" s="1"/>
      <c r="O143" t="s">
        <v>4</v>
      </c>
      <c r="P143" s="3">
        <v>0.34062462462462467</v>
      </c>
      <c r="Q143" s="3" t="s">
        <v>1637</v>
      </c>
      <c r="R143" t="s">
        <v>25</v>
      </c>
      <c r="S143" t="s">
        <v>1086</v>
      </c>
      <c r="T143" t="s">
        <v>97</v>
      </c>
      <c r="U143" s="1">
        <v>0.5</v>
      </c>
      <c r="V143" t="s">
        <v>103</v>
      </c>
    </row>
    <row r="144" spans="1:22" x14ac:dyDescent="0.3">
      <c r="A144" t="s">
        <v>274</v>
      </c>
      <c r="B144" t="str">
        <f ca="1">OFFSET(Industries!C$1,MATCH(Table1[[#This Row],[Ticker]],Industries!$A$2:$A$150,0),0)</f>
        <v>Financials</v>
      </c>
      <c r="C144" t="str">
        <f ca="1">OFFSET(Industries!D$1,MATCH(Table1[[#This Row],[Ticker]],Industries!$A$2:$A$150,0),0)</f>
        <v>Banks</v>
      </c>
      <c r="D144" t="str">
        <f ca="1">OFFSET(Industries!E$1,MATCH(Table1[[#This Row],[Ticker]],Industries!$A$2:$A$150,0),0)</f>
        <v>Banks</v>
      </c>
      <c r="E144" t="s">
        <v>93</v>
      </c>
      <c r="F144" t="str">
        <f ca="1">OFFSET(Industries!B$1,MATCH(Table1[[#This Row],[Ticker]],Industries!$A$2:$A$140,0),0)</f>
        <v>Mega-Cap</v>
      </c>
      <c r="G144" t="str">
        <f ca="1">OFFSET(Industries!F$1,MATCH(Table1[[#This Row],[Ticker]],Industries!$A$2:$A$140,0),0)</f>
        <v>A-</v>
      </c>
      <c r="H144" t="s">
        <v>1434</v>
      </c>
      <c r="I144" t="s">
        <v>1434</v>
      </c>
      <c r="J144" s="2">
        <v>45390</v>
      </c>
      <c r="K144" t="s">
        <v>21</v>
      </c>
      <c r="L144" t="s">
        <v>1710</v>
      </c>
      <c r="M144" t="s">
        <v>1709</v>
      </c>
      <c r="N144" s="1">
        <f>Table1[[#This Row],[Consideration Weight]]</f>
        <v>0.38713513513513514</v>
      </c>
      <c r="O144" t="s">
        <v>476</v>
      </c>
      <c r="P144" s="3">
        <v>0.38713513513513514</v>
      </c>
      <c r="Q144" s="3" t="s">
        <v>1636</v>
      </c>
      <c r="R144" t="s">
        <v>1059</v>
      </c>
      <c r="S144" t="s">
        <v>1099</v>
      </c>
      <c r="T144" t="s">
        <v>100</v>
      </c>
      <c r="U144" s="1">
        <v>1</v>
      </c>
      <c r="V144" t="s">
        <v>1643</v>
      </c>
    </row>
    <row r="145" spans="1:22" x14ac:dyDescent="0.3">
      <c r="A145" t="s">
        <v>274</v>
      </c>
      <c r="B145" t="str">
        <f ca="1">OFFSET(Industries!C$1,MATCH(Table1[[#This Row],[Ticker]],Industries!$A$2:$A$150,0),0)</f>
        <v>Financials</v>
      </c>
      <c r="C145" t="str">
        <f ca="1">OFFSET(Industries!D$1,MATCH(Table1[[#This Row],[Ticker]],Industries!$A$2:$A$150,0),0)</f>
        <v>Banks</v>
      </c>
      <c r="D145" t="str">
        <f ca="1">OFFSET(Industries!E$1,MATCH(Table1[[#This Row],[Ticker]],Industries!$A$2:$A$150,0),0)</f>
        <v>Banks</v>
      </c>
      <c r="E145" t="s">
        <v>93</v>
      </c>
      <c r="F145" t="str">
        <f ca="1">OFFSET(Industries!B$1,MATCH(Table1[[#This Row],[Ticker]],Industries!$A$2:$A$140,0),0)</f>
        <v>Mega-Cap</v>
      </c>
      <c r="G145" t="str">
        <f ca="1">OFFSET(Industries!F$1,MATCH(Table1[[#This Row],[Ticker]],Industries!$A$2:$A$140,0),0)</f>
        <v>A-</v>
      </c>
      <c r="H145" t="s">
        <v>1434</v>
      </c>
      <c r="I145" t="s">
        <v>1434</v>
      </c>
      <c r="J145" s="2">
        <v>45390</v>
      </c>
      <c r="K145" t="s">
        <v>21</v>
      </c>
      <c r="L145" t="s">
        <v>1710</v>
      </c>
      <c r="M145" t="s">
        <v>1709</v>
      </c>
      <c r="N145" s="1"/>
      <c r="O145" t="s">
        <v>476</v>
      </c>
      <c r="P145" s="3">
        <v>0.38713513513513514</v>
      </c>
      <c r="Q145" s="3"/>
      <c r="R145" t="s">
        <v>28</v>
      </c>
      <c r="S145" t="s">
        <v>1100</v>
      </c>
      <c r="T145" t="s">
        <v>101</v>
      </c>
    </row>
    <row r="146" spans="1:22" x14ac:dyDescent="0.3">
      <c r="A146" t="s">
        <v>274</v>
      </c>
      <c r="B146" t="str">
        <f ca="1">OFFSET(Industries!C$1,MATCH(Table1[[#This Row],[Ticker]],Industries!$A$2:$A$150,0),0)</f>
        <v>Financials</v>
      </c>
      <c r="C146" t="str">
        <f ca="1">OFFSET(Industries!D$1,MATCH(Table1[[#This Row],[Ticker]],Industries!$A$2:$A$150,0),0)</f>
        <v>Banks</v>
      </c>
      <c r="D146" t="str">
        <f ca="1">OFFSET(Industries!E$1,MATCH(Table1[[#This Row],[Ticker]],Industries!$A$2:$A$150,0),0)</f>
        <v>Banks</v>
      </c>
      <c r="E146" t="s">
        <v>93</v>
      </c>
      <c r="F146" t="str">
        <f ca="1">OFFSET(Industries!B$1,MATCH(Table1[[#This Row],[Ticker]],Industries!$A$2:$A$140,0),0)</f>
        <v>Mega-Cap</v>
      </c>
      <c r="G146" t="str">
        <f ca="1">OFFSET(Industries!F$1,MATCH(Table1[[#This Row],[Ticker]],Industries!$A$2:$A$140,0),0)</f>
        <v>A-</v>
      </c>
      <c r="H146" t="s">
        <v>1434</v>
      </c>
      <c r="I146" t="s">
        <v>1434</v>
      </c>
      <c r="J146" s="2">
        <v>45390</v>
      </c>
      <c r="K146" t="s">
        <v>21</v>
      </c>
      <c r="L146" t="s">
        <v>1710</v>
      </c>
      <c r="M146" t="s">
        <v>1711</v>
      </c>
      <c r="N146" s="1">
        <f>Table1[[#This Row],[Consideration Weight]]</f>
        <v>0.23046846846846844</v>
      </c>
      <c r="O146" t="s">
        <v>194</v>
      </c>
      <c r="P146" s="3">
        <v>0.23046846846846844</v>
      </c>
      <c r="Q146" s="3"/>
      <c r="V146" t="s">
        <v>105</v>
      </c>
    </row>
    <row r="147" spans="1:22" x14ac:dyDescent="0.3">
      <c r="A147" t="s">
        <v>275</v>
      </c>
      <c r="B147" t="str">
        <f ca="1">OFFSET(Industries!C$1,MATCH(Table1[[#This Row],[Ticker]],Industries!$A$2:$A$150,0),0)</f>
        <v>Financials</v>
      </c>
      <c r="C147" t="str">
        <f ca="1">OFFSET(Industries!D$1,MATCH(Table1[[#This Row],[Ticker]],Industries!$A$2:$A$150,0),0)</f>
        <v>Financial Services</v>
      </c>
      <c r="D147" t="str">
        <f ca="1">OFFSET(Industries!E$1,MATCH(Table1[[#This Row],[Ticker]],Industries!$A$2:$A$150,0),0)</f>
        <v>Financial Services</v>
      </c>
      <c r="E147" t="s">
        <v>106</v>
      </c>
      <c r="F147" t="str">
        <f ca="1">OFFSET(Industries!B$1,MATCH(Table1[[#This Row],[Ticker]],Industries!$A$2:$A$140,0),0)</f>
        <v>Mega-Cap</v>
      </c>
      <c r="G147" t="str">
        <f ca="1">OFFSET(Industries!F$1,MATCH(Table1[[#This Row],[Ticker]],Industries!$A$2:$A$140,0),0)</f>
        <v>A+</v>
      </c>
      <c r="H147" t="s">
        <v>1434</v>
      </c>
      <c r="I147" t="s">
        <v>1434</v>
      </c>
      <c r="J147" s="2">
        <v>45408</v>
      </c>
      <c r="K147" t="s">
        <v>2</v>
      </c>
      <c r="L147" t="s">
        <v>3</v>
      </c>
      <c r="M147" t="s">
        <v>1711</v>
      </c>
      <c r="N147" s="1">
        <f>Table1[[#This Row],[Consideration Weight]]</f>
        <v>0.05</v>
      </c>
      <c r="O147" t="s">
        <v>3</v>
      </c>
      <c r="P147" s="3">
        <v>0.05</v>
      </c>
      <c r="Q147" s="3"/>
    </row>
    <row r="148" spans="1:22" x14ac:dyDescent="0.3">
      <c r="A148" t="s">
        <v>275</v>
      </c>
      <c r="B148" t="str">
        <f ca="1">OFFSET(Industries!C$1,MATCH(Table1[[#This Row],[Ticker]],Industries!$A$2:$A$150,0),0)</f>
        <v>Financials</v>
      </c>
      <c r="C148" t="str">
        <f ca="1">OFFSET(Industries!D$1,MATCH(Table1[[#This Row],[Ticker]],Industries!$A$2:$A$150,0),0)</f>
        <v>Financial Services</v>
      </c>
      <c r="D148" t="str">
        <f ca="1">OFFSET(Industries!E$1,MATCH(Table1[[#This Row],[Ticker]],Industries!$A$2:$A$150,0),0)</f>
        <v>Financial Services</v>
      </c>
      <c r="E148" t="s">
        <v>106</v>
      </c>
      <c r="F148" t="str">
        <f ca="1">OFFSET(Industries!B$1,MATCH(Table1[[#This Row],[Ticker]],Industries!$A$2:$A$140,0),0)</f>
        <v>Mega-Cap</v>
      </c>
      <c r="G148" t="str">
        <f ca="1">OFFSET(Industries!F$1,MATCH(Table1[[#This Row],[Ticker]],Industries!$A$2:$A$140,0),0)</f>
        <v>A+</v>
      </c>
      <c r="H148" t="s">
        <v>1434</v>
      </c>
      <c r="I148" t="s">
        <v>1434</v>
      </c>
      <c r="J148" s="2">
        <v>45408</v>
      </c>
      <c r="K148" t="s">
        <v>2</v>
      </c>
      <c r="L148" t="s">
        <v>1708</v>
      </c>
      <c r="M148" t="s">
        <v>1709</v>
      </c>
      <c r="N148" s="1">
        <f>Table1[[#This Row],[Consideration Weight]]</f>
        <v>0.11</v>
      </c>
      <c r="O148" t="s">
        <v>4</v>
      </c>
      <c r="P148" s="3">
        <v>0.11</v>
      </c>
      <c r="Q148" s="3" t="s">
        <v>1636</v>
      </c>
      <c r="R148" t="s">
        <v>24</v>
      </c>
      <c r="S148" t="s">
        <v>1098</v>
      </c>
      <c r="T148" t="s">
        <v>107</v>
      </c>
      <c r="U148" s="1">
        <v>0.67</v>
      </c>
    </row>
    <row r="149" spans="1:22" x14ac:dyDescent="0.3">
      <c r="A149" t="s">
        <v>275</v>
      </c>
      <c r="B149" t="str">
        <f ca="1">OFFSET(Industries!C$1,MATCH(Table1[[#This Row],[Ticker]],Industries!$A$2:$A$150,0),0)</f>
        <v>Financials</v>
      </c>
      <c r="C149" t="str">
        <f ca="1">OFFSET(Industries!D$1,MATCH(Table1[[#This Row],[Ticker]],Industries!$A$2:$A$150,0),0)</f>
        <v>Financial Services</v>
      </c>
      <c r="D149" t="str">
        <f ca="1">OFFSET(Industries!E$1,MATCH(Table1[[#This Row],[Ticker]],Industries!$A$2:$A$150,0),0)</f>
        <v>Financial Services</v>
      </c>
      <c r="E149" t="s">
        <v>106</v>
      </c>
      <c r="F149" t="str">
        <f ca="1">OFFSET(Industries!B$1,MATCH(Table1[[#This Row],[Ticker]],Industries!$A$2:$A$140,0),0)</f>
        <v>Mega-Cap</v>
      </c>
      <c r="G149" t="str">
        <f ca="1">OFFSET(Industries!F$1,MATCH(Table1[[#This Row],[Ticker]],Industries!$A$2:$A$140,0),0)</f>
        <v>A+</v>
      </c>
      <c r="H149" t="s">
        <v>1434</v>
      </c>
      <c r="I149" t="s">
        <v>1434</v>
      </c>
      <c r="J149" s="2">
        <v>45408</v>
      </c>
      <c r="K149" t="s">
        <v>2</v>
      </c>
      <c r="L149" t="s">
        <v>1708</v>
      </c>
      <c r="M149" t="s">
        <v>1709</v>
      </c>
      <c r="N149" s="1"/>
      <c r="O149" t="s">
        <v>4</v>
      </c>
      <c r="P149" s="3">
        <v>0.11</v>
      </c>
      <c r="Q149" s="3" t="s">
        <v>1636</v>
      </c>
      <c r="R149" t="s">
        <v>23</v>
      </c>
      <c r="S149" t="s">
        <v>1083</v>
      </c>
      <c r="T149" t="s">
        <v>7</v>
      </c>
      <c r="U149" s="1">
        <v>0.33</v>
      </c>
    </row>
    <row r="150" spans="1:22" x14ac:dyDescent="0.3">
      <c r="A150" t="s">
        <v>275</v>
      </c>
      <c r="B150" t="str">
        <f ca="1">OFFSET(Industries!C$1,MATCH(Table1[[#This Row],[Ticker]],Industries!$A$2:$A$150,0),0)</f>
        <v>Financials</v>
      </c>
      <c r="C150" t="str">
        <f ca="1">OFFSET(Industries!D$1,MATCH(Table1[[#This Row],[Ticker]],Industries!$A$2:$A$150,0),0)</f>
        <v>Financial Services</v>
      </c>
      <c r="D150" t="str">
        <f ca="1">OFFSET(Industries!E$1,MATCH(Table1[[#This Row],[Ticker]],Industries!$A$2:$A$150,0),0)</f>
        <v>Financial Services</v>
      </c>
      <c r="E150" t="s">
        <v>106</v>
      </c>
      <c r="F150" t="str">
        <f ca="1">OFFSET(Industries!B$1,MATCH(Table1[[#This Row],[Ticker]],Industries!$A$2:$A$140,0),0)</f>
        <v>Mega-Cap</v>
      </c>
      <c r="G150" t="str">
        <f ca="1">OFFSET(Industries!F$1,MATCH(Table1[[#This Row],[Ticker]],Industries!$A$2:$A$140,0),0)</f>
        <v>A+</v>
      </c>
      <c r="H150" t="s">
        <v>1434</v>
      </c>
      <c r="I150" t="s">
        <v>1434</v>
      </c>
      <c r="J150" s="2">
        <v>45408</v>
      </c>
      <c r="K150" t="s">
        <v>2</v>
      </c>
      <c r="L150" t="s">
        <v>1708</v>
      </c>
      <c r="M150" t="s">
        <v>1709</v>
      </c>
      <c r="N150" s="1"/>
      <c r="O150" t="s">
        <v>4</v>
      </c>
      <c r="P150" s="3">
        <v>0.11</v>
      </c>
      <c r="Q150" s="3"/>
      <c r="R150" t="s">
        <v>28</v>
      </c>
      <c r="S150" t="s">
        <v>1093</v>
      </c>
      <c r="T150" t="s">
        <v>26</v>
      </c>
      <c r="V150" t="s">
        <v>109</v>
      </c>
    </row>
    <row r="151" spans="1:22" x14ac:dyDescent="0.3">
      <c r="A151" t="s">
        <v>275</v>
      </c>
      <c r="B151" t="str">
        <f ca="1">OFFSET(Industries!C$1,MATCH(Table1[[#This Row],[Ticker]],Industries!$A$2:$A$150,0),0)</f>
        <v>Financials</v>
      </c>
      <c r="C151" t="str">
        <f ca="1">OFFSET(Industries!D$1,MATCH(Table1[[#This Row],[Ticker]],Industries!$A$2:$A$150,0),0)</f>
        <v>Financial Services</v>
      </c>
      <c r="D151" t="str">
        <f ca="1">OFFSET(Industries!E$1,MATCH(Table1[[#This Row],[Ticker]],Industries!$A$2:$A$150,0),0)</f>
        <v>Financial Services</v>
      </c>
      <c r="E151" t="s">
        <v>106</v>
      </c>
      <c r="F151" t="str">
        <f ca="1">OFFSET(Industries!B$1,MATCH(Table1[[#This Row],[Ticker]],Industries!$A$2:$A$140,0),0)</f>
        <v>Mega-Cap</v>
      </c>
      <c r="G151" t="str">
        <f ca="1">OFFSET(Industries!F$1,MATCH(Table1[[#This Row],[Ticker]],Industries!$A$2:$A$140,0),0)</f>
        <v>A+</v>
      </c>
      <c r="H151" t="s">
        <v>1434</v>
      </c>
      <c r="I151" t="s">
        <v>1434</v>
      </c>
      <c r="J151" s="2">
        <v>45408</v>
      </c>
      <c r="K151" t="s">
        <v>2</v>
      </c>
      <c r="L151" t="s">
        <v>1708</v>
      </c>
      <c r="M151" t="s">
        <v>1709</v>
      </c>
      <c r="N151" s="1"/>
      <c r="O151" t="s">
        <v>4</v>
      </c>
      <c r="P151" s="3">
        <v>0.11</v>
      </c>
      <c r="Q151" s="3"/>
      <c r="R151" t="s">
        <v>28</v>
      </c>
      <c r="S151" t="s">
        <v>1091</v>
      </c>
      <c r="T151" t="s">
        <v>108</v>
      </c>
      <c r="V151" t="s">
        <v>110</v>
      </c>
    </row>
    <row r="152" spans="1:22" x14ac:dyDescent="0.3">
      <c r="A152" t="s">
        <v>275</v>
      </c>
      <c r="B152" t="str">
        <f ca="1">OFFSET(Industries!C$1,MATCH(Table1[[#This Row],[Ticker]],Industries!$A$2:$A$150,0),0)</f>
        <v>Financials</v>
      </c>
      <c r="C152" t="str">
        <f ca="1">OFFSET(Industries!D$1,MATCH(Table1[[#This Row],[Ticker]],Industries!$A$2:$A$150,0),0)</f>
        <v>Financial Services</v>
      </c>
      <c r="D152" t="str">
        <f ca="1">OFFSET(Industries!E$1,MATCH(Table1[[#This Row],[Ticker]],Industries!$A$2:$A$150,0),0)</f>
        <v>Financial Services</v>
      </c>
      <c r="E152" t="s">
        <v>106</v>
      </c>
      <c r="F152" t="str">
        <f ca="1">OFFSET(Industries!B$1,MATCH(Table1[[#This Row],[Ticker]],Industries!$A$2:$A$140,0),0)</f>
        <v>Mega-Cap</v>
      </c>
      <c r="G152" t="str">
        <f ca="1">OFFSET(Industries!F$1,MATCH(Table1[[#This Row],[Ticker]],Industries!$A$2:$A$140,0),0)</f>
        <v>A+</v>
      </c>
      <c r="H152" t="s">
        <v>1434</v>
      </c>
      <c r="I152" t="s">
        <v>1434</v>
      </c>
      <c r="J152" s="2">
        <v>45408</v>
      </c>
      <c r="K152" t="s">
        <v>2</v>
      </c>
      <c r="L152" t="s">
        <v>1708</v>
      </c>
      <c r="M152" t="s">
        <v>1709</v>
      </c>
      <c r="N152" s="1"/>
      <c r="O152" t="s">
        <v>4</v>
      </c>
      <c r="P152" s="3">
        <v>0.11</v>
      </c>
      <c r="Q152" s="3"/>
      <c r="R152" t="s">
        <v>28</v>
      </c>
      <c r="S152" t="s">
        <v>1087</v>
      </c>
      <c r="T152" t="s">
        <v>40</v>
      </c>
    </row>
    <row r="153" spans="1:22" x14ac:dyDescent="0.3">
      <c r="A153" t="s">
        <v>275</v>
      </c>
      <c r="B153" t="str">
        <f ca="1">OFFSET(Industries!C$1,MATCH(Table1[[#This Row],[Ticker]],Industries!$A$2:$A$150,0),0)</f>
        <v>Financials</v>
      </c>
      <c r="C153" t="str">
        <f ca="1">OFFSET(Industries!D$1,MATCH(Table1[[#This Row],[Ticker]],Industries!$A$2:$A$150,0),0)</f>
        <v>Financial Services</v>
      </c>
      <c r="D153" t="str">
        <f ca="1">OFFSET(Industries!E$1,MATCH(Table1[[#This Row],[Ticker]],Industries!$A$2:$A$150,0),0)</f>
        <v>Financial Services</v>
      </c>
      <c r="E153" t="s">
        <v>106</v>
      </c>
      <c r="F153" t="str">
        <f ca="1">OFFSET(Industries!B$1,MATCH(Table1[[#This Row],[Ticker]],Industries!$A$2:$A$140,0),0)</f>
        <v>Mega-Cap</v>
      </c>
      <c r="G153" t="str">
        <f ca="1">OFFSET(Industries!F$1,MATCH(Table1[[#This Row],[Ticker]],Industries!$A$2:$A$140,0),0)</f>
        <v>A+</v>
      </c>
      <c r="H153" t="s">
        <v>1434</v>
      </c>
      <c r="I153" t="s">
        <v>1434</v>
      </c>
      <c r="J153" s="2">
        <v>45408</v>
      </c>
      <c r="K153" t="s">
        <v>2</v>
      </c>
      <c r="L153" t="s">
        <v>1710</v>
      </c>
      <c r="M153" t="s">
        <v>1709</v>
      </c>
      <c r="N153" s="1">
        <f>Table1[[#This Row],[Consideration Weight]]</f>
        <v>0.5</v>
      </c>
      <c r="O153" t="s">
        <v>476</v>
      </c>
      <c r="P153" s="3">
        <v>0.5</v>
      </c>
      <c r="Q153" s="3" t="s">
        <v>1636</v>
      </c>
      <c r="R153" t="s">
        <v>24</v>
      </c>
      <c r="S153" t="s">
        <v>1089</v>
      </c>
      <c r="T153" t="s">
        <v>1036</v>
      </c>
      <c r="U153" s="1">
        <v>0.5</v>
      </c>
    </row>
    <row r="154" spans="1:22" x14ac:dyDescent="0.3">
      <c r="A154" t="s">
        <v>275</v>
      </c>
      <c r="B154" t="str">
        <f ca="1">OFFSET(Industries!C$1,MATCH(Table1[[#This Row],[Ticker]],Industries!$A$2:$A$150,0),0)</f>
        <v>Financials</v>
      </c>
      <c r="C154" t="str">
        <f ca="1">OFFSET(Industries!D$1,MATCH(Table1[[#This Row],[Ticker]],Industries!$A$2:$A$150,0),0)</f>
        <v>Financial Services</v>
      </c>
      <c r="D154" t="str">
        <f ca="1">OFFSET(Industries!E$1,MATCH(Table1[[#This Row],[Ticker]],Industries!$A$2:$A$150,0),0)</f>
        <v>Financial Services</v>
      </c>
      <c r="E154" t="s">
        <v>106</v>
      </c>
      <c r="F154" t="str">
        <f ca="1">OFFSET(Industries!B$1,MATCH(Table1[[#This Row],[Ticker]],Industries!$A$2:$A$140,0),0)</f>
        <v>Mega-Cap</v>
      </c>
      <c r="G154" t="str">
        <f ca="1">OFFSET(Industries!F$1,MATCH(Table1[[#This Row],[Ticker]],Industries!$A$2:$A$140,0),0)</f>
        <v>A+</v>
      </c>
      <c r="H154" t="s">
        <v>1434</v>
      </c>
      <c r="I154" t="s">
        <v>1434</v>
      </c>
      <c r="J154" s="2">
        <v>45408</v>
      </c>
      <c r="K154" t="s">
        <v>2</v>
      </c>
      <c r="L154" t="s">
        <v>1710</v>
      </c>
      <c r="M154" t="s">
        <v>1709</v>
      </c>
      <c r="N154" s="1"/>
      <c r="O154" t="s">
        <v>476</v>
      </c>
      <c r="P154" s="3">
        <v>0.5</v>
      </c>
      <c r="Q154" s="3" t="s">
        <v>1636</v>
      </c>
      <c r="R154" t="s">
        <v>23</v>
      </c>
      <c r="S154" t="s">
        <v>1083</v>
      </c>
      <c r="T154" t="s">
        <v>437</v>
      </c>
      <c r="U154" s="1">
        <v>0.5</v>
      </c>
    </row>
    <row r="155" spans="1:22" x14ac:dyDescent="0.3">
      <c r="A155" t="s">
        <v>275</v>
      </c>
      <c r="B155" t="str">
        <f ca="1">OFFSET(Industries!C$1,MATCH(Table1[[#This Row],[Ticker]],Industries!$A$2:$A$150,0),0)</f>
        <v>Financials</v>
      </c>
      <c r="C155" t="str">
        <f ca="1">OFFSET(Industries!D$1,MATCH(Table1[[#This Row],[Ticker]],Industries!$A$2:$A$150,0),0)</f>
        <v>Financial Services</v>
      </c>
      <c r="D155" t="str">
        <f ca="1">OFFSET(Industries!E$1,MATCH(Table1[[#This Row],[Ticker]],Industries!$A$2:$A$150,0),0)</f>
        <v>Financial Services</v>
      </c>
      <c r="E155" t="s">
        <v>106</v>
      </c>
      <c r="F155" t="str">
        <f ca="1">OFFSET(Industries!B$1,MATCH(Table1[[#This Row],[Ticker]],Industries!$A$2:$A$140,0),0)</f>
        <v>Mega-Cap</v>
      </c>
      <c r="G155" t="str">
        <f ca="1">OFFSET(Industries!F$1,MATCH(Table1[[#This Row],[Ticker]],Industries!$A$2:$A$140,0),0)</f>
        <v>A+</v>
      </c>
      <c r="H155" t="s">
        <v>1434</v>
      </c>
      <c r="I155" t="s">
        <v>1434</v>
      </c>
      <c r="J155" s="2">
        <v>45408</v>
      </c>
      <c r="K155" t="s">
        <v>2</v>
      </c>
      <c r="L155" t="s">
        <v>1710</v>
      </c>
      <c r="M155" t="s">
        <v>1709</v>
      </c>
      <c r="N155" s="1"/>
      <c r="O155" t="s">
        <v>476</v>
      </c>
      <c r="P155" s="3">
        <v>0.5</v>
      </c>
      <c r="Q155" s="3"/>
      <c r="R155" t="s">
        <v>28</v>
      </c>
      <c r="S155" t="s">
        <v>1085</v>
      </c>
      <c r="T155" t="s">
        <v>30</v>
      </c>
      <c r="V155" t="s">
        <v>112</v>
      </c>
    </row>
    <row r="156" spans="1:22" x14ac:dyDescent="0.3">
      <c r="A156" t="s">
        <v>275</v>
      </c>
      <c r="B156" t="str">
        <f ca="1">OFFSET(Industries!C$1,MATCH(Table1[[#This Row],[Ticker]],Industries!$A$2:$A$150,0),0)</f>
        <v>Financials</v>
      </c>
      <c r="C156" t="str">
        <f ca="1">OFFSET(Industries!D$1,MATCH(Table1[[#This Row],[Ticker]],Industries!$A$2:$A$150,0),0)</f>
        <v>Financial Services</v>
      </c>
      <c r="D156" t="str">
        <f ca="1">OFFSET(Industries!E$1,MATCH(Table1[[#This Row],[Ticker]],Industries!$A$2:$A$150,0),0)</f>
        <v>Financial Services</v>
      </c>
      <c r="E156" t="s">
        <v>106</v>
      </c>
      <c r="F156" t="str">
        <f ca="1">OFFSET(Industries!B$1,MATCH(Table1[[#This Row],[Ticker]],Industries!$A$2:$A$140,0),0)</f>
        <v>Mega-Cap</v>
      </c>
      <c r="G156" t="str">
        <f ca="1">OFFSET(Industries!F$1,MATCH(Table1[[#This Row],[Ticker]],Industries!$A$2:$A$140,0),0)</f>
        <v>A+</v>
      </c>
      <c r="H156" t="s">
        <v>1434</v>
      </c>
      <c r="I156" t="s">
        <v>1434</v>
      </c>
      <c r="J156" s="2">
        <v>45408</v>
      </c>
      <c r="K156" t="s">
        <v>2</v>
      </c>
      <c r="L156" t="s">
        <v>1710</v>
      </c>
      <c r="M156" t="s">
        <v>1711</v>
      </c>
      <c r="N156" s="1">
        <f>Table1[[#This Row],[Consideration Weight]]</f>
        <v>0.17</v>
      </c>
      <c r="O156" t="s">
        <v>194</v>
      </c>
      <c r="P156" s="3">
        <v>0.17</v>
      </c>
      <c r="Q156" s="3"/>
    </row>
    <row r="157" spans="1:22" x14ac:dyDescent="0.3">
      <c r="A157" t="s">
        <v>275</v>
      </c>
      <c r="B157" t="str">
        <f ca="1">OFFSET(Industries!C$1,MATCH(Table1[[#This Row],[Ticker]],Industries!$A$2:$A$150,0),0)</f>
        <v>Financials</v>
      </c>
      <c r="C157" t="str">
        <f ca="1">OFFSET(Industries!D$1,MATCH(Table1[[#This Row],[Ticker]],Industries!$A$2:$A$150,0),0)</f>
        <v>Financial Services</v>
      </c>
      <c r="D157" t="str">
        <f ca="1">OFFSET(Industries!E$1,MATCH(Table1[[#This Row],[Ticker]],Industries!$A$2:$A$150,0),0)</f>
        <v>Financial Services</v>
      </c>
      <c r="E157" t="s">
        <v>106</v>
      </c>
      <c r="F157" t="str">
        <f ca="1">OFFSET(Industries!B$1,MATCH(Table1[[#This Row],[Ticker]],Industries!$A$2:$A$140,0),0)</f>
        <v>Mega-Cap</v>
      </c>
      <c r="G157" t="str">
        <f ca="1">OFFSET(Industries!F$1,MATCH(Table1[[#This Row],[Ticker]],Industries!$A$2:$A$140,0),0)</f>
        <v>A+</v>
      </c>
      <c r="H157" t="s">
        <v>1434</v>
      </c>
      <c r="I157" t="s">
        <v>1434</v>
      </c>
      <c r="J157" s="2">
        <v>45408</v>
      </c>
      <c r="K157" t="s">
        <v>2</v>
      </c>
      <c r="L157" t="s">
        <v>1710</v>
      </c>
      <c r="M157" t="s">
        <v>1711</v>
      </c>
      <c r="N157" s="1">
        <f>Table1[[#This Row],[Consideration Weight]]</f>
        <v>0.17</v>
      </c>
      <c r="O157" t="s">
        <v>87</v>
      </c>
      <c r="P157" s="3">
        <v>0.17</v>
      </c>
      <c r="Q157" s="3"/>
    </row>
    <row r="158" spans="1:22" x14ac:dyDescent="0.3">
      <c r="A158" t="s">
        <v>275</v>
      </c>
      <c r="B158" t="str">
        <f ca="1">OFFSET(Industries!C$1,MATCH(Table1[[#This Row],[Ticker]],Industries!$A$2:$A$150,0),0)</f>
        <v>Financials</v>
      </c>
      <c r="C158" t="str">
        <f ca="1">OFFSET(Industries!D$1,MATCH(Table1[[#This Row],[Ticker]],Industries!$A$2:$A$150,0),0)</f>
        <v>Financial Services</v>
      </c>
      <c r="D158" t="str">
        <f ca="1">OFFSET(Industries!E$1,MATCH(Table1[[#This Row],[Ticker]],Industries!$A$2:$A$150,0),0)</f>
        <v>Financial Services</v>
      </c>
      <c r="E158" t="s">
        <v>106</v>
      </c>
      <c r="F158" t="str">
        <f ca="1">OFFSET(Industries!B$1,MATCH(Table1[[#This Row],[Ticker]],Industries!$A$2:$A$140,0),0)</f>
        <v>Mega-Cap</v>
      </c>
      <c r="G158" t="str">
        <f ca="1">OFFSET(Industries!F$1,MATCH(Table1[[#This Row],[Ticker]],Industries!$A$2:$A$140,0),0)</f>
        <v>A+</v>
      </c>
      <c r="H158" t="s">
        <v>1434</v>
      </c>
      <c r="I158" t="s">
        <v>1434</v>
      </c>
      <c r="J158" s="2">
        <v>45408</v>
      </c>
      <c r="K158" t="s">
        <v>21</v>
      </c>
      <c r="L158" t="s">
        <v>3</v>
      </c>
      <c r="M158" t="s">
        <v>1711</v>
      </c>
      <c r="N158" s="1">
        <f>Table1[[#This Row],[Consideration Weight]]</f>
        <v>0.09</v>
      </c>
      <c r="O158" t="s">
        <v>3</v>
      </c>
      <c r="P158" s="3">
        <v>0.09</v>
      </c>
      <c r="Q158" s="3"/>
    </row>
    <row r="159" spans="1:22" x14ac:dyDescent="0.3">
      <c r="A159" t="s">
        <v>275</v>
      </c>
      <c r="B159" t="str">
        <f ca="1">OFFSET(Industries!C$1,MATCH(Table1[[#This Row],[Ticker]],Industries!$A$2:$A$150,0),0)</f>
        <v>Financials</v>
      </c>
      <c r="C159" t="str">
        <f ca="1">OFFSET(Industries!D$1,MATCH(Table1[[#This Row],[Ticker]],Industries!$A$2:$A$150,0),0)</f>
        <v>Financial Services</v>
      </c>
      <c r="D159" t="str">
        <f ca="1">OFFSET(Industries!E$1,MATCH(Table1[[#This Row],[Ticker]],Industries!$A$2:$A$150,0),0)</f>
        <v>Financial Services</v>
      </c>
      <c r="E159" t="s">
        <v>106</v>
      </c>
      <c r="F159" t="str">
        <f ca="1">OFFSET(Industries!B$1,MATCH(Table1[[#This Row],[Ticker]],Industries!$A$2:$A$140,0),0)</f>
        <v>Mega-Cap</v>
      </c>
      <c r="G159" t="str">
        <f ca="1">OFFSET(Industries!F$1,MATCH(Table1[[#This Row],[Ticker]],Industries!$A$2:$A$140,0),0)</f>
        <v>A+</v>
      </c>
      <c r="H159" t="s">
        <v>1434</v>
      </c>
      <c r="I159" t="s">
        <v>1434</v>
      </c>
      <c r="J159" s="2">
        <v>45408</v>
      </c>
      <c r="K159" t="s">
        <v>21</v>
      </c>
      <c r="L159" t="s">
        <v>1708</v>
      </c>
      <c r="M159" t="s">
        <v>1709</v>
      </c>
      <c r="N159" s="1">
        <f>Table1[[#This Row],[Consideration Weight]]</f>
        <v>0.12</v>
      </c>
      <c r="O159" t="s">
        <v>4</v>
      </c>
      <c r="P159" s="3">
        <v>0.12</v>
      </c>
      <c r="Q159" s="3" t="s">
        <v>1636</v>
      </c>
      <c r="R159" t="s">
        <v>24</v>
      </c>
      <c r="S159" t="s">
        <v>1098</v>
      </c>
      <c r="T159" t="s">
        <v>107</v>
      </c>
      <c r="U159" s="1">
        <v>0.67</v>
      </c>
      <c r="V159" t="s">
        <v>113</v>
      </c>
    </row>
    <row r="160" spans="1:22" x14ac:dyDescent="0.3">
      <c r="A160" t="s">
        <v>275</v>
      </c>
      <c r="B160" t="str">
        <f ca="1">OFFSET(Industries!C$1,MATCH(Table1[[#This Row],[Ticker]],Industries!$A$2:$A$150,0),0)</f>
        <v>Financials</v>
      </c>
      <c r="C160" t="str">
        <f ca="1">OFFSET(Industries!D$1,MATCH(Table1[[#This Row],[Ticker]],Industries!$A$2:$A$150,0),0)</f>
        <v>Financial Services</v>
      </c>
      <c r="D160" t="str">
        <f ca="1">OFFSET(Industries!E$1,MATCH(Table1[[#This Row],[Ticker]],Industries!$A$2:$A$150,0),0)</f>
        <v>Financial Services</v>
      </c>
      <c r="E160" t="s">
        <v>106</v>
      </c>
      <c r="F160" t="str">
        <f ca="1">OFFSET(Industries!B$1,MATCH(Table1[[#This Row],[Ticker]],Industries!$A$2:$A$140,0),0)</f>
        <v>Mega-Cap</v>
      </c>
      <c r="G160" t="str">
        <f ca="1">OFFSET(Industries!F$1,MATCH(Table1[[#This Row],[Ticker]],Industries!$A$2:$A$140,0),0)</f>
        <v>A+</v>
      </c>
      <c r="H160" t="s">
        <v>1434</v>
      </c>
      <c r="I160" t="s">
        <v>1434</v>
      </c>
      <c r="J160" s="2">
        <v>45408</v>
      </c>
      <c r="K160" t="s">
        <v>21</v>
      </c>
      <c r="L160" t="s">
        <v>1708</v>
      </c>
      <c r="M160" t="s">
        <v>1709</v>
      </c>
      <c r="N160" s="1"/>
      <c r="O160" t="s">
        <v>4</v>
      </c>
      <c r="P160" s="3">
        <v>0.12</v>
      </c>
      <c r="Q160" s="3" t="s">
        <v>1636</v>
      </c>
      <c r="R160" t="s">
        <v>23</v>
      </c>
      <c r="S160" t="s">
        <v>1083</v>
      </c>
      <c r="T160" t="s">
        <v>7</v>
      </c>
      <c r="U160" s="1">
        <v>0.33</v>
      </c>
      <c r="V160" t="s">
        <v>114</v>
      </c>
    </row>
    <row r="161" spans="1:22" x14ac:dyDescent="0.3">
      <c r="A161" t="s">
        <v>275</v>
      </c>
      <c r="B161" t="str">
        <f ca="1">OFFSET(Industries!C$1,MATCH(Table1[[#This Row],[Ticker]],Industries!$A$2:$A$150,0),0)</f>
        <v>Financials</v>
      </c>
      <c r="C161" t="str">
        <f ca="1">OFFSET(Industries!D$1,MATCH(Table1[[#This Row],[Ticker]],Industries!$A$2:$A$150,0),0)</f>
        <v>Financial Services</v>
      </c>
      <c r="D161" t="str">
        <f ca="1">OFFSET(Industries!E$1,MATCH(Table1[[#This Row],[Ticker]],Industries!$A$2:$A$150,0),0)</f>
        <v>Financial Services</v>
      </c>
      <c r="E161" t="s">
        <v>106</v>
      </c>
      <c r="F161" t="str">
        <f ca="1">OFFSET(Industries!B$1,MATCH(Table1[[#This Row],[Ticker]],Industries!$A$2:$A$140,0),0)</f>
        <v>Mega-Cap</v>
      </c>
      <c r="G161" t="str">
        <f ca="1">OFFSET(Industries!F$1,MATCH(Table1[[#This Row],[Ticker]],Industries!$A$2:$A$140,0),0)</f>
        <v>A+</v>
      </c>
      <c r="H161" t="s">
        <v>1434</v>
      </c>
      <c r="I161" t="s">
        <v>1434</v>
      </c>
      <c r="J161" s="2">
        <v>45408</v>
      </c>
      <c r="K161" t="s">
        <v>21</v>
      </c>
      <c r="L161" t="s">
        <v>1708</v>
      </c>
      <c r="M161" t="s">
        <v>1709</v>
      </c>
      <c r="N161" s="1"/>
      <c r="O161" t="s">
        <v>4</v>
      </c>
      <c r="P161" s="3">
        <v>0.12</v>
      </c>
      <c r="Q161" s="3"/>
      <c r="R161" t="s">
        <v>28</v>
      </c>
      <c r="S161" t="s">
        <v>1093</v>
      </c>
      <c r="T161" t="s">
        <v>26</v>
      </c>
    </row>
    <row r="162" spans="1:22" x14ac:dyDescent="0.3">
      <c r="A162" t="s">
        <v>275</v>
      </c>
      <c r="B162" t="str">
        <f ca="1">OFFSET(Industries!C$1,MATCH(Table1[[#This Row],[Ticker]],Industries!$A$2:$A$150,0),0)</f>
        <v>Financials</v>
      </c>
      <c r="C162" t="str">
        <f ca="1">OFFSET(Industries!D$1,MATCH(Table1[[#This Row],[Ticker]],Industries!$A$2:$A$150,0),0)</f>
        <v>Financial Services</v>
      </c>
      <c r="D162" t="str">
        <f ca="1">OFFSET(Industries!E$1,MATCH(Table1[[#This Row],[Ticker]],Industries!$A$2:$A$150,0),0)</f>
        <v>Financial Services</v>
      </c>
      <c r="E162" t="s">
        <v>106</v>
      </c>
      <c r="F162" t="str">
        <f ca="1">OFFSET(Industries!B$1,MATCH(Table1[[#This Row],[Ticker]],Industries!$A$2:$A$140,0),0)</f>
        <v>Mega-Cap</v>
      </c>
      <c r="G162" t="str">
        <f ca="1">OFFSET(Industries!F$1,MATCH(Table1[[#This Row],[Ticker]],Industries!$A$2:$A$140,0),0)</f>
        <v>A+</v>
      </c>
      <c r="H162" t="s">
        <v>1434</v>
      </c>
      <c r="I162" t="s">
        <v>1434</v>
      </c>
      <c r="J162" s="2">
        <v>45408</v>
      </c>
      <c r="K162" t="s">
        <v>21</v>
      </c>
      <c r="L162" t="s">
        <v>1708</v>
      </c>
      <c r="M162" t="s">
        <v>1709</v>
      </c>
      <c r="N162" s="1"/>
      <c r="O162" t="s">
        <v>4</v>
      </c>
      <c r="P162" s="3">
        <v>0.12</v>
      </c>
      <c r="Q162" s="3"/>
      <c r="R162" t="s">
        <v>28</v>
      </c>
      <c r="S162" t="s">
        <v>1091</v>
      </c>
      <c r="T162" t="s">
        <v>108</v>
      </c>
    </row>
    <row r="163" spans="1:22" x14ac:dyDescent="0.3">
      <c r="A163" t="s">
        <v>275</v>
      </c>
      <c r="B163" t="str">
        <f ca="1">OFFSET(Industries!C$1,MATCH(Table1[[#This Row],[Ticker]],Industries!$A$2:$A$150,0),0)</f>
        <v>Financials</v>
      </c>
      <c r="C163" t="str">
        <f ca="1">OFFSET(Industries!D$1,MATCH(Table1[[#This Row],[Ticker]],Industries!$A$2:$A$150,0),0)</f>
        <v>Financial Services</v>
      </c>
      <c r="D163" t="str">
        <f ca="1">OFFSET(Industries!E$1,MATCH(Table1[[#This Row],[Ticker]],Industries!$A$2:$A$150,0),0)</f>
        <v>Financial Services</v>
      </c>
      <c r="E163" t="s">
        <v>106</v>
      </c>
      <c r="F163" t="str">
        <f ca="1">OFFSET(Industries!B$1,MATCH(Table1[[#This Row],[Ticker]],Industries!$A$2:$A$140,0),0)</f>
        <v>Mega-Cap</v>
      </c>
      <c r="G163" t="str">
        <f ca="1">OFFSET(Industries!F$1,MATCH(Table1[[#This Row],[Ticker]],Industries!$A$2:$A$140,0),0)</f>
        <v>A+</v>
      </c>
      <c r="H163" t="s">
        <v>1434</v>
      </c>
      <c r="I163" t="s">
        <v>1434</v>
      </c>
      <c r="J163" s="2">
        <v>45408</v>
      </c>
      <c r="K163" t="s">
        <v>21</v>
      </c>
      <c r="L163" t="s">
        <v>1708</v>
      </c>
      <c r="M163" t="s">
        <v>1709</v>
      </c>
      <c r="N163" s="1"/>
      <c r="O163" t="s">
        <v>4</v>
      </c>
      <c r="P163" s="3">
        <v>0.12</v>
      </c>
      <c r="Q163" s="3"/>
      <c r="R163" t="s">
        <v>28</v>
      </c>
      <c r="S163" t="s">
        <v>1087</v>
      </c>
      <c r="T163" t="s">
        <v>40</v>
      </c>
    </row>
    <row r="164" spans="1:22" x14ac:dyDescent="0.3">
      <c r="A164" t="s">
        <v>275</v>
      </c>
      <c r="B164" t="str">
        <f ca="1">OFFSET(Industries!C$1,MATCH(Table1[[#This Row],[Ticker]],Industries!$A$2:$A$150,0),0)</f>
        <v>Financials</v>
      </c>
      <c r="C164" t="str">
        <f ca="1">OFFSET(Industries!D$1,MATCH(Table1[[#This Row],[Ticker]],Industries!$A$2:$A$150,0),0)</f>
        <v>Financial Services</v>
      </c>
      <c r="D164" t="str">
        <f ca="1">OFFSET(Industries!E$1,MATCH(Table1[[#This Row],[Ticker]],Industries!$A$2:$A$150,0),0)</f>
        <v>Financial Services</v>
      </c>
      <c r="E164" t="s">
        <v>106</v>
      </c>
      <c r="F164" t="str">
        <f ca="1">OFFSET(Industries!B$1,MATCH(Table1[[#This Row],[Ticker]],Industries!$A$2:$A$140,0),0)</f>
        <v>Mega-Cap</v>
      </c>
      <c r="G164" t="str">
        <f ca="1">OFFSET(Industries!F$1,MATCH(Table1[[#This Row],[Ticker]],Industries!$A$2:$A$140,0),0)</f>
        <v>A+</v>
      </c>
      <c r="H164" t="s">
        <v>1434</v>
      </c>
      <c r="I164" t="s">
        <v>1434</v>
      </c>
      <c r="J164" s="2">
        <v>45408</v>
      </c>
      <c r="K164" t="s">
        <v>21</v>
      </c>
      <c r="L164" t="s">
        <v>1710</v>
      </c>
      <c r="M164" t="s">
        <v>1709</v>
      </c>
      <c r="N164" s="1">
        <f>Table1[[#This Row],[Consideration Weight]]</f>
        <v>0.47</v>
      </c>
      <c r="O164" t="s">
        <v>476</v>
      </c>
      <c r="P164" s="3">
        <v>0.47</v>
      </c>
      <c r="Q164" s="3" t="s">
        <v>1636</v>
      </c>
      <c r="R164" t="s">
        <v>24</v>
      </c>
      <c r="S164" t="s">
        <v>1089</v>
      </c>
      <c r="T164" t="s">
        <v>1036</v>
      </c>
      <c r="U164" s="1">
        <v>0.5</v>
      </c>
    </row>
    <row r="165" spans="1:22" x14ac:dyDescent="0.3">
      <c r="A165" t="s">
        <v>275</v>
      </c>
      <c r="B165" t="str">
        <f ca="1">OFFSET(Industries!C$1,MATCH(Table1[[#This Row],[Ticker]],Industries!$A$2:$A$150,0),0)</f>
        <v>Financials</v>
      </c>
      <c r="C165" t="str">
        <f ca="1">OFFSET(Industries!D$1,MATCH(Table1[[#This Row],[Ticker]],Industries!$A$2:$A$150,0),0)</f>
        <v>Financial Services</v>
      </c>
      <c r="D165" t="str">
        <f ca="1">OFFSET(Industries!E$1,MATCH(Table1[[#This Row],[Ticker]],Industries!$A$2:$A$150,0),0)</f>
        <v>Financial Services</v>
      </c>
      <c r="E165" t="s">
        <v>106</v>
      </c>
      <c r="F165" t="str">
        <f ca="1">OFFSET(Industries!B$1,MATCH(Table1[[#This Row],[Ticker]],Industries!$A$2:$A$140,0),0)</f>
        <v>Mega-Cap</v>
      </c>
      <c r="G165" t="str">
        <f ca="1">OFFSET(Industries!F$1,MATCH(Table1[[#This Row],[Ticker]],Industries!$A$2:$A$140,0),0)</f>
        <v>A+</v>
      </c>
      <c r="H165" t="s">
        <v>1434</v>
      </c>
      <c r="I165" t="s">
        <v>1434</v>
      </c>
      <c r="J165" s="2">
        <v>45408</v>
      </c>
      <c r="K165" t="s">
        <v>21</v>
      </c>
      <c r="L165" t="s">
        <v>1710</v>
      </c>
      <c r="M165" t="s">
        <v>1709</v>
      </c>
      <c r="N165" s="1"/>
      <c r="O165" t="s">
        <v>476</v>
      </c>
      <c r="P165" s="3">
        <v>0.47</v>
      </c>
      <c r="Q165" s="3" t="s">
        <v>1636</v>
      </c>
      <c r="R165" t="s">
        <v>23</v>
      </c>
      <c r="S165" t="s">
        <v>1083</v>
      </c>
      <c r="T165" t="s">
        <v>437</v>
      </c>
      <c r="U165" s="1">
        <v>0.5</v>
      </c>
    </row>
    <row r="166" spans="1:22" x14ac:dyDescent="0.3">
      <c r="A166" t="s">
        <v>275</v>
      </c>
      <c r="B166" t="str">
        <f ca="1">OFFSET(Industries!C$1,MATCH(Table1[[#This Row],[Ticker]],Industries!$A$2:$A$150,0),0)</f>
        <v>Financials</v>
      </c>
      <c r="C166" t="str">
        <f ca="1">OFFSET(Industries!D$1,MATCH(Table1[[#This Row],[Ticker]],Industries!$A$2:$A$150,0),0)</f>
        <v>Financial Services</v>
      </c>
      <c r="D166" t="str">
        <f ca="1">OFFSET(Industries!E$1,MATCH(Table1[[#This Row],[Ticker]],Industries!$A$2:$A$150,0),0)</f>
        <v>Financial Services</v>
      </c>
      <c r="E166" t="s">
        <v>106</v>
      </c>
      <c r="F166" t="str">
        <f ca="1">OFFSET(Industries!B$1,MATCH(Table1[[#This Row],[Ticker]],Industries!$A$2:$A$140,0),0)</f>
        <v>Mega-Cap</v>
      </c>
      <c r="G166" t="str">
        <f ca="1">OFFSET(Industries!F$1,MATCH(Table1[[#This Row],[Ticker]],Industries!$A$2:$A$140,0),0)</f>
        <v>A+</v>
      </c>
      <c r="H166" t="s">
        <v>1434</v>
      </c>
      <c r="I166" t="s">
        <v>1434</v>
      </c>
      <c r="J166" s="2">
        <v>45408</v>
      </c>
      <c r="K166" t="s">
        <v>21</v>
      </c>
      <c r="L166" t="s">
        <v>1710</v>
      </c>
      <c r="M166" t="s">
        <v>1709</v>
      </c>
      <c r="N166" s="1"/>
      <c r="O166" t="s">
        <v>476</v>
      </c>
      <c r="P166" s="3">
        <v>0.47</v>
      </c>
      <c r="Q166" s="3"/>
      <c r="R166" t="s">
        <v>28</v>
      </c>
      <c r="S166" t="s">
        <v>1085</v>
      </c>
      <c r="T166" t="s">
        <v>30</v>
      </c>
    </row>
    <row r="167" spans="1:22" x14ac:dyDescent="0.3">
      <c r="A167" t="s">
        <v>275</v>
      </c>
      <c r="B167" t="str">
        <f ca="1">OFFSET(Industries!C$1,MATCH(Table1[[#This Row],[Ticker]],Industries!$A$2:$A$150,0),0)</f>
        <v>Financials</v>
      </c>
      <c r="C167" t="str">
        <f ca="1">OFFSET(Industries!D$1,MATCH(Table1[[#This Row],[Ticker]],Industries!$A$2:$A$150,0),0)</f>
        <v>Financial Services</v>
      </c>
      <c r="D167" t="str">
        <f ca="1">OFFSET(Industries!E$1,MATCH(Table1[[#This Row],[Ticker]],Industries!$A$2:$A$150,0),0)</f>
        <v>Financial Services</v>
      </c>
      <c r="E167" t="s">
        <v>106</v>
      </c>
      <c r="F167" t="str">
        <f ca="1">OFFSET(Industries!B$1,MATCH(Table1[[#This Row],[Ticker]],Industries!$A$2:$A$140,0),0)</f>
        <v>Mega-Cap</v>
      </c>
      <c r="G167" t="str">
        <f ca="1">OFFSET(Industries!F$1,MATCH(Table1[[#This Row],[Ticker]],Industries!$A$2:$A$140,0),0)</f>
        <v>A+</v>
      </c>
      <c r="H167" t="s">
        <v>1434</v>
      </c>
      <c r="I167" t="s">
        <v>1434</v>
      </c>
      <c r="J167" s="2">
        <v>45408</v>
      </c>
      <c r="K167" t="s">
        <v>21</v>
      </c>
      <c r="L167" t="s">
        <v>1710</v>
      </c>
      <c r="M167" t="s">
        <v>1711</v>
      </c>
      <c r="N167" s="1">
        <f>Table1[[#This Row],[Consideration Weight]]</f>
        <v>0.16</v>
      </c>
      <c r="O167" t="s">
        <v>194</v>
      </c>
      <c r="P167" s="3">
        <v>0.16</v>
      </c>
      <c r="Q167" s="3"/>
    </row>
    <row r="168" spans="1:22" x14ac:dyDescent="0.3">
      <c r="A168" t="s">
        <v>275</v>
      </c>
      <c r="B168" t="str">
        <f ca="1">OFFSET(Industries!C$1,MATCH(Table1[[#This Row],[Ticker]],Industries!$A$2:$A$150,0),0)</f>
        <v>Financials</v>
      </c>
      <c r="C168" t="str">
        <f ca="1">OFFSET(Industries!D$1,MATCH(Table1[[#This Row],[Ticker]],Industries!$A$2:$A$150,0),0)</f>
        <v>Financial Services</v>
      </c>
      <c r="D168" t="str">
        <f ca="1">OFFSET(Industries!E$1,MATCH(Table1[[#This Row],[Ticker]],Industries!$A$2:$A$150,0),0)</f>
        <v>Financial Services</v>
      </c>
      <c r="E168" t="s">
        <v>106</v>
      </c>
      <c r="F168" t="str">
        <f ca="1">OFFSET(Industries!B$1,MATCH(Table1[[#This Row],[Ticker]],Industries!$A$2:$A$140,0),0)</f>
        <v>Mega-Cap</v>
      </c>
      <c r="G168" t="str">
        <f ca="1">OFFSET(Industries!F$1,MATCH(Table1[[#This Row],[Ticker]],Industries!$A$2:$A$140,0),0)</f>
        <v>A+</v>
      </c>
      <c r="H168" t="s">
        <v>1434</v>
      </c>
      <c r="I168" t="s">
        <v>1434</v>
      </c>
      <c r="J168" s="2">
        <v>45408</v>
      </c>
      <c r="K168" t="s">
        <v>21</v>
      </c>
      <c r="L168" t="s">
        <v>1710</v>
      </c>
      <c r="M168" t="s">
        <v>1711</v>
      </c>
      <c r="N168" s="1">
        <f>Table1[[#This Row],[Consideration Weight]]</f>
        <v>0.16</v>
      </c>
      <c r="O168" t="s">
        <v>87</v>
      </c>
      <c r="P168" s="3">
        <v>0.16</v>
      </c>
      <c r="Q168" s="3"/>
    </row>
    <row r="169" spans="1:22" x14ac:dyDescent="0.3">
      <c r="A169" t="s">
        <v>115</v>
      </c>
      <c r="B169" t="str">
        <f ca="1">OFFSET(Industries!C$1,MATCH(Table1[[#This Row],[Ticker]],Industries!$A$2:$A$150,0),0)</f>
        <v>Industrials</v>
      </c>
      <c r="C169" t="str">
        <f ca="1">OFFSET(Industries!D$1,MATCH(Table1[[#This Row],[Ticker]],Industries!$A$2:$A$150,0),0)</f>
        <v>Capital Goods</v>
      </c>
      <c r="D169" t="str">
        <f ca="1">OFFSET(Industries!E$1,MATCH(Table1[[#This Row],[Ticker]],Industries!$A$2:$A$150,0),0)</f>
        <v>Aerospace and Defense</v>
      </c>
      <c r="E169" t="s">
        <v>116</v>
      </c>
      <c r="F169" t="str">
        <f ca="1">OFFSET(Industries!B$1,MATCH(Table1[[#This Row],[Ticker]],Industries!$A$2:$A$140,0),0)</f>
        <v>Mega-Cap</v>
      </c>
      <c r="G169" t="str">
        <f ca="1">OFFSET(Industries!F$1,MATCH(Table1[[#This Row],[Ticker]],Industries!$A$2:$A$140,0),0)</f>
        <v>BBB+</v>
      </c>
      <c r="H169" t="s">
        <v>1434</v>
      </c>
      <c r="I169" t="s">
        <v>1434</v>
      </c>
      <c r="J169" s="2">
        <v>45362</v>
      </c>
      <c r="K169" t="s">
        <v>2</v>
      </c>
      <c r="L169" t="s">
        <v>3</v>
      </c>
      <c r="M169" t="s">
        <v>1711</v>
      </c>
      <c r="N169" s="1">
        <f>Table1[[#This Row],[Consideration Weight]]</f>
        <v>0.12</v>
      </c>
      <c r="O169" t="s">
        <v>3</v>
      </c>
      <c r="P169" s="3">
        <v>0.12</v>
      </c>
      <c r="Q169" s="3"/>
    </row>
    <row r="170" spans="1:22" x14ac:dyDescent="0.3">
      <c r="A170" t="s">
        <v>115</v>
      </c>
      <c r="B170" t="str">
        <f ca="1">OFFSET(Industries!C$1,MATCH(Table1[[#This Row],[Ticker]],Industries!$A$2:$A$150,0),0)</f>
        <v>Industrials</v>
      </c>
      <c r="C170" t="str">
        <f ca="1">OFFSET(Industries!D$1,MATCH(Table1[[#This Row],[Ticker]],Industries!$A$2:$A$150,0),0)</f>
        <v>Capital Goods</v>
      </c>
      <c r="D170" t="str">
        <f ca="1">OFFSET(Industries!E$1,MATCH(Table1[[#This Row],[Ticker]],Industries!$A$2:$A$150,0),0)</f>
        <v>Aerospace and Defense</v>
      </c>
      <c r="E170" t="s">
        <v>116</v>
      </c>
      <c r="F170" t="str">
        <f ca="1">OFFSET(Industries!B$1,MATCH(Table1[[#This Row],[Ticker]],Industries!$A$2:$A$140,0),0)</f>
        <v>Mega-Cap</v>
      </c>
      <c r="G170" t="str">
        <f ca="1">OFFSET(Industries!F$1,MATCH(Table1[[#This Row],[Ticker]],Industries!$A$2:$A$140,0),0)</f>
        <v>BBB+</v>
      </c>
      <c r="H170" t="s">
        <v>1434</v>
      </c>
      <c r="I170" t="s">
        <v>1434</v>
      </c>
      <c r="J170" s="2">
        <v>45362</v>
      </c>
      <c r="K170" t="s">
        <v>2</v>
      </c>
      <c r="L170" t="s">
        <v>1708</v>
      </c>
      <c r="M170" t="s">
        <v>1709</v>
      </c>
      <c r="N170" s="1">
        <f>Table1[[#This Row],[Consideration Weight]]</f>
        <v>0.19</v>
      </c>
      <c r="O170" t="s">
        <v>4</v>
      </c>
      <c r="P170" s="3">
        <v>0.19</v>
      </c>
      <c r="Q170" s="3" t="s">
        <v>1636</v>
      </c>
      <c r="R170" t="s">
        <v>24</v>
      </c>
      <c r="S170" t="s">
        <v>1098</v>
      </c>
      <c r="T170" t="s">
        <v>107</v>
      </c>
      <c r="U170" s="1">
        <v>0.4</v>
      </c>
      <c r="V170" t="s">
        <v>190</v>
      </c>
    </row>
    <row r="171" spans="1:22" x14ac:dyDescent="0.3">
      <c r="A171" t="s">
        <v>115</v>
      </c>
      <c r="B171" t="str">
        <f ca="1">OFFSET(Industries!C$1,MATCH(Table1[[#This Row],[Ticker]],Industries!$A$2:$A$150,0),0)</f>
        <v>Industrials</v>
      </c>
      <c r="C171" t="str">
        <f ca="1">OFFSET(Industries!D$1,MATCH(Table1[[#This Row],[Ticker]],Industries!$A$2:$A$150,0),0)</f>
        <v>Capital Goods</v>
      </c>
      <c r="D171" t="str">
        <f ca="1">OFFSET(Industries!E$1,MATCH(Table1[[#This Row],[Ticker]],Industries!$A$2:$A$150,0),0)</f>
        <v>Aerospace and Defense</v>
      </c>
      <c r="E171" t="s">
        <v>116</v>
      </c>
      <c r="F171" t="str">
        <f ca="1">OFFSET(Industries!B$1,MATCH(Table1[[#This Row],[Ticker]],Industries!$A$2:$A$140,0),0)</f>
        <v>Mega-Cap</v>
      </c>
      <c r="G171" t="str">
        <f ca="1">OFFSET(Industries!F$1,MATCH(Table1[[#This Row],[Ticker]],Industries!$A$2:$A$140,0),0)</f>
        <v>BBB+</v>
      </c>
      <c r="H171" t="s">
        <v>1434</v>
      </c>
      <c r="I171" t="s">
        <v>1434</v>
      </c>
      <c r="J171" s="2">
        <v>45362</v>
      </c>
      <c r="K171" t="s">
        <v>2</v>
      </c>
      <c r="L171" t="s">
        <v>1708</v>
      </c>
      <c r="M171" t="s">
        <v>1709</v>
      </c>
      <c r="N171" s="1"/>
      <c r="O171" t="s">
        <v>4</v>
      </c>
      <c r="P171" s="3">
        <v>0.19</v>
      </c>
      <c r="Q171" s="3" t="s">
        <v>1636</v>
      </c>
      <c r="R171" t="s">
        <v>62</v>
      </c>
      <c r="S171" t="s">
        <v>129</v>
      </c>
      <c r="T171" t="s">
        <v>117</v>
      </c>
      <c r="U171" s="1">
        <v>0.4</v>
      </c>
      <c r="V171" t="s">
        <v>190</v>
      </c>
    </row>
    <row r="172" spans="1:22" x14ac:dyDescent="0.3">
      <c r="A172" t="s">
        <v>115</v>
      </c>
      <c r="B172" t="str">
        <f ca="1">OFFSET(Industries!C$1,MATCH(Table1[[#This Row],[Ticker]],Industries!$A$2:$A$150,0),0)</f>
        <v>Industrials</v>
      </c>
      <c r="C172" t="str">
        <f ca="1">OFFSET(Industries!D$1,MATCH(Table1[[#This Row],[Ticker]],Industries!$A$2:$A$150,0),0)</f>
        <v>Capital Goods</v>
      </c>
      <c r="D172" t="str">
        <f ca="1">OFFSET(Industries!E$1,MATCH(Table1[[#This Row],[Ticker]],Industries!$A$2:$A$150,0),0)</f>
        <v>Aerospace and Defense</v>
      </c>
      <c r="E172" t="s">
        <v>116</v>
      </c>
      <c r="F172" t="str">
        <f ca="1">OFFSET(Industries!B$1,MATCH(Table1[[#This Row],[Ticker]],Industries!$A$2:$A$140,0),0)</f>
        <v>Mega-Cap</v>
      </c>
      <c r="G172" t="str">
        <f ca="1">OFFSET(Industries!F$1,MATCH(Table1[[#This Row],[Ticker]],Industries!$A$2:$A$140,0),0)</f>
        <v>BBB+</v>
      </c>
      <c r="H172" t="s">
        <v>1434</v>
      </c>
      <c r="I172" t="s">
        <v>1434</v>
      </c>
      <c r="J172" s="2">
        <v>45362</v>
      </c>
      <c r="K172" t="s">
        <v>2</v>
      </c>
      <c r="L172" t="s">
        <v>1708</v>
      </c>
      <c r="M172" t="s">
        <v>1709</v>
      </c>
      <c r="N172" s="1"/>
      <c r="O172" t="s">
        <v>4</v>
      </c>
      <c r="P172" s="3">
        <v>0.19</v>
      </c>
      <c r="Q172" s="3" t="s">
        <v>1637</v>
      </c>
      <c r="R172" t="s">
        <v>26</v>
      </c>
      <c r="S172" t="s">
        <v>26</v>
      </c>
      <c r="T172" t="s">
        <v>118</v>
      </c>
      <c r="U172" s="1">
        <v>0.1</v>
      </c>
      <c r="V172" t="s">
        <v>120</v>
      </c>
    </row>
    <row r="173" spans="1:22" x14ac:dyDescent="0.3">
      <c r="A173" t="s">
        <v>115</v>
      </c>
      <c r="B173" t="str">
        <f ca="1">OFFSET(Industries!C$1,MATCH(Table1[[#This Row],[Ticker]],Industries!$A$2:$A$150,0),0)</f>
        <v>Industrials</v>
      </c>
      <c r="C173" t="str">
        <f ca="1">OFFSET(Industries!D$1,MATCH(Table1[[#This Row],[Ticker]],Industries!$A$2:$A$150,0),0)</f>
        <v>Capital Goods</v>
      </c>
      <c r="D173" t="str">
        <f ca="1">OFFSET(Industries!E$1,MATCH(Table1[[#This Row],[Ticker]],Industries!$A$2:$A$150,0),0)</f>
        <v>Aerospace and Defense</v>
      </c>
      <c r="E173" t="s">
        <v>116</v>
      </c>
      <c r="F173" t="str">
        <f ca="1">OFFSET(Industries!B$1,MATCH(Table1[[#This Row],[Ticker]],Industries!$A$2:$A$140,0),0)</f>
        <v>Mega-Cap</v>
      </c>
      <c r="G173" t="str">
        <f ca="1">OFFSET(Industries!F$1,MATCH(Table1[[#This Row],[Ticker]],Industries!$A$2:$A$140,0),0)</f>
        <v>BBB+</v>
      </c>
      <c r="H173" t="s">
        <v>1434</v>
      </c>
      <c r="I173" t="s">
        <v>1434</v>
      </c>
      <c r="J173" s="2">
        <v>45362</v>
      </c>
      <c r="K173" t="s">
        <v>2</v>
      </c>
      <c r="L173" t="s">
        <v>1708</v>
      </c>
      <c r="M173" t="s">
        <v>1709</v>
      </c>
      <c r="N173" s="1"/>
      <c r="O173" t="s">
        <v>4</v>
      </c>
      <c r="P173" s="3">
        <v>0.19</v>
      </c>
      <c r="Q173" s="3" t="s">
        <v>1637</v>
      </c>
      <c r="R173" t="s">
        <v>26</v>
      </c>
      <c r="S173" t="s">
        <v>26</v>
      </c>
      <c r="T173" t="s">
        <v>77</v>
      </c>
      <c r="U173" s="1">
        <v>0.1</v>
      </c>
      <c r="V173" t="s">
        <v>121</v>
      </c>
    </row>
    <row r="174" spans="1:22" x14ac:dyDescent="0.3">
      <c r="A174" t="s">
        <v>115</v>
      </c>
      <c r="B174" t="str">
        <f ca="1">OFFSET(Industries!C$1,MATCH(Table1[[#This Row],[Ticker]],Industries!$A$2:$A$150,0),0)</f>
        <v>Industrials</v>
      </c>
      <c r="C174" t="str">
        <f ca="1">OFFSET(Industries!D$1,MATCH(Table1[[#This Row],[Ticker]],Industries!$A$2:$A$150,0),0)</f>
        <v>Capital Goods</v>
      </c>
      <c r="D174" t="str">
        <f ca="1">OFFSET(Industries!E$1,MATCH(Table1[[#This Row],[Ticker]],Industries!$A$2:$A$150,0),0)</f>
        <v>Aerospace and Defense</v>
      </c>
      <c r="E174" t="s">
        <v>116</v>
      </c>
      <c r="F174" t="str">
        <f ca="1">OFFSET(Industries!B$1,MATCH(Table1[[#This Row],[Ticker]],Industries!$A$2:$A$140,0),0)</f>
        <v>Mega-Cap</v>
      </c>
      <c r="G174" t="str">
        <f ca="1">OFFSET(Industries!F$1,MATCH(Table1[[#This Row],[Ticker]],Industries!$A$2:$A$140,0),0)</f>
        <v>BBB+</v>
      </c>
      <c r="H174" t="s">
        <v>1434</v>
      </c>
      <c r="I174" t="s">
        <v>1434</v>
      </c>
      <c r="J174" s="2">
        <v>45362</v>
      </c>
      <c r="K174" t="s">
        <v>2</v>
      </c>
      <c r="L174" t="s">
        <v>1708</v>
      </c>
      <c r="M174" t="s">
        <v>1709</v>
      </c>
      <c r="N174" s="1"/>
      <c r="O174" t="s">
        <v>4</v>
      </c>
      <c r="P174" s="3">
        <v>0.19</v>
      </c>
      <c r="Q174" s="3"/>
      <c r="R174" t="s">
        <v>28</v>
      </c>
      <c r="S174" t="s">
        <v>1087</v>
      </c>
      <c r="T174" t="s">
        <v>40</v>
      </c>
      <c r="V174" t="s">
        <v>119</v>
      </c>
    </row>
    <row r="175" spans="1:22" x14ac:dyDescent="0.3">
      <c r="A175" t="s">
        <v>115</v>
      </c>
      <c r="B175" t="str">
        <f ca="1">OFFSET(Industries!C$1,MATCH(Table1[[#This Row],[Ticker]],Industries!$A$2:$A$150,0),0)</f>
        <v>Industrials</v>
      </c>
      <c r="C175" t="str">
        <f ca="1">OFFSET(Industries!D$1,MATCH(Table1[[#This Row],[Ticker]],Industries!$A$2:$A$150,0),0)</f>
        <v>Capital Goods</v>
      </c>
      <c r="D175" t="str">
        <f ca="1">OFFSET(Industries!E$1,MATCH(Table1[[#This Row],[Ticker]],Industries!$A$2:$A$150,0),0)</f>
        <v>Aerospace and Defense</v>
      </c>
      <c r="E175" t="s">
        <v>116</v>
      </c>
      <c r="F175" t="str">
        <f ca="1">OFFSET(Industries!B$1,MATCH(Table1[[#This Row],[Ticker]],Industries!$A$2:$A$140,0),0)</f>
        <v>Mega-Cap</v>
      </c>
      <c r="G175" t="str">
        <f ca="1">OFFSET(Industries!F$1,MATCH(Table1[[#This Row],[Ticker]],Industries!$A$2:$A$140,0),0)</f>
        <v>BBB+</v>
      </c>
      <c r="H175" t="s">
        <v>1434</v>
      </c>
      <c r="I175" t="s">
        <v>1434</v>
      </c>
      <c r="J175" s="2">
        <v>45362</v>
      </c>
      <c r="K175" t="s">
        <v>2</v>
      </c>
      <c r="L175" t="s">
        <v>1710</v>
      </c>
      <c r="M175" t="s">
        <v>1709</v>
      </c>
      <c r="N175" s="1">
        <f>Table1[[#This Row],[Consideration Weight]]</f>
        <v>0.41399999999999998</v>
      </c>
      <c r="O175" t="s">
        <v>476</v>
      </c>
      <c r="P175" s="3">
        <f>0.6*0.69</f>
        <v>0.41399999999999998</v>
      </c>
      <c r="Q175" s="3" t="s">
        <v>1636</v>
      </c>
      <c r="R175" t="s">
        <v>24</v>
      </c>
      <c r="S175" t="s">
        <v>1089</v>
      </c>
      <c r="T175" t="s">
        <v>189</v>
      </c>
      <c r="U175" s="1">
        <v>0.35</v>
      </c>
      <c r="V175" t="s">
        <v>124</v>
      </c>
    </row>
    <row r="176" spans="1:22" x14ac:dyDescent="0.3">
      <c r="A176" t="s">
        <v>115</v>
      </c>
      <c r="B176" t="str">
        <f ca="1">OFFSET(Industries!C$1,MATCH(Table1[[#This Row],[Ticker]],Industries!$A$2:$A$150,0),0)</f>
        <v>Industrials</v>
      </c>
      <c r="C176" t="str">
        <f ca="1">OFFSET(Industries!D$1,MATCH(Table1[[#This Row],[Ticker]],Industries!$A$2:$A$150,0),0)</f>
        <v>Capital Goods</v>
      </c>
      <c r="D176" t="str">
        <f ca="1">OFFSET(Industries!E$1,MATCH(Table1[[#This Row],[Ticker]],Industries!$A$2:$A$150,0),0)</f>
        <v>Aerospace and Defense</v>
      </c>
      <c r="E176" t="s">
        <v>116</v>
      </c>
      <c r="F176" t="str">
        <f ca="1">OFFSET(Industries!B$1,MATCH(Table1[[#This Row],[Ticker]],Industries!$A$2:$A$140,0),0)</f>
        <v>Mega-Cap</v>
      </c>
      <c r="G176" t="str">
        <f ca="1">OFFSET(Industries!F$1,MATCH(Table1[[#This Row],[Ticker]],Industries!$A$2:$A$140,0),0)</f>
        <v>BBB+</v>
      </c>
      <c r="H176" t="s">
        <v>1434</v>
      </c>
      <c r="I176" t="s">
        <v>1434</v>
      </c>
      <c r="J176" s="2">
        <v>45362</v>
      </c>
      <c r="K176" t="s">
        <v>2</v>
      </c>
      <c r="L176" t="s">
        <v>1710</v>
      </c>
      <c r="M176" t="s">
        <v>1709</v>
      </c>
      <c r="N176" s="1"/>
      <c r="O176" t="s">
        <v>476</v>
      </c>
      <c r="P176" s="3">
        <f t="shared" ref="P176:P178" si="2">0.6*0.69</f>
        <v>0.41399999999999998</v>
      </c>
      <c r="Q176" s="3" t="s">
        <v>1636</v>
      </c>
      <c r="R176" t="s">
        <v>1059</v>
      </c>
      <c r="S176" t="s">
        <v>1101</v>
      </c>
      <c r="T176" t="s">
        <v>465</v>
      </c>
      <c r="U176" s="1">
        <v>0.35</v>
      </c>
      <c r="V176" t="s">
        <v>125</v>
      </c>
    </row>
    <row r="177" spans="1:22" x14ac:dyDescent="0.3">
      <c r="A177" t="s">
        <v>115</v>
      </c>
      <c r="B177" t="str">
        <f ca="1">OFFSET(Industries!C$1,MATCH(Table1[[#This Row],[Ticker]],Industries!$A$2:$A$150,0),0)</f>
        <v>Industrials</v>
      </c>
      <c r="C177" t="str">
        <f ca="1">OFFSET(Industries!D$1,MATCH(Table1[[#This Row],[Ticker]],Industries!$A$2:$A$150,0),0)</f>
        <v>Capital Goods</v>
      </c>
      <c r="D177" t="str">
        <f ca="1">OFFSET(Industries!E$1,MATCH(Table1[[#This Row],[Ticker]],Industries!$A$2:$A$150,0),0)</f>
        <v>Aerospace and Defense</v>
      </c>
      <c r="E177" t="s">
        <v>116</v>
      </c>
      <c r="F177" t="str">
        <f ca="1">OFFSET(Industries!B$1,MATCH(Table1[[#This Row],[Ticker]],Industries!$A$2:$A$140,0),0)</f>
        <v>Mega-Cap</v>
      </c>
      <c r="G177" t="str">
        <f ca="1">OFFSET(Industries!F$1,MATCH(Table1[[#This Row],[Ticker]],Industries!$A$2:$A$140,0),0)</f>
        <v>BBB+</v>
      </c>
      <c r="H177" t="s">
        <v>1434</v>
      </c>
      <c r="I177" t="s">
        <v>1434</v>
      </c>
      <c r="J177" s="2">
        <v>45362</v>
      </c>
      <c r="K177" t="s">
        <v>2</v>
      </c>
      <c r="L177" t="s">
        <v>1710</v>
      </c>
      <c r="M177" t="s">
        <v>1709</v>
      </c>
      <c r="N177" s="1"/>
      <c r="O177" t="s">
        <v>476</v>
      </c>
      <c r="P177" s="3">
        <f t="shared" si="2"/>
        <v>0.41399999999999998</v>
      </c>
      <c r="Q177" s="3" t="s">
        <v>1646</v>
      </c>
      <c r="R177" t="s">
        <v>35</v>
      </c>
      <c r="S177" t="s">
        <v>29</v>
      </c>
      <c r="T177" t="s">
        <v>30</v>
      </c>
      <c r="U177" s="1">
        <v>0.3</v>
      </c>
      <c r="V177" t="s">
        <v>1102</v>
      </c>
    </row>
    <row r="178" spans="1:22" x14ac:dyDescent="0.3">
      <c r="A178" t="s">
        <v>115</v>
      </c>
      <c r="B178" t="str">
        <f ca="1">OFFSET(Industries!C$1,MATCH(Table1[[#This Row],[Ticker]],Industries!$A$2:$A$150,0),0)</f>
        <v>Industrials</v>
      </c>
      <c r="C178" t="str">
        <f ca="1">OFFSET(Industries!D$1,MATCH(Table1[[#This Row],[Ticker]],Industries!$A$2:$A$150,0),0)</f>
        <v>Capital Goods</v>
      </c>
      <c r="D178" t="str">
        <f ca="1">OFFSET(Industries!E$1,MATCH(Table1[[#This Row],[Ticker]],Industries!$A$2:$A$150,0),0)</f>
        <v>Aerospace and Defense</v>
      </c>
      <c r="E178" t="s">
        <v>116</v>
      </c>
      <c r="F178" t="str">
        <f ca="1">OFFSET(Industries!B$1,MATCH(Table1[[#This Row],[Ticker]],Industries!$A$2:$A$140,0),0)</f>
        <v>Mega-Cap</v>
      </c>
      <c r="G178" t="str">
        <f ca="1">OFFSET(Industries!F$1,MATCH(Table1[[#This Row],[Ticker]],Industries!$A$2:$A$140,0),0)</f>
        <v>BBB+</v>
      </c>
      <c r="H178" t="s">
        <v>1434</v>
      </c>
      <c r="I178" t="s">
        <v>1434</v>
      </c>
      <c r="J178" s="2">
        <v>45362</v>
      </c>
      <c r="K178" t="s">
        <v>2</v>
      </c>
      <c r="L178" t="s">
        <v>1710</v>
      </c>
      <c r="M178" t="s">
        <v>1709</v>
      </c>
      <c r="N178" s="1"/>
      <c r="O178" t="s">
        <v>476</v>
      </c>
      <c r="P178" s="3">
        <f t="shared" si="2"/>
        <v>0.41399999999999998</v>
      </c>
      <c r="Q178" s="3"/>
      <c r="R178" t="s">
        <v>28</v>
      </c>
      <c r="S178" t="s">
        <v>1095</v>
      </c>
      <c r="T178" t="s">
        <v>55</v>
      </c>
      <c r="V178" t="s">
        <v>123</v>
      </c>
    </row>
    <row r="179" spans="1:22" x14ac:dyDescent="0.3">
      <c r="A179" t="s">
        <v>115</v>
      </c>
      <c r="B179" t="str">
        <f ca="1">OFFSET(Industries!C$1,MATCH(Table1[[#This Row],[Ticker]],Industries!$A$2:$A$150,0),0)</f>
        <v>Industrials</v>
      </c>
      <c r="C179" t="str">
        <f ca="1">OFFSET(Industries!D$1,MATCH(Table1[[#This Row],[Ticker]],Industries!$A$2:$A$150,0),0)</f>
        <v>Capital Goods</v>
      </c>
      <c r="D179" t="str">
        <f ca="1">OFFSET(Industries!E$1,MATCH(Table1[[#This Row],[Ticker]],Industries!$A$2:$A$150,0),0)</f>
        <v>Aerospace and Defense</v>
      </c>
      <c r="E179" t="s">
        <v>116</v>
      </c>
      <c r="F179" t="str">
        <f ca="1">OFFSET(Industries!B$1,MATCH(Table1[[#This Row],[Ticker]],Industries!$A$2:$A$140,0),0)</f>
        <v>Mega-Cap</v>
      </c>
      <c r="G179" t="str">
        <f ca="1">OFFSET(Industries!F$1,MATCH(Table1[[#This Row],[Ticker]],Industries!$A$2:$A$140,0),0)</f>
        <v>BBB+</v>
      </c>
      <c r="H179" t="s">
        <v>1434</v>
      </c>
      <c r="I179" t="s">
        <v>1434</v>
      </c>
      <c r="J179" s="2">
        <v>45362</v>
      </c>
      <c r="K179" t="s">
        <v>2</v>
      </c>
      <c r="L179" t="s">
        <v>1710</v>
      </c>
      <c r="M179" t="s">
        <v>1711</v>
      </c>
      <c r="N179" s="1">
        <f>Table1[[#This Row],[Consideration Weight]]</f>
        <v>0.27599999999999997</v>
      </c>
      <c r="O179" t="s">
        <v>455</v>
      </c>
      <c r="P179" s="3">
        <f>0.4*0.69</f>
        <v>0.27599999999999997</v>
      </c>
      <c r="Q179" s="3"/>
    </row>
    <row r="180" spans="1:22" x14ac:dyDescent="0.3">
      <c r="A180" t="s">
        <v>115</v>
      </c>
      <c r="B180" t="str">
        <f ca="1">OFFSET(Industries!C$1,MATCH(Table1[[#This Row],[Ticker]],Industries!$A$2:$A$150,0),0)</f>
        <v>Industrials</v>
      </c>
      <c r="C180" t="str">
        <f ca="1">OFFSET(Industries!D$1,MATCH(Table1[[#This Row],[Ticker]],Industries!$A$2:$A$150,0),0)</f>
        <v>Capital Goods</v>
      </c>
      <c r="D180" t="str">
        <f ca="1">OFFSET(Industries!E$1,MATCH(Table1[[#This Row],[Ticker]],Industries!$A$2:$A$150,0),0)</f>
        <v>Aerospace and Defense</v>
      </c>
      <c r="E180" t="s">
        <v>116</v>
      </c>
      <c r="F180" t="str">
        <f ca="1">OFFSET(Industries!B$1,MATCH(Table1[[#This Row],[Ticker]],Industries!$A$2:$A$140,0),0)</f>
        <v>Mega-Cap</v>
      </c>
      <c r="G180" t="str">
        <f ca="1">OFFSET(Industries!F$1,MATCH(Table1[[#This Row],[Ticker]],Industries!$A$2:$A$140,0),0)</f>
        <v>BBB+</v>
      </c>
      <c r="H180" t="s">
        <v>1434</v>
      </c>
      <c r="I180" t="s">
        <v>1434</v>
      </c>
      <c r="J180" s="2">
        <v>45362</v>
      </c>
      <c r="K180" t="s">
        <v>21</v>
      </c>
      <c r="L180" t="s">
        <v>3</v>
      </c>
      <c r="M180" t="s">
        <v>1711</v>
      </c>
      <c r="N180" s="1">
        <f>Table1[[#This Row],[Consideration Weight]]</f>
        <v>0.12</v>
      </c>
      <c r="O180" t="s">
        <v>3</v>
      </c>
      <c r="P180" s="3">
        <v>0.12</v>
      </c>
      <c r="Q180" s="3"/>
    </row>
    <row r="181" spans="1:22" x14ac:dyDescent="0.3">
      <c r="A181" t="s">
        <v>115</v>
      </c>
      <c r="B181" t="str">
        <f ca="1">OFFSET(Industries!C$1,MATCH(Table1[[#This Row],[Ticker]],Industries!$A$2:$A$150,0),0)</f>
        <v>Industrials</v>
      </c>
      <c r="C181" t="str">
        <f ca="1">OFFSET(Industries!D$1,MATCH(Table1[[#This Row],[Ticker]],Industries!$A$2:$A$150,0),0)</f>
        <v>Capital Goods</v>
      </c>
      <c r="D181" t="str">
        <f ca="1">OFFSET(Industries!E$1,MATCH(Table1[[#This Row],[Ticker]],Industries!$A$2:$A$150,0),0)</f>
        <v>Aerospace and Defense</v>
      </c>
      <c r="E181" t="s">
        <v>116</v>
      </c>
      <c r="F181" t="str">
        <f ca="1">OFFSET(Industries!B$1,MATCH(Table1[[#This Row],[Ticker]],Industries!$A$2:$A$140,0),0)</f>
        <v>Mega-Cap</v>
      </c>
      <c r="G181" t="str">
        <f ca="1">OFFSET(Industries!F$1,MATCH(Table1[[#This Row],[Ticker]],Industries!$A$2:$A$140,0),0)</f>
        <v>BBB+</v>
      </c>
      <c r="H181" t="s">
        <v>1434</v>
      </c>
      <c r="I181" t="s">
        <v>1434</v>
      </c>
      <c r="J181" s="2">
        <v>45362</v>
      </c>
      <c r="K181" t="s">
        <v>21</v>
      </c>
      <c r="L181" t="s">
        <v>1708</v>
      </c>
      <c r="M181" t="s">
        <v>1709</v>
      </c>
      <c r="N181" s="1">
        <f>Table1[[#This Row],[Consideration Weight]]</f>
        <v>0.13</v>
      </c>
      <c r="O181" t="s">
        <v>4</v>
      </c>
      <c r="P181" s="3">
        <v>0.13</v>
      </c>
      <c r="Q181" s="3" t="s">
        <v>1636</v>
      </c>
      <c r="R181" t="s">
        <v>24</v>
      </c>
      <c r="S181" t="s">
        <v>1098</v>
      </c>
      <c r="T181" t="s">
        <v>107</v>
      </c>
      <c r="U181" s="1">
        <v>0.4</v>
      </c>
      <c r="V181" t="s">
        <v>126</v>
      </c>
    </row>
    <row r="182" spans="1:22" x14ac:dyDescent="0.3">
      <c r="A182" t="s">
        <v>115</v>
      </c>
      <c r="B182" t="str">
        <f ca="1">OFFSET(Industries!C$1,MATCH(Table1[[#This Row],[Ticker]],Industries!$A$2:$A$150,0),0)</f>
        <v>Industrials</v>
      </c>
      <c r="C182" t="str">
        <f ca="1">OFFSET(Industries!D$1,MATCH(Table1[[#This Row],[Ticker]],Industries!$A$2:$A$150,0),0)</f>
        <v>Capital Goods</v>
      </c>
      <c r="D182" t="str">
        <f ca="1">OFFSET(Industries!E$1,MATCH(Table1[[#This Row],[Ticker]],Industries!$A$2:$A$150,0),0)</f>
        <v>Aerospace and Defense</v>
      </c>
      <c r="E182" t="s">
        <v>116</v>
      </c>
      <c r="F182" t="str">
        <f ca="1">OFFSET(Industries!B$1,MATCH(Table1[[#This Row],[Ticker]],Industries!$A$2:$A$140,0),0)</f>
        <v>Mega-Cap</v>
      </c>
      <c r="G182" t="str">
        <f ca="1">OFFSET(Industries!F$1,MATCH(Table1[[#This Row],[Ticker]],Industries!$A$2:$A$140,0),0)</f>
        <v>BBB+</v>
      </c>
      <c r="H182" t="s">
        <v>1434</v>
      </c>
      <c r="I182" t="s">
        <v>1434</v>
      </c>
      <c r="J182" s="2">
        <v>45362</v>
      </c>
      <c r="K182" t="s">
        <v>21</v>
      </c>
      <c r="L182" t="s">
        <v>1708</v>
      </c>
      <c r="M182" t="s">
        <v>1709</v>
      </c>
      <c r="N182" s="1"/>
      <c r="O182" t="s">
        <v>4</v>
      </c>
      <c r="P182" s="3">
        <v>0.13</v>
      </c>
      <c r="Q182" s="3" t="s">
        <v>1636</v>
      </c>
      <c r="R182" t="s">
        <v>62</v>
      </c>
      <c r="S182" t="s">
        <v>129</v>
      </c>
      <c r="T182" t="s">
        <v>117</v>
      </c>
      <c r="U182" s="1">
        <v>0.4</v>
      </c>
      <c r="V182" t="s">
        <v>126</v>
      </c>
    </row>
    <row r="183" spans="1:22" x14ac:dyDescent="0.3">
      <c r="A183" t="s">
        <v>115</v>
      </c>
      <c r="B183" t="str">
        <f ca="1">OFFSET(Industries!C$1,MATCH(Table1[[#This Row],[Ticker]],Industries!$A$2:$A$150,0),0)</f>
        <v>Industrials</v>
      </c>
      <c r="C183" t="str">
        <f ca="1">OFFSET(Industries!D$1,MATCH(Table1[[#This Row],[Ticker]],Industries!$A$2:$A$150,0),0)</f>
        <v>Capital Goods</v>
      </c>
      <c r="D183" t="str">
        <f ca="1">OFFSET(Industries!E$1,MATCH(Table1[[#This Row],[Ticker]],Industries!$A$2:$A$150,0),0)</f>
        <v>Aerospace and Defense</v>
      </c>
      <c r="E183" t="s">
        <v>116</v>
      </c>
      <c r="F183" t="str">
        <f ca="1">OFFSET(Industries!B$1,MATCH(Table1[[#This Row],[Ticker]],Industries!$A$2:$A$140,0),0)</f>
        <v>Mega-Cap</v>
      </c>
      <c r="G183" t="str">
        <f ca="1">OFFSET(Industries!F$1,MATCH(Table1[[#This Row],[Ticker]],Industries!$A$2:$A$140,0),0)</f>
        <v>BBB+</v>
      </c>
      <c r="H183" t="s">
        <v>1434</v>
      </c>
      <c r="I183" t="s">
        <v>1434</v>
      </c>
      <c r="J183" s="2">
        <v>45362</v>
      </c>
      <c r="K183" t="s">
        <v>21</v>
      </c>
      <c r="L183" t="s">
        <v>1708</v>
      </c>
      <c r="M183" t="s">
        <v>1709</v>
      </c>
      <c r="N183" s="1"/>
      <c r="O183" t="s">
        <v>4</v>
      </c>
      <c r="P183" s="3">
        <v>0.13</v>
      </c>
      <c r="Q183" s="3" t="s">
        <v>1637</v>
      </c>
      <c r="R183" t="s">
        <v>25</v>
      </c>
      <c r="S183" t="s">
        <v>26</v>
      </c>
      <c r="T183" t="s">
        <v>118</v>
      </c>
      <c r="U183" s="1">
        <v>0.1</v>
      </c>
    </row>
    <row r="184" spans="1:22" x14ac:dyDescent="0.3">
      <c r="A184" t="s">
        <v>115</v>
      </c>
      <c r="B184" t="str">
        <f ca="1">OFFSET(Industries!C$1,MATCH(Table1[[#This Row],[Ticker]],Industries!$A$2:$A$150,0),0)</f>
        <v>Industrials</v>
      </c>
      <c r="C184" t="str">
        <f ca="1">OFFSET(Industries!D$1,MATCH(Table1[[#This Row],[Ticker]],Industries!$A$2:$A$150,0),0)</f>
        <v>Capital Goods</v>
      </c>
      <c r="D184" t="str">
        <f ca="1">OFFSET(Industries!E$1,MATCH(Table1[[#This Row],[Ticker]],Industries!$A$2:$A$150,0),0)</f>
        <v>Aerospace and Defense</v>
      </c>
      <c r="E184" t="s">
        <v>116</v>
      </c>
      <c r="F184" t="str">
        <f ca="1">OFFSET(Industries!B$1,MATCH(Table1[[#This Row],[Ticker]],Industries!$A$2:$A$140,0),0)</f>
        <v>Mega-Cap</v>
      </c>
      <c r="G184" t="str">
        <f ca="1">OFFSET(Industries!F$1,MATCH(Table1[[#This Row],[Ticker]],Industries!$A$2:$A$140,0),0)</f>
        <v>BBB+</v>
      </c>
      <c r="H184" t="s">
        <v>1434</v>
      </c>
      <c r="I184" t="s">
        <v>1434</v>
      </c>
      <c r="J184" s="2">
        <v>45362</v>
      </c>
      <c r="K184" t="s">
        <v>21</v>
      </c>
      <c r="L184" t="s">
        <v>1708</v>
      </c>
      <c r="M184" t="s">
        <v>1709</v>
      </c>
      <c r="N184" s="1"/>
      <c r="O184" t="s">
        <v>4</v>
      </c>
      <c r="P184" s="3">
        <v>0.13</v>
      </c>
      <c r="Q184" s="3" t="s">
        <v>1637</v>
      </c>
      <c r="R184" t="s">
        <v>25</v>
      </c>
      <c r="S184" t="s">
        <v>26</v>
      </c>
      <c r="T184" t="s">
        <v>77</v>
      </c>
      <c r="U184" s="1">
        <v>0.1</v>
      </c>
    </row>
    <row r="185" spans="1:22" x14ac:dyDescent="0.3">
      <c r="A185" t="s">
        <v>115</v>
      </c>
      <c r="B185" t="str">
        <f ca="1">OFFSET(Industries!C$1,MATCH(Table1[[#This Row],[Ticker]],Industries!$A$2:$A$150,0),0)</f>
        <v>Industrials</v>
      </c>
      <c r="C185" t="str">
        <f ca="1">OFFSET(Industries!D$1,MATCH(Table1[[#This Row],[Ticker]],Industries!$A$2:$A$150,0),0)</f>
        <v>Capital Goods</v>
      </c>
      <c r="D185" t="str">
        <f ca="1">OFFSET(Industries!E$1,MATCH(Table1[[#This Row],[Ticker]],Industries!$A$2:$A$150,0),0)</f>
        <v>Aerospace and Defense</v>
      </c>
      <c r="E185" t="s">
        <v>116</v>
      </c>
      <c r="F185" t="str">
        <f ca="1">OFFSET(Industries!B$1,MATCH(Table1[[#This Row],[Ticker]],Industries!$A$2:$A$140,0),0)</f>
        <v>Mega-Cap</v>
      </c>
      <c r="G185" t="str">
        <f ca="1">OFFSET(Industries!F$1,MATCH(Table1[[#This Row],[Ticker]],Industries!$A$2:$A$140,0),0)</f>
        <v>BBB+</v>
      </c>
      <c r="H185" t="s">
        <v>1434</v>
      </c>
      <c r="I185" t="s">
        <v>1434</v>
      </c>
      <c r="J185" s="2">
        <v>45362</v>
      </c>
      <c r="K185" t="s">
        <v>21</v>
      </c>
      <c r="L185" t="s">
        <v>1708</v>
      </c>
      <c r="M185" t="s">
        <v>1709</v>
      </c>
      <c r="N185" s="1"/>
      <c r="O185" t="s">
        <v>4</v>
      </c>
      <c r="P185" s="3">
        <v>0.13</v>
      </c>
      <c r="Q185" s="3"/>
      <c r="R185" t="s">
        <v>28</v>
      </c>
      <c r="S185" t="s">
        <v>1087</v>
      </c>
      <c r="T185" t="s">
        <v>40</v>
      </c>
    </row>
    <row r="186" spans="1:22" x14ac:dyDescent="0.3">
      <c r="A186" t="s">
        <v>115</v>
      </c>
      <c r="B186" t="str">
        <f ca="1">OFFSET(Industries!C$1,MATCH(Table1[[#This Row],[Ticker]],Industries!$A$2:$A$150,0),0)</f>
        <v>Industrials</v>
      </c>
      <c r="C186" t="str">
        <f ca="1">OFFSET(Industries!D$1,MATCH(Table1[[#This Row],[Ticker]],Industries!$A$2:$A$150,0),0)</f>
        <v>Capital Goods</v>
      </c>
      <c r="D186" t="str">
        <f ca="1">OFFSET(Industries!E$1,MATCH(Table1[[#This Row],[Ticker]],Industries!$A$2:$A$150,0),0)</f>
        <v>Aerospace and Defense</v>
      </c>
      <c r="E186" t="s">
        <v>116</v>
      </c>
      <c r="F186" t="str">
        <f ca="1">OFFSET(Industries!B$1,MATCH(Table1[[#This Row],[Ticker]],Industries!$A$2:$A$140,0),0)</f>
        <v>Mega-Cap</v>
      </c>
      <c r="G186" t="str">
        <f ca="1">OFFSET(Industries!F$1,MATCH(Table1[[#This Row],[Ticker]],Industries!$A$2:$A$140,0),0)</f>
        <v>BBB+</v>
      </c>
      <c r="H186" t="s">
        <v>1434</v>
      </c>
      <c r="I186" t="s">
        <v>1434</v>
      </c>
      <c r="J186" s="2">
        <v>45362</v>
      </c>
      <c r="K186" t="s">
        <v>21</v>
      </c>
      <c r="L186" t="s">
        <v>1710</v>
      </c>
      <c r="M186" t="s">
        <v>1709</v>
      </c>
      <c r="N186" s="1">
        <f>Table1[[#This Row],[Consideration Weight]]</f>
        <v>0.44999999999999996</v>
      </c>
      <c r="O186" t="s">
        <v>476</v>
      </c>
      <c r="P186" s="3">
        <f>0.6*0.75</f>
        <v>0.44999999999999996</v>
      </c>
      <c r="Q186" s="3" t="s">
        <v>1636</v>
      </c>
      <c r="R186" t="s">
        <v>24</v>
      </c>
      <c r="S186" t="s">
        <v>1089</v>
      </c>
      <c r="T186" t="s">
        <v>122</v>
      </c>
      <c r="U186" s="1">
        <v>0.35</v>
      </c>
    </row>
    <row r="187" spans="1:22" x14ac:dyDescent="0.3">
      <c r="A187" t="s">
        <v>115</v>
      </c>
      <c r="B187" t="str">
        <f ca="1">OFFSET(Industries!C$1,MATCH(Table1[[#This Row],[Ticker]],Industries!$A$2:$A$150,0),0)</f>
        <v>Industrials</v>
      </c>
      <c r="C187" t="str">
        <f ca="1">OFFSET(Industries!D$1,MATCH(Table1[[#This Row],[Ticker]],Industries!$A$2:$A$150,0),0)</f>
        <v>Capital Goods</v>
      </c>
      <c r="D187" t="str">
        <f ca="1">OFFSET(Industries!E$1,MATCH(Table1[[#This Row],[Ticker]],Industries!$A$2:$A$150,0),0)</f>
        <v>Aerospace and Defense</v>
      </c>
      <c r="E187" t="s">
        <v>116</v>
      </c>
      <c r="F187" t="str">
        <f ca="1">OFFSET(Industries!B$1,MATCH(Table1[[#This Row],[Ticker]],Industries!$A$2:$A$140,0),0)</f>
        <v>Mega-Cap</v>
      </c>
      <c r="G187" t="str">
        <f ca="1">OFFSET(Industries!F$1,MATCH(Table1[[#This Row],[Ticker]],Industries!$A$2:$A$140,0),0)</f>
        <v>BBB+</v>
      </c>
      <c r="H187" t="s">
        <v>1434</v>
      </c>
      <c r="I187" t="s">
        <v>1434</v>
      </c>
      <c r="J187" s="2">
        <v>45362</v>
      </c>
      <c r="K187" t="s">
        <v>21</v>
      </c>
      <c r="L187" t="s">
        <v>1710</v>
      </c>
      <c r="M187" t="s">
        <v>1709</v>
      </c>
      <c r="N187" s="1"/>
      <c r="O187" t="s">
        <v>476</v>
      </c>
      <c r="P187" s="3">
        <f t="shared" ref="P187:P189" si="3">0.6*0.75</f>
        <v>0.44999999999999996</v>
      </c>
      <c r="Q187" s="3" t="s">
        <v>1636</v>
      </c>
      <c r="R187" t="s">
        <v>1059</v>
      </c>
      <c r="S187" t="s">
        <v>1101</v>
      </c>
      <c r="T187" t="s">
        <v>465</v>
      </c>
      <c r="U187" s="1">
        <v>0.35</v>
      </c>
    </row>
    <row r="188" spans="1:22" x14ac:dyDescent="0.3">
      <c r="A188" t="s">
        <v>115</v>
      </c>
      <c r="B188" t="str">
        <f ca="1">OFFSET(Industries!C$1,MATCH(Table1[[#This Row],[Ticker]],Industries!$A$2:$A$150,0),0)</f>
        <v>Industrials</v>
      </c>
      <c r="C188" t="str">
        <f ca="1">OFFSET(Industries!D$1,MATCH(Table1[[#This Row],[Ticker]],Industries!$A$2:$A$150,0),0)</f>
        <v>Capital Goods</v>
      </c>
      <c r="D188" t="str">
        <f ca="1">OFFSET(Industries!E$1,MATCH(Table1[[#This Row],[Ticker]],Industries!$A$2:$A$150,0),0)</f>
        <v>Aerospace and Defense</v>
      </c>
      <c r="E188" t="s">
        <v>116</v>
      </c>
      <c r="F188" t="str">
        <f ca="1">OFFSET(Industries!B$1,MATCH(Table1[[#This Row],[Ticker]],Industries!$A$2:$A$140,0),0)</f>
        <v>Mega-Cap</v>
      </c>
      <c r="G188" t="str">
        <f ca="1">OFFSET(Industries!F$1,MATCH(Table1[[#This Row],[Ticker]],Industries!$A$2:$A$140,0),0)</f>
        <v>BBB+</v>
      </c>
      <c r="H188" t="s">
        <v>1434</v>
      </c>
      <c r="I188" t="s">
        <v>1434</v>
      </c>
      <c r="J188" s="2">
        <v>45362</v>
      </c>
      <c r="K188" t="s">
        <v>21</v>
      </c>
      <c r="L188" t="s">
        <v>1710</v>
      </c>
      <c r="M188" t="s">
        <v>1709</v>
      </c>
      <c r="N188" s="1"/>
      <c r="O188" t="s">
        <v>476</v>
      </c>
      <c r="P188" s="3">
        <f t="shared" si="3"/>
        <v>0.44999999999999996</v>
      </c>
      <c r="Q188" s="3" t="s">
        <v>1646</v>
      </c>
      <c r="R188" t="s">
        <v>35</v>
      </c>
      <c r="S188" t="s">
        <v>29</v>
      </c>
      <c r="T188" t="s">
        <v>30</v>
      </c>
      <c r="U188" s="1">
        <v>0.3</v>
      </c>
    </row>
    <row r="189" spans="1:22" x14ac:dyDescent="0.3">
      <c r="A189" t="s">
        <v>115</v>
      </c>
      <c r="B189" t="str">
        <f ca="1">OFFSET(Industries!C$1,MATCH(Table1[[#This Row],[Ticker]],Industries!$A$2:$A$150,0),0)</f>
        <v>Industrials</v>
      </c>
      <c r="C189" t="str">
        <f ca="1">OFFSET(Industries!D$1,MATCH(Table1[[#This Row],[Ticker]],Industries!$A$2:$A$150,0),0)</f>
        <v>Capital Goods</v>
      </c>
      <c r="D189" t="str">
        <f ca="1">OFFSET(Industries!E$1,MATCH(Table1[[#This Row],[Ticker]],Industries!$A$2:$A$150,0),0)</f>
        <v>Aerospace and Defense</v>
      </c>
      <c r="E189" t="s">
        <v>116</v>
      </c>
      <c r="F189" t="str">
        <f ca="1">OFFSET(Industries!B$1,MATCH(Table1[[#This Row],[Ticker]],Industries!$A$2:$A$140,0),0)</f>
        <v>Mega-Cap</v>
      </c>
      <c r="G189" t="str">
        <f ca="1">OFFSET(Industries!F$1,MATCH(Table1[[#This Row],[Ticker]],Industries!$A$2:$A$140,0),0)</f>
        <v>BBB+</v>
      </c>
      <c r="H189" t="s">
        <v>1434</v>
      </c>
      <c r="I189" t="s">
        <v>1434</v>
      </c>
      <c r="J189" s="2">
        <v>45362</v>
      </c>
      <c r="K189" t="s">
        <v>21</v>
      </c>
      <c r="L189" t="s">
        <v>1710</v>
      </c>
      <c r="M189" t="s">
        <v>1709</v>
      </c>
      <c r="N189" s="1"/>
      <c r="O189" t="s">
        <v>476</v>
      </c>
      <c r="P189" s="3">
        <f t="shared" si="3"/>
        <v>0.44999999999999996</v>
      </c>
      <c r="Q189" s="3"/>
      <c r="R189" t="s">
        <v>28</v>
      </c>
      <c r="S189" t="s">
        <v>1095</v>
      </c>
      <c r="T189" t="s">
        <v>55</v>
      </c>
    </row>
    <row r="190" spans="1:22" x14ac:dyDescent="0.3">
      <c r="A190" t="s">
        <v>115</v>
      </c>
      <c r="B190" t="str">
        <f ca="1">OFFSET(Industries!C$1,MATCH(Table1[[#This Row],[Ticker]],Industries!$A$2:$A$150,0),0)</f>
        <v>Industrials</v>
      </c>
      <c r="C190" t="str">
        <f ca="1">OFFSET(Industries!D$1,MATCH(Table1[[#This Row],[Ticker]],Industries!$A$2:$A$150,0),0)</f>
        <v>Capital Goods</v>
      </c>
      <c r="D190" t="str">
        <f ca="1">OFFSET(Industries!E$1,MATCH(Table1[[#This Row],[Ticker]],Industries!$A$2:$A$150,0),0)</f>
        <v>Aerospace and Defense</v>
      </c>
      <c r="E190" t="s">
        <v>116</v>
      </c>
      <c r="F190" t="str">
        <f ca="1">OFFSET(Industries!B$1,MATCH(Table1[[#This Row],[Ticker]],Industries!$A$2:$A$140,0),0)</f>
        <v>Mega-Cap</v>
      </c>
      <c r="G190" t="str">
        <f ca="1">OFFSET(Industries!F$1,MATCH(Table1[[#This Row],[Ticker]],Industries!$A$2:$A$140,0),0)</f>
        <v>BBB+</v>
      </c>
      <c r="H190" t="s">
        <v>1434</v>
      </c>
      <c r="I190" t="s">
        <v>1434</v>
      </c>
      <c r="J190" s="2">
        <v>45362</v>
      </c>
      <c r="K190" t="s">
        <v>21</v>
      </c>
      <c r="L190" t="s">
        <v>1710</v>
      </c>
      <c r="M190" t="s">
        <v>1711</v>
      </c>
      <c r="N190" s="1">
        <f>Table1[[#This Row],[Consideration Weight]]</f>
        <v>0.30000000000000004</v>
      </c>
      <c r="O190" t="s">
        <v>455</v>
      </c>
      <c r="P190" s="3">
        <f>0.4*0.75</f>
        <v>0.30000000000000004</v>
      </c>
      <c r="Q190" s="3"/>
    </row>
    <row r="191" spans="1:22" x14ac:dyDescent="0.3">
      <c r="A191" t="s">
        <v>276</v>
      </c>
      <c r="B191" t="str">
        <f ca="1">OFFSET(Industries!C$1,MATCH(Table1[[#This Row],[Ticker]],Industries!$A$2:$A$150,0),0)</f>
        <v>Health Care</v>
      </c>
      <c r="C191" t="str">
        <f ca="1">OFFSET(Industries!D$1,MATCH(Table1[[#This Row],[Ticker]],Industries!$A$2:$A$150,0),0)</f>
        <v>Health Care Equipment and Services</v>
      </c>
      <c r="D191" t="str">
        <f ca="1">OFFSET(Industries!E$1,MATCH(Table1[[#This Row],[Ticker]],Industries!$A$2:$A$150,0),0)</f>
        <v>Health Care Equipment and Supplies</v>
      </c>
      <c r="E191" t="s">
        <v>127</v>
      </c>
      <c r="F191" t="str">
        <f ca="1">OFFSET(Industries!B$1,MATCH(Table1[[#This Row],[Ticker]],Industries!$A$2:$A$140,0),0)</f>
        <v>Mega-Cap</v>
      </c>
      <c r="G191" t="str">
        <f ca="1">OFFSET(Industries!F$1,MATCH(Table1[[#This Row],[Ticker]],Industries!$A$2:$A$140,0),0)</f>
        <v>AA-</v>
      </c>
      <c r="H191" t="s">
        <v>1434</v>
      </c>
      <c r="I191" t="s">
        <v>1434</v>
      </c>
      <c r="J191" s="2">
        <v>45366</v>
      </c>
      <c r="K191" t="s">
        <v>2</v>
      </c>
      <c r="L191" t="s">
        <v>3</v>
      </c>
      <c r="M191" t="s">
        <v>1711</v>
      </c>
      <c r="N191" s="1">
        <f>Table1[[#This Row],[Consideration Weight]]</f>
        <v>8.5000000000000006E-2</v>
      </c>
      <c r="O191" t="s">
        <v>3</v>
      </c>
      <c r="P191" s="3">
        <v>8.5000000000000006E-2</v>
      </c>
      <c r="Q191" s="3"/>
    </row>
    <row r="192" spans="1:22" x14ac:dyDescent="0.3">
      <c r="A192" t="s">
        <v>276</v>
      </c>
      <c r="B192" t="str">
        <f ca="1">OFFSET(Industries!C$1,MATCH(Table1[[#This Row],[Ticker]],Industries!$A$2:$A$150,0),0)</f>
        <v>Health Care</v>
      </c>
      <c r="C192" t="str">
        <f ca="1">OFFSET(Industries!D$1,MATCH(Table1[[#This Row],[Ticker]],Industries!$A$2:$A$150,0),0)</f>
        <v>Health Care Equipment and Services</v>
      </c>
      <c r="D192" t="str">
        <f ca="1">OFFSET(Industries!E$1,MATCH(Table1[[#This Row],[Ticker]],Industries!$A$2:$A$150,0),0)</f>
        <v>Health Care Equipment and Supplies</v>
      </c>
      <c r="E192" t="s">
        <v>127</v>
      </c>
      <c r="F192" t="str">
        <f ca="1">OFFSET(Industries!B$1,MATCH(Table1[[#This Row],[Ticker]],Industries!$A$2:$A$140,0),0)</f>
        <v>Mega-Cap</v>
      </c>
      <c r="G192" t="str">
        <f ca="1">OFFSET(Industries!F$1,MATCH(Table1[[#This Row],[Ticker]],Industries!$A$2:$A$140,0),0)</f>
        <v>AA-</v>
      </c>
      <c r="H192" t="s">
        <v>1434</v>
      </c>
      <c r="I192" t="s">
        <v>1434</v>
      </c>
      <c r="J192" s="2">
        <v>45366</v>
      </c>
      <c r="K192" t="s">
        <v>2</v>
      </c>
      <c r="L192" t="s">
        <v>1708</v>
      </c>
      <c r="M192" t="s">
        <v>1709</v>
      </c>
      <c r="N192" s="1">
        <f>Table1[[#This Row],[Consideration Weight]]</f>
        <v>0.14899999999999999</v>
      </c>
      <c r="O192" t="s">
        <v>4</v>
      </c>
      <c r="P192" s="3">
        <v>0.14899999999999999</v>
      </c>
      <c r="Q192" s="3" t="s">
        <v>1636</v>
      </c>
      <c r="R192" t="s">
        <v>23</v>
      </c>
      <c r="S192" t="s">
        <v>1083</v>
      </c>
      <c r="T192" t="s">
        <v>7</v>
      </c>
      <c r="U192" s="1">
        <v>0.25</v>
      </c>
      <c r="V192" t="s">
        <v>142</v>
      </c>
    </row>
    <row r="193" spans="1:22" x14ac:dyDescent="0.3">
      <c r="A193" t="s">
        <v>276</v>
      </c>
      <c r="B193" t="str">
        <f ca="1">OFFSET(Industries!C$1,MATCH(Table1[[#This Row],[Ticker]],Industries!$A$2:$A$150,0),0)</f>
        <v>Health Care</v>
      </c>
      <c r="C193" t="str">
        <f ca="1">OFFSET(Industries!D$1,MATCH(Table1[[#This Row],[Ticker]],Industries!$A$2:$A$150,0),0)</f>
        <v>Health Care Equipment and Services</v>
      </c>
      <c r="D193" t="str">
        <f ca="1">OFFSET(Industries!E$1,MATCH(Table1[[#This Row],[Ticker]],Industries!$A$2:$A$150,0),0)</f>
        <v>Health Care Equipment and Supplies</v>
      </c>
      <c r="E193" t="s">
        <v>127</v>
      </c>
      <c r="F193" t="str">
        <f ca="1">OFFSET(Industries!B$1,MATCH(Table1[[#This Row],[Ticker]],Industries!$A$2:$A$140,0),0)</f>
        <v>Mega-Cap</v>
      </c>
      <c r="G193" t="str">
        <f ca="1">OFFSET(Industries!F$1,MATCH(Table1[[#This Row],[Ticker]],Industries!$A$2:$A$140,0),0)</f>
        <v>AA-</v>
      </c>
      <c r="H193" t="s">
        <v>1434</v>
      </c>
      <c r="I193" t="s">
        <v>1434</v>
      </c>
      <c r="J193" s="2">
        <v>45366</v>
      </c>
      <c r="K193" t="s">
        <v>2</v>
      </c>
      <c r="L193" t="s">
        <v>1708</v>
      </c>
      <c r="M193" t="s">
        <v>1709</v>
      </c>
      <c r="N193" s="1"/>
      <c r="O193" t="s">
        <v>4</v>
      </c>
      <c r="P193" s="3">
        <v>0.14899999999999999</v>
      </c>
      <c r="Q193" s="3" t="s">
        <v>1636</v>
      </c>
      <c r="R193" t="s">
        <v>24</v>
      </c>
      <c r="S193" t="s">
        <v>1089</v>
      </c>
      <c r="T193" t="s">
        <v>128</v>
      </c>
      <c r="U193" s="1">
        <v>0.25</v>
      </c>
      <c r="V193" t="s">
        <v>143</v>
      </c>
    </row>
    <row r="194" spans="1:22" x14ac:dyDescent="0.3">
      <c r="A194" t="s">
        <v>276</v>
      </c>
      <c r="B194" t="str">
        <f ca="1">OFFSET(Industries!C$1,MATCH(Table1[[#This Row],[Ticker]],Industries!$A$2:$A$150,0),0)</f>
        <v>Health Care</v>
      </c>
      <c r="C194" t="str">
        <f ca="1">OFFSET(Industries!D$1,MATCH(Table1[[#This Row],[Ticker]],Industries!$A$2:$A$150,0),0)</f>
        <v>Health Care Equipment and Services</v>
      </c>
      <c r="D194" t="str">
        <f ca="1">OFFSET(Industries!E$1,MATCH(Table1[[#This Row],[Ticker]],Industries!$A$2:$A$150,0),0)</f>
        <v>Health Care Equipment and Supplies</v>
      </c>
      <c r="E194" t="s">
        <v>127</v>
      </c>
      <c r="F194" t="str">
        <f ca="1">OFFSET(Industries!B$1,MATCH(Table1[[#This Row],[Ticker]],Industries!$A$2:$A$140,0),0)</f>
        <v>Mega-Cap</v>
      </c>
      <c r="G194" t="str">
        <f ca="1">OFFSET(Industries!F$1,MATCH(Table1[[#This Row],[Ticker]],Industries!$A$2:$A$140,0),0)</f>
        <v>AA-</v>
      </c>
      <c r="H194" t="s">
        <v>1434</v>
      </c>
      <c r="I194" t="s">
        <v>1434</v>
      </c>
      <c r="J194" s="2">
        <v>45366</v>
      </c>
      <c r="K194" t="s">
        <v>2</v>
      </c>
      <c r="L194" t="s">
        <v>1708</v>
      </c>
      <c r="M194" t="s">
        <v>1709</v>
      </c>
      <c r="N194" s="1"/>
      <c r="O194" t="s">
        <v>4</v>
      </c>
      <c r="P194" s="3">
        <v>0.14899999999999999</v>
      </c>
      <c r="Q194" s="3" t="s">
        <v>1636</v>
      </c>
      <c r="R194" t="s">
        <v>1059</v>
      </c>
      <c r="S194" t="s">
        <v>1103</v>
      </c>
      <c r="T194" t="s">
        <v>130</v>
      </c>
      <c r="U194" s="1">
        <v>0.1</v>
      </c>
      <c r="V194" t="s">
        <v>144</v>
      </c>
    </row>
    <row r="195" spans="1:22" x14ac:dyDescent="0.3">
      <c r="A195" t="s">
        <v>276</v>
      </c>
      <c r="B195" t="str">
        <f ca="1">OFFSET(Industries!C$1,MATCH(Table1[[#This Row],[Ticker]],Industries!$A$2:$A$150,0),0)</f>
        <v>Health Care</v>
      </c>
      <c r="C195" t="str">
        <f ca="1">OFFSET(Industries!D$1,MATCH(Table1[[#This Row],[Ticker]],Industries!$A$2:$A$150,0),0)</f>
        <v>Health Care Equipment and Services</v>
      </c>
      <c r="D195" t="str">
        <f ca="1">OFFSET(Industries!E$1,MATCH(Table1[[#This Row],[Ticker]],Industries!$A$2:$A$150,0),0)</f>
        <v>Health Care Equipment and Supplies</v>
      </c>
      <c r="E195" t="s">
        <v>127</v>
      </c>
      <c r="F195" t="str">
        <f ca="1">OFFSET(Industries!B$1,MATCH(Table1[[#This Row],[Ticker]],Industries!$A$2:$A$140,0),0)</f>
        <v>Mega-Cap</v>
      </c>
      <c r="G195" t="str">
        <f ca="1">OFFSET(Industries!F$1,MATCH(Table1[[#This Row],[Ticker]],Industries!$A$2:$A$140,0),0)</f>
        <v>AA-</v>
      </c>
      <c r="H195" t="s">
        <v>1434</v>
      </c>
      <c r="I195" t="s">
        <v>1434</v>
      </c>
      <c r="J195" s="2">
        <v>45366</v>
      </c>
      <c r="K195" t="s">
        <v>2</v>
      </c>
      <c r="L195" t="s">
        <v>1708</v>
      </c>
      <c r="M195" t="s">
        <v>1709</v>
      </c>
      <c r="N195" s="1"/>
      <c r="O195" t="s">
        <v>4</v>
      </c>
      <c r="P195" s="3">
        <v>0.14899999999999999</v>
      </c>
      <c r="Q195" s="3" t="s">
        <v>1636</v>
      </c>
      <c r="R195" t="s">
        <v>62</v>
      </c>
      <c r="S195" t="s">
        <v>129</v>
      </c>
      <c r="T195" t="s">
        <v>129</v>
      </c>
      <c r="U195" s="1">
        <v>0.1</v>
      </c>
    </row>
    <row r="196" spans="1:22" x14ac:dyDescent="0.3">
      <c r="A196" t="s">
        <v>276</v>
      </c>
      <c r="B196" t="str">
        <f ca="1">OFFSET(Industries!C$1,MATCH(Table1[[#This Row],[Ticker]],Industries!$A$2:$A$150,0),0)</f>
        <v>Health Care</v>
      </c>
      <c r="C196" t="str">
        <f ca="1">OFFSET(Industries!D$1,MATCH(Table1[[#This Row],[Ticker]],Industries!$A$2:$A$150,0),0)</f>
        <v>Health Care Equipment and Services</v>
      </c>
      <c r="D196" t="str">
        <f ca="1">OFFSET(Industries!E$1,MATCH(Table1[[#This Row],[Ticker]],Industries!$A$2:$A$150,0),0)</f>
        <v>Health Care Equipment and Supplies</v>
      </c>
      <c r="E196" t="s">
        <v>127</v>
      </c>
      <c r="F196" t="str">
        <f ca="1">OFFSET(Industries!B$1,MATCH(Table1[[#This Row],[Ticker]],Industries!$A$2:$A$140,0),0)</f>
        <v>Mega-Cap</v>
      </c>
      <c r="G196" t="str">
        <f ca="1">OFFSET(Industries!F$1,MATCH(Table1[[#This Row],[Ticker]],Industries!$A$2:$A$140,0),0)</f>
        <v>AA-</v>
      </c>
      <c r="H196" t="s">
        <v>1434</v>
      </c>
      <c r="I196" t="s">
        <v>1434</v>
      </c>
      <c r="J196" s="2">
        <v>45366</v>
      </c>
      <c r="K196" t="s">
        <v>2</v>
      </c>
      <c r="L196" t="s">
        <v>1708</v>
      </c>
      <c r="M196" t="s">
        <v>1709</v>
      </c>
      <c r="N196" s="1"/>
      <c r="O196" t="s">
        <v>4</v>
      </c>
      <c r="P196" s="3">
        <v>0.14899999999999999</v>
      </c>
      <c r="Q196" s="3" t="s">
        <v>1636</v>
      </c>
      <c r="R196" t="s">
        <v>23</v>
      </c>
      <c r="S196" t="s">
        <v>1083</v>
      </c>
      <c r="T196" t="s">
        <v>131</v>
      </c>
      <c r="U196" s="1">
        <v>0.1</v>
      </c>
    </row>
    <row r="197" spans="1:22" x14ac:dyDescent="0.3">
      <c r="A197" t="s">
        <v>276</v>
      </c>
      <c r="B197" t="str">
        <f ca="1">OFFSET(Industries!C$1,MATCH(Table1[[#This Row],[Ticker]],Industries!$A$2:$A$150,0),0)</f>
        <v>Health Care</v>
      </c>
      <c r="C197" t="str">
        <f ca="1">OFFSET(Industries!D$1,MATCH(Table1[[#This Row],[Ticker]],Industries!$A$2:$A$150,0),0)</f>
        <v>Health Care Equipment and Services</v>
      </c>
      <c r="D197" t="str">
        <f ca="1">OFFSET(Industries!E$1,MATCH(Table1[[#This Row],[Ticker]],Industries!$A$2:$A$150,0),0)</f>
        <v>Health Care Equipment and Supplies</v>
      </c>
      <c r="E197" t="s">
        <v>127</v>
      </c>
      <c r="F197" t="str">
        <f ca="1">OFFSET(Industries!B$1,MATCH(Table1[[#This Row],[Ticker]],Industries!$A$2:$A$140,0),0)</f>
        <v>Mega-Cap</v>
      </c>
      <c r="G197" t="str">
        <f ca="1">OFFSET(Industries!F$1,MATCH(Table1[[#This Row],[Ticker]],Industries!$A$2:$A$140,0),0)</f>
        <v>AA-</v>
      </c>
      <c r="H197" t="s">
        <v>1434</v>
      </c>
      <c r="I197" t="s">
        <v>1434</v>
      </c>
      <c r="J197" s="2">
        <v>45366</v>
      </c>
      <c r="K197" t="s">
        <v>2</v>
      </c>
      <c r="L197" t="s">
        <v>1708</v>
      </c>
      <c r="M197" t="s">
        <v>1709</v>
      </c>
      <c r="N197" s="1"/>
      <c r="O197" t="s">
        <v>4</v>
      </c>
      <c r="P197" s="3">
        <v>0.14899999999999999</v>
      </c>
      <c r="Q197" s="3" t="s">
        <v>1636</v>
      </c>
      <c r="R197" t="s">
        <v>23</v>
      </c>
      <c r="S197" t="s">
        <v>1083</v>
      </c>
      <c r="T197" t="s">
        <v>191</v>
      </c>
      <c r="U197" s="1">
        <v>0.1</v>
      </c>
    </row>
    <row r="198" spans="1:22" x14ac:dyDescent="0.3">
      <c r="A198" t="s">
        <v>276</v>
      </c>
      <c r="B198" t="str">
        <f ca="1">OFFSET(Industries!C$1,MATCH(Table1[[#This Row],[Ticker]],Industries!$A$2:$A$150,0),0)</f>
        <v>Health Care</v>
      </c>
      <c r="C198" t="str">
        <f ca="1">OFFSET(Industries!D$1,MATCH(Table1[[#This Row],[Ticker]],Industries!$A$2:$A$150,0),0)</f>
        <v>Health Care Equipment and Services</v>
      </c>
      <c r="D198" t="str">
        <f ca="1">OFFSET(Industries!E$1,MATCH(Table1[[#This Row],[Ticker]],Industries!$A$2:$A$150,0),0)</f>
        <v>Health Care Equipment and Supplies</v>
      </c>
      <c r="E198" t="s">
        <v>127</v>
      </c>
      <c r="F198" t="str">
        <f ca="1">OFFSET(Industries!B$1,MATCH(Table1[[#This Row],[Ticker]],Industries!$A$2:$A$140,0),0)</f>
        <v>Mega-Cap</v>
      </c>
      <c r="G198" t="str">
        <f ca="1">OFFSET(Industries!F$1,MATCH(Table1[[#This Row],[Ticker]],Industries!$A$2:$A$140,0),0)</f>
        <v>AA-</v>
      </c>
      <c r="H198" t="s">
        <v>1434</v>
      </c>
      <c r="I198" t="s">
        <v>1434</v>
      </c>
      <c r="J198" s="2">
        <v>45366</v>
      </c>
      <c r="K198" t="s">
        <v>2</v>
      </c>
      <c r="L198" t="s">
        <v>1708</v>
      </c>
      <c r="M198" t="s">
        <v>1709</v>
      </c>
      <c r="N198" s="1"/>
      <c r="O198" t="s">
        <v>4</v>
      </c>
      <c r="P198" s="3">
        <v>0.14899999999999999</v>
      </c>
      <c r="Q198" s="3" t="s">
        <v>1637</v>
      </c>
      <c r="R198" t="s">
        <v>26</v>
      </c>
      <c r="S198" t="s">
        <v>26</v>
      </c>
      <c r="T198" t="s">
        <v>141</v>
      </c>
      <c r="U198" s="1">
        <v>0.1</v>
      </c>
      <c r="V198" t="s">
        <v>152</v>
      </c>
    </row>
    <row r="199" spans="1:22" x14ac:dyDescent="0.3">
      <c r="A199" t="s">
        <v>276</v>
      </c>
      <c r="B199" t="str">
        <f ca="1">OFFSET(Industries!C$1,MATCH(Table1[[#This Row],[Ticker]],Industries!$A$2:$A$150,0),0)</f>
        <v>Health Care</v>
      </c>
      <c r="C199" t="str">
        <f ca="1">OFFSET(Industries!D$1,MATCH(Table1[[#This Row],[Ticker]],Industries!$A$2:$A$150,0),0)</f>
        <v>Health Care Equipment and Services</v>
      </c>
      <c r="D199" t="str">
        <f ca="1">OFFSET(Industries!E$1,MATCH(Table1[[#This Row],[Ticker]],Industries!$A$2:$A$150,0),0)</f>
        <v>Health Care Equipment and Supplies</v>
      </c>
      <c r="E199" t="s">
        <v>127</v>
      </c>
      <c r="F199" t="str">
        <f ca="1">OFFSET(Industries!B$1,MATCH(Table1[[#This Row],[Ticker]],Industries!$A$2:$A$140,0),0)</f>
        <v>Mega-Cap</v>
      </c>
      <c r="G199" t="str">
        <f ca="1">OFFSET(Industries!F$1,MATCH(Table1[[#This Row],[Ticker]],Industries!$A$2:$A$140,0),0)</f>
        <v>AA-</v>
      </c>
      <c r="H199" t="s">
        <v>1434</v>
      </c>
      <c r="I199" t="s">
        <v>1434</v>
      </c>
      <c r="J199" s="2">
        <v>45365</v>
      </c>
      <c r="K199" t="s">
        <v>2</v>
      </c>
      <c r="L199" t="s">
        <v>1710</v>
      </c>
      <c r="M199" t="s">
        <v>1709</v>
      </c>
      <c r="N199" s="1">
        <f>Table1[[#This Row],[Consideration Weight]]</f>
        <v>0.38299999999999995</v>
      </c>
      <c r="O199" t="s">
        <v>476</v>
      </c>
      <c r="P199" s="3">
        <v>0.38299999999999995</v>
      </c>
      <c r="Q199" s="3" t="s">
        <v>1646</v>
      </c>
      <c r="R199" t="s">
        <v>35</v>
      </c>
      <c r="S199" t="s">
        <v>29</v>
      </c>
      <c r="T199" t="s">
        <v>29</v>
      </c>
      <c r="U199" s="1">
        <v>1</v>
      </c>
      <c r="V199" t="s">
        <v>192</v>
      </c>
    </row>
    <row r="200" spans="1:22" x14ac:dyDescent="0.3">
      <c r="A200" t="s">
        <v>276</v>
      </c>
      <c r="B200" t="str">
        <f ca="1">OFFSET(Industries!C$1,MATCH(Table1[[#This Row],[Ticker]],Industries!$A$2:$A$150,0),0)</f>
        <v>Health Care</v>
      </c>
      <c r="C200" t="str">
        <f ca="1">OFFSET(Industries!D$1,MATCH(Table1[[#This Row],[Ticker]],Industries!$A$2:$A$150,0),0)</f>
        <v>Health Care Equipment and Services</v>
      </c>
      <c r="D200" t="str">
        <f ca="1">OFFSET(Industries!E$1,MATCH(Table1[[#This Row],[Ticker]],Industries!$A$2:$A$150,0),0)</f>
        <v>Health Care Equipment and Supplies</v>
      </c>
      <c r="E200" t="s">
        <v>127</v>
      </c>
      <c r="F200" t="str">
        <f ca="1">OFFSET(Industries!B$1,MATCH(Table1[[#This Row],[Ticker]],Industries!$A$2:$A$140,0),0)</f>
        <v>Mega-Cap</v>
      </c>
      <c r="G200" t="str">
        <f ca="1">OFFSET(Industries!F$1,MATCH(Table1[[#This Row],[Ticker]],Industries!$A$2:$A$140,0),0)</f>
        <v>AA-</v>
      </c>
      <c r="H200" t="s">
        <v>1434</v>
      </c>
      <c r="I200" t="s">
        <v>1434</v>
      </c>
      <c r="J200" s="2">
        <v>45366</v>
      </c>
      <c r="K200" t="s">
        <v>2</v>
      </c>
      <c r="L200" t="s">
        <v>1710</v>
      </c>
      <c r="M200" t="s">
        <v>1709</v>
      </c>
      <c r="N200" s="1"/>
      <c r="O200" t="s">
        <v>476</v>
      </c>
      <c r="P200" s="3">
        <v>0.38299999999999995</v>
      </c>
      <c r="Q200" s="3"/>
      <c r="R200" t="s">
        <v>28</v>
      </c>
      <c r="S200" t="s">
        <v>1087</v>
      </c>
      <c r="T200" t="s">
        <v>40</v>
      </c>
      <c r="V200" t="s">
        <v>132</v>
      </c>
    </row>
    <row r="201" spans="1:22" x14ac:dyDescent="0.3">
      <c r="A201" t="s">
        <v>276</v>
      </c>
      <c r="B201" t="str">
        <f ca="1">OFFSET(Industries!C$1,MATCH(Table1[[#This Row],[Ticker]],Industries!$A$2:$A$150,0),0)</f>
        <v>Health Care</v>
      </c>
      <c r="C201" t="str">
        <f ca="1">OFFSET(Industries!D$1,MATCH(Table1[[#This Row],[Ticker]],Industries!$A$2:$A$150,0),0)</f>
        <v>Health Care Equipment and Services</v>
      </c>
      <c r="D201" t="str">
        <f ca="1">OFFSET(Industries!E$1,MATCH(Table1[[#This Row],[Ticker]],Industries!$A$2:$A$150,0),0)</f>
        <v>Health Care Equipment and Supplies</v>
      </c>
      <c r="E201" t="s">
        <v>127</v>
      </c>
      <c r="F201" t="str">
        <f ca="1">OFFSET(Industries!B$1,MATCH(Table1[[#This Row],[Ticker]],Industries!$A$2:$A$140,0),0)</f>
        <v>Mega-Cap</v>
      </c>
      <c r="G201" t="str">
        <f ca="1">OFFSET(Industries!F$1,MATCH(Table1[[#This Row],[Ticker]],Industries!$A$2:$A$140,0),0)</f>
        <v>AA-</v>
      </c>
      <c r="H201" t="s">
        <v>1434</v>
      </c>
      <c r="I201" t="s">
        <v>1434</v>
      </c>
      <c r="J201" s="2">
        <v>45366</v>
      </c>
      <c r="K201" t="s">
        <v>2</v>
      </c>
      <c r="L201" t="s">
        <v>1710</v>
      </c>
      <c r="M201" t="s">
        <v>1709</v>
      </c>
      <c r="N201" s="1"/>
      <c r="O201" t="s">
        <v>476</v>
      </c>
      <c r="P201" s="3">
        <v>0.38299999999999995</v>
      </c>
      <c r="Q201" s="3"/>
      <c r="R201" t="s">
        <v>28</v>
      </c>
      <c r="S201" t="s">
        <v>1106</v>
      </c>
      <c r="T201" t="s">
        <v>133</v>
      </c>
      <c r="V201" t="s">
        <v>134</v>
      </c>
    </row>
    <row r="202" spans="1:22" x14ac:dyDescent="0.3">
      <c r="A202" t="s">
        <v>276</v>
      </c>
      <c r="B202" t="str">
        <f ca="1">OFFSET(Industries!C$1,MATCH(Table1[[#This Row],[Ticker]],Industries!$A$2:$A$150,0),0)</f>
        <v>Health Care</v>
      </c>
      <c r="C202" t="str">
        <f ca="1">OFFSET(Industries!D$1,MATCH(Table1[[#This Row],[Ticker]],Industries!$A$2:$A$150,0),0)</f>
        <v>Health Care Equipment and Services</v>
      </c>
      <c r="D202" t="str">
        <f ca="1">OFFSET(Industries!E$1,MATCH(Table1[[#This Row],[Ticker]],Industries!$A$2:$A$150,0),0)</f>
        <v>Health Care Equipment and Supplies</v>
      </c>
      <c r="E202" t="s">
        <v>127</v>
      </c>
      <c r="F202" t="str">
        <f ca="1">OFFSET(Industries!B$1,MATCH(Table1[[#This Row],[Ticker]],Industries!$A$2:$A$140,0),0)</f>
        <v>Mega-Cap</v>
      </c>
      <c r="G202" t="str">
        <f ca="1">OFFSET(Industries!F$1,MATCH(Table1[[#This Row],[Ticker]],Industries!$A$2:$A$140,0),0)</f>
        <v>AA-</v>
      </c>
      <c r="H202" t="s">
        <v>1434</v>
      </c>
      <c r="I202" t="s">
        <v>1434</v>
      </c>
      <c r="J202" s="2">
        <v>45365</v>
      </c>
      <c r="K202" t="s">
        <v>2</v>
      </c>
      <c r="L202" t="s">
        <v>1710</v>
      </c>
      <c r="M202" t="s">
        <v>1709</v>
      </c>
      <c r="N202" s="1">
        <f>Table1[[#This Row],[Consideration Weight]]</f>
        <v>0.38299999999999995</v>
      </c>
      <c r="O202" t="s">
        <v>462</v>
      </c>
      <c r="P202" s="3">
        <v>0.38299999999999995</v>
      </c>
      <c r="Q202" s="3"/>
      <c r="V202" t="s">
        <v>658</v>
      </c>
    </row>
    <row r="203" spans="1:22" x14ac:dyDescent="0.3">
      <c r="A203" t="s">
        <v>276</v>
      </c>
      <c r="B203" t="str">
        <f ca="1">OFFSET(Industries!C$1,MATCH(Table1[[#This Row],[Ticker]],Industries!$A$2:$A$150,0),0)</f>
        <v>Health Care</v>
      </c>
      <c r="C203" t="str">
        <f ca="1">OFFSET(Industries!D$1,MATCH(Table1[[#This Row],[Ticker]],Industries!$A$2:$A$150,0),0)</f>
        <v>Health Care Equipment and Services</v>
      </c>
      <c r="D203" t="str">
        <f ca="1">OFFSET(Industries!E$1,MATCH(Table1[[#This Row],[Ticker]],Industries!$A$2:$A$150,0),0)</f>
        <v>Health Care Equipment and Supplies</v>
      </c>
      <c r="E203" t="s">
        <v>127</v>
      </c>
      <c r="F203" t="str">
        <f ca="1">OFFSET(Industries!B$1,MATCH(Table1[[#This Row],[Ticker]],Industries!$A$2:$A$140,0),0)</f>
        <v>Mega-Cap</v>
      </c>
      <c r="G203" t="str">
        <f ca="1">OFFSET(Industries!F$1,MATCH(Table1[[#This Row],[Ticker]],Industries!$A$2:$A$140,0),0)</f>
        <v>AA-</v>
      </c>
      <c r="H203" t="s">
        <v>1434</v>
      </c>
      <c r="I203" t="s">
        <v>1434</v>
      </c>
      <c r="J203" s="2">
        <v>45366</v>
      </c>
      <c r="K203" t="s">
        <v>21</v>
      </c>
      <c r="L203" t="s">
        <v>3</v>
      </c>
      <c r="M203" t="s">
        <v>1711</v>
      </c>
      <c r="N203" s="1">
        <f>Table1[[#This Row],[Consideration Weight]]</f>
        <v>0.17870472539001056</v>
      </c>
      <c r="O203" t="s">
        <v>3</v>
      </c>
      <c r="P203" s="3">
        <v>0.17870472539001056</v>
      </c>
      <c r="Q203" s="3"/>
      <c r="V203" t="s">
        <v>135</v>
      </c>
    </row>
    <row r="204" spans="1:22" x14ac:dyDescent="0.3">
      <c r="A204" t="s">
        <v>276</v>
      </c>
      <c r="B204" t="str">
        <f ca="1">OFFSET(Industries!C$1,MATCH(Table1[[#This Row],[Ticker]],Industries!$A$2:$A$150,0),0)</f>
        <v>Health Care</v>
      </c>
      <c r="C204" t="str">
        <f ca="1">OFFSET(Industries!D$1,MATCH(Table1[[#This Row],[Ticker]],Industries!$A$2:$A$150,0),0)</f>
        <v>Health Care Equipment and Services</v>
      </c>
      <c r="D204" t="str">
        <f ca="1">OFFSET(Industries!E$1,MATCH(Table1[[#This Row],[Ticker]],Industries!$A$2:$A$150,0),0)</f>
        <v>Health Care Equipment and Supplies</v>
      </c>
      <c r="E204" t="s">
        <v>127</v>
      </c>
      <c r="F204" t="str">
        <f ca="1">OFFSET(Industries!B$1,MATCH(Table1[[#This Row],[Ticker]],Industries!$A$2:$A$140,0),0)</f>
        <v>Mega-Cap</v>
      </c>
      <c r="G204" t="str">
        <f ca="1">OFFSET(Industries!F$1,MATCH(Table1[[#This Row],[Ticker]],Industries!$A$2:$A$140,0),0)</f>
        <v>AA-</v>
      </c>
      <c r="H204" t="s">
        <v>1434</v>
      </c>
      <c r="I204" t="s">
        <v>1434</v>
      </c>
      <c r="J204" s="2">
        <v>45366</v>
      </c>
      <c r="K204" t="s">
        <v>21</v>
      </c>
      <c r="L204" t="s">
        <v>1708</v>
      </c>
      <c r="M204" t="s">
        <v>1709</v>
      </c>
      <c r="N204" s="1">
        <f>Table1[[#This Row],[Consideration Weight]]</f>
        <v>0.18764195103665657</v>
      </c>
      <c r="O204" t="s">
        <v>4</v>
      </c>
      <c r="P204" s="3">
        <v>0.18764195103665657</v>
      </c>
      <c r="Q204" s="3" t="s">
        <v>1636</v>
      </c>
      <c r="R204" t="s">
        <v>23</v>
      </c>
      <c r="S204" t="s">
        <v>1083</v>
      </c>
      <c r="T204" t="s">
        <v>7</v>
      </c>
      <c r="U204" s="1">
        <v>0.14000000000000001</v>
      </c>
      <c r="V204" t="s">
        <v>145</v>
      </c>
    </row>
    <row r="205" spans="1:22" x14ac:dyDescent="0.3">
      <c r="A205" t="s">
        <v>276</v>
      </c>
      <c r="B205" t="str">
        <f ca="1">OFFSET(Industries!C$1,MATCH(Table1[[#This Row],[Ticker]],Industries!$A$2:$A$150,0),0)</f>
        <v>Health Care</v>
      </c>
      <c r="C205" t="str">
        <f ca="1">OFFSET(Industries!D$1,MATCH(Table1[[#This Row],[Ticker]],Industries!$A$2:$A$150,0),0)</f>
        <v>Health Care Equipment and Services</v>
      </c>
      <c r="D205" t="str">
        <f ca="1">OFFSET(Industries!E$1,MATCH(Table1[[#This Row],[Ticker]],Industries!$A$2:$A$150,0),0)</f>
        <v>Health Care Equipment and Supplies</v>
      </c>
      <c r="E205" t="s">
        <v>127</v>
      </c>
      <c r="F205" t="str">
        <f ca="1">OFFSET(Industries!B$1,MATCH(Table1[[#This Row],[Ticker]],Industries!$A$2:$A$140,0),0)</f>
        <v>Mega-Cap</v>
      </c>
      <c r="G205" t="str">
        <f ca="1">OFFSET(Industries!F$1,MATCH(Table1[[#This Row],[Ticker]],Industries!$A$2:$A$140,0),0)</f>
        <v>AA-</v>
      </c>
      <c r="H205" t="s">
        <v>1434</v>
      </c>
      <c r="I205" t="s">
        <v>1434</v>
      </c>
      <c r="J205" s="2">
        <v>45366</v>
      </c>
      <c r="K205" t="s">
        <v>21</v>
      </c>
      <c r="L205" t="s">
        <v>1708</v>
      </c>
      <c r="M205" t="s">
        <v>1709</v>
      </c>
      <c r="N205" s="1"/>
      <c r="O205" t="s">
        <v>4</v>
      </c>
      <c r="P205" s="3">
        <v>0.18764195103665657</v>
      </c>
      <c r="Q205" s="3" t="s">
        <v>1636</v>
      </c>
      <c r="R205" t="s">
        <v>24</v>
      </c>
      <c r="S205" t="s">
        <v>1105</v>
      </c>
      <c r="T205" t="s">
        <v>136</v>
      </c>
      <c r="U205" s="1">
        <v>0.04</v>
      </c>
      <c r="V205" t="s">
        <v>147</v>
      </c>
    </row>
    <row r="206" spans="1:22" x14ac:dyDescent="0.3">
      <c r="A206" t="s">
        <v>276</v>
      </c>
      <c r="B206" t="str">
        <f ca="1">OFFSET(Industries!C$1,MATCH(Table1[[#This Row],[Ticker]],Industries!$A$2:$A$150,0),0)</f>
        <v>Health Care</v>
      </c>
      <c r="C206" t="str">
        <f ca="1">OFFSET(Industries!D$1,MATCH(Table1[[#This Row],[Ticker]],Industries!$A$2:$A$150,0),0)</f>
        <v>Health Care Equipment and Services</v>
      </c>
      <c r="D206" t="str">
        <f ca="1">OFFSET(Industries!E$1,MATCH(Table1[[#This Row],[Ticker]],Industries!$A$2:$A$150,0),0)</f>
        <v>Health Care Equipment and Supplies</v>
      </c>
      <c r="E206" t="s">
        <v>127</v>
      </c>
      <c r="F206" t="str">
        <f ca="1">OFFSET(Industries!B$1,MATCH(Table1[[#This Row],[Ticker]],Industries!$A$2:$A$140,0),0)</f>
        <v>Mega-Cap</v>
      </c>
      <c r="G206" t="str">
        <f ca="1">OFFSET(Industries!F$1,MATCH(Table1[[#This Row],[Ticker]],Industries!$A$2:$A$140,0),0)</f>
        <v>AA-</v>
      </c>
      <c r="H206" t="s">
        <v>1434</v>
      </c>
      <c r="I206" t="s">
        <v>1434</v>
      </c>
      <c r="J206" s="2">
        <v>45366</v>
      </c>
      <c r="K206" t="s">
        <v>21</v>
      </c>
      <c r="L206" t="s">
        <v>1708</v>
      </c>
      <c r="M206" t="s">
        <v>1709</v>
      </c>
      <c r="N206" s="1"/>
      <c r="O206" t="s">
        <v>4</v>
      </c>
      <c r="P206" s="3">
        <v>0.18764195103665657</v>
      </c>
      <c r="Q206" s="3" t="s">
        <v>1636</v>
      </c>
      <c r="R206" t="s">
        <v>24</v>
      </c>
      <c r="S206" t="s">
        <v>509</v>
      </c>
      <c r="T206" t="s">
        <v>38</v>
      </c>
      <c r="U206" s="1">
        <v>0.08</v>
      </c>
      <c r="V206" t="s">
        <v>147</v>
      </c>
    </row>
    <row r="207" spans="1:22" x14ac:dyDescent="0.3">
      <c r="A207" t="s">
        <v>276</v>
      </c>
      <c r="B207" t="str">
        <f ca="1">OFFSET(Industries!C$1,MATCH(Table1[[#This Row],[Ticker]],Industries!$A$2:$A$150,0),0)</f>
        <v>Health Care</v>
      </c>
      <c r="C207" t="str">
        <f ca="1">OFFSET(Industries!D$1,MATCH(Table1[[#This Row],[Ticker]],Industries!$A$2:$A$150,0),0)</f>
        <v>Health Care Equipment and Services</v>
      </c>
      <c r="D207" t="str">
        <f ca="1">OFFSET(Industries!E$1,MATCH(Table1[[#This Row],[Ticker]],Industries!$A$2:$A$150,0),0)</f>
        <v>Health Care Equipment and Supplies</v>
      </c>
      <c r="E207" t="s">
        <v>127</v>
      </c>
      <c r="F207" t="str">
        <f ca="1">OFFSET(Industries!B$1,MATCH(Table1[[#This Row],[Ticker]],Industries!$A$2:$A$140,0),0)</f>
        <v>Mega-Cap</v>
      </c>
      <c r="G207" t="str">
        <f ca="1">OFFSET(Industries!F$1,MATCH(Table1[[#This Row],[Ticker]],Industries!$A$2:$A$140,0),0)</f>
        <v>AA-</v>
      </c>
      <c r="H207" t="s">
        <v>1434</v>
      </c>
      <c r="I207" t="s">
        <v>1434</v>
      </c>
      <c r="J207" s="2">
        <v>45366</v>
      </c>
      <c r="K207" t="s">
        <v>21</v>
      </c>
      <c r="L207" t="s">
        <v>1708</v>
      </c>
      <c r="M207" t="s">
        <v>1709</v>
      </c>
      <c r="N207" s="1"/>
      <c r="O207" t="s">
        <v>4</v>
      </c>
      <c r="P207" s="3">
        <v>0.18764195103665657</v>
      </c>
      <c r="Q207" s="3" t="s">
        <v>1636</v>
      </c>
      <c r="R207" t="s">
        <v>24</v>
      </c>
      <c r="S207" t="s">
        <v>1089</v>
      </c>
      <c r="T207" t="s">
        <v>128</v>
      </c>
      <c r="U207" s="1">
        <v>0.12</v>
      </c>
      <c r="V207" t="s">
        <v>146</v>
      </c>
    </row>
    <row r="208" spans="1:22" x14ac:dyDescent="0.3">
      <c r="A208" t="s">
        <v>276</v>
      </c>
      <c r="B208" t="str">
        <f ca="1">OFFSET(Industries!C$1,MATCH(Table1[[#This Row],[Ticker]],Industries!$A$2:$A$150,0),0)</f>
        <v>Health Care</v>
      </c>
      <c r="C208" t="str">
        <f ca="1">OFFSET(Industries!D$1,MATCH(Table1[[#This Row],[Ticker]],Industries!$A$2:$A$150,0),0)</f>
        <v>Health Care Equipment and Services</v>
      </c>
      <c r="D208" t="str">
        <f ca="1">OFFSET(Industries!E$1,MATCH(Table1[[#This Row],[Ticker]],Industries!$A$2:$A$150,0),0)</f>
        <v>Health Care Equipment and Supplies</v>
      </c>
      <c r="E208" t="s">
        <v>127</v>
      </c>
      <c r="F208" t="str">
        <f ca="1">OFFSET(Industries!B$1,MATCH(Table1[[#This Row],[Ticker]],Industries!$A$2:$A$140,0),0)</f>
        <v>Mega-Cap</v>
      </c>
      <c r="G208" t="str">
        <f ca="1">OFFSET(Industries!F$1,MATCH(Table1[[#This Row],[Ticker]],Industries!$A$2:$A$140,0),0)</f>
        <v>AA-</v>
      </c>
      <c r="H208" t="s">
        <v>1434</v>
      </c>
      <c r="I208" t="s">
        <v>1434</v>
      </c>
      <c r="J208" s="2">
        <v>45366</v>
      </c>
      <c r="K208" t="s">
        <v>21</v>
      </c>
      <c r="L208" t="s">
        <v>1708</v>
      </c>
      <c r="M208" t="s">
        <v>1709</v>
      </c>
      <c r="N208" s="1"/>
      <c r="O208" t="s">
        <v>4</v>
      </c>
      <c r="P208" s="3">
        <v>0.18764195103665657</v>
      </c>
      <c r="Q208" s="3" t="s">
        <v>1636</v>
      </c>
      <c r="R208" t="s">
        <v>25</v>
      </c>
      <c r="S208" t="s">
        <v>137</v>
      </c>
      <c r="T208" t="s">
        <v>137</v>
      </c>
      <c r="U208" s="1">
        <v>0.04</v>
      </c>
    </row>
    <row r="209" spans="1:22" x14ac:dyDescent="0.3">
      <c r="A209" t="s">
        <v>276</v>
      </c>
      <c r="B209" t="str">
        <f ca="1">OFFSET(Industries!C$1,MATCH(Table1[[#This Row],[Ticker]],Industries!$A$2:$A$150,0),0)</f>
        <v>Health Care</v>
      </c>
      <c r="C209" t="str">
        <f ca="1">OFFSET(Industries!D$1,MATCH(Table1[[#This Row],[Ticker]],Industries!$A$2:$A$150,0),0)</f>
        <v>Health Care Equipment and Services</v>
      </c>
      <c r="D209" t="str">
        <f ca="1">OFFSET(Industries!E$1,MATCH(Table1[[#This Row],[Ticker]],Industries!$A$2:$A$150,0),0)</f>
        <v>Health Care Equipment and Supplies</v>
      </c>
      <c r="E209" t="s">
        <v>127</v>
      </c>
      <c r="F209" t="str">
        <f ca="1">OFFSET(Industries!B$1,MATCH(Table1[[#This Row],[Ticker]],Industries!$A$2:$A$140,0),0)</f>
        <v>Mega-Cap</v>
      </c>
      <c r="G209" t="str">
        <f ca="1">OFFSET(Industries!F$1,MATCH(Table1[[#This Row],[Ticker]],Industries!$A$2:$A$140,0),0)</f>
        <v>AA-</v>
      </c>
      <c r="H209" t="s">
        <v>1434</v>
      </c>
      <c r="I209" t="s">
        <v>1434</v>
      </c>
      <c r="J209" s="2">
        <v>45366</v>
      </c>
      <c r="K209" t="s">
        <v>21</v>
      </c>
      <c r="L209" t="s">
        <v>1708</v>
      </c>
      <c r="M209" t="s">
        <v>1709</v>
      </c>
      <c r="N209" s="1"/>
      <c r="O209" t="s">
        <v>4</v>
      </c>
      <c r="P209" s="3">
        <v>0.18764195103665657</v>
      </c>
      <c r="Q209" s="3" t="s">
        <v>1636</v>
      </c>
      <c r="R209" t="s">
        <v>62</v>
      </c>
      <c r="S209" t="s">
        <v>129</v>
      </c>
      <c r="T209" t="s">
        <v>129</v>
      </c>
      <c r="U209" s="1">
        <v>0.08</v>
      </c>
      <c r="V209" t="s">
        <v>148</v>
      </c>
    </row>
    <row r="210" spans="1:22" x14ac:dyDescent="0.3">
      <c r="A210" t="s">
        <v>276</v>
      </c>
      <c r="B210" t="str">
        <f ca="1">OFFSET(Industries!C$1,MATCH(Table1[[#This Row],[Ticker]],Industries!$A$2:$A$150,0),0)</f>
        <v>Health Care</v>
      </c>
      <c r="C210" t="str">
        <f ca="1">OFFSET(Industries!D$1,MATCH(Table1[[#This Row],[Ticker]],Industries!$A$2:$A$150,0),0)</f>
        <v>Health Care Equipment and Services</v>
      </c>
      <c r="D210" t="str">
        <f ca="1">OFFSET(Industries!E$1,MATCH(Table1[[#This Row],[Ticker]],Industries!$A$2:$A$150,0),0)</f>
        <v>Health Care Equipment and Supplies</v>
      </c>
      <c r="E210" t="s">
        <v>127</v>
      </c>
      <c r="F210" t="str">
        <f ca="1">OFFSET(Industries!B$1,MATCH(Table1[[#This Row],[Ticker]],Industries!$A$2:$A$140,0),0)</f>
        <v>Mega-Cap</v>
      </c>
      <c r="G210" t="str">
        <f ca="1">OFFSET(Industries!F$1,MATCH(Table1[[#This Row],[Ticker]],Industries!$A$2:$A$140,0),0)</f>
        <v>AA-</v>
      </c>
      <c r="H210" t="s">
        <v>1434</v>
      </c>
      <c r="I210" t="s">
        <v>1434</v>
      </c>
      <c r="J210" s="2">
        <v>45366</v>
      </c>
      <c r="K210" t="s">
        <v>21</v>
      </c>
      <c r="L210" t="s">
        <v>1708</v>
      </c>
      <c r="M210" t="s">
        <v>1709</v>
      </c>
      <c r="N210" s="1"/>
      <c r="O210" t="s">
        <v>4</v>
      </c>
      <c r="P210" s="3">
        <v>0.18764195103665657</v>
      </c>
      <c r="Q210" s="3" t="s">
        <v>1636</v>
      </c>
      <c r="R210" t="s">
        <v>25</v>
      </c>
      <c r="S210" t="s">
        <v>1086</v>
      </c>
      <c r="T210" t="s">
        <v>138</v>
      </c>
      <c r="U210" s="1">
        <v>0.02</v>
      </c>
      <c r="V210" t="s">
        <v>149</v>
      </c>
    </row>
    <row r="211" spans="1:22" x14ac:dyDescent="0.3">
      <c r="A211" t="s">
        <v>276</v>
      </c>
      <c r="B211" t="str">
        <f ca="1">OFFSET(Industries!C$1,MATCH(Table1[[#This Row],[Ticker]],Industries!$A$2:$A$150,0),0)</f>
        <v>Health Care</v>
      </c>
      <c r="C211" t="str">
        <f ca="1">OFFSET(Industries!D$1,MATCH(Table1[[#This Row],[Ticker]],Industries!$A$2:$A$150,0),0)</f>
        <v>Health Care Equipment and Services</v>
      </c>
      <c r="D211" t="str">
        <f ca="1">OFFSET(Industries!E$1,MATCH(Table1[[#This Row],[Ticker]],Industries!$A$2:$A$150,0),0)</f>
        <v>Health Care Equipment and Supplies</v>
      </c>
      <c r="E211" t="s">
        <v>127</v>
      </c>
      <c r="F211" t="str">
        <f ca="1">OFFSET(Industries!B$1,MATCH(Table1[[#This Row],[Ticker]],Industries!$A$2:$A$140,0),0)</f>
        <v>Mega-Cap</v>
      </c>
      <c r="G211" t="str">
        <f ca="1">OFFSET(Industries!F$1,MATCH(Table1[[#This Row],[Ticker]],Industries!$A$2:$A$140,0),0)</f>
        <v>AA-</v>
      </c>
      <c r="H211" t="s">
        <v>1434</v>
      </c>
      <c r="I211" t="s">
        <v>1434</v>
      </c>
      <c r="J211" s="2">
        <v>45366</v>
      </c>
      <c r="K211" t="s">
        <v>21</v>
      </c>
      <c r="L211" t="s">
        <v>1708</v>
      </c>
      <c r="M211" t="s">
        <v>1709</v>
      </c>
      <c r="N211" s="1"/>
      <c r="O211" t="s">
        <v>4</v>
      </c>
      <c r="P211" s="3">
        <v>0.18764195103665657</v>
      </c>
      <c r="Q211" s="3" t="s">
        <v>1636</v>
      </c>
      <c r="R211" t="s">
        <v>62</v>
      </c>
      <c r="S211" t="s">
        <v>1111</v>
      </c>
      <c r="T211" t="s">
        <v>139</v>
      </c>
      <c r="U211" s="1">
        <v>0.02</v>
      </c>
      <c r="V211" t="s">
        <v>150</v>
      </c>
    </row>
    <row r="212" spans="1:22" x14ac:dyDescent="0.3">
      <c r="A212" t="s">
        <v>276</v>
      </c>
      <c r="B212" t="str">
        <f ca="1">OFFSET(Industries!C$1,MATCH(Table1[[#This Row],[Ticker]],Industries!$A$2:$A$150,0),0)</f>
        <v>Health Care</v>
      </c>
      <c r="C212" t="str">
        <f ca="1">OFFSET(Industries!D$1,MATCH(Table1[[#This Row],[Ticker]],Industries!$A$2:$A$150,0),0)</f>
        <v>Health Care Equipment and Services</v>
      </c>
      <c r="D212" t="str">
        <f ca="1">OFFSET(Industries!E$1,MATCH(Table1[[#This Row],[Ticker]],Industries!$A$2:$A$150,0),0)</f>
        <v>Health Care Equipment and Supplies</v>
      </c>
      <c r="E212" t="s">
        <v>127</v>
      </c>
      <c r="F212" t="str">
        <f ca="1">OFFSET(Industries!B$1,MATCH(Table1[[#This Row],[Ticker]],Industries!$A$2:$A$140,0),0)</f>
        <v>Mega-Cap</v>
      </c>
      <c r="G212" t="str">
        <f ca="1">OFFSET(Industries!F$1,MATCH(Table1[[#This Row],[Ticker]],Industries!$A$2:$A$140,0),0)</f>
        <v>AA-</v>
      </c>
      <c r="H212" t="s">
        <v>1434</v>
      </c>
      <c r="I212" t="s">
        <v>1434</v>
      </c>
      <c r="J212" s="2">
        <v>45366</v>
      </c>
      <c r="K212" t="s">
        <v>21</v>
      </c>
      <c r="L212" t="s">
        <v>1708</v>
      </c>
      <c r="M212" t="s">
        <v>1709</v>
      </c>
      <c r="N212" s="1"/>
      <c r="O212" t="s">
        <v>4</v>
      </c>
      <c r="P212" s="3">
        <v>0.18764195103665657</v>
      </c>
      <c r="Q212" s="3" t="s">
        <v>1637</v>
      </c>
      <c r="R212" t="s">
        <v>332</v>
      </c>
      <c r="S212" t="s">
        <v>380</v>
      </c>
      <c r="T212" t="s">
        <v>140</v>
      </c>
      <c r="U212" s="1">
        <v>0.33</v>
      </c>
      <c r="V212" t="s">
        <v>151</v>
      </c>
    </row>
    <row r="213" spans="1:22" x14ac:dyDescent="0.3">
      <c r="A213" t="s">
        <v>276</v>
      </c>
      <c r="B213" t="str">
        <f ca="1">OFFSET(Industries!C$1,MATCH(Table1[[#This Row],[Ticker]],Industries!$A$2:$A$150,0),0)</f>
        <v>Health Care</v>
      </c>
      <c r="C213" t="str">
        <f ca="1">OFFSET(Industries!D$1,MATCH(Table1[[#This Row],[Ticker]],Industries!$A$2:$A$150,0),0)</f>
        <v>Health Care Equipment and Services</v>
      </c>
      <c r="D213" t="str">
        <f ca="1">OFFSET(Industries!E$1,MATCH(Table1[[#This Row],[Ticker]],Industries!$A$2:$A$150,0),0)</f>
        <v>Health Care Equipment and Supplies</v>
      </c>
      <c r="E213" t="s">
        <v>127</v>
      </c>
      <c r="F213" t="str">
        <f ca="1">OFFSET(Industries!B$1,MATCH(Table1[[#This Row],[Ticker]],Industries!$A$2:$A$140,0),0)</f>
        <v>Mega-Cap</v>
      </c>
      <c r="G213" t="str">
        <f ca="1">OFFSET(Industries!F$1,MATCH(Table1[[#This Row],[Ticker]],Industries!$A$2:$A$140,0),0)</f>
        <v>AA-</v>
      </c>
      <c r="H213" t="s">
        <v>1434</v>
      </c>
      <c r="I213" t="s">
        <v>1434</v>
      </c>
      <c r="J213" s="2">
        <v>45366</v>
      </c>
      <c r="K213" t="s">
        <v>21</v>
      </c>
      <c r="L213" t="s">
        <v>1708</v>
      </c>
      <c r="M213" t="s">
        <v>1709</v>
      </c>
      <c r="N213" s="1"/>
      <c r="O213" t="s">
        <v>4</v>
      </c>
      <c r="P213" s="3">
        <v>0.18764195103665657</v>
      </c>
      <c r="Q213" s="3" t="s">
        <v>1637</v>
      </c>
      <c r="R213" t="s">
        <v>26</v>
      </c>
      <c r="S213" t="s">
        <v>26</v>
      </c>
      <c r="T213" t="s">
        <v>141</v>
      </c>
      <c r="U213" s="1">
        <v>0.13</v>
      </c>
      <c r="V213" t="s">
        <v>152</v>
      </c>
    </row>
    <row r="214" spans="1:22" x14ac:dyDescent="0.3">
      <c r="A214" t="s">
        <v>276</v>
      </c>
      <c r="B214" t="str">
        <f ca="1">OFFSET(Industries!C$1,MATCH(Table1[[#This Row],[Ticker]],Industries!$A$2:$A$150,0),0)</f>
        <v>Health Care</v>
      </c>
      <c r="C214" t="str">
        <f ca="1">OFFSET(Industries!D$1,MATCH(Table1[[#This Row],[Ticker]],Industries!$A$2:$A$150,0),0)</f>
        <v>Health Care Equipment and Services</v>
      </c>
      <c r="D214" t="str">
        <f ca="1">OFFSET(Industries!E$1,MATCH(Table1[[#This Row],[Ticker]],Industries!$A$2:$A$150,0),0)</f>
        <v>Health Care Equipment and Supplies</v>
      </c>
      <c r="E214" t="s">
        <v>127</v>
      </c>
      <c r="F214" t="str">
        <f ca="1">OFFSET(Industries!B$1,MATCH(Table1[[#This Row],[Ticker]],Industries!$A$2:$A$140,0),0)</f>
        <v>Mega-Cap</v>
      </c>
      <c r="G214" t="str">
        <f ca="1">OFFSET(Industries!F$1,MATCH(Table1[[#This Row],[Ticker]],Industries!$A$2:$A$140,0),0)</f>
        <v>AA-</v>
      </c>
      <c r="H214" t="s">
        <v>1434</v>
      </c>
      <c r="I214" t="s">
        <v>1434</v>
      </c>
      <c r="J214" s="2">
        <v>45366</v>
      </c>
      <c r="K214" t="s">
        <v>21</v>
      </c>
      <c r="L214" t="s">
        <v>1710</v>
      </c>
      <c r="M214" t="s">
        <v>1709</v>
      </c>
      <c r="N214" s="1">
        <f>Table1[[#This Row],[Consideration Weight]]</f>
        <v>0.31682666178666635</v>
      </c>
      <c r="O214" t="s">
        <v>476</v>
      </c>
      <c r="P214" s="3">
        <v>0.31682666178666635</v>
      </c>
      <c r="Q214" s="3" t="s">
        <v>1646</v>
      </c>
      <c r="R214" t="s">
        <v>35</v>
      </c>
      <c r="S214" t="s">
        <v>29</v>
      </c>
      <c r="T214" t="s">
        <v>29</v>
      </c>
      <c r="U214" s="1">
        <v>1</v>
      </c>
    </row>
    <row r="215" spans="1:22" x14ac:dyDescent="0.3">
      <c r="A215" t="s">
        <v>276</v>
      </c>
      <c r="B215" t="str">
        <f ca="1">OFFSET(Industries!C$1,MATCH(Table1[[#This Row],[Ticker]],Industries!$A$2:$A$150,0),0)</f>
        <v>Health Care</v>
      </c>
      <c r="C215" t="str">
        <f ca="1">OFFSET(Industries!D$1,MATCH(Table1[[#This Row],[Ticker]],Industries!$A$2:$A$150,0),0)</f>
        <v>Health Care Equipment and Services</v>
      </c>
      <c r="D215" t="str">
        <f ca="1">OFFSET(Industries!E$1,MATCH(Table1[[#This Row],[Ticker]],Industries!$A$2:$A$150,0),0)</f>
        <v>Health Care Equipment and Supplies</v>
      </c>
      <c r="E215" t="s">
        <v>127</v>
      </c>
      <c r="F215" t="str">
        <f ca="1">OFFSET(Industries!B$1,MATCH(Table1[[#This Row],[Ticker]],Industries!$A$2:$A$140,0),0)</f>
        <v>Mega-Cap</v>
      </c>
      <c r="G215" t="str">
        <f ca="1">OFFSET(Industries!F$1,MATCH(Table1[[#This Row],[Ticker]],Industries!$A$2:$A$140,0),0)</f>
        <v>AA-</v>
      </c>
      <c r="H215" t="s">
        <v>1434</v>
      </c>
      <c r="I215" t="s">
        <v>1434</v>
      </c>
      <c r="J215" s="2">
        <v>45366</v>
      </c>
      <c r="K215" t="s">
        <v>21</v>
      </c>
      <c r="L215" t="s">
        <v>1710</v>
      </c>
      <c r="M215" t="s">
        <v>1709</v>
      </c>
      <c r="N215" s="1"/>
      <c r="O215" t="s">
        <v>476</v>
      </c>
      <c r="P215" s="3">
        <v>0.31682666178666635</v>
      </c>
      <c r="Q215" s="3"/>
      <c r="R215" t="s">
        <v>28</v>
      </c>
      <c r="S215" t="s">
        <v>1087</v>
      </c>
      <c r="T215" t="s">
        <v>40</v>
      </c>
    </row>
    <row r="216" spans="1:22" x14ac:dyDescent="0.3">
      <c r="A216" t="s">
        <v>276</v>
      </c>
      <c r="B216" t="str">
        <f ca="1">OFFSET(Industries!C$1,MATCH(Table1[[#This Row],[Ticker]],Industries!$A$2:$A$150,0),0)</f>
        <v>Health Care</v>
      </c>
      <c r="C216" t="str">
        <f ca="1">OFFSET(Industries!D$1,MATCH(Table1[[#This Row],[Ticker]],Industries!$A$2:$A$150,0),0)</f>
        <v>Health Care Equipment and Services</v>
      </c>
      <c r="D216" t="str">
        <f ca="1">OFFSET(Industries!E$1,MATCH(Table1[[#This Row],[Ticker]],Industries!$A$2:$A$150,0),0)</f>
        <v>Health Care Equipment and Supplies</v>
      </c>
      <c r="E216" t="s">
        <v>127</v>
      </c>
      <c r="F216" t="str">
        <f ca="1">OFFSET(Industries!B$1,MATCH(Table1[[#This Row],[Ticker]],Industries!$A$2:$A$140,0),0)</f>
        <v>Mega-Cap</v>
      </c>
      <c r="G216" t="str">
        <f ca="1">OFFSET(Industries!F$1,MATCH(Table1[[#This Row],[Ticker]],Industries!$A$2:$A$140,0),0)</f>
        <v>AA-</v>
      </c>
      <c r="H216" t="s">
        <v>1434</v>
      </c>
      <c r="I216" t="s">
        <v>1434</v>
      </c>
      <c r="J216" s="2">
        <v>45366</v>
      </c>
      <c r="K216" t="s">
        <v>21</v>
      </c>
      <c r="L216" t="s">
        <v>1710</v>
      </c>
      <c r="M216" t="s">
        <v>1709</v>
      </c>
      <c r="N216" s="1"/>
      <c r="O216" t="s">
        <v>476</v>
      </c>
      <c r="P216" s="3">
        <v>0.31682666178666635</v>
      </c>
      <c r="Q216" s="3"/>
      <c r="R216" t="s">
        <v>28</v>
      </c>
      <c r="S216" t="s">
        <v>1106</v>
      </c>
      <c r="T216" t="s">
        <v>133</v>
      </c>
      <c r="V216" t="s">
        <v>134</v>
      </c>
    </row>
    <row r="217" spans="1:22" x14ac:dyDescent="0.3">
      <c r="A217" t="s">
        <v>276</v>
      </c>
      <c r="B217" t="str">
        <f ca="1">OFFSET(Industries!C$1,MATCH(Table1[[#This Row],[Ticker]],Industries!$A$2:$A$150,0),0)</f>
        <v>Health Care</v>
      </c>
      <c r="C217" t="str">
        <f ca="1">OFFSET(Industries!D$1,MATCH(Table1[[#This Row],[Ticker]],Industries!$A$2:$A$150,0),0)</f>
        <v>Health Care Equipment and Services</v>
      </c>
      <c r="D217" t="str">
        <f ca="1">OFFSET(Industries!E$1,MATCH(Table1[[#This Row],[Ticker]],Industries!$A$2:$A$150,0),0)</f>
        <v>Health Care Equipment and Supplies</v>
      </c>
      <c r="E217" t="s">
        <v>127</v>
      </c>
      <c r="F217" t="str">
        <f ca="1">OFFSET(Industries!B$1,MATCH(Table1[[#This Row],[Ticker]],Industries!$A$2:$A$140,0),0)</f>
        <v>Mega-Cap</v>
      </c>
      <c r="G217" t="str">
        <f ca="1">OFFSET(Industries!F$1,MATCH(Table1[[#This Row],[Ticker]],Industries!$A$2:$A$140,0),0)</f>
        <v>AA-</v>
      </c>
      <c r="H217" t="s">
        <v>1434</v>
      </c>
      <c r="I217" t="s">
        <v>1434</v>
      </c>
      <c r="J217" s="2">
        <v>45366</v>
      </c>
      <c r="K217" t="s">
        <v>21</v>
      </c>
      <c r="L217" t="s">
        <v>1710</v>
      </c>
      <c r="M217" t="s">
        <v>1709</v>
      </c>
      <c r="N217" s="1">
        <f>Table1[[#This Row],[Consideration Weight]]</f>
        <v>0.31682666178666635</v>
      </c>
      <c r="O217" t="s">
        <v>462</v>
      </c>
      <c r="P217" s="3">
        <v>0.31682666178666635</v>
      </c>
      <c r="Q217" s="3"/>
      <c r="V217" t="s">
        <v>658</v>
      </c>
    </row>
    <row r="218" spans="1:22" x14ac:dyDescent="0.3">
      <c r="A218" t="s">
        <v>277</v>
      </c>
      <c r="B218" t="str">
        <f ca="1">OFFSET(Industries!C$1,MATCH(Table1[[#This Row],[Ticker]],Industries!$A$2:$A$150,0),0)</f>
        <v>Industrials</v>
      </c>
      <c r="C218" t="str">
        <f ca="1">OFFSET(Industries!D$1,MATCH(Table1[[#This Row],[Ticker]],Industries!$A$2:$A$150,0),0)</f>
        <v>Capital Goods</v>
      </c>
      <c r="D218" t="str">
        <f ca="1">OFFSET(Industries!E$1,MATCH(Table1[[#This Row],[Ticker]],Industries!$A$2:$A$150,0),0)</f>
        <v>Aerospace and Defense</v>
      </c>
      <c r="E218" t="s">
        <v>116</v>
      </c>
      <c r="F218" t="str">
        <f ca="1">OFFSET(Industries!B$1,MATCH(Table1[[#This Row],[Ticker]],Industries!$A$2:$A$140,0),0)</f>
        <v>Ultra-Cap</v>
      </c>
      <c r="G218" t="s">
        <v>1387</v>
      </c>
      <c r="H218" t="s">
        <v>1434</v>
      </c>
      <c r="I218" t="s">
        <v>1434</v>
      </c>
      <c r="J218" s="2">
        <v>45317</v>
      </c>
      <c r="K218" t="s">
        <v>2</v>
      </c>
      <c r="L218" t="s">
        <v>3</v>
      </c>
      <c r="M218" t="s">
        <v>1711</v>
      </c>
      <c r="N218" s="1">
        <f>Table1[[#This Row],[Consideration Weight]]</f>
        <v>5.7000000000000002E-2</v>
      </c>
      <c r="O218" t="s">
        <v>3</v>
      </c>
      <c r="P218" s="3">
        <v>5.7000000000000002E-2</v>
      </c>
      <c r="Q218" s="3"/>
    </row>
    <row r="219" spans="1:22" x14ac:dyDescent="0.3">
      <c r="A219" t="s">
        <v>277</v>
      </c>
      <c r="B219" t="str">
        <f ca="1">OFFSET(Industries!C$1,MATCH(Table1[[#This Row],[Ticker]],Industries!$A$2:$A$150,0),0)</f>
        <v>Industrials</v>
      </c>
      <c r="C219" t="str">
        <f ca="1">OFFSET(Industries!D$1,MATCH(Table1[[#This Row],[Ticker]],Industries!$A$2:$A$150,0),0)</f>
        <v>Capital Goods</v>
      </c>
      <c r="D219" t="str">
        <f ca="1">OFFSET(Industries!E$1,MATCH(Table1[[#This Row],[Ticker]],Industries!$A$2:$A$150,0),0)</f>
        <v>Aerospace and Defense</v>
      </c>
      <c r="E219" t="s">
        <v>116</v>
      </c>
      <c r="F219" t="str">
        <f ca="1">OFFSET(Industries!B$1,MATCH(Table1[[#This Row],[Ticker]],Industries!$A$2:$A$140,0),0)</f>
        <v>Ultra-Cap</v>
      </c>
      <c r="G219" t="s">
        <v>1387</v>
      </c>
      <c r="H219" t="s">
        <v>1434</v>
      </c>
      <c r="I219" t="s">
        <v>1434</v>
      </c>
      <c r="J219" s="2">
        <v>45317</v>
      </c>
      <c r="K219" t="s">
        <v>2</v>
      </c>
      <c r="L219" t="s">
        <v>1708</v>
      </c>
      <c r="M219" t="s">
        <v>1709</v>
      </c>
      <c r="N219" s="1">
        <f>Table1[[#This Row],[Consideration Weight]]</f>
        <v>9.6000000000000002E-2</v>
      </c>
      <c r="O219" t="s">
        <v>4</v>
      </c>
      <c r="P219" s="3">
        <v>9.6000000000000002E-2</v>
      </c>
      <c r="Q219" s="3" t="s">
        <v>1636</v>
      </c>
      <c r="R219" t="s">
        <v>24</v>
      </c>
      <c r="S219" t="s">
        <v>1107</v>
      </c>
      <c r="T219" t="s">
        <v>154</v>
      </c>
      <c r="U219" s="1">
        <v>0.5</v>
      </c>
      <c r="V219" t="s">
        <v>156</v>
      </c>
    </row>
    <row r="220" spans="1:22" x14ac:dyDescent="0.3">
      <c r="A220" t="s">
        <v>277</v>
      </c>
      <c r="B220" t="str">
        <f ca="1">OFFSET(Industries!C$1,MATCH(Table1[[#This Row],[Ticker]],Industries!$A$2:$A$150,0),0)</f>
        <v>Industrials</v>
      </c>
      <c r="C220" t="str">
        <f ca="1">OFFSET(Industries!D$1,MATCH(Table1[[#This Row],[Ticker]],Industries!$A$2:$A$150,0),0)</f>
        <v>Capital Goods</v>
      </c>
      <c r="D220" t="str">
        <f ca="1">OFFSET(Industries!E$1,MATCH(Table1[[#This Row],[Ticker]],Industries!$A$2:$A$150,0),0)</f>
        <v>Aerospace and Defense</v>
      </c>
      <c r="E220" t="s">
        <v>116</v>
      </c>
      <c r="F220" t="str">
        <f ca="1">OFFSET(Industries!B$1,MATCH(Table1[[#This Row],[Ticker]],Industries!$A$2:$A$140,0),0)</f>
        <v>Ultra-Cap</v>
      </c>
      <c r="G220" t="s">
        <v>1387</v>
      </c>
      <c r="H220" t="s">
        <v>1434</v>
      </c>
      <c r="I220" t="s">
        <v>1434</v>
      </c>
      <c r="J220" s="2">
        <v>45317</v>
      </c>
      <c r="K220" t="s">
        <v>2</v>
      </c>
      <c r="L220" t="s">
        <v>1708</v>
      </c>
      <c r="M220" t="s">
        <v>1709</v>
      </c>
      <c r="N220" s="1"/>
      <c r="O220" t="s">
        <v>4</v>
      </c>
      <c r="P220" s="3">
        <v>9.6000000000000002E-2</v>
      </c>
      <c r="Q220" s="3" t="s">
        <v>1636</v>
      </c>
      <c r="R220" t="s">
        <v>24</v>
      </c>
      <c r="S220" t="s">
        <v>1104</v>
      </c>
      <c r="T220" t="s">
        <v>153</v>
      </c>
      <c r="U220" s="1">
        <v>0.5</v>
      </c>
    </row>
    <row r="221" spans="1:22" x14ac:dyDescent="0.3">
      <c r="A221" t="s">
        <v>277</v>
      </c>
      <c r="B221" t="str">
        <f ca="1">OFFSET(Industries!C$1,MATCH(Table1[[#This Row],[Ticker]],Industries!$A$2:$A$150,0),0)</f>
        <v>Industrials</v>
      </c>
      <c r="C221" t="str">
        <f ca="1">OFFSET(Industries!D$1,MATCH(Table1[[#This Row],[Ticker]],Industries!$A$2:$A$150,0),0)</f>
        <v>Capital Goods</v>
      </c>
      <c r="D221" t="str">
        <f ca="1">OFFSET(Industries!E$1,MATCH(Table1[[#This Row],[Ticker]],Industries!$A$2:$A$150,0),0)</f>
        <v>Aerospace and Defense</v>
      </c>
      <c r="E221" t="s">
        <v>116</v>
      </c>
      <c r="F221" t="str">
        <f ca="1">OFFSET(Industries!B$1,MATCH(Table1[[#This Row],[Ticker]],Industries!$A$2:$A$140,0),0)</f>
        <v>Ultra-Cap</v>
      </c>
      <c r="G221" t="s">
        <v>1387</v>
      </c>
      <c r="H221" t="s">
        <v>1434</v>
      </c>
      <c r="I221" t="s">
        <v>1434</v>
      </c>
      <c r="J221" s="2">
        <v>45317</v>
      </c>
      <c r="K221" t="s">
        <v>2</v>
      </c>
      <c r="L221" t="s">
        <v>1708</v>
      </c>
      <c r="M221" t="s">
        <v>1709</v>
      </c>
      <c r="N221" s="1"/>
      <c r="O221" t="s">
        <v>4</v>
      </c>
      <c r="P221" s="3">
        <v>9.6000000000000002E-2</v>
      </c>
      <c r="Q221" s="3"/>
      <c r="R221" t="s">
        <v>28</v>
      </c>
      <c r="S221" t="s">
        <v>1087</v>
      </c>
      <c r="T221" t="s">
        <v>40</v>
      </c>
      <c r="V221" t="s">
        <v>155</v>
      </c>
    </row>
    <row r="222" spans="1:22" x14ac:dyDescent="0.3">
      <c r="A222" t="s">
        <v>277</v>
      </c>
      <c r="B222" t="str">
        <f ca="1">OFFSET(Industries!C$1,MATCH(Table1[[#This Row],[Ticker]],Industries!$A$2:$A$150,0),0)</f>
        <v>Industrials</v>
      </c>
      <c r="C222" t="str">
        <f ca="1">OFFSET(Industries!D$1,MATCH(Table1[[#This Row],[Ticker]],Industries!$A$2:$A$150,0),0)</f>
        <v>Capital Goods</v>
      </c>
      <c r="D222" t="str">
        <f ca="1">OFFSET(Industries!E$1,MATCH(Table1[[#This Row],[Ticker]],Industries!$A$2:$A$150,0),0)</f>
        <v>Aerospace and Defense</v>
      </c>
      <c r="E222" t="s">
        <v>116</v>
      </c>
      <c r="F222" t="str">
        <f ca="1">OFFSET(Industries!B$1,MATCH(Table1[[#This Row],[Ticker]],Industries!$A$2:$A$140,0),0)</f>
        <v>Ultra-Cap</v>
      </c>
      <c r="G222" t="s">
        <v>1387</v>
      </c>
      <c r="H222" t="s">
        <v>1434</v>
      </c>
      <c r="I222" t="s">
        <v>1434</v>
      </c>
      <c r="J222" s="2">
        <v>45317</v>
      </c>
      <c r="K222" t="s">
        <v>2</v>
      </c>
      <c r="L222" t="s">
        <v>1710</v>
      </c>
      <c r="M222" t="s">
        <v>1709</v>
      </c>
      <c r="N222" s="1">
        <f>Table1[[#This Row],[Consideration Weight]]</f>
        <v>0.84699999999999998</v>
      </c>
      <c r="O222" t="s">
        <v>462</v>
      </c>
      <c r="P222" s="3">
        <v>0.84699999999999998</v>
      </c>
      <c r="Q222" s="3" t="s">
        <v>1636</v>
      </c>
      <c r="R222" t="s">
        <v>1059</v>
      </c>
      <c r="S222" t="s">
        <v>1086</v>
      </c>
      <c r="T222" t="s">
        <v>193</v>
      </c>
      <c r="U222" s="1">
        <v>1</v>
      </c>
      <c r="V222" t="s">
        <v>1762</v>
      </c>
    </row>
    <row r="223" spans="1:22" x14ac:dyDescent="0.3">
      <c r="A223" t="s">
        <v>277</v>
      </c>
      <c r="B223" t="str">
        <f ca="1">OFFSET(Industries!C$1,MATCH(Table1[[#This Row],[Ticker]],Industries!$A$2:$A$150,0),0)</f>
        <v>Industrials</v>
      </c>
      <c r="C223" t="str">
        <f ca="1">OFFSET(Industries!D$1,MATCH(Table1[[#This Row],[Ticker]],Industries!$A$2:$A$150,0),0)</f>
        <v>Capital Goods</v>
      </c>
      <c r="D223" t="str">
        <f ca="1">OFFSET(Industries!E$1,MATCH(Table1[[#This Row],[Ticker]],Industries!$A$2:$A$150,0),0)</f>
        <v>Aerospace and Defense</v>
      </c>
      <c r="E223" t="s">
        <v>116</v>
      </c>
      <c r="F223" t="str">
        <f ca="1">OFFSET(Industries!B$1,MATCH(Table1[[#This Row],[Ticker]],Industries!$A$2:$A$140,0),0)</f>
        <v>Ultra-Cap</v>
      </c>
      <c r="G223" t="s">
        <v>1387</v>
      </c>
      <c r="H223" t="s">
        <v>1434</v>
      </c>
      <c r="I223" t="s">
        <v>1434</v>
      </c>
      <c r="J223" s="2">
        <v>45317</v>
      </c>
      <c r="K223" t="s">
        <v>21</v>
      </c>
      <c r="L223" t="s">
        <v>3</v>
      </c>
      <c r="M223" t="s">
        <v>1711</v>
      </c>
      <c r="N223" s="1">
        <f>Table1[[#This Row],[Consideration Weight]]</f>
        <v>0.1</v>
      </c>
      <c r="O223" t="s">
        <v>3</v>
      </c>
      <c r="P223" s="3">
        <v>0.1</v>
      </c>
      <c r="Q223" s="3"/>
    </row>
    <row r="224" spans="1:22" x14ac:dyDescent="0.3">
      <c r="A224" t="s">
        <v>277</v>
      </c>
      <c r="B224" t="str">
        <f ca="1">OFFSET(Industries!C$1,MATCH(Table1[[#This Row],[Ticker]],Industries!$A$2:$A$150,0),0)</f>
        <v>Industrials</v>
      </c>
      <c r="C224" t="str">
        <f ca="1">OFFSET(Industries!D$1,MATCH(Table1[[#This Row],[Ticker]],Industries!$A$2:$A$150,0),0)</f>
        <v>Capital Goods</v>
      </c>
      <c r="D224" t="str">
        <f ca="1">OFFSET(Industries!E$1,MATCH(Table1[[#This Row],[Ticker]],Industries!$A$2:$A$150,0),0)</f>
        <v>Aerospace and Defense</v>
      </c>
      <c r="E224" t="s">
        <v>116</v>
      </c>
      <c r="F224" t="str">
        <f ca="1">OFFSET(Industries!B$1,MATCH(Table1[[#This Row],[Ticker]],Industries!$A$2:$A$140,0),0)</f>
        <v>Ultra-Cap</v>
      </c>
      <c r="G224" t="s">
        <v>1387</v>
      </c>
      <c r="H224" t="s">
        <v>1434</v>
      </c>
      <c r="I224" t="s">
        <v>1434</v>
      </c>
      <c r="J224" s="2">
        <v>45317</v>
      </c>
      <c r="K224" t="s">
        <v>21</v>
      </c>
      <c r="L224" t="s">
        <v>1708</v>
      </c>
      <c r="M224" t="s">
        <v>1709</v>
      </c>
      <c r="N224" s="1">
        <f>Table1[[#This Row],[Consideration Weight]]</f>
        <v>9.2999999999999999E-2</v>
      </c>
      <c r="O224" t="s">
        <v>4</v>
      </c>
      <c r="P224" s="3">
        <v>9.2999999999999999E-2</v>
      </c>
      <c r="Q224" s="3" t="s">
        <v>1636</v>
      </c>
      <c r="R224" t="s">
        <v>24</v>
      </c>
      <c r="S224" t="s">
        <v>1107</v>
      </c>
      <c r="T224" t="s">
        <v>154</v>
      </c>
      <c r="U224" s="1">
        <v>0.5</v>
      </c>
    </row>
    <row r="225" spans="1:22" x14ac:dyDescent="0.3">
      <c r="A225" t="s">
        <v>277</v>
      </c>
      <c r="B225" t="str">
        <f ca="1">OFFSET(Industries!C$1,MATCH(Table1[[#This Row],[Ticker]],Industries!$A$2:$A$150,0),0)</f>
        <v>Industrials</v>
      </c>
      <c r="C225" t="str">
        <f ca="1">OFFSET(Industries!D$1,MATCH(Table1[[#This Row],[Ticker]],Industries!$A$2:$A$150,0),0)</f>
        <v>Capital Goods</v>
      </c>
      <c r="D225" t="str">
        <f ca="1">OFFSET(Industries!E$1,MATCH(Table1[[#This Row],[Ticker]],Industries!$A$2:$A$150,0),0)</f>
        <v>Aerospace and Defense</v>
      </c>
      <c r="E225" t="s">
        <v>116</v>
      </c>
      <c r="F225" t="str">
        <f ca="1">OFFSET(Industries!B$1,MATCH(Table1[[#This Row],[Ticker]],Industries!$A$2:$A$140,0),0)</f>
        <v>Ultra-Cap</v>
      </c>
      <c r="G225" t="s">
        <v>1387</v>
      </c>
      <c r="H225" t="s">
        <v>1434</v>
      </c>
      <c r="I225" t="s">
        <v>1434</v>
      </c>
      <c r="J225" s="2">
        <v>45317</v>
      </c>
      <c r="K225" t="s">
        <v>21</v>
      </c>
      <c r="L225" t="s">
        <v>1708</v>
      </c>
      <c r="M225" t="s">
        <v>1709</v>
      </c>
      <c r="N225" s="1"/>
      <c r="O225" t="s">
        <v>4</v>
      </c>
      <c r="P225" s="3">
        <v>9.2999999999999999E-2</v>
      </c>
      <c r="Q225" s="3" t="s">
        <v>1636</v>
      </c>
      <c r="R225" t="s">
        <v>24</v>
      </c>
      <c r="S225" t="s">
        <v>1104</v>
      </c>
      <c r="T225" t="s">
        <v>153</v>
      </c>
      <c r="U225" s="1">
        <v>0.5</v>
      </c>
    </row>
    <row r="226" spans="1:22" x14ac:dyDescent="0.3">
      <c r="A226" t="s">
        <v>277</v>
      </c>
      <c r="B226" t="str">
        <f ca="1">OFFSET(Industries!C$1,MATCH(Table1[[#This Row],[Ticker]],Industries!$A$2:$A$150,0),0)</f>
        <v>Industrials</v>
      </c>
      <c r="C226" t="str">
        <f ca="1">OFFSET(Industries!D$1,MATCH(Table1[[#This Row],[Ticker]],Industries!$A$2:$A$150,0),0)</f>
        <v>Capital Goods</v>
      </c>
      <c r="D226" t="str">
        <f ca="1">OFFSET(Industries!E$1,MATCH(Table1[[#This Row],[Ticker]],Industries!$A$2:$A$150,0),0)</f>
        <v>Aerospace and Defense</v>
      </c>
      <c r="E226" t="s">
        <v>116</v>
      </c>
      <c r="F226" t="str">
        <f ca="1">OFFSET(Industries!B$1,MATCH(Table1[[#This Row],[Ticker]],Industries!$A$2:$A$140,0),0)</f>
        <v>Ultra-Cap</v>
      </c>
      <c r="G226" t="s">
        <v>1387</v>
      </c>
      <c r="H226" t="s">
        <v>1434</v>
      </c>
      <c r="I226" t="s">
        <v>1434</v>
      </c>
      <c r="J226" s="2">
        <v>45317</v>
      </c>
      <c r="K226" t="s">
        <v>21</v>
      </c>
      <c r="L226" t="s">
        <v>1708</v>
      </c>
      <c r="M226" t="s">
        <v>1709</v>
      </c>
      <c r="N226" s="1"/>
      <c r="O226" t="s">
        <v>4</v>
      </c>
      <c r="P226" s="3">
        <v>9.2999999999999999E-2</v>
      </c>
      <c r="Q226" s="3"/>
      <c r="R226" t="s">
        <v>28</v>
      </c>
      <c r="S226" t="s">
        <v>1087</v>
      </c>
      <c r="T226" t="s">
        <v>40</v>
      </c>
    </row>
    <row r="227" spans="1:22" x14ac:dyDescent="0.3">
      <c r="A227" t="s">
        <v>277</v>
      </c>
      <c r="B227" t="str">
        <f ca="1">OFFSET(Industries!C$1,MATCH(Table1[[#This Row],[Ticker]],Industries!$A$2:$A$150,0),0)</f>
        <v>Industrials</v>
      </c>
      <c r="C227" t="str">
        <f ca="1">OFFSET(Industries!D$1,MATCH(Table1[[#This Row],[Ticker]],Industries!$A$2:$A$150,0),0)</f>
        <v>Capital Goods</v>
      </c>
      <c r="D227" t="str">
        <f ca="1">OFFSET(Industries!E$1,MATCH(Table1[[#This Row],[Ticker]],Industries!$A$2:$A$150,0),0)</f>
        <v>Aerospace and Defense</v>
      </c>
      <c r="E227" t="s">
        <v>116</v>
      </c>
      <c r="F227" t="str">
        <f ca="1">OFFSET(Industries!B$1,MATCH(Table1[[#This Row],[Ticker]],Industries!$A$2:$A$140,0),0)</f>
        <v>Ultra-Cap</v>
      </c>
      <c r="G227" t="s">
        <v>1387</v>
      </c>
      <c r="H227" t="s">
        <v>1434</v>
      </c>
      <c r="I227" t="s">
        <v>1434</v>
      </c>
      <c r="J227" s="2">
        <v>45317</v>
      </c>
      <c r="K227" t="s">
        <v>21</v>
      </c>
      <c r="L227" t="s">
        <v>1710</v>
      </c>
      <c r="M227" t="s">
        <v>1709</v>
      </c>
      <c r="N227" s="1">
        <f>Table1[[#This Row],[Consideration Weight]]</f>
        <v>0.80700000000000005</v>
      </c>
      <c r="O227" t="s">
        <v>462</v>
      </c>
      <c r="P227" s="3">
        <v>0.80700000000000005</v>
      </c>
      <c r="Q227" s="3" t="s">
        <v>1636</v>
      </c>
      <c r="R227" t="s">
        <v>1059</v>
      </c>
      <c r="S227" t="s">
        <v>1086</v>
      </c>
      <c r="T227" t="s">
        <v>193</v>
      </c>
      <c r="U227" s="1">
        <v>1</v>
      </c>
      <c r="V227" t="s">
        <v>157</v>
      </c>
    </row>
    <row r="228" spans="1:22" x14ac:dyDescent="0.3">
      <c r="A228" t="s">
        <v>278</v>
      </c>
      <c r="B228" t="str">
        <f ca="1">OFFSET(Industries!C$1,MATCH(Table1[[#This Row],[Ticker]],Industries!$A$2:$A$150,0),0)</f>
        <v>Industrials</v>
      </c>
      <c r="C228" t="str">
        <f ca="1">OFFSET(Industries!D$1,MATCH(Table1[[#This Row],[Ticker]],Industries!$A$2:$A$150,0),0)</f>
        <v>Capital Goods</v>
      </c>
      <c r="D228" t="str">
        <f ca="1">OFFSET(Industries!E$1,MATCH(Table1[[#This Row],[Ticker]],Industries!$A$2:$A$150,0),0)</f>
        <v>Building Products</v>
      </c>
      <c r="E228" t="s">
        <v>158</v>
      </c>
      <c r="F228" t="str">
        <f ca="1">OFFSET(Industries!B$1,MATCH(Table1[[#This Row],[Ticker]],Industries!$A$2:$A$140,0),0)</f>
        <v>Ultra-Cap</v>
      </c>
      <c r="G228" t="str">
        <f ca="1">OFFSET(Industries!F$1,MATCH(Table1[[#This Row],[Ticker]],Industries!$A$2:$A$140,0),0)</f>
        <v>BBB</v>
      </c>
      <c r="H228" t="s">
        <v>1434</v>
      </c>
      <c r="I228" t="s">
        <v>1434</v>
      </c>
      <c r="J228" s="2">
        <v>45356</v>
      </c>
      <c r="K228" t="s">
        <v>2</v>
      </c>
      <c r="L228" t="s">
        <v>3</v>
      </c>
      <c r="M228" t="s">
        <v>1711</v>
      </c>
      <c r="N228" s="1">
        <f>Table1[[#This Row],[Consideration Weight]]</f>
        <v>0.09</v>
      </c>
      <c r="O228" t="s">
        <v>3</v>
      </c>
      <c r="P228" s="3">
        <v>0.09</v>
      </c>
      <c r="Q228" s="3"/>
    </row>
    <row r="229" spans="1:22" x14ac:dyDescent="0.3">
      <c r="A229" t="s">
        <v>278</v>
      </c>
      <c r="B229" t="str">
        <f ca="1">OFFSET(Industries!C$1,MATCH(Table1[[#This Row],[Ticker]],Industries!$A$2:$A$150,0),0)</f>
        <v>Industrials</v>
      </c>
      <c r="C229" t="str">
        <f ca="1">OFFSET(Industries!D$1,MATCH(Table1[[#This Row],[Ticker]],Industries!$A$2:$A$150,0),0)</f>
        <v>Capital Goods</v>
      </c>
      <c r="D229" t="str">
        <f ca="1">OFFSET(Industries!E$1,MATCH(Table1[[#This Row],[Ticker]],Industries!$A$2:$A$150,0),0)</f>
        <v>Building Products</v>
      </c>
      <c r="E229" t="s">
        <v>158</v>
      </c>
      <c r="F229" t="str">
        <f ca="1">OFFSET(Industries!B$1,MATCH(Table1[[#This Row],[Ticker]],Industries!$A$2:$A$140,0),0)</f>
        <v>Ultra-Cap</v>
      </c>
      <c r="G229" t="str">
        <f ca="1">OFFSET(Industries!F$1,MATCH(Table1[[#This Row],[Ticker]],Industries!$A$2:$A$140,0),0)</f>
        <v>BBB</v>
      </c>
      <c r="H229" t="s">
        <v>1434</v>
      </c>
      <c r="I229" t="s">
        <v>1434</v>
      </c>
      <c r="J229" s="2">
        <v>45356</v>
      </c>
      <c r="K229" t="s">
        <v>2</v>
      </c>
      <c r="L229" t="s">
        <v>1708</v>
      </c>
      <c r="M229" t="s">
        <v>1709</v>
      </c>
      <c r="N229" s="1">
        <f>Table1[[#This Row],[Consideration Weight]]</f>
        <v>0.16</v>
      </c>
      <c r="O229" t="s">
        <v>4</v>
      </c>
      <c r="P229" s="3">
        <v>0.16</v>
      </c>
      <c r="Q229" s="3" t="s">
        <v>1636</v>
      </c>
      <c r="R229" t="s">
        <v>23</v>
      </c>
      <c r="S229" t="s">
        <v>1083</v>
      </c>
      <c r="T229" t="s">
        <v>7</v>
      </c>
      <c r="U229" s="1">
        <f>1/3</f>
        <v>0.33333333333333331</v>
      </c>
      <c r="V229" t="s">
        <v>160</v>
      </c>
    </row>
    <row r="230" spans="1:22" x14ac:dyDescent="0.3">
      <c r="A230" t="s">
        <v>278</v>
      </c>
      <c r="B230" t="str">
        <f ca="1">OFFSET(Industries!C$1,MATCH(Table1[[#This Row],[Ticker]],Industries!$A$2:$A$150,0),0)</f>
        <v>Industrials</v>
      </c>
      <c r="C230" t="str">
        <f ca="1">OFFSET(Industries!D$1,MATCH(Table1[[#This Row],[Ticker]],Industries!$A$2:$A$150,0),0)</f>
        <v>Capital Goods</v>
      </c>
      <c r="D230" t="str">
        <f ca="1">OFFSET(Industries!E$1,MATCH(Table1[[#This Row],[Ticker]],Industries!$A$2:$A$150,0),0)</f>
        <v>Building Products</v>
      </c>
      <c r="E230" t="s">
        <v>158</v>
      </c>
      <c r="F230" t="str">
        <f ca="1">OFFSET(Industries!B$1,MATCH(Table1[[#This Row],[Ticker]],Industries!$A$2:$A$140,0),0)</f>
        <v>Ultra-Cap</v>
      </c>
      <c r="G230" t="str">
        <f ca="1">OFFSET(Industries!F$1,MATCH(Table1[[#This Row],[Ticker]],Industries!$A$2:$A$140,0),0)</f>
        <v>BBB</v>
      </c>
      <c r="H230" t="s">
        <v>1434</v>
      </c>
      <c r="I230" t="s">
        <v>1434</v>
      </c>
      <c r="J230" s="2">
        <v>45356</v>
      </c>
      <c r="K230" t="s">
        <v>2</v>
      </c>
      <c r="L230" t="s">
        <v>1708</v>
      </c>
      <c r="M230" t="s">
        <v>1709</v>
      </c>
      <c r="N230" s="1"/>
      <c r="O230" t="s">
        <v>4</v>
      </c>
      <c r="P230" s="3">
        <v>0.16</v>
      </c>
      <c r="Q230" s="3" t="s">
        <v>1636</v>
      </c>
      <c r="R230" t="s">
        <v>24</v>
      </c>
      <c r="S230" t="s">
        <v>90</v>
      </c>
      <c r="T230" t="s">
        <v>8</v>
      </c>
      <c r="U230" s="1">
        <f t="shared" ref="U230:U231" si="4">1/3</f>
        <v>0.33333333333333331</v>
      </c>
      <c r="V230" t="s">
        <v>161</v>
      </c>
    </row>
    <row r="231" spans="1:22" x14ac:dyDescent="0.3">
      <c r="A231" t="s">
        <v>278</v>
      </c>
      <c r="B231" t="str">
        <f ca="1">OFFSET(Industries!C$1,MATCH(Table1[[#This Row],[Ticker]],Industries!$A$2:$A$150,0),0)</f>
        <v>Industrials</v>
      </c>
      <c r="C231" t="str">
        <f ca="1">OFFSET(Industries!D$1,MATCH(Table1[[#This Row],[Ticker]],Industries!$A$2:$A$150,0),0)</f>
        <v>Capital Goods</v>
      </c>
      <c r="D231" t="str">
        <f ca="1">OFFSET(Industries!E$1,MATCH(Table1[[#This Row],[Ticker]],Industries!$A$2:$A$150,0),0)</f>
        <v>Building Products</v>
      </c>
      <c r="E231" t="s">
        <v>158</v>
      </c>
      <c r="F231" t="str">
        <f ca="1">OFFSET(Industries!B$1,MATCH(Table1[[#This Row],[Ticker]],Industries!$A$2:$A$140,0),0)</f>
        <v>Ultra-Cap</v>
      </c>
      <c r="G231" t="str">
        <f ca="1">OFFSET(Industries!F$1,MATCH(Table1[[#This Row],[Ticker]],Industries!$A$2:$A$140,0),0)</f>
        <v>BBB</v>
      </c>
      <c r="H231" t="s">
        <v>1434</v>
      </c>
      <c r="I231" t="s">
        <v>1434</v>
      </c>
      <c r="J231" s="2">
        <v>45356</v>
      </c>
      <c r="K231" t="s">
        <v>2</v>
      </c>
      <c r="L231" t="s">
        <v>1708</v>
      </c>
      <c r="M231" t="s">
        <v>1709</v>
      </c>
      <c r="N231" s="1"/>
      <c r="O231" t="s">
        <v>4</v>
      </c>
      <c r="P231" s="3">
        <v>0.16</v>
      </c>
      <c r="Q231" s="3" t="s">
        <v>1636</v>
      </c>
      <c r="R231" t="s">
        <v>62</v>
      </c>
      <c r="S231" t="s">
        <v>129</v>
      </c>
      <c r="T231" t="s">
        <v>117</v>
      </c>
      <c r="U231" s="1">
        <f t="shared" si="4"/>
        <v>0.33333333333333331</v>
      </c>
      <c r="V231" t="s">
        <v>162</v>
      </c>
    </row>
    <row r="232" spans="1:22" x14ac:dyDescent="0.3">
      <c r="A232" t="s">
        <v>278</v>
      </c>
      <c r="B232" t="str">
        <f ca="1">OFFSET(Industries!C$1,MATCH(Table1[[#This Row],[Ticker]],Industries!$A$2:$A$150,0),0)</f>
        <v>Industrials</v>
      </c>
      <c r="C232" t="str">
        <f ca="1">OFFSET(Industries!D$1,MATCH(Table1[[#This Row],[Ticker]],Industries!$A$2:$A$150,0),0)</f>
        <v>Capital Goods</v>
      </c>
      <c r="D232" t="str">
        <f ca="1">OFFSET(Industries!E$1,MATCH(Table1[[#This Row],[Ticker]],Industries!$A$2:$A$150,0),0)</f>
        <v>Building Products</v>
      </c>
      <c r="E232" t="s">
        <v>158</v>
      </c>
      <c r="F232" t="str">
        <f ca="1">OFFSET(Industries!B$1,MATCH(Table1[[#This Row],[Ticker]],Industries!$A$2:$A$140,0),0)</f>
        <v>Ultra-Cap</v>
      </c>
      <c r="G232" t="str">
        <f ca="1">OFFSET(Industries!F$1,MATCH(Table1[[#This Row],[Ticker]],Industries!$A$2:$A$140,0),0)</f>
        <v>BBB</v>
      </c>
      <c r="H232" t="s">
        <v>1434</v>
      </c>
      <c r="I232" t="s">
        <v>1434</v>
      </c>
      <c r="J232" s="2">
        <v>45356</v>
      </c>
      <c r="K232" t="s">
        <v>2</v>
      </c>
      <c r="L232" t="s">
        <v>1708</v>
      </c>
      <c r="M232" t="s">
        <v>1709</v>
      </c>
      <c r="N232" s="1"/>
      <c r="O232" t="s">
        <v>4</v>
      </c>
      <c r="P232" s="3">
        <v>0.16</v>
      </c>
      <c r="Q232" s="3"/>
      <c r="R232" t="s">
        <v>28</v>
      </c>
      <c r="S232" t="s">
        <v>1087</v>
      </c>
      <c r="T232" t="s">
        <v>40</v>
      </c>
    </row>
    <row r="233" spans="1:22" x14ac:dyDescent="0.3">
      <c r="A233" t="s">
        <v>278</v>
      </c>
      <c r="B233" t="str">
        <f ca="1">OFFSET(Industries!C$1,MATCH(Table1[[#This Row],[Ticker]],Industries!$A$2:$A$150,0),0)</f>
        <v>Industrials</v>
      </c>
      <c r="C233" t="str">
        <f ca="1">OFFSET(Industries!D$1,MATCH(Table1[[#This Row],[Ticker]],Industries!$A$2:$A$150,0),0)</f>
        <v>Capital Goods</v>
      </c>
      <c r="D233" t="str">
        <f ca="1">OFFSET(Industries!E$1,MATCH(Table1[[#This Row],[Ticker]],Industries!$A$2:$A$150,0),0)</f>
        <v>Building Products</v>
      </c>
      <c r="E233" t="s">
        <v>158</v>
      </c>
      <c r="F233" t="str">
        <f ca="1">OFFSET(Industries!B$1,MATCH(Table1[[#This Row],[Ticker]],Industries!$A$2:$A$140,0),0)</f>
        <v>Ultra-Cap</v>
      </c>
      <c r="G233" t="str">
        <f ca="1">OFFSET(Industries!F$1,MATCH(Table1[[#This Row],[Ticker]],Industries!$A$2:$A$140,0),0)</f>
        <v>BBB</v>
      </c>
      <c r="H233" t="s">
        <v>1434</v>
      </c>
      <c r="I233" t="s">
        <v>1434</v>
      </c>
      <c r="J233" s="2">
        <v>45356</v>
      </c>
      <c r="K233" t="s">
        <v>2</v>
      </c>
      <c r="L233" t="s">
        <v>1710</v>
      </c>
      <c r="M233" t="s">
        <v>1709</v>
      </c>
      <c r="N233" s="1">
        <f>Table1[[#This Row],[Consideration Weight]]</f>
        <v>0.375</v>
      </c>
      <c r="O233" t="s">
        <v>476</v>
      </c>
      <c r="P233" s="3">
        <v>0.375</v>
      </c>
      <c r="Q233" s="3" t="s">
        <v>1636</v>
      </c>
      <c r="R233" t="s">
        <v>24</v>
      </c>
      <c r="S233" t="s">
        <v>1089</v>
      </c>
      <c r="T233" t="s">
        <v>111</v>
      </c>
      <c r="U233" s="1">
        <v>0.5</v>
      </c>
      <c r="V233" t="s">
        <v>163</v>
      </c>
    </row>
    <row r="234" spans="1:22" x14ac:dyDescent="0.3">
      <c r="A234" t="s">
        <v>278</v>
      </c>
      <c r="B234" t="str">
        <f ca="1">OFFSET(Industries!C$1,MATCH(Table1[[#This Row],[Ticker]],Industries!$A$2:$A$150,0),0)</f>
        <v>Industrials</v>
      </c>
      <c r="C234" t="str">
        <f ca="1">OFFSET(Industries!D$1,MATCH(Table1[[#This Row],[Ticker]],Industries!$A$2:$A$150,0),0)</f>
        <v>Capital Goods</v>
      </c>
      <c r="D234" t="str">
        <f ca="1">OFFSET(Industries!E$1,MATCH(Table1[[#This Row],[Ticker]],Industries!$A$2:$A$150,0),0)</f>
        <v>Building Products</v>
      </c>
      <c r="E234" t="s">
        <v>158</v>
      </c>
      <c r="F234" t="str">
        <f ca="1">OFFSET(Industries!B$1,MATCH(Table1[[#This Row],[Ticker]],Industries!$A$2:$A$140,0),0)</f>
        <v>Ultra-Cap</v>
      </c>
      <c r="G234" t="str">
        <f ca="1">OFFSET(Industries!F$1,MATCH(Table1[[#This Row],[Ticker]],Industries!$A$2:$A$140,0),0)</f>
        <v>BBB</v>
      </c>
      <c r="H234" t="s">
        <v>1434</v>
      </c>
      <c r="I234" t="s">
        <v>1434</v>
      </c>
      <c r="J234" s="2">
        <v>45356</v>
      </c>
      <c r="K234" t="s">
        <v>2</v>
      </c>
      <c r="L234" t="s">
        <v>1710</v>
      </c>
      <c r="M234" t="s">
        <v>1709</v>
      </c>
      <c r="N234" s="1"/>
      <c r="O234" t="s">
        <v>476</v>
      </c>
      <c r="P234" s="3">
        <v>0.375</v>
      </c>
      <c r="Q234" s="3" t="s">
        <v>1646</v>
      </c>
      <c r="R234" t="s">
        <v>35</v>
      </c>
      <c r="S234" t="s">
        <v>29</v>
      </c>
      <c r="T234" t="s">
        <v>30</v>
      </c>
      <c r="U234" s="1">
        <v>0.5</v>
      </c>
      <c r="V234" t="s">
        <v>159</v>
      </c>
    </row>
    <row r="235" spans="1:22" x14ac:dyDescent="0.3">
      <c r="A235" t="s">
        <v>278</v>
      </c>
      <c r="B235" t="str">
        <f ca="1">OFFSET(Industries!C$1,MATCH(Table1[[#This Row],[Ticker]],Industries!$A$2:$A$150,0),0)</f>
        <v>Industrials</v>
      </c>
      <c r="C235" t="str">
        <f ca="1">OFFSET(Industries!D$1,MATCH(Table1[[#This Row],[Ticker]],Industries!$A$2:$A$150,0),0)</f>
        <v>Capital Goods</v>
      </c>
      <c r="D235" t="str">
        <f ca="1">OFFSET(Industries!E$1,MATCH(Table1[[#This Row],[Ticker]],Industries!$A$2:$A$150,0),0)</f>
        <v>Building Products</v>
      </c>
      <c r="E235" t="s">
        <v>158</v>
      </c>
      <c r="F235" t="str">
        <f ca="1">OFFSET(Industries!B$1,MATCH(Table1[[#This Row],[Ticker]],Industries!$A$2:$A$140,0),0)</f>
        <v>Ultra-Cap</v>
      </c>
      <c r="G235" t="str">
        <f ca="1">OFFSET(Industries!F$1,MATCH(Table1[[#This Row],[Ticker]],Industries!$A$2:$A$140,0),0)</f>
        <v>BBB</v>
      </c>
      <c r="H235" t="s">
        <v>1434</v>
      </c>
      <c r="I235" t="s">
        <v>1434</v>
      </c>
      <c r="J235" s="2">
        <v>45356</v>
      </c>
      <c r="K235" t="s">
        <v>2</v>
      </c>
      <c r="L235" t="s">
        <v>1710</v>
      </c>
      <c r="M235" t="s">
        <v>1711</v>
      </c>
      <c r="N235" s="1">
        <f>Table1[[#This Row],[Consideration Weight]]</f>
        <v>0.375</v>
      </c>
      <c r="O235" t="s">
        <v>455</v>
      </c>
      <c r="P235" s="3">
        <v>0.375</v>
      </c>
      <c r="Q235" s="3"/>
    </row>
    <row r="236" spans="1:22" x14ac:dyDescent="0.3">
      <c r="A236" t="s">
        <v>278</v>
      </c>
      <c r="B236" t="str">
        <f ca="1">OFFSET(Industries!C$1,MATCH(Table1[[#This Row],[Ticker]],Industries!$A$2:$A$150,0),0)</f>
        <v>Industrials</v>
      </c>
      <c r="C236" t="str">
        <f ca="1">OFFSET(Industries!D$1,MATCH(Table1[[#This Row],[Ticker]],Industries!$A$2:$A$150,0),0)</f>
        <v>Capital Goods</v>
      </c>
      <c r="D236" t="str">
        <f ca="1">OFFSET(Industries!E$1,MATCH(Table1[[#This Row],[Ticker]],Industries!$A$2:$A$150,0),0)</f>
        <v>Building Products</v>
      </c>
      <c r="E236" t="s">
        <v>158</v>
      </c>
      <c r="F236" t="str">
        <f ca="1">OFFSET(Industries!B$1,MATCH(Table1[[#This Row],[Ticker]],Industries!$A$2:$A$140,0),0)</f>
        <v>Ultra-Cap</v>
      </c>
      <c r="G236" t="str">
        <f ca="1">OFFSET(Industries!F$1,MATCH(Table1[[#This Row],[Ticker]],Industries!$A$2:$A$140,0),0)</f>
        <v>BBB</v>
      </c>
      <c r="H236" t="s">
        <v>1434</v>
      </c>
      <c r="I236" t="s">
        <v>1434</v>
      </c>
      <c r="J236" s="2">
        <v>45356</v>
      </c>
      <c r="K236" t="s">
        <v>21</v>
      </c>
      <c r="L236" t="s">
        <v>3</v>
      </c>
      <c r="M236" t="s">
        <v>1711</v>
      </c>
      <c r="N236" s="1">
        <f>Table1[[#This Row],[Consideration Weight]]</f>
        <v>0.2</v>
      </c>
      <c r="O236" t="s">
        <v>3</v>
      </c>
      <c r="P236" s="3">
        <v>0.2</v>
      </c>
      <c r="Q236" s="3"/>
    </row>
    <row r="237" spans="1:22" x14ac:dyDescent="0.3">
      <c r="A237" t="s">
        <v>278</v>
      </c>
      <c r="B237" t="str">
        <f ca="1">OFFSET(Industries!C$1,MATCH(Table1[[#This Row],[Ticker]],Industries!$A$2:$A$150,0),0)</f>
        <v>Industrials</v>
      </c>
      <c r="C237" t="str">
        <f ca="1">OFFSET(Industries!D$1,MATCH(Table1[[#This Row],[Ticker]],Industries!$A$2:$A$150,0),0)</f>
        <v>Capital Goods</v>
      </c>
      <c r="D237" t="str">
        <f ca="1">OFFSET(Industries!E$1,MATCH(Table1[[#This Row],[Ticker]],Industries!$A$2:$A$150,0),0)</f>
        <v>Building Products</v>
      </c>
      <c r="E237" t="s">
        <v>158</v>
      </c>
      <c r="F237" t="str">
        <f ca="1">OFFSET(Industries!B$1,MATCH(Table1[[#This Row],[Ticker]],Industries!$A$2:$A$140,0),0)</f>
        <v>Ultra-Cap</v>
      </c>
      <c r="G237" t="str">
        <f ca="1">OFFSET(Industries!F$1,MATCH(Table1[[#This Row],[Ticker]],Industries!$A$2:$A$140,0),0)</f>
        <v>BBB</v>
      </c>
      <c r="H237" t="s">
        <v>1434</v>
      </c>
      <c r="I237" t="s">
        <v>1434</v>
      </c>
      <c r="J237" s="2">
        <v>45356</v>
      </c>
      <c r="K237" t="s">
        <v>21</v>
      </c>
      <c r="L237" t="s">
        <v>1708</v>
      </c>
      <c r="M237" t="s">
        <v>1709</v>
      </c>
      <c r="N237" s="1">
        <f>Table1[[#This Row],[Consideration Weight]]</f>
        <v>0.19</v>
      </c>
      <c r="O237" t="s">
        <v>4</v>
      </c>
      <c r="P237" s="3">
        <v>0.19</v>
      </c>
      <c r="Q237" s="3" t="s">
        <v>1636</v>
      </c>
      <c r="R237" t="s">
        <v>23</v>
      </c>
      <c r="S237" t="s">
        <v>1083</v>
      </c>
      <c r="T237" t="s">
        <v>7</v>
      </c>
      <c r="U237" s="1">
        <f>1/3</f>
        <v>0.33333333333333331</v>
      </c>
    </row>
    <row r="238" spans="1:22" x14ac:dyDescent="0.3">
      <c r="A238" t="s">
        <v>278</v>
      </c>
      <c r="B238" t="str">
        <f ca="1">OFFSET(Industries!C$1,MATCH(Table1[[#This Row],[Ticker]],Industries!$A$2:$A$150,0),0)</f>
        <v>Industrials</v>
      </c>
      <c r="C238" t="str">
        <f ca="1">OFFSET(Industries!D$1,MATCH(Table1[[#This Row],[Ticker]],Industries!$A$2:$A$150,0),0)</f>
        <v>Capital Goods</v>
      </c>
      <c r="D238" t="str">
        <f ca="1">OFFSET(Industries!E$1,MATCH(Table1[[#This Row],[Ticker]],Industries!$A$2:$A$150,0),0)</f>
        <v>Building Products</v>
      </c>
      <c r="E238" t="s">
        <v>158</v>
      </c>
      <c r="F238" t="str">
        <f ca="1">OFFSET(Industries!B$1,MATCH(Table1[[#This Row],[Ticker]],Industries!$A$2:$A$140,0),0)</f>
        <v>Ultra-Cap</v>
      </c>
      <c r="G238" t="str">
        <f ca="1">OFFSET(Industries!F$1,MATCH(Table1[[#This Row],[Ticker]],Industries!$A$2:$A$140,0),0)</f>
        <v>BBB</v>
      </c>
      <c r="H238" t="s">
        <v>1434</v>
      </c>
      <c r="I238" t="s">
        <v>1434</v>
      </c>
      <c r="J238" s="2">
        <v>45356</v>
      </c>
      <c r="K238" t="s">
        <v>21</v>
      </c>
      <c r="L238" t="s">
        <v>1708</v>
      </c>
      <c r="M238" t="s">
        <v>1709</v>
      </c>
      <c r="N238" s="1"/>
      <c r="O238" t="s">
        <v>4</v>
      </c>
      <c r="P238" s="3">
        <v>0.19</v>
      </c>
      <c r="Q238" s="3" t="s">
        <v>1636</v>
      </c>
      <c r="R238" t="s">
        <v>24</v>
      </c>
      <c r="S238" t="s">
        <v>90</v>
      </c>
      <c r="T238" t="s">
        <v>8</v>
      </c>
      <c r="U238" s="1">
        <f t="shared" ref="U238:U239" si="5">1/3</f>
        <v>0.33333333333333331</v>
      </c>
    </row>
    <row r="239" spans="1:22" x14ac:dyDescent="0.3">
      <c r="A239" t="s">
        <v>278</v>
      </c>
      <c r="B239" t="str">
        <f ca="1">OFFSET(Industries!C$1,MATCH(Table1[[#This Row],[Ticker]],Industries!$A$2:$A$150,0),0)</f>
        <v>Industrials</v>
      </c>
      <c r="C239" t="str">
        <f ca="1">OFFSET(Industries!D$1,MATCH(Table1[[#This Row],[Ticker]],Industries!$A$2:$A$150,0),0)</f>
        <v>Capital Goods</v>
      </c>
      <c r="D239" t="str">
        <f ca="1">OFFSET(Industries!E$1,MATCH(Table1[[#This Row],[Ticker]],Industries!$A$2:$A$150,0),0)</f>
        <v>Building Products</v>
      </c>
      <c r="E239" t="s">
        <v>158</v>
      </c>
      <c r="F239" t="str">
        <f ca="1">OFFSET(Industries!B$1,MATCH(Table1[[#This Row],[Ticker]],Industries!$A$2:$A$140,0),0)</f>
        <v>Ultra-Cap</v>
      </c>
      <c r="G239" t="str">
        <f ca="1">OFFSET(Industries!F$1,MATCH(Table1[[#This Row],[Ticker]],Industries!$A$2:$A$140,0),0)</f>
        <v>BBB</v>
      </c>
      <c r="H239" t="s">
        <v>1434</v>
      </c>
      <c r="I239" t="s">
        <v>1434</v>
      </c>
      <c r="J239" s="2">
        <v>45356</v>
      </c>
      <c r="K239" t="s">
        <v>21</v>
      </c>
      <c r="L239" t="s">
        <v>1708</v>
      </c>
      <c r="M239" t="s">
        <v>1709</v>
      </c>
      <c r="N239" s="1"/>
      <c r="O239" t="s">
        <v>4</v>
      </c>
      <c r="P239" s="3">
        <v>0.19</v>
      </c>
      <c r="Q239" s="3" t="s">
        <v>1636</v>
      </c>
      <c r="R239" t="s">
        <v>62</v>
      </c>
      <c r="S239" t="s">
        <v>129</v>
      </c>
      <c r="T239" t="s">
        <v>117</v>
      </c>
      <c r="U239" s="1">
        <f t="shared" si="5"/>
        <v>0.33333333333333331</v>
      </c>
    </row>
    <row r="240" spans="1:22" x14ac:dyDescent="0.3">
      <c r="A240" t="s">
        <v>278</v>
      </c>
      <c r="B240" t="str">
        <f ca="1">OFFSET(Industries!C$1,MATCH(Table1[[#This Row],[Ticker]],Industries!$A$2:$A$150,0),0)</f>
        <v>Industrials</v>
      </c>
      <c r="C240" t="str">
        <f ca="1">OFFSET(Industries!D$1,MATCH(Table1[[#This Row],[Ticker]],Industries!$A$2:$A$150,0),0)</f>
        <v>Capital Goods</v>
      </c>
      <c r="D240" t="str">
        <f ca="1">OFFSET(Industries!E$1,MATCH(Table1[[#This Row],[Ticker]],Industries!$A$2:$A$150,0),0)</f>
        <v>Building Products</v>
      </c>
      <c r="E240" t="s">
        <v>158</v>
      </c>
      <c r="F240" t="str">
        <f ca="1">OFFSET(Industries!B$1,MATCH(Table1[[#This Row],[Ticker]],Industries!$A$2:$A$140,0),0)</f>
        <v>Ultra-Cap</v>
      </c>
      <c r="G240" t="str">
        <f ca="1">OFFSET(Industries!F$1,MATCH(Table1[[#This Row],[Ticker]],Industries!$A$2:$A$140,0),0)</f>
        <v>BBB</v>
      </c>
      <c r="H240" t="s">
        <v>1434</v>
      </c>
      <c r="I240" t="s">
        <v>1434</v>
      </c>
      <c r="J240" s="2">
        <v>45356</v>
      </c>
      <c r="K240" t="s">
        <v>21</v>
      </c>
      <c r="L240" t="s">
        <v>1708</v>
      </c>
      <c r="M240" t="s">
        <v>1709</v>
      </c>
      <c r="N240" s="1"/>
      <c r="O240" t="s">
        <v>4</v>
      </c>
      <c r="P240" s="3">
        <v>0.19</v>
      </c>
      <c r="Q240" s="3"/>
      <c r="R240" t="s">
        <v>28</v>
      </c>
      <c r="S240" t="s">
        <v>1087</v>
      </c>
      <c r="T240" t="s">
        <v>40</v>
      </c>
    </row>
    <row r="241" spans="1:22" x14ac:dyDescent="0.3">
      <c r="A241" t="s">
        <v>278</v>
      </c>
      <c r="B241" t="str">
        <f ca="1">OFFSET(Industries!C$1,MATCH(Table1[[#This Row],[Ticker]],Industries!$A$2:$A$150,0),0)</f>
        <v>Industrials</v>
      </c>
      <c r="C241" t="str">
        <f ca="1">OFFSET(Industries!D$1,MATCH(Table1[[#This Row],[Ticker]],Industries!$A$2:$A$150,0),0)</f>
        <v>Capital Goods</v>
      </c>
      <c r="D241" t="str">
        <f ca="1">OFFSET(Industries!E$1,MATCH(Table1[[#This Row],[Ticker]],Industries!$A$2:$A$150,0),0)</f>
        <v>Building Products</v>
      </c>
      <c r="E241" t="s">
        <v>158</v>
      </c>
      <c r="F241" t="str">
        <f ca="1">OFFSET(Industries!B$1,MATCH(Table1[[#This Row],[Ticker]],Industries!$A$2:$A$140,0),0)</f>
        <v>Ultra-Cap</v>
      </c>
      <c r="G241" t="str">
        <f ca="1">OFFSET(Industries!F$1,MATCH(Table1[[#This Row],[Ticker]],Industries!$A$2:$A$140,0),0)</f>
        <v>BBB</v>
      </c>
      <c r="H241" t="s">
        <v>1434</v>
      </c>
      <c r="I241" t="s">
        <v>1434</v>
      </c>
      <c r="J241" s="2">
        <v>45356</v>
      </c>
      <c r="K241" t="s">
        <v>21</v>
      </c>
      <c r="L241" t="s">
        <v>1710</v>
      </c>
      <c r="M241" t="s">
        <v>1709</v>
      </c>
      <c r="N241" s="1">
        <f>Table1[[#This Row],[Consideration Weight]]</f>
        <v>0.30499999999999999</v>
      </c>
      <c r="O241" t="s">
        <v>476</v>
      </c>
      <c r="P241" s="3">
        <v>0.30499999999999999</v>
      </c>
      <c r="Q241" s="3" t="s">
        <v>1636</v>
      </c>
      <c r="R241" t="s">
        <v>24</v>
      </c>
      <c r="S241" t="s">
        <v>1089</v>
      </c>
      <c r="T241" t="s">
        <v>111</v>
      </c>
      <c r="U241" s="1">
        <v>0.5</v>
      </c>
    </row>
    <row r="242" spans="1:22" x14ac:dyDescent="0.3">
      <c r="A242" t="s">
        <v>278</v>
      </c>
      <c r="B242" t="str">
        <f ca="1">OFFSET(Industries!C$1,MATCH(Table1[[#This Row],[Ticker]],Industries!$A$2:$A$150,0),0)</f>
        <v>Industrials</v>
      </c>
      <c r="C242" t="str">
        <f ca="1">OFFSET(Industries!D$1,MATCH(Table1[[#This Row],[Ticker]],Industries!$A$2:$A$150,0),0)</f>
        <v>Capital Goods</v>
      </c>
      <c r="D242" t="str">
        <f ca="1">OFFSET(Industries!E$1,MATCH(Table1[[#This Row],[Ticker]],Industries!$A$2:$A$150,0),0)</f>
        <v>Building Products</v>
      </c>
      <c r="E242" t="s">
        <v>158</v>
      </c>
      <c r="F242" t="str">
        <f ca="1">OFFSET(Industries!B$1,MATCH(Table1[[#This Row],[Ticker]],Industries!$A$2:$A$140,0),0)</f>
        <v>Ultra-Cap</v>
      </c>
      <c r="G242" t="str">
        <f ca="1">OFFSET(Industries!F$1,MATCH(Table1[[#This Row],[Ticker]],Industries!$A$2:$A$140,0),0)</f>
        <v>BBB</v>
      </c>
      <c r="H242" t="s">
        <v>1434</v>
      </c>
      <c r="I242" t="s">
        <v>1434</v>
      </c>
      <c r="J242" s="2">
        <v>45356</v>
      </c>
      <c r="K242" t="s">
        <v>21</v>
      </c>
      <c r="L242" t="s">
        <v>1710</v>
      </c>
      <c r="M242" t="s">
        <v>1709</v>
      </c>
      <c r="N242" s="1"/>
      <c r="O242" t="s">
        <v>476</v>
      </c>
      <c r="P242" s="3">
        <v>0.30499999999999999</v>
      </c>
      <c r="Q242" s="3" t="s">
        <v>1646</v>
      </c>
      <c r="R242" t="s">
        <v>35</v>
      </c>
      <c r="S242" t="s">
        <v>29</v>
      </c>
      <c r="T242" t="s">
        <v>30</v>
      </c>
      <c r="U242" s="1">
        <v>0.5</v>
      </c>
    </row>
    <row r="243" spans="1:22" x14ac:dyDescent="0.3">
      <c r="A243" t="s">
        <v>278</v>
      </c>
      <c r="B243" t="str">
        <f ca="1">OFFSET(Industries!C$1,MATCH(Table1[[#This Row],[Ticker]],Industries!$A$2:$A$150,0),0)</f>
        <v>Industrials</v>
      </c>
      <c r="C243" t="str">
        <f ca="1">OFFSET(Industries!D$1,MATCH(Table1[[#This Row],[Ticker]],Industries!$A$2:$A$150,0),0)</f>
        <v>Capital Goods</v>
      </c>
      <c r="D243" t="str">
        <f ca="1">OFFSET(Industries!E$1,MATCH(Table1[[#This Row],[Ticker]],Industries!$A$2:$A$150,0),0)</f>
        <v>Building Products</v>
      </c>
      <c r="E243" t="s">
        <v>158</v>
      </c>
      <c r="F243" t="str">
        <f ca="1">OFFSET(Industries!B$1,MATCH(Table1[[#This Row],[Ticker]],Industries!$A$2:$A$140,0),0)</f>
        <v>Ultra-Cap</v>
      </c>
      <c r="G243" t="str">
        <f ca="1">OFFSET(Industries!F$1,MATCH(Table1[[#This Row],[Ticker]],Industries!$A$2:$A$140,0),0)</f>
        <v>BBB</v>
      </c>
      <c r="H243" t="s">
        <v>1434</v>
      </c>
      <c r="I243" t="s">
        <v>1434</v>
      </c>
      <c r="J243" s="2">
        <v>45356</v>
      </c>
      <c r="K243" t="s">
        <v>21</v>
      </c>
      <c r="L243" t="s">
        <v>1710</v>
      </c>
      <c r="M243" t="s">
        <v>1711</v>
      </c>
      <c r="N243" s="1">
        <f>Table1[[#This Row],[Consideration Weight]]</f>
        <v>0.30499999999999999</v>
      </c>
      <c r="O243" t="s">
        <v>455</v>
      </c>
      <c r="P243" s="3">
        <v>0.30499999999999999</v>
      </c>
      <c r="Q243" s="3"/>
    </row>
    <row r="244" spans="1:22" x14ac:dyDescent="0.3">
      <c r="A244" t="s">
        <v>279</v>
      </c>
      <c r="B244" t="str">
        <f ca="1">OFFSET(Industries!C$1,MATCH(Table1[[#This Row],[Ticker]],Industries!$A$2:$A$150,0),0)</f>
        <v>Communication Services</v>
      </c>
      <c r="C244" t="str">
        <f ca="1">OFFSET(Industries!D$1,MATCH(Table1[[#This Row],[Ticker]],Industries!$A$2:$A$150,0),0)</f>
        <v>Media and Entertainment</v>
      </c>
      <c r="D244" t="str">
        <f ca="1">OFFSET(Industries!E$1,MATCH(Table1[[#This Row],[Ticker]],Industries!$A$2:$A$150,0),0)</f>
        <v>Entertainment</v>
      </c>
      <c r="E244" t="s">
        <v>43</v>
      </c>
      <c r="F244" t="str">
        <f ca="1">OFFSET(Industries!B$1,MATCH(Table1[[#This Row],[Ticker]],Industries!$A$2:$A$140,0),0)</f>
        <v>Mega-Cap</v>
      </c>
      <c r="G244" t="str">
        <f ca="1">OFFSET(Industries!F$1,MATCH(Table1[[#This Row],[Ticker]],Industries!$A$2:$A$140,0),0)</f>
        <v>BBB+</v>
      </c>
      <c r="H244" t="s">
        <v>1434</v>
      </c>
      <c r="I244" t="s">
        <v>1434</v>
      </c>
      <c r="J244" s="2">
        <v>45400</v>
      </c>
      <c r="K244" t="s">
        <v>2</v>
      </c>
      <c r="L244" t="s">
        <v>3</v>
      </c>
      <c r="M244" t="s">
        <v>1711</v>
      </c>
      <c r="N244" s="1">
        <f>Table1[[#This Row],[Consideration Weight]]</f>
        <v>7.4999999999999997E-2</v>
      </c>
      <c r="O244" t="s">
        <v>3</v>
      </c>
      <c r="P244" s="3">
        <v>7.4999999999999997E-2</v>
      </c>
      <c r="Q244" s="3"/>
      <c r="V244" t="s">
        <v>164</v>
      </c>
    </row>
    <row r="245" spans="1:22" x14ac:dyDescent="0.3">
      <c r="A245" t="s">
        <v>279</v>
      </c>
      <c r="B245" t="str">
        <f ca="1">OFFSET(Industries!C$1,MATCH(Table1[[#This Row],[Ticker]],Industries!$A$2:$A$150,0),0)</f>
        <v>Communication Services</v>
      </c>
      <c r="C245" t="str">
        <f ca="1">OFFSET(Industries!D$1,MATCH(Table1[[#This Row],[Ticker]],Industries!$A$2:$A$150,0),0)</f>
        <v>Media and Entertainment</v>
      </c>
      <c r="D245" t="str">
        <f ca="1">OFFSET(Industries!E$1,MATCH(Table1[[#This Row],[Ticker]],Industries!$A$2:$A$150,0),0)</f>
        <v>Entertainment</v>
      </c>
      <c r="E245" t="s">
        <v>43</v>
      </c>
      <c r="F245" t="str">
        <f ca="1">OFFSET(Industries!B$1,MATCH(Table1[[#This Row],[Ticker]],Industries!$A$2:$A$140,0),0)</f>
        <v>Mega-Cap</v>
      </c>
      <c r="G245" t="str">
        <f ca="1">OFFSET(Industries!F$1,MATCH(Table1[[#This Row],[Ticker]],Industries!$A$2:$A$140,0),0)</f>
        <v>BBB+</v>
      </c>
      <c r="H245" t="s">
        <v>1434</v>
      </c>
      <c r="I245" t="s">
        <v>1434</v>
      </c>
      <c r="J245" s="2">
        <v>45400</v>
      </c>
      <c r="K245" t="s">
        <v>2</v>
      </c>
      <c r="L245" t="s">
        <v>1708</v>
      </c>
      <c r="M245" t="s">
        <v>1709</v>
      </c>
      <c r="N245" s="1">
        <f>Table1[[#This Row],[Consideration Weight]]</f>
        <v>0.15</v>
      </c>
      <c r="O245" t="s">
        <v>4</v>
      </c>
      <c r="P245" s="3">
        <v>0.15</v>
      </c>
      <c r="Q245" s="3" t="s">
        <v>1636</v>
      </c>
      <c r="R245" t="s">
        <v>24</v>
      </c>
      <c r="S245" t="s">
        <v>509</v>
      </c>
      <c r="T245" t="s">
        <v>38</v>
      </c>
      <c r="U245" s="1">
        <v>0.65</v>
      </c>
      <c r="V245" t="s">
        <v>142</v>
      </c>
    </row>
    <row r="246" spans="1:22" x14ac:dyDescent="0.3">
      <c r="A246" t="s">
        <v>279</v>
      </c>
      <c r="B246" t="str">
        <f ca="1">OFFSET(Industries!C$1,MATCH(Table1[[#This Row],[Ticker]],Industries!$A$2:$A$150,0),0)</f>
        <v>Communication Services</v>
      </c>
      <c r="C246" t="str">
        <f ca="1">OFFSET(Industries!D$1,MATCH(Table1[[#This Row],[Ticker]],Industries!$A$2:$A$150,0),0)</f>
        <v>Media and Entertainment</v>
      </c>
      <c r="D246" t="str">
        <f ca="1">OFFSET(Industries!E$1,MATCH(Table1[[#This Row],[Ticker]],Industries!$A$2:$A$150,0),0)</f>
        <v>Entertainment</v>
      </c>
      <c r="E246" t="s">
        <v>43</v>
      </c>
      <c r="F246" t="str">
        <f ca="1">OFFSET(Industries!B$1,MATCH(Table1[[#This Row],[Ticker]],Industries!$A$2:$A$140,0),0)</f>
        <v>Mega-Cap</v>
      </c>
      <c r="G246" t="str">
        <f ca="1">OFFSET(Industries!F$1,MATCH(Table1[[#This Row],[Ticker]],Industries!$A$2:$A$140,0),0)</f>
        <v>BBB+</v>
      </c>
      <c r="H246" t="s">
        <v>1434</v>
      </c>
      <c r="I246" t="s">
        <v>1434</v>
      </c>
      <c r="J246" s="2">
        <v>45400</v>
      </c>
      <c r="K246" t="s">
        <v>2</v>
      </c>
      <c r="L246" t="s">
        <v>1708</v>
      </c>
      <c r="M246" t="s">
        <v>1709</v>
      </c>
      <c r="N246" s="1"/>
      <c r="O246" t="s">
        <v>4</v>
      </c>
      <c r="P246" s="3">
        <v>0.15</v>
      </c>
      <c r="Q246" s="3" t="s">
        <v>1636</v>
      </c>
      <c r="R246" t="s">
        <v>23</v>
      </c>
      <c r="S246" t="s">
        <v>1083</v>
      </c>
      <c r="T246" t="s">
        <v>7</v>
      </c>
      <c r="U246" s="1">
        <v>0.35</v>
      </c>
      <c r="V246" t="s">
        <v>142</v>
      </c>
    </row>
    <row r="247" spans="1:22" x14ac:dyDescent="0.3">
      <c r="A247" t="s">
        <v>279</v>
      </c>
      <c r="B247" t="str">
        <f ca="1">OFFSET(Industries!C$1,MATCH(Table1[[#This Row],[Ticker]],Industries!$A$2:$A$150,0),0)</f>
        <v>Communication Services</v>
      </c>
      <c r="C247" t="str">
        <f ca="1">OFFSET(Industries!D$1,MATCH(Table1[[#This Row],[Ticker]],Industries!$A$2:$A$150,0),0)</f>
        <v>Media and Entertainment</v>
      </c>
      <c r="D247" t="str">
        <f ca="1">OFFSET(Industries!E$1,MATCH(Table1[[#This Row],[Ticker]],Industries!$A$2:$A$150,0),0)</f>
        <v>Entertainment</v>
      </c>
      <c r="E247" t="s">
        <v>43</v>
      </c>
      <c r="F247" t="str">
        <f ca="1">OFFSET(Industries!B$1,MATCH(Table1[[#This Row],[Ticker]],Industries!$A$2:$A$140,0),0)</f>
        <v>Mega-Cap</v>
      </c>
      <c r="G247" t="str">
        <f ca="1">OFFSET(Industries!F$1,MATCH(Table1[[#This Row],[Ticker]],Industries!$A$2:$A$140,0),0)</f>
        <v>BBB+</v>
      </c>
      <c r="H247" t="s">
        <v>1434</v>
      </c>
      <c r="I247" t="s">
        <v>1434</v>
      </c>
      <c r="J247" s="2">
        <v>45400</v>
      </c>
      <c r="K247" t="s">
        <v>2</v>
      </c>
      <c r="L247" t="s">
        <v>1710</v>
      </c>
      <c r="M247" t="s">
        <v>1709</v>
      </c>
      <c r="N247" s="1">
        <f>Table1[[#This Row],[Consideration Weight]]</f>
        <v>0.38750000000000001</v>
      </c>
      <c r="O247" t="s">
        <v>476</v>
      </c>
      <c r="P247" s="3">
        <f>0.775/2</f>
        <v>0.38750000000000001</v>
      </c>
      <c r="Q247" s="3" t="s">
        <v>1646</v>
      </c>
      <c r="R247" t="s">
        <v>35</v>
      </c>
      <c r="S247" t="s">
        <v>29</v>
      </c>
      <c r="T247" t="s">
        <v>30</v>
      </c>
      <c r="U247" s="1">
        <v>1</v>
      </c>
      <c r="V247" t="s">
        <v>165</v>
      </c>
    </row>
    <row r="248" spans="1:22" x14ac:dyDescent="0.3">
      <c r="A248" t="s">
        <v>279</v>
      </c>
      <c r="B248" t="str">
        <f ca="1">OFFSET(Industries!C$1,MATCH(Table1[[#This Row],[Ticker]],Industries!$A$2:$A$150,0),0)</f>
        <v>Communication Services</v>
      </c>
      <c r="C248" t="str">
        <f ca="1">OFFSET(Industries!D$1,MATCH(Table1[[#This Row],[Ticker]],Industries!$A$2:$A$150,0),0)</f>
        <v>Media and Entertainment</v>
      </c>
      <c r="D248" t="str">
        <f ca="1">OFFSET(Industries!E$1,MATCH(Table1[[#This Row],[Ticker]],Industries!$A$2:$A$150,0),0)</f>
        <v>Entertainment</v>
      </c>
      <c r="E248" t="s">
        <v>43</v>
      </c>
      <c r="F248" t="str">
        <f ca="1">OFFSET(Industries!B$1,MATCH(Table1[[#This Row],[Ticker]],Industries!$A$2:$A$140,0),0)</f>
        <v>Mega-Cap</v>
      </c>
      <c r="G248" t="str">
        <f ca="1">OFFSET(Industries!F$1,MATCH(Table1[[#This Row],[Ticker]],Industries!$A$2:$A$140,0),0)</f>
        <v>BBB+</v>
      </c>
      <c r="H248" t="s">
        <v>1434</v>
      </c>
      <c r="I248" t="s">
        <v>1434</v>
      </c>
      <c r="J248" s="2">
        <v>45400</v>
      </c>
      <c r="K248" t="s">
        <v>2</v>
      </c>
      <c r="L248" t="s">
        <v>1710</v>
      </c>
      <c r="M248" t="s">
        <v>1711</v>
      </c>
      <c r="N248" s="1">
        <f>Table1[[#This Row],[Consideration Weight]]</f>
        <v>0.38750000000000001</v>
      </c>
      <c r="O248" t="s">
        <v>194</v>
      </c>
      <c r="P248" s="3">
        <f>0.775/2</f>
        <v>0.38750000000000001</v>
      </c>
      <c r="Q248" s="3"/>
    </row>
    <row r="249" spans="1:22" x14ac:dyDescent="0.3">
      <c r="A249" t="s">
        <v>279</v>
      </c>
      <c r="B249" t="str">
        <f ca="1">OFFSET(Industries!C$1,MATCH(Table1[[#This Row],[Ticker]],Industries!$A$2:$A$150,0),0)</f>
        <v>Communication Services</v>
      </c>
      <c r="C249" t="str">
        <f ca="1">OFFSET(Industries!D$1,MATCH(Table1[[#This Row],[Ticker]],Industries!$A$2:$A$150,0),0)</f>
        <v>Media and Entertainment</v>
      </c>
      <c r="D249" t="str">
        <f ca="1">OFFSET(Industries!E$1,MATCH(Table1[[#This Row],[Ticker]],Industries!$A$2:$A$150,0),0)</f>
        <v>Entertainment</v>
      </c>
      <c r="E249" t="s">
        <v>43</v>
      </c>
      <c r="F249" t="str">
        <f ca="1">OFFSET(Industries!B$1,MATCH(Table1[[#This Row],[Ticker]],Industries!$A$2:$A$140,0),0)</f>
        <v>Mega-Cap</v>
      </c>
      <c r="G249" t="str">
        <f ca="1">OFFSET(Industries!F$1,MATCH(Table1[[#This Row],[Ticker]],Industries!$A$2:$A$140,0),0)</f>
        <v>BBB+</v>
      </c>
      <c r="H249" t="s">
        <v>1434</v>
      </c>
      <c r="I249" t="s">
        <v>1434</v>
      </c>
      <c r="J249" s="2">
        <v>45400</v>
      </c>
      <c r="K249" t="s">
        <v>21</v>
      </c>
      <c r="L249" t="s">
        <v>3</v>
      </c>
      <c r="M249" t="s">
        <v>1711</v>
      </c>
      <c r="N249" s="1">
        <f>Table1[[#This Row],[Consideration Weight]]</f>
        <v>0.112</v>
      </c>
      <c r="O249" t="s">
        <v>3</v>
      </c>
      <c r="P249" s="3">
        <v>0.112</v>
      </c>
      <c r="Q249" s="3"/>
    </row>
    <row r="250" spans="1:22" x14ac:dyDescent="0.3">
      <c r="A250" t="s">
        <v>279</v>
      </c>
      <c r="B250" t="str">
        <f ca="1">OFFSET(Industries!C$1,MATCH(Table1[[#This Row],[Ticker]],Industries!$A$2:$A$150,0),0)</f>
        <v>Communication Services</v>
      </c>
      <c r="C250" t="str">
        <f ca="1">OFFSET(Industries!D$1,MATCH(Table1[[#This Row],[Ticker]],Industries!$A$2:$A$150,0),0)</f>
        <v>Media and Entertainment</v>
      </c>
      <c r="D250" t="str">
        <f ca="1">OFFSET(Industries!E$1,MATCH(Table1[[#This Row],[Ticker]],Industries!$A$2:$A$150,0),0)</f>
        <v>Entertainment</v>
      </c>
      <c r="E250" t="s">
        <v>43</v>
      </c>
      <c r="F250" t="str">
        <f ca="1">OFFSET(Industries!B$1,MATCH(Table1[[#This Row],[Ticker]],Industries!$A$2:$A$140,0),0)</f>
        <v>Mega-Cap</v>
      </c>
      <c r="G250" t="str">
        <f ca="1">OFFSET(Industries!F$1,MATCH(Table1[[#This Row],[Ticker]],Industries!$A$2:$A$140,0),0)</f>
        <v>BBB+</v>
      </c>
      <c r="H250" t="s">
        <v>1434</v>
      </c>
      <c r="I250" t="s">
        <v>1434</v>
      </c>
      <c r="J250" s="2">
        <v>45400</v>
      </c>
      <c r="K250" t="s">
        <v>21</v>
      </c>
      <c r="L250" t="s">
        <v>1708</v>
      </c>
      <c r="M250" t="s">
        <v>1709</v>
      </c>
      <c r="N250" s="1">
        <f>Table1[[#This Row],[Consideration Weight]]</f>
        <v>0.224</v>
      </c>
      <c r="O250" t="s">
        <v>4</v>
      </c>
      <c r="P250" s="3">
        <v>0.224</v>
      </c>
      <c r="Q250" s="3" t="s">
        <v>1636</v>
      </c>
      <c r="R250" t="s">
        <v>24</v>
      </c>
      <c r="S250" t="s">
        <v>509</v>
      </c>
      <c r="T250" t="s">
        <v>38</v>
      </c>
      <c r="U250" s="1">
        <v>0.65</v>
      </c>
    </row>
    <row r="251" spans="1:22" x14ac:dyDescent="0.3">
      <c r="A251" t="s">
        <v>279</v>
      </c>
      <c r="B251" t="str">
        <f ca="1">OFFSET(Industries!C$1,MATCH(Table1[[#This Row],[Ticker]],Industries!$A$2:$A$150,0),0)</f>
        <v>Communication Services</v>
      </c>
      <c r="C251" t="str">
        <f ca="1">OFFSET(Industries!D$1,MATCH(Table1[[#This Row],[Ticker]],Industries!$A$2:$A$150,0),0)</f>
        <v>Media and Entertainment</v>
      </c>
      <c r="D251" t="str">
        <f ca="1">OFFSET(Industries!E$1,MATCH(Table1[[#This Row],[Ticker]],Industries!$A$2:$A$150,0),0)</f>
        <v>Entertainment</v>
      </c>
      <c r="E251" t="s">
        <v>43</v>
      </c>
      <c r="F251" t="str">
        <f ca="1">OFFSET(Industries!B$1,MATCH(Table1[[#This Row],[Ticker]],Industries!$A$2:$A$140,0),0)</f>
        <v>Mega-Cap</v>
      </c>
      <c r="G251" t="str">
        <f ca="1">OFFSET(Industries!F$1,MATCH(Table1[[#This Row],[Ticker]],Industries!$A$2:$A$140,0),0)</f>
        <v>BBB+</v>
      </c>
      <c r="H251" t="s">
        <v>1434</v>
      </c>
      <c r="I251" t="s">
        <v>1434</v>
      </c>
      <c r="J251" s="2">
        <v>45400</v>
      </c>
      <c r="K251" t="s">
        <v>21</v>
      </c>
      <c r="L251" t="s">
        <v>1708</v>
      </c>
      <c r="M251" t="s">
        <v>1709</v>
      </c>
      <c r="N251" s="1"/>
      <c r="O251" t="s">
        <v>4</v>
      </c>
      <c r="P251" s="3">
        <v>0.224</v>
      </c>
      <c r="Q251" s="3" t="s">
        <v>1636</v>
      </c>
      <c r="R251" t="s">
        <v>23</v>
      </c>
      <c r="S251" t="s">
        <v>1083</v>
      </c>
      <c r="T251" t="s">
        <v>7</v>
      </c>
      <c r="U251" s="1">
        <v>0.35</v>
      </c>
    </row>
    <row r="252" spans="1:22" x14ac:dyDescent="0.3">
      <c r="A252" t="s">
        <v>279</v>
      </c>
      <c r="B252" t="str">
        <f ca="1">OFFSET(Industries!C$1,MATCH(Table1[[#This Row],[Ticker]],Industries!$A$2:$A$150,0),0)</f>
        <v>Communication Services</v>
      </c>
      <c r="C252" t="str">
        <f ca="1">OFFSET(Industries!D$1,MATCH(Table1[[#This Row],[Ticker]],Industries!$A$2:$A$150,0),0)</f>
        <v>Media and Entertainment</v>
      </c>
      <c r="D252" t="str">
        <f ca="1">OFFSET(Industries!E$1,MATCH(Table1[[#This Row],[Ticker]],Industries!$A$2:$A$150,0),0)</f>
        <v>Entertainment</v>
      </c>
      <c r="E252" t="s">
        <v>43</v>
      </c>
      <c r="F252" t="str">
        <f ca="1">OFFSET(Industries!B$1,MATCH(Table1[[#This Row],[Ticker]],Industries!$A$2:$A$140,0),0)</f>
        <v>Mega-Cap</v>
      </c>
      <c r="G252" t="str">
        <f ca="1">OFFSET(Industries!F$1,MATCH(Table1[[#This Row],[Ticker]],Industries!$A$2:$A$140,0),0)</f>
        <v>BBB+</v>
      </c>
      <c r="H252" t="s">
        <v>1434</v>
      </c>
      <c r="I252" t="s">
        <v>1434</v>
      </c>
      <c r="J252" s="2">
        <v>45400</v>
      </c>
      <c r="K252" t="s">
        <v>21</v>
      </c>
      <c r="L252" t="s">
        <v>1710</v>
      </c>
      <c r="M252" t="s">
        <v>1709</v>
      </c>
      <c r="N252" s="1">
        <f>Table1[[#This Row],[Consideration Weight]]</f>
        <v>0.33200000000000002</v>
      </c>
      <c r="O252" t="s">
        <v>476</v>
      </c>
      <c r="P252" s="3">
        <v>0.33200000000000002</v>
      </c>
      <c r="Q252" s="3" t="s">
        <v>1646</v>
      </c>
      <c r="R252" t="s">
        <v>35</v>
      </c>
      <c r="S252" t="s">
        <v>29</v>
      </c>
      <c r="T252" t="s">
        <v>30</v>
      </c>
      <c r="U252" s="1">
        <v>1</v>
      </c>
    </row>
    <row r="253" spans="1:22" x14ac:dyDescent="0.3">
      <c r="A253" t="s">
        <v>279</v>
      </c>
      <c r="B253" t="str">
        <f ca="1">OFFSET(Industries!C$1,MATCH(Table1[[#This Row],[Ticker]],Industries!$A$2:$A$150,0),0)</f>
        <v>Communication Services</v>
      </c>
      <c r="C253" t="str">
        <f ca="1">OFFSET(Industries!D$1,MATCH(Table1[[#This Row],[Ticker]],Industries!$A$2:$A$150,0),0)</f>
        <v>Media and Entertainment</v>
      </c>
      <c r="D253" t="str">
        <f ca="1">OFFSET(Industries!E$1,MATCH(Table1[[#This Row],[Ticker]],Industries!$A$2:$A$150,0),0)</f>
        <v>Entertainment</v>
      </c>
      <c r="E253" t="s">
        <v>43</v>
      </c>
      <c r="F253" t="str">
        <f ca="1">OFFSET(Industries!B$1,MATCH(Table1[[#This Row],[Ticker]],Industries!$A$2:$A$140,0),0)</f>
        <v>Mega-Cap</v>
      </c>
      <c r="G253" t="str">
        <f ca="1">OFFSET(Industries!F$1,MATCH(Table1[[#This Row],[Ticker]],Industries!$A$2:$A$140,0),0)</f>
        <v>BBB+</v>
      </c>
      <c r="H253" t="s">
        <v>1434</v>
      </c>
      <c r="I253" t="s">
        <v>1434</v>
      </c>
      <c r="J253" s="2">
        <v>45400</v>
      </c>
      <c r="K253" t="s">
        <v>21</v>
      </c>
      <c r="L253" t="s">
        <v>1710</v>
      </c>
      <c r="M253" t="s">
        <v>1711</v>
      </c>
      <c r="N253" s="1">
        <f>Table1[[#This Row],[Consideration Weight]]</f>
        <v>0.33200000000000002</v>
      </c>
      <c r="O253" t="s">
        <v>194</v>
      </c>
      <c r="P253" s="3">
        <v>0.33200000000000002</v>
      </c>
      <c r="Q253" s="3"/>
    </row>
    <row r="254" spans="1:22" x14ac:dyDescent="0.3">
      <c r="A254" t="s">
        <v>280</v>
      </c>
      <c r="B254" t="str">
        <f ca="1">OFFSET(Industries!C$1,MATCH(Table1[[#This Row],[Ticker]],Industries!$A$2:$A$150,0),0)</f>
        <v>Health Care</v>
      </c>
      <c r="C254" t="str">
        <f ca="1">OFFSET(Industries!D$1,MATCH(Table1[[#This Row],[Ticker]],Industries!$A$2:$A$150,0),0)</f>
        <v>Pharmaceuticals, Biotechnology and Life Sciences</v>
      </c>
      <c r="D254" t="str">
        <f ca="1">OFFSET(Industries!E$1,MATCH(Table1[[#This Row],[Ticker]],Industries!$A$2:$A$150,0),0)</f>
        <v>Biotechnology</v>
      </c>
      <c r="E254" t="s">
        <v>49</v>
      </c>
      <c r="F254" t="str">
        <f ca="1">OFFSET(Industries!B$1,MATCH(Table1[[#This Row],[Ticker]],Industries!$A$2:$A$140,0),0)</f>
        <v>Mega-Cap</v>
      </c>
      <c r="G254" t="str">
        <f ca="1">OFFSET(Industries!F$1,MATCH(Table1[[#This Row],[Ticker]],Industries!$A$2:$A$140,0),0)</f>
        <v>A-</v>
      </c>
      <c r="H254" t="s">
        <v>1434</v>
      </c>
      <c r="I254" t="s">
        <v>1434</v>
      </c>
      <c r="J254" s="2">
        <v>45369</v>
      </c>
      <c r="K254" t="s">
        <v>2</v>
      </c>
      <c r="L254" t="s">
        <v>3</v>
      </c>
      <c r="M254" t="s">
        <v>1711</v>
      </c>
      <c r="N254" s="1">
        <f>Table1[[#This Row],[Consideration Weight]]</f>
        <v>7.0000000000000007E-2</v>
      </c>
      <c r="O254" t="s">
        <v>3</v>
      </c>
      <c r="P254" s="3">
        <v>7.0000000000000007E-2</v>
      </c>
      <c r="Q254" s="3"/>
    </row>
    <row r="255" spans="1:22" x14ac:dyDescent="0.3">
      <c r="A255" t="s">
        <v>280</v>
      </c>
      <c r="B255" t="str">
        <f ca="1">OFFSET(Industries!C$1,MATCH(Table1[[#This Row],[Ticker]],Industries!$A$2:$A$150,0),0)</f>
        <v>Health Care</v>
      </c>
      <c r="C255" t="str">
        <f ca="1">OFFSET(Industries!D$1,MATCH(Table1[[#This Row],[Ticker]],Industries!$A$2:$A$150,0),0)</f>
        <v>Pharmaceuticals, Biotechnology and Life Sciences</v>
      </c>
      <c r="D255" t="str">
        <f ca="1">OFFSET(Industries!E$1,MATCH(Table1[[#This Row],[Ticker]],Industries!$A$2:$A$150,0),0)</f>
        <v>Biotechnology</v>
      </c>
      <c r="E255" t="s">
        <v>49</v>
      </c>
      <c r="F255" t="str">
        <f ca="1">OFFSET(Industries!B$1,MATCH(Table1[[#This Row],[Ticker]],Industries!$A$2:$A$140,0),0)</f>
        <v>Mega-Cap</v>
      </c>
      <c r="G255" t="str">
        <f ca="1">OFFSET(Industries!F$1,MATCH(Table1[[#This Row],[Ticker]],Industries!$A$2:$A$140,0),0)</f>
        <v>A-</v>
      </c>
      <c r="H255" t="s">
        <v>1434</v>
      </c>
      <c r="I255" t="s">
        <v>1434</v>
      </c>
      <c r="J255" s="2">
        <v>45368</v>
      </c>
      <c r="K255" t="s">
        <v>2</v>
      </c>
      <c r="L255" t="s">
        <v>1708</v>
      </c>
      <c r="M255" t="s">
        <v>1709</v>
      </c>
      <c r="N255" s="1">
        <f>Table1[[#This Row],[Consideration Weight]]</f>
        <v>0.16</v>
      </c>
      <c r="O255" t="s">
        <v>4</v>
      </c>
      <c r="P255" s="3">
        <v>0.16</v>
      </c>
      <c r="Q255" s="3" t="s">
        <v>1636</v>
      </c>
      <c r="R255" t="s">
        <v>24</v>
      </c>
      <c r="S255" t="s">
        <v>851</v>
      </c>
      <c r="T255" t="s">
        <v>166</v>
      </c>
      <c r="U255" s="1">
        <v>0.2</v>
      </c>
    </row>
    <row r="256" spans="1:22" x14ac:dyDescent="0.3">
      <c r="A256" t="s">
        <v>280</v>
      </c>
      <c r="B256" t="str">
        <f ca="1">OFFSET(Industries!C$1,MATCH(Table1[[#This Row],[Ticker]],Industries!$A$2:$A$150,0),0)</f>
        <v>Health Care</v>
      </c>
      <c r="C256" t="str">
        <f ca="1">OFFSET(Industries!D$1,MATCH(Table1[[#This Row],[Ticker]],Industries!$A$2:$A$150,0),0)</f>
        <v>Pharmaceuticals, Biotechnology and Life Sciences</v>
      </c>
      <c r="D256" t="str">
        <f ca="1">OFFSET(Industries!E$1,MATCH(Table1[[#This Row],[Ticker]],Industries!$A$2:$A$150,0),0)</f>
        <v>Biotechnology</v>
      </c>
      <c r="E256" t="s">
        <v>49</v>
      </c>
      <c r="F256" t="str">
        <f ca="1">OFFSET(Industries!B$1,MATCH(Table1[[#This Row],[Ticker]],Industries!$A$2:$A$140,0),0)</f>
        <v>Mega-Cap</v>
      </c>
      <c r="G256" t="str">
        <f ca="1">OFFSET(Industries!F$1,MATCH(Table1[[#This Row],[Ticker]],Industries!$A$2:$A$140,0),0)</f>
        <v>A-</v>
      </c>
      <c r="H256" t="s">
        <v>1434</v>
      </c>
      <c r="I256" t="s">
        <v>1434</v>
      </c>
      <c r="J256" s="2">
        <v>45369</v>
      </c>
      <c r="K256" t="s">
        <v>2</v>
      </c>
      <c r="L256" t="s">
        <v>1708</v>
      </c>
      <c r="M256" t="s">
        <v>1709</v>
      </c>
      <c r="N256" s="1"/>
      <c r="O256" t="s">
        <v>4</v>
      </c>
      <c r="P256" s="3">
        <v>0.16</v>
      </c>
      <c r="Q256" s="3" t="s">
        <v>1636</v>
      </c>
      <c r="R256" t="s">
        <v>23</v>
      </c>
      <c r="S256" t="s">
        <v>1083</v>
      </c>
      <c r="T256" t="s">
        <v>7</v>
      </c>
      <c r="U256" s="1">
        <v>0.2</v>
      </c>
      <c r="V256" t="s">
        <v>1171</v>
      </c>
    </row>
    <row r="257" spans="1:22" x14ac:dyDescent="0.3">
      <c r="A257" t="s">
        <v>280</v>
      </c>
      <c r="B257" t="str">
        <f ca="1">OFFSET(Industries!C$1,MATCH(Table1[[#This Row],[Ticker]],Industries!$A$2:$A$150,0),0)</f>
        <v>Health Care</v>
      </c>
      <c r="C257" t="str">
        <f ca="1">OFFSET(Industries!D$1,MATCH(Table1[[#This Row],[Ticker]],Industries!$A$2:$A$150,0),0)</f>
        <v>Pharmaceuticals, Biotechnology and Life Sciences</v>
      </c>
      <c r="D257" t="str">
        <f ca="1">OFFSET(Industries!E$1,MATCH(Table1[[#This Row],[Ticker]],Industries!$A$2:$A$150,0),0)</f>
        <v>Biotechnology</v>
      </c>
      <c r="E257" t="s">
        <v>49</v>
      </c>
      <c r="F257" t="str">
        <f ca="1">OFFSET(Industries!B$1,MATCH(Table1[[#This Row],[Ticker]],Industries!$A$2:$A$140,0),0)</f>
        <v>Mega-Cap</v>
      </c>
      <c r="G257" t="str">
        <f ca="1">OFFSET(Industries!F$1,MATCH(Table1[[#This Row],[Ticker]],Industries!$A$2:$A$140,0),0)</f>
        <v>A-</v>
      </c>
      <c r="H257" t="s">
        <v>1434</v>
      </c>
      <c r="I257" t="s">
        <v>1434</v>
      </c>
      <c r="J257" s="2">
        <v>45369</v>
      </c>
      <c r="K257" t="s">
        <v>2</v>
      </c>
      <c r="L257" t="s">
        <v>1708</v>
      </c>
      <c r="M257" t="s">
        <v>1709</v>
      </c>
      <c r="N257" s="1"/>
      <c r="O257" t="s">
        <v>4</v>
      </c>
      <c r="P257" s="3">
        <v>0.16</v>
      </c>
      <c r="Q257" s="3" t="s">
        <v>1636</v>
      </c>
      <c r="R257" t="s">
        <v>1059</v>
      </c>
      <c r="S257" t="s">
        <v>1103</v>
      </c>
      <c r="T257" t="s">
        <v>130</v>
      </c>
      <c r="U257" s="1">
        <v>0.2</v>
      </c>
      <c r="V257" t="s">
        <v>180</v>
      </c>
    </row>
    <row r="258" spans="1:22" x14ac:dyDescent="0.3">
      <c r="A258" t="s">
        <v>280</v>
      </c>
      <c r="B258" t="str">
        <f ca="1">OFFSET(Industries!C$1,MATCH(Table1[[#This Row],[Ticker]],Industries!$A$2:$A$150,0),0)</f>
        <v>Health Care</v>
      </c>
      <c r="C258" t="str">
        <f ca="1">OFFSET(Industries!D$1,MATCH(Table1[[#This Row],[Ticker]],Industries!$A$2:$A$150,0),0)</f>
        <v>Pharmaceuticals, Biotechnology and Life Sciences</v>
      </c>
      <c r="D258" t="str">
        <f ca="1">OFFSET(Industries!E$1,MATCH(Table1[[#This Row],[Ticker]],Industries!$A$2:$A$150,0),0)</f>
        <v>Biotechnology</v>
      </c>
      <c r="E258" t="s">
        <v>49</v>
      </c>
      <c r="F258" t="str">
        <f ca="1">OFFSET(Industries!B$1,MATCH(Table1[[#This Row],[Ticker]],Industries!$A$2:$A$140,0),0)</f>
        <v>Mega-Cap</v>
      </c>
      <c r="G258" t="str">
        <f ca="1">OFFSET(Industries!F$1,MATCH(Table1[[#This Row],[Ticker]],Industries!$A$2:$A$140,0),0)</f>
        <v>A-</v>
      </c>
      <c r="H258" t="s">
        <v>1434</v>
      </c>
      <c r="I258" t="s">
        <v>1434</v>
      </c>
      <c r="J258" s="2">
        <v>45369</v>
      </c>
      <c r="K258" t="s">
        <v>2</v>
      </c>
      <c r="L258" t="s">
        <v>1708</v>
      </c>
      <c r="M258" t="s">
        <v>1709</v>
      </c>
      <c r="N258" s="1"/>
      <c r="O258" t="s">
        <v>4</v>
      </c>
      <c r="P258" s="3">
        <v>0.16</v>
      </c>
      <c r="Q258" s="3" t="s">
        <v>1636</v>
      </c>
      <c r="R258" t="s">
        <v>24</v>
      </c>
      <c r="S258" t="s">
        <v>90</v>
      </c>
      <c r="T258" t="s">
        <v>8</v>
      </c>
      <c r="U258" s="1">
        <v>0.2</v>
      </c>
      <c r="V258" t="s">
        <v>181</v>
      </c>
    </row>
    <row r="259" spans="1:22" x14ac:dyDescent="0.3">
      <c r="A259" t="s">
        <v>280</v>
      </c>
      <c r="B259" t="str">
        <f ca="1">OFFSET(Industries!C$1,MATCH(Table1[[#This Row],[Ticker]],Industries!$A$2:$A$150,0),0)</f>
        <v>Health Care</v>
      </c>
      <c r="C259" t="str">
        <f ca="1">OFFSET(Industries!D$1,MATCH(Table1[[#This Row],[Ticker]],Industries!$A$2:$A$150,0),0)</f>
        <v>Pharmaceuticals, Biotechnology and Life Sciences</v>
      </c>
      <c r="D259" t="str">
        <f ca="1">OFFSET(Industries!E$1,MATCH(Table1[[#This Row],[Ticker]],Industries!$A$2:$A$150,0),0)</f>
        <v>Biotechnology</v>
      </c>
      <c r="E259" t="s">
        <v>49</v>
      </c>
      <c r="F259" t="str">
        <f ca="1">OFFSET(Industries!B$1,MATCH(Table1[[#This Row],[Ticker]],Industries!$A$2:$A$140,0),0)</f>
        <v>Mega-Cap</v>
      </c>
      <c r="G259" t="str">
        <f ca="1">OFFSET(Industries!F$1,MATCH(Table1[[#This Row],[Ticker]],Industries!$A$2:$A$140,0),0)</f>
        <v>A-</v>
      </c>
      <c r="H259" t="s">
        <v>1434</v>
      </c>
      <c r="I259" t="s">
        <v>1434</v>
      </c>
      <c r="J259" s="2">
        <v>45369</v>
      </c>
      <c r="K259" t="s">
        <v>2</v>
      </c>
      <c r="L259" t="s">
        <v>1708</v>
      </c>
      <c r="M259" t="s">
        <v>1709</v>
      </c>
      <c r="N259" s="1"/>
      <c r="O259" t="s">
        <v>4</v>
      </c>
      <c r="P259" s="3">
        <v>0.16</v>
      </c>
      <c r="Q259" s="3" t="s">
        <v>1637</v>
      </c>
      <c r="R259" t="s">
        <v>25</v>
      </c>
      <c r="S259" t="s">
        <v>344</v>
      </c>
      <c r="T259" t="s">
        <v>167</v>
      </c>
      <c r="U259" s="1">
        <v>0.1</v>
      </c>
      <c r="V259" t="s">
        <v>168</v>
      </c>
    </row>
    <row r="260" spans="1:22" x14ac:dyDescent="0.3">
      <c r="A260" t="s">
        <v>280</v>
      </c>
      <c r="B260" t="str">
        <f ca="1">OFFSET(Industries!C$1,MATCH(Table1[[#This Row],[Ticker]],Industries!$A$2:$A$150,0),0)</f>
        <v>Health Care</v>
      </c>
      <c r="C260" t="str">
        <f ca="1">OFFSET(Industries!D$1,MATCH(Table1[[#This Row],[Ticker]],Industries!$A$2:$A$150,0),0)</f>
        <v>Pharmaceuticals, Biotechnology and Life Sciences</v>
      </c>
      <c r="D260" t="str">
        <f ca="1">OFFSET(Industries!E$1,MATCH(Table1[[#This Row],[Ticker]],Industries!$A$2:$A$150,0),0)</f>
        <v>Biotechnology</v>
      </c>
      <c r="E260" t="s">
        <v>49</v>
      </c>
      <c r="F260" t="str">
        <f ca="1">OFFSET(Industries!B$1,MATCH(Table1[[#This Row],[Ticker]],Industries!$A$2:$A$140,0),0)</f>
        <v>Mega-Cap</v>
      </c>
      <c r="G260" t="str">
        <f ca="1">OFFSET(Industries!F$1,MATCH(Table1[[#This Row],[Ticker]],Industries!$A$2:$A$140,0),0)</f>
        <v>A-</v>
      </c>
      <c r="H260" t="s">
        <v>1434</v>
      </c>
      <c r="I260" t="s">
        <v>1434</v>
      </c>
      <c r="J260" s="2">
        <v>45369</v>
      </c>
      <c r="K260" t="s">
        <v>2</v>
      </c>
      <c r="L260" t="s">
        <v>1708</v>
      </c>
      <c r="M260" t="s">
        <v>1709</v>
      </c>
      <c r="N260" s="1"/>
      <c r="O260" t="s">
        <v>4</v>
      </c>
      <c r="P260" s="3">
        <v>0.16</v>
      </c>
      <c r="Q260" s="3" t="s">
        <v>1637</v>
      </c>
      <c r="R260" t="s">
        <v>26</v>
      </c>
      <c r="S260" t="s">
        <v>26</v>
      </c>
      <c r="T260" t="s">
        <v>169</v>
      </c>
      <c r="U260" s="1">
        <v>0.1</v>
      </c>
    </row>
    <row r="261" spans="1:22" x14ac:dyDescent="0.3">
      <c r="A261" t="s">
        <v>280</v>
      </c>
      <c r="B261" t="str">
        <f ca="1">OFFSET(Industries!C$1,MATCH(Table1[[#This Row],[Ticker]],Industries!$A$2:$A$150,0),0)</f>
        <v>Health Care</v>
      </c>
      <c r="C261" t="str">
        <f ca="1">OFFSET(Industries!D$1,MATCH(Table1[[#This Row],[Ticker]],Industries!$A$2:$A$150,0),0)</f>
        <v>Pharmaceuticals, Biotechnology and Life Sciences</v>
      </c>
      <c r="D261" t="str">
        <f ca="1">OFFSET(Industries!E$1,MATCH(Table1[[#This Row],[Ticker]],Industries!$A$2:$A$150,0),0)</f>
        <v>Biotechnology</v>
      </c>
      <c r="E261" t="s">
        <v>49</v>
      </c>
      <c r="F261" t="str">
        <f ca="1">OFFSET(Industries!B$1,MATCH(Table1[[#This Row],[Ticker]],Industries!$A$2:$A$140,0),0)</f>
        <v>Mega-Cap</v>
      </c>
      <c r="G261" t="str">
        <f ca="1">OFFSET(Industries!F$1,MATCH(Table1[[#This Row],[Ticker]],Industries!$A$2:$A$140,0),0)</f>
        <v>A-</v>
      </c>
      <c r="H261" t="s">
        <v>1434</v>
      </c>
      <c r="I261" t="s">
        <v>1434</v>
      </c>
      <c r="J261" s="2">
        <v>45369</v>
      </c>
      <c r="K261" t="s">
        <v>2</v>
      </c>
      <c r="L261" t="s">
        <v>1708</v>
      </c>
      <c r="M261" t="s">
        <v>1709</v>
      </c>
      <c r="N261" s="1"/>
      <c r="O261" t="s">
        <v>4</v>
      </c>
      <c r="P261" s="3">
        <v>0.16</v>
      </c>
      <c r="Q261" s="3"/>
      <c r="R261" t="s">
        <v>28</v>
      </c>
      <c r="S261" t="s">
        <v>1110</v>
      </c>
      <c r="T261" t="s">
        <v>172</v>
      </c>
      <c r="V261" t="s">
        <v>173</v>
      </c>
    </row>
    <row r="262" spans="1:22" x14ac:dyDescent="0.3">
      <c r="A262" t="s">
        <v>280</v>
      </c>
      <c r="B262" t="str">
        <f ca="1">OFFSET(Industries!C$1,MATCH(Table1[[#This Row],[Ticker]],Industries!$A$2:$A$150,0),0)</f>
        <v>Health Care</v>
      </c>
      <c r="C262" t="str">
        <f ca="1">OFFSET(Industries!D$1,MATCH(Table1[[#This Row],[Ticker]],Industries!$A$2:$A$150,0),0)</f>
        <v>Pharmaceuticals, Biotechnology and Life Sciences</v>
      </c>
      <c r="D262" t="str">
        <f ca="1">OFFSET(Industries!E$1,MATCH(Table1[[#This Row],[Ticker]],Industries!$A$2:$A$150,0),0)</f>
        <v>Biotechnology</v>
      </c>
      <c r="E262" t="s">
        <v>49</v>
      </c>
      <c r="F262" t="str">
        <f ca="1">OFFSET(Industries!B$1,MATCH(Table1[[#This Row],[Ticker]],Industries!$A$2:$A$140,0),0)</f>
        <v>Mega-Cap</v>
      </c>
      <c r="G262" t="str">
        <f ca="1">OFFSET(Industries!F$1,MATCH(Table1[[#This Row],[Ticker]],Industries!$A$2:$A$140,0),0)</f>
        <v>A-</v>
      </c>
      <c r="H262" t="s">
        <v>1434</v>
      </c>
      <c r="I262" t="s">
        <v>1434</v>
      </c>
      <c r="J262" s="2">
        <v>45369</v>
      </c>
      <c r="K262" t="s">
        <v>2</v>
      </c>
      <c r="L262" t="s">
        <v>1710</v>
      </c>
      <c r="M262" t="s">
        <v>1709</v>
      </c>
      <c r="N262" s="1">
        <f>Table1[[#This Row],[Consideration Weight]]</f>
        <v>0.6160000000000001</v>
      </c>
      <c r="O262" t="s">
        <v>476</v>
      </c>
      <c r="P262" s="3">
        <f>0.8*0.77</f>
        <v>0.6160000000000001</v>
      </c>
      <c r="Q262" s="3" t="s">
        <v>1636</v>
      </c>
      <c r="R262" t="s">
        <v>24</v>
      </c>
      <c r="S262" t="s">
        <v>1089</v>
      </c>
      <c r="T262" t="s">
        <v>50</v>
      </c>
      <c r="U262" s="1">
        <v>0.5</v>
      </c>
      <c r="V262" t="s">
        <v>182</v>
      </c>
    </row>
    <row r="263" spans="1:22" x14ac:dyDescent="0.3">
      <c r="A263" t="s">
        <v>280</v>
      </c>
      <c r="B263" t="str">
        <f ca="1">OFFSET(Industries!C$1,MATCH(Table1[[#This Row],[Ticker]],Industries!$A$2:$A$150,0),0)</f>
        <v>Health Care</v>
      </c>
      <c r="C263" t="str">
        <f ca="1">OFFSET(Industries!D$1,MATCH(Table1[[#This Row],[Ticker]],Industries!$A$2:$A$150,0),0)</f>
        <v>Pharmaceuticals, Biotechnology and Life Sciences</v>
      </c>
      <c r="D263" t="str">
        <f ca="1">OFFSET(Industries!E$1,MATCH(Table1[[#This Row],[Ticker]],Industries!$A$2:$A$150,0),0)</f>
        <v>Biotechnology</v>
      </c>
      <c r="E263" t="s">
        <v>49</v>
      </c>
      <c r="F263" t="str">
        <f ca="1">OFFSET(Industries!B$1,MATCH(Table1[[#This Row],[Ticker]],Industries!$A$2:$A$140,0),0)</f>
        <v>Mega-Cap</v>
      </c>
      <c r="G263" t="str">
        <f ca="1">OFFSET(Industries!F$1,MATCH(Table1[[#This Row],[Ticker]],Industries!$A$2:$A$140,0),0)</f>
        <v>A-</v>
      </c>
      <c r="H263" t="s">
        <v>1434</v>
      </c>
      <c r="I263" t="s">
        <v>1434</v>
      </c>
      <c r="J263" s="2">
        <v>45369</v>
      </c>
      <c r="K263" t="s">
        <v>2</v>
      </c>
      <c r="L263" t="s">
        <v>1710</v>
      </c>
      <c r="M263" t="s">
        <v>1709</v>
      </c>
      <c r="N263" s="1"/>
      <c r="O263" t="s">
        <v>476</v>
      </c>
      <c r="P263" s="3">
        <f>0.8*0.77</f>
        <v>0.6160000000000001</v>
      </c>
      <c r="Q263" s="3" t="s">
        <v>1636</v>
      </c>
      <c r="R263" t="s">
        <v>1059</v>
      </c>
      <c r="S263" t="s">
        <v>1101</v>
      </c>
      <c r="T263" t="s">
        <v>1109</v>
      </c>
      <c r="U263" s="1">
        <v>0.5</v>
      </c>
      <c r="V263" t="s">
        <v>1763</v>
      </c>
    </row>
    <row r="264" spans="1:22" x14ac:dyDescent="0.3">
      <c r="A264" t="s">
        <v>280</v>
      </c>
      <c r="B264" t="str">
        <f ca="1">OFFSET(Industries!C$1,MATCH(Table1[[#This Row],[Ticker]],Industries!$A$2:$A$150,0),0)</f>
        <v>Health Care</v>
      </c>
      <c r="C264" t="str">
        <f ca="1">OFFSET(Industries!D$1,MATCH(Table1[[#This Row],[Ticker]],Industries!$A$2:$A$150,0),0)</f>
        <v>Pharmaceuticals, Biotechnology and Life Sciences</v>
      </c>
      <c r="D264" t="str">
        <f ca="1">OFFSET(Industries!E$1,MATCH(Table1[[#This Row],[Ticker]],Industries!$A$2:$A$150,0),0)</f>
        <v>Biotechnology</v>
      </c>
      <c r="E264" t="s">
        <v>49</v>
      </c>
      <c r="F264" t="str">
        <f ca="1">OFFSET(Industries!B$1,MATCH(Table1[[#This Row],[Ticker]],Industries!$A$2:$A$140,0),0)</f>
        <v>Mega-Cap</v>
      </c>
      <c r="G264" t="str">
        <f ca="1">OFFSET(Industries!F$1,MATCH(Table1[[#This Row],[Ticker]],Industries!$A$2:$A$140,0),0)</f>
        <v>A-</v>
      </c>
      <c r="H264" t="s">
        <v>1434</v>
      </c>
      <c r="I264" t="s">
        <v>1434</v>
      </c>
      <c r="J264" s="2">
        <v>45369</v>
      </c>
      <c r="K264" t="s">
        <v>2</v>
      </c>
      <c r="L264" t="s">
        <v>1710</v>
      </c>
      <c r="M264" t="s">
        <v>1709</v>
      </c>
      <c r="N264" s="1"/>
      <c r="O264" t="s">
        <v>476</v>
      </c>
      <c r="P264" s="3">
        <f>0.8*0.77</f>
        <v>0.6160000000000001</v>
      </c>
      <c r="Q264" s="3"/>
      <c r="R264" t="s">
        <v>28</v>
      </c>
      <c r="S264" t="s">
        <v>1085</v>
      </c>
      <c r="T264" t="s">
        <v>30</v>
      </c>
      <c r="V264" t="s">
        <v>225</v>
      </c>
    </row>
    <row r="265" spans="1:22" x14ac:dyDescent="0.3">
      <c r="A265" t="s">
        <v>280</v>
      </c>
      <c r="B265" t="str">
        <f ca="1">OFFSET(Industries!C$1,MATCH(Table1[[#This Row],[Ticker]],Industries!$A$2:$A$150,0),0)</f>
        <v>Health Care</v>
      </c>
      <c r="C265" t="str">
        <f ca="1">OFFSET(Industries!D$1,MATCH(Table1[[#This Row],[Ticker]],Industries!$A$2:$A$150,0),0)</f>
        <v>Pharmaceuticals, Biotechnology and Life Sciences</v>
      </c>
      <c r="D265" t="str">
        <f ca="1">OFFSET(Industries!E$1,MATCH(Table1[[#This Row],[Ticker]],Industries!$A$2:$A$150,0),0)</f>
        <v>Biotechnology</v>
      </c>
      <c r="E265" t="s">
        <v>49</v>
      </c>
      <c r="F265" t="str">
        <f ca="1">OFFSET(Industries!B$1,MATCH(Table1[[#This Row],[Ticker]],Industries!$A$2:$A$140,0),0)</f>
        <v>Mega-Cap</v>
      </c>
      <c r="G265" t="str">
        <f ca="1">OFFSET(Industries!F$1,MATCH(Table1[[#This Row],[Ticker]],Industries!$A$2:$A$140,0),0)</f>
        <v>A-</v>
      </c>
      <c r="H265" t="s">
        <v>1434</v>
      </c>
      <c r="I265" t="s">
        <v>1434</v>
      </c>
      <c r="J265" s="2">
        <v>45369</v>
      </c>
      <c r="K265" t="s">
        <v>2</v>
      </c>
      <c r="L265" t="s">
        <v>1710</v>
      </c>
      <c r="M265" t="s">
        <v>1711</v>
      </c>
      <c r="N265" s="1">
        <f>Table1[[#This Row],[Consideration Weight]]</f>
        <v>0.15400000000000003</v>
      </c>
      <c r="O265" t="s">
        <v>87</v>
      </c>
      <c r="P265" s="3">
        <f>0.2*0.77</f>
        <v>0.15400000000000003</v>
      </c>
      <c r="Q265" s="3"/>
    </row>
    <row r="266" spans="1:22" x14ac:dyDescent="0.3">
      <c r="A266" t="s">
        <v>280</v>
      </c>
      <c r="B266" t="str">
        <f ca="1">OFFSET(Industries!C$1,MATCH(Table1[[#This Row],[Ticker]],Industries!$A$2:$A$150,0),0)</f>
        <v>Health Care</v>
      </c>
      <c r="C266" t="str">
        <f ca="1">OFFSET(Industries!D$1,MATCH(Table1[[#This Row],[Ticker]],Industries!$A$2:$A$150,0),0)</f>
        <v>Pharmaceuticals, Biotechnology and Life Sciences</v>
      </c>
      <c r="D266" t="str">
        <f ca="1">OFFSET(Industries!E$1,MATCH(Table1[[#This Row],[Ticker]],Industries!$A$2:$A$150,0),0)</f>
        <v>Biotechnology</v>
      </c>
      <c r="E266" t="s">
        <v>49</v>
      </c>
      <c r="F266" t="str">
        <f ca="1">OFFSET(Industries!B$1,MATCH(Table1[[#This Row],[Ticker]],Industries!$A$2:$A$140,0),0)</f>
        <v>Mega-Cap</v>
      </c>
      <c r="G266" t="str">
        <f ca="1">OFFSET(Industries!F$1,MATCH(Table1[[#This Row],[Ticker]],Industries!$A$2:$A$140,0),0)</f>
        <v>A-</v>
      </c>
      <c r="H266" t="s">
        <v>1434</v>
      </c>
      <c r="I266" t="s">
        <v>1434</v>
      </c>
      <c r="J266" s="2">
        <v>45369</v>
      </c>
      <c r="K266" t="s">
        <v>21</v>
      </c>
      <c r="L266" t="s">
        <v>3</v>
      </c>
      <c r="M266" t="s">
        <v>1711</v>
      </c>
      <c r="N266" s="1">
        <f>Table1[[#This Row],[Consideration Weight]]</f>
        <v>0.13</v>
      </c>
      <c r="O266" t="s">
        <v>3</v>
      </c>
      <c r="P266" s="3">
        <v>0.13</v>
      </c>
      <c r="Q266" s="3"/>
    </row>
    <row r="267" spans="1:22" x14ac:dyDescent="0.3">
      <c r="A267" t="s">
        <v>280</v>
      </c>
      <c r="B267" t="str">
        <f ca="1">OFFSET(Industries!C$1,MATCH(Table1[[#This Row],[Ticker]],Industries!$A$2:$A$150,0),0)</f>
        <v>Health Care</v>
      </c>
      <c r="C267" t="str">
        <f ca="1">OFFSET(Industries!D$1,MATCH(Table1[[#This Row],[Ticker]],Industries!$A$2:$A$150,0),0)</f>
        <v>Pharmaceuticals, Biotechnology and Life Sciences</v>
      </c>
      <c r="D267" t="str">
        <f ca="1">OFFSET(Industries!E$1,MATCH(Table1[[#This Row],[Ticker]],Industries!$A$2:$A$150,0),0)</f>
        <v>Biotechnology</v>
      </c>
      <c r="E267" t="s">
        <v>49</v>
      </c>
      <c r="F267" t="str">
        <f ca="1">OFFSET(Industries!B$1,MATCH(Table1[[#This Row],[Ticker]],Industries!$A$2:$A$140,0),0)</f>
        <v>Mega-Cap</v>
      </c>
      <c r="G267" t="str">
        <f ca="1">OFFSET(Industries!F$1,MATCH(Table1[[#This Row],[Ticker]],Industries!$A$2:$A$140,0),0)</f>
        <v>A-</v>
      </c>
      <c r="H267" t="s">
        <v>1434</v>
      </c>
      <c r="I267" t="s">
        <v>1434</v>
      </c>
      <c r="J267" s="2">
        <v>45368</v>
      </c>
      <c r="K267" t="s">
        <v>21</v>
      </c>
      <c r="L267" t="s">
        <v>1708</v>
      </c>
      <c r="M267" t="s">
        <v>1709</v>
      </c>
      <c r="N267" s="1">
        <f>Table1[[#This Row],[Consideration Weight]]</f>
        <v>0.27</v>
      </c>
      <c r="O267" t="s">
        <v>4</v>
      </c>
      <c r="P267" s="3">
        <v>0.27</v>
      </c>
      <c r="Q267" s="3" t="s">
        <v>1636</v>
      </c>
      <c r="R267" t="s">
        <v>24</v>
      </c>
      <c r="S267" t="s">
        <v>851</v>
      </c>
      <c r="T267" t="s">
        <v>166</v>
      </c>
      <c r="U267" s="1">
        <v>0.2</v>
      </c>
    </row>
    <row r="268" spans="1:22" x14ac:dyDescent="0.3">
      <c r="A268" t="s">
        <v>280</v>
      </c>
      <c r="B268" t="str">
        <f ca="1">OFFSET(Industries!C$1,MATCH(Table1[[#This Row],[Ticker]],Industries!$A$2:$A$150,0),0)</f>
        <v>Health Care</v>
      </c>
      <c r="C268" t="str">
        <f ca="1">OFFSET(Industries!D$1,MATCH(Table1[[#This Row],[Ticker]],Industries!$A$2:$A$150,0),0)</f>
        <v>Pharmaceuticals, Biotechnology and Life Sciences</v>
      </c>
      <c r="D268" t="str">
        <f ca="1">OFFSET(Industries!E$1,MATCH(Table1[[#This Row],[Ticker]],Industries!$A$2:$A$150,0),0)</f>
        <v>Biotechnology</v>
      </c>
      <c r="E268" t="s">
        <v>49</v>
      </c>
      <c r="F268" t="str">
        <f ca="1">OFFSET(Industries!B$1,MATCH(Table1[[#This Row],[Ticker]],Industries!$A$2:$A$140,0),0)</f>
        <v>Mega-Cap</v>
      </c>
      <c r="G268" t="str">
        <f ca="1">OFFSET(Industries!F$1,MATCH(Table1[[#This Row],[Ticker]],Industries!$A$2:$A$140,0),0)</f>
        <v>A-</v>
      </c>
      <c r="H268" t="s">
        <v>1434</v>
      </c>
      <c r="I268" t="s">
        <v>1434</v>
      </c>
      <c r="J268" s="2">
        <v>45369</v>
      </c>
      <c r="K268" t="s">
        <v>21</v>
      </c>
      <c r="L268" t="s">
        <v>1708</v>
      </c>
      <c r="M268" t="s">
        <v>1709</v>
      </c>
      <c r="N268" s="1"/>
      <c r="O268" t="s">
        <v>4</v>
      </c>
      <c r="P268" s="3">
        <v>0.27</v>
      </c>
      <c r="Q268" s="3" t="s">
        <v>1636</v>
      </c>
      <c r="R268" t="s">
        <v>23</v>
      </c>
      <c r="S268" t="s">
        <v>1083</v>
      </c>
      <c r="T268" t="s">
        <v>7</v>
      </c>
      <c r="U268" s="1">
        <v>0.15</v>
      </c>
    </row>
    <row r="269" spans="1:22" x14ac:dyDescent="0.3">
      <c r="A269" t="s">
        <v>280</v>
      </c>
      <c r="B269" t="str">
        <f ca="1">OFFSET(Industries!C$1,MATCH(Table1[[#This Row],[Ticker]],Industries!$A$2:$A$150,0),0)</f>
        <v>Health Care</v>
      </c>
      <c r="C269" t="str">
        <f ca="1">OFFSET(Industries!D$1,MATCH(Table1[[#This Row],[Ticker]],Industries!$A$2:$A$150,0),0)</f>
        <v>Pharmaceuticals, Biotechnology and Life Sciences</v>
      </c>
      <c r="D269" t="str">
        <f ca="1">OFFSET(Industries!E$1,MATCH(Table1[[#This Row],[Ticker]],Industries!$A$2:$A$150,0),0)</f>
        <v>Biotechnology</v>
      </c>
      <c r="E269" t="s">
        <v>49</v>
      </c>
      <c r="F269" t="str">
        <f ca="1">OFFSET(Industries!B$1,MATCH(Table1[[#This Row],[Ticker]],Industries!$A$2:$A$140,0),0)</f>
        <v>Mega-Cap</v>
      </c>
      <c r="G269" t="str">
        <f ca="1">OFFSET(Industries!F$1,MATCH(Table1[[#This Row],[Ticker]],Industries!$A$2:$A$140,0),0)</f>
        <v>A-</v>
      </c>
      <c r="H269" t="s">
        <v>1434</v>
      </c>
      <c r="I269" t="s">
        <v>1434</v>
      </c>
      <c r="J269" s="2">
        <v>45369</v>
      </c>
      <c r="K269" t="s">
        <v>21</v>
      </c>
      <c r="L269" t="s">
        <v>1708</v>
      </c>
      <c r="M269" t="s">
        <v>1709</v>
      </c>
      <c r="N269" s="1"/>
      <c r="O269" t="s">
        <v>4</v>
      </c>
      <c r="P269" s="3">
        <v>0.27</v>
      </c>
      <c r="Q269" s="3" t="s">
        <v>1636</v>
      </c>
      <c r="R269" t="s">
        <v>24</v>
      </c>
      <c r="S269" t="s">
        <v>1103</v>
      </c>
      <c r="T269" t="s">
        <v>130</v>
      </c>
      <c r="U269" s="1">
        <v>0.15</v>
      </c>
    </row>
    <row r="270" spans="1:22" x14ac:dyDescent="0.3">
      <c r="A270" t="s">
        <v>280</v>
      </c>
      <c r="B270" t="str">
        <f ca="1">OFFSET(Industries!C$1,MATCH(Table1[[#This Row],[Ticker]],Industries!$A$2:$A$150,0),0)</f>
        <v>Health Care</v>
      </c>
      <c r="C270" t="str">
        <f ca="1">OFFSET(Industries!D$1,MATCH(Table1[[#This Row],[Ticker]],Industries!$A$2:$A$150,0),0)</f>
        <v>Pharmaceuticals, Biotechnology and Life Sciences</v>
      </c>
      <c r="D270" t="str">
        <f ca="1">OFFSET(Industries!E$1,MATCH(Table1[[#This Row],[Ticker]],Industries!$A$2:$A$150,0),0)</f>
        <v>Biotechnology</v>
      </c>
      <c r="E270" t="s">
        <v>49</v>
      </c>
      <c r="F270" t="str">
        <f ca="1">OFFSET(Industries!B$1,MATCH(Table1[[#This Row],[Ticker]],Industries!$A$2:$A$140,0),0)</f>
        <v>Mega-Cap</v>
      </c>
      <c r="G270" t="str">
        <f ca="1">OFFSET(Industries!F$1,MATCH(Table1[[#This Row],[Ticker]],Industries!$A$2:$A$140,0),0)</f>
        <v>A-</v>
      </c>
      <c r="H270" t="s">
        <v>1434</v>
      </c>
      <c r="I270" t="s">
        <v>1434</v>
      </c>
      <c r="J270" s="2">
        <v>45369</v>
      </c>
      <c r="K270" t="s">
        <v>21</v>
      </c>
      <c r="L270" t="s">
        <v>1708</v>
      </c>
      <c r="M270" t="s">
        <v>1709</v>
      </c>
      <c r="N270" s="1"/>
      <c r="O270" t="s">
        <v>4</v>
      </c>
      <c r="P270" s="3">
        <v>0.27</v>
      </c>
      <c r="Q270" s="3" t="s">
        <v>1636</v>
      </c>
      <c r="R270" t="s">
        <v>24</v>
      </c>
      <c r="S270" t="s">
        <v>90</v>
      </c>
      <c r="T270" t="s">
        <v>8</v>
      </c>
      <c r="U270" s="1">
        <v>0.15</v>
      </c>
    </row>
    <row r="271" spans="1:22" x14ac:dyDescent="0.3">
      <c r="A271" t="s">
        <v>280</v>
      </c>
      <c r="B271" t="str">
        <f ca="1">OFFSET(Industries!C$1,MATCH(Table1[[#This Row],[Ticker]],Industries!$A$2:$A$150,0),0)</f>
        <v>Health Care</v>
      </c>
      <c r="C271" t="str">
        <f ca="1">OFFSET(Industries!D$1,MATCH(Table1[[#This Row],[Ticker]],Industries!$A$2:$A$150,0),0)</f>
        <v>Pharmaceuticals, Biotechnology and Life Sciences</v>
      </c>
      <c r="D271" t="str">
        <f ca="1">OFFSET(Industries!E$1,MATCH(Table1[[#This Row],[Ticker]],Industries!$A$2:$A$150,0),0)</f>
        <v>Biotechnology</v>
      </c>
      <c r="E271" t="s">
        <v>49</v>
      </c>
      <c r="F271" t="str">
        <f ca="1">OFFSET(Industries!B$1,MATCH(Table1[[#This Row],[Ticker]],Industries!$A$2:$A$140,0),0)</f>
        <v>Mega-Cap</v>
      </c>
      <c r="G271" t="str">
        <f ca="1">OFFSET(Industries!F$1,MATCH(Table1[[#This Row],[Ticker]],Industries!$A$2:$A$140,0),0)</f>
        <v>A-</v>
      </c>
      <c r="H271" t="s">
        <v>1434</v>
      </c>
      <c r="I271" t="s">
        <v>1434</v>
      </c>
      <c r="J271" s="2">
        <v>45369</v>
      </c>
      <c r="K271" t="s">
        <v>21</v>
      </c>
      <c r="L271" t="s">
        <v>1708</v>
      </c>
      <c r="M271" t="s">
        <v>1709</v>
      </c>
      <c r="N271" s="1"/>
      <c r="O271" t="s">
        <v>4</v>
      </c>
      <c r="P271" s="3">
        <v>0.27</v>
      </c>
      <c r="Q271" s="3" t="s">
        <v>1637</v>
      </c>
      <c r="R271" t="s">
        <v>25</v>
      </c>
      <c r="S271" t="s">
        <v>344</v>
      </c>
      <c r="T271" t="s">
        <v>167</v>
      </c>
      <c r="U271" s="1">
        <v>2.5000000000000001E-2</v>
      </c>
      <c r="V271" t="s">
        <v>177</v>
      </c>
    </row>
    <row r="272" spans="1:22" x14ac:dyDescent="0.3">
      <c r="A272" t="s">
        <v>280</v>
      </c>
      <c r="B272" t="str">
        <f ca="1">OFFSET(Industries!C$1,MATCH(Table1[[#This Row],[Ticker]],Industries!$A$2:$A$150,0),0)</f>
        <v>Health Care</v>
      </c>
      <c r="C272" t="str">
        <f ca="1">OFFSET(Industries!D$1,MATCH(Table1[[#This Row],[Ticker]],Industries!$A$2:$A$150,0),0)</f>
        <v>Pharmaceuticals, Biotechnology and Life Sciences</v>
      </c>
      <c r="D272" t="str">
        <f ca="1">OFFSET(Industries!E$1,MATCH(Table1[[#This Row],[Ticker]],Industries!$A$2:$A$150,0),0)</f>
        <v>Biotechnology</v>
      </c>
      <c r="E272" t="s">
        <v>49</v>
      </c>
      <c r="F272" t="str">
        <f ca="1">OFFSET(Industries!B$1,MATCH(Table1[[#This Row],[Ticker]],Industries!$A$2:$A$140,0),0)</f>
        <v>Mega-Cap</v>
      </c>
      <c r="G272" t="str">
        <f ca="1">OFFSET(Industries!F$1,MATCH(Table1[[#This Row],[Ticker]],Industries!$A$2:$A$140,0),0)</f>
        <v>A-</v>
      </c>
      <c r="H272" t="s">
        <v>1434</v>
      </c>
      <c r="I272" t="s">
        <v>1434</v>
      </c>
      <c r="J272" s="2">
        <v>45369</v>
      </c>
      <c r="K272" t="s">
        <v>21</v>
      </c>
      <c r="L272" t="s">
        <v>1708</v>
      </c>
      <c r="M272" t="s">
        <v>1709</v>
      </c>
      <c r="N272" s="1"/>
      <c r="O272" t="s">
        <v>4</v>
      </c>
      <c r="P272" s="3">
        <v>0.27</v>
      </c>
      <c r="Q272" s="3" t="s">
        <v>1637</v>
      </c>
      <c r="R272" t="s">
        <v>26</v>
      </c>
      <c r="S272" t="s">
        <v>26</v>
      </c>
      <c r="T272" t="s">
        <v>169</v>
      </c>
      <c r="U272" s="1">
        <v>0.1</v>
      </c>
    </row>
    <row r="273" spans="1:22" x14ac:dyDescent="0.3">
      <c r="A273" t="s">
        <v>280</v>
      </c>
      <c r="B273" t="str">
        <f ca="1">OFFSET(Industries!C$1,MATCH(Table1[[#This Row],[Ticker]],Industries!$A$2:$A$150,0),0)</f>
        <v>Health Care</v>
      </c>
      <c r="C273" t="str">
        <f ca="1">OFFSET(Industries!D$1,MATCH(Table1[[#This Row],[Ticker]],Industries!$A$2:$A$150,0),0)</f>
        <v>Pharmaceuticals, Biotechnology and Life Sciences</v>
      </c>
      <c r="D273" t="str">
        <f ca="1">OFFSET(Industries!E$1,MATCH(Table1[[#This Row],[Ticker]],Industries!$A$2:$A$150,0),0)</f>
        <v>Biotechnology</v>
      </c>
      <c r="E273" t="s">
        <v>49</v>
      </c>
      <c r="F273" t="str">
        <f ca="1">OFFSET(Industries!B$1,MATCH(Table1[[#This Row],[Ticker]],Industries!$A$2:$A$140,0),0)</f>
        <v>Mega-Cap</v>
      </c>
      <c r="G273" t="str">
        <f ca="1">OFFSET(Industries!F$1,MATCH(Table1[[#This Row],[Ticker]],Industries!$A$2:$A$140,0),0)</f>
        <v>A-</v>
      </c>
      <c r="H273" t="s">
        <v>1434</v>
      </c>
      <c r="I273" t="s">
        <v>1434</v>
      </c>
      <c r="J273" s="2">
        <v>45369</v>
      </c>
      <c r="K273" t="s">
        <v>21</v>
      </c>
      <c r="L273" t="s">
        <v>1708</v>
      </c>
      <c r="M273" t="s">
        <v>1709</v>
      </c>
      <c r="N273" s="1"/>
      <c r="O273" t="s">
        <v>4</v>
      </c>
      <c r="P273" s="3">
        <v>0.27</v>
      </c>
      <c r="Q273" s="3" t="s">
        <v>1637</v>
      </c>
      <c r="R273" t="s">
        <v>25</v>
      </c>
      <c r="S273" t="s">
        <v>1086</v>
      </c>
      <c r="T273" t="s">
        <v>175</v>
      </c>
      <c r="U273" s="1">
        <v>2.5000000000000001E-2</v>
      </c>
      <c r="V273" t="s">
        <v>176</v>
      </c>
    </row>
    <row r="274" spans="1:22" x14ac:dyDescent="0.3">
      <c r="A274" t="s">
        <v>280</v>
      </c>
      <c r="B274" t="str">
        <f ca="1">OFFSET(Industries!C$1,MATCH(Table1[[#This Row],[Ticker]],Industries!$A$2:$A$150,0),0)</f>
        <v>Health Care</v>
      </c>
      <c r="C274" t="str">
        <f ca="1">OFFSET(Industries!D$1,MATCH(Table1[[#This Row],[Ticker]],Industries!$A$2:$A$150,0),0)</f>
        <v>Pharmaceuticals, Biotechnology and Life Sciences</v>
      </c>
      <c r="D274" t="str">
        <f ca="1">OFFSET(Industries!E$1,MATCH(Table1[[#This Row],[Ticker]],Industries!$A$2:$A$150,0),0)</f>
        <v>Biotechnology</v>
      </c>
      <c r="E274" t="s">
        <v>49</v>
      </c>
      <c r="F274" t="str">
        <f ca="1">OFFSET(Industries!B$1,MATCH(Table1[[#This Row],[Ticker]],Industries!$A$2:$A$140,0),0)</f>
        <v>Mega-Cap</v>
      </c>
      <c r="G274" t="str">
        <f ca="1">OFFSET(Industries!F$1,MATCH(Table1[[#This Row],[Ticker]],Industries!$A$2:$A$140,0),0)</f>
        <v>A-</v>
      </c>
      <c r="H274" t="s">
        <v>1434</v>
      </c>
      <c r="I274" t="s">
        <v>1434</v>
      </c>
      <c r="J274" s="2">
        <v>45369</v>
      </c>
      <c r="K274" t="s">
        <v>21</v>
      </c>
      <c r="L274" t="s">
        <v>1708</v>
      </c>
      <c r="M274" t="s">
        <v>1709</v>
      </c>
      <c r="N274" s="1"/>
      <c r="O274" t="s">
        <v>4</v>
      </c>
      <c r="P274" s="3">
        <v>0.27</v>
      </c>
      <c r="Q274" s="3" t="s">
        <v>1637</v>
      </c>
      <c r="R274" t="s">
        <v>25</v>
      </c>
      <c r="S274" t="s">
        <v>344</v>
      </c>
      <c r="T274" t="s">
        <v>64</v>
      </c>
      <c r="U274" s="1">
        <v>0.2</v>
      </c>
      <c r="V274" t="s">
        <v>178</v>
      </c>
    </row>
    <row r="275" spans="1:22" x14ac:dyDescent="0.3">
      <c r="A275" t="s">
        <v>280</v>
      </c>
      <c r="B275" t="str">
        <f ca="1">OFFSET(Industries!C$1,MATCH(Table1[[#This Row],[Ticker]],Industries!$A$2:$A$150,0),0)</f>
        <v>Health Care</v>
      </c>
      <c r="C275" t="str">
        <f ca="1">OFFSET(Industries!D$1,MATCH(Table1[[#This Row],[Ticker]],Industries!$A$2:$A$150,0),0)</f>
        <v>Pharmaceuticals, Biotechnology and Life Sciences</v>
      </c>
      <c r="D275" t="str">
        <f ca="1">OFFSET(Industries!E$1,MATCH(Table1[[#This Row],[Ticker]],Industries!$A$2:$A$150,0),0)</f>
        <v>Biotechnology</v>
      </c>
      <c r="E275" t="s">
        <v>49</v>
      </c>
      <c r="F275" t="str">
        <f ca="1">OFFSET(Industries!B$1,MATCH(Table1[[#This Row],[Ticker]],Industries!$A$2:$A$140,0),0)</f>
        <v>Mega-Cap</v>
      </c>
      <c r="G275" t="str">
        <f ca="1">OFFSET(Industries!F$1,MATCH(Table1[[#This Row],[Ticker]],Industries!$A$2:$A$140,0),0)</f>
        <v>A-</v>
      </c>
      <c r="H275" t="s">
        <v>1434</v>
      </c>
      <c r="I275" t="s">
        <v>1434</v>
      </c>
      <c r="J275" s="2">
        <v>45369</v>
      </c>
      <c r="K275" t="s">
        <v>21</v>
      </c>
      <c r="L275" t="s">
        <v>1708</v>
      </c>
      <c r="M275" t="s">
        <v>1709</v>
      </c>
      <c r="N275" s="1"/>
      <c r="O275" t="s">
        <v>4</v>
      </c>
      <c r="P275" s="3">
        <v>0.27</v>
      </c>
      <c r="Q275" s="3"/>
      <c r="R275" t="s">
        <v>28</v>
      </c>
      <c r="S275" t="s">
        <v>1110</v>
      </c>
      <c r="T275" t="s">
        <v>172</v>
      </c>
    </row>
    <row r="276" spans="1:22" x14ac:dyDescent="0.3">
      <c r="A276" t="s">
        <v>280</v>
      </c>
      <c r="B276" t="str">
        <f ca="1">OFFSET(Industries!C$1,MATCH(Table1[[#This Row],[Ticker]],Industries!$A$2:$A$150,0),0)</f>
        <v>Health Care</v>
      </c>
      <c r="C276" t="str">
        <f ca="1">OFFSET(Industries!D$1,MATCH(Table1[[#This Row],[Ticker]],Industries!$A$2:$A$150,0),0)</f>
        <v>Pharmaceuticals, Biotechnology and Life Sciences</v>
      </c>
      <c r="D276" t="str">
        <f ca="1">OFFSET(Industries!E$1,MATCH(Table1[[#This Row],[Ticker]],Industries!$A$2:$A$150,0),0)</f>
        <v>Biotechnology</v>
      </c>
      <c r="E276" t="s">
        <v>49</v>
      </c>
      <c r="F276" t="str">
        <f ca="1">OFFSET(Industries!B$1,MATCH(Table1[[#This Row],[Ticker]],Industries!$A$2:$A$140,0),0)</f>
        <v>Mega-Cap</v>
      </c>
      <c r="G276" t="str">
        <f ca="1">OFFSET(Industries!F$1,MATCH(Table1[[#This Row],[Ticker]],Industries!$A$2:$A$140,0),0)</f>
        <v>A-</v>
      </c>
      <c r="H276" t="s">
        <v>1434</v>
      </c>
      <c r="I276" t="s">
        <v>1434</v>
      </c>
      <c r="J276" s="2">
        <v>45369</v>
      </c>
      <c r="K276" t="s">
        <v>21</v>
      </c>
      <c r="L276" t="s">
        <v>1710</v>
      </c>
      <c r="M276" t="s">
        <v>1709</v>
      </c>
      <c r="N276" s="1">
        <f>Table1[[#This Row],[Consideration Weight]]</f>
        <v>0.48</v>
      </c>
      <c r="O276" t="s">
        <v>476</v>
      </c>
      <c r="P276" s="3">
        <f>0.6*0.8</f>
        <v>0.48</v>
      </c>
      <c r="Q276" s="3" t="s">
        <v>1636</v>
      </c>
      <c r="R276" t="s">
        <v>24</v>
      </c>
      <c r="S276" t="s">
        <v>1089</v>
      </c>
      <c r="T276" t="s">
        <v>50</v>
      </c>
      <c r="U276" s="1">
        <v>0.5</v>
      </c>
    </row>
    <row r="277" spans="1:22" x14ac:dyDescent="0.3">
      <c r="A277" t="s">
        <v>280</v>
      </c>
      <c r="B277" t="str">
        <f ca="1">OFFSET(Industries!C$1,MATCH(Table1[[#This Row],[Ticker]],Industries!$A$2:$A$150,0),0)</f>
        <v>Health Care</v>
      </c>
      <c r="C277" t="str">
        <f ca="1">OFFSET(Industries!D$1,MATCH(Table1[[#This Row],[Ticker]],Industries!$A$2:$A$150,0),0)</f>
        <v>Pharmaceuticals, Biotechnology and Life Sciences</v>
      </c>
      <c r="D277" t="str">
        <f ca="1">OFFSET(Industries!E$1,MATCH(Table1[[#This Row],[Ticker]],Industries!$A$2:$A$150,0),0)</f>
        <v>Biotechnology</v>
      </c>
      <c r="E277" t="s">
        <v>49</v>
      </c>
      <c r="F277" t="str">
        <f ca="1">OFFSET(Industries!B$1,MATCH(Table1[[#This Row],[Ticker]],Industries!$A$2:$A$140,0),0)</f>
        <v>Mega-Cap</v>
      </c>
      <c r="G277" t="str">
        <f ca="1">OFFSET(Industries!F$1,MATCH(Table1[[#This Row],[Ticker]],Industries!$A$2:$A$140,0),0)</f>
        <v>A-</v>
      </c>
      <c r="H277" t="s">
        <v>1434</v>
      </c>
      <c r="I277" t="s">
        <v>1434</v>
      </c>
      <c r="J277" s="2">
        <v>45369</v>
      </c>
      <c r="K277" t="s">
        <v>21</v>
      </c>
      <c r="L277" t="s">
        <v>1710</v>
      </c>
      <c r="M277" t="s">
        <v>1709</v>
      </c>
      <c r="N277" s="1"/>
      <c r="O277" t="s">
        <v>476</v>
      </c>
      <c r="P277" s="3">
        <f t="shared" ref="P277:P278" si="6">0.6*0.8</f>
        <v>0.48</v>
      </c>
      <c r="Q277" s="3" t="s">
        <v>1636</v>
      </c>
      <c r="R277" t="s">
        <v>1059</v>
      </c>
      <c r="S277" t="s">
        <v>1101</v>
      </c>
      <c r="T277" t="s">
        <v>174</v>
      </c>
      <c r="U277" s="1">
        <v>0.5</v>
      </c>
    </row>
    <row r="278" spans="1:22" x14ac:dyDescent="0.3">
      <c r="A278" t="s">
        <v>280</v>
      </c>
      <c r="B278" t="str">
        <f ca="1">OFFSET(Industries!C$1,MATCH(Table1[[#This Row],[Ticker]],Industries!$A$2:$A$150,0),0)</f>
        <v>Health Care</v>
      </c>
      <c r="C278" t="str">
        <f ca="1">OFFSET(Industries!D$1,MATCH(Table1[[#This Row],[Ticker]],Industries!$A$2:$A$150,0),0)</f>
        <v>Pharmaceuticals, Biotechnology and Life Sciences</v>
      </c>
      <c r="D278" t="str">
        <f ca="1">OFFSET(Industries!E$1,MATCH(Table1[[#This Row],[Ticker]],Industries!$A$2:$A$150,0),0)</f>
        <v>Biotechnology</v>
      </c>
      <c r="E278" t="s">
        <v>49</v>
      </c>
      <c r="F278" t="str">
        <f ca="1">OFFSET(Industries!B$1,MATCH(Table1[[#This Row],[Ticker]],Industries!$A$2:$A$140,0),0)</f>
        <v>Mega-Cap</v>
      </c>
      <c r="G278" t="str">
        <f ca="1">OFFSET(Industries!F$1,MATCH(Table1[[#This Row],[Ticker]],Industries!$A$2:$A$140,0),0)</f>
        <v>A-</v>
      </c>
      <c r="H278" t="s">
        <v>1434</v>
      </c>
      <c r="I278" t="s">
        <v>1434</v>
      </c>
      <c r="J278" s="2">
        <v>45369</v>
      </c>
      <c r="K278" t="s">
        <v>21</v>
      </c>
      <c r="L278" t="s">
        <v>1710</v>
      </c>
      <c r="M278" t="s">
        <v>1709</v>
      </c>
      <c r="N278" s="1"/>
      <c r="O278" t="s">
        <v>476</v>
      </c>
      <c r="P278" s="3">
        <f t="shared" si="6"/>
        <v>0.48</v>
      </c>
      <c r="Q278" s="3"/>
      <c r="R278" t="s">
        <v>28</v>
      </c>
      <c r="S278" t="s">
        <v>1085</v>
      </c>
      <c r="T278" t="s">
        <v>30</v>
      </c>
    </row>
    <row r="279" spans="1:22" x14ac:dyDescent="0.3">
      <c r="A279" t="s">
        <v>280</v>
      </c>
      <c r="B279" t="str">
        <f ca="1">OFFSET(Industries!C$1,MATCH(Table1[[#This Row],[Ticker]],Industries!$A$2:$A$150,0),0)</f>
        <v>Health Care</v>
      </c>
      <c r="C279" t="str">
        <f ca="1">OFFSET(Industries!D$1,MATCH(Table1[[#This Row],[Ticker]],Industries!$A$2:$A$150,0),0)</f>
        <v>Pharmaceuticals, Biotechnology and Life Sciences</v>
      </c>
      <c r="D279" t="str">
        <f ca="1">OFFSET(Industries!E$1,MATCH(Table1[[#This Row],[Ticker]],Industries!$A$2:$A$150,0),0)</f>
        <v>Biotechnology</v>
      </c>
      <c r="E279" t="s">
        <v>49</v>
      </c>
      <c r="F279" t="str">
        <f ca="1">OFFSET(Industries!B$1,MATCH(Table1[[#This Row],[Ticker]],Industries!$A$2:$A$140,0),0)</f>
        <v>Mega-Cap</v>
      </c>
      <c r="G279" t="str">
        <f ca="1">OFFSET(Industries!F$1,MATCH(Table1[[#This Row],[Ticker]],Industries!$A$2:$A$140,0),0)</f>
        <v>A-</v>
      </c>
      <c r="H279" t="s">
        <v>1434</v>
      </c>
      <c r="I279" t="s">
        <v>1434</v>
      </c>
      <c r="J279" s="2">
        <v>45369</v>
      </c>
      <c r="K279" t="s">
        <v>21</v>
      </c>
      <c r="L279" t="s">
        <v>1710</v>
      </c>
      <c r="M279" t="s">
        <v>1711</v>
      </c>
      <c r="N279" s="1">
        <f>Table1[[#This Row],[Consideration Weight]]</f>
        <v>0.12</v>
      </c>
      <c r="O279" t="s">
        <v>87</v>
      </c>
      <c r="P279" s="3">
        <f>0.6*0.2</f>
        <v>0.12</v>
      </c>
      <c r="Q279" s="3"/>
    </row>
    <row r="280" spans="1:22" x14ac:dyDescent="0.3">
      <c r="A280" t="s">
        <v>281</v>
      </c>
      <c r="B280" t="str">
        <f ca="1">OFFSET(Industries!C$1,MATCH(Table1[[#This Row],[Ticker]],Industries!$A$2:$A$150,0),0)</f>
        <v>Consumer Discretionary</v>
      </c>
      <c r="C280" t="str">
        <f ca="1">OFFSET(Industries!D$1,MATCH(Table1[[#This Row],[Ticker]],Industries!$A$2:$A$150,0),0)</f>
        <v>Consumer Discretionary Distribution and Retail</v>
      </c>
      <c r="D280" t="str">
        <f ca="1">OFFSET(Industries!E$1,MATCH(Table1[[#This Row],[Ticker]],Industries!$A$2:$A$150,0),0)</f>
        <v>Specialty Retail</v>
      </c>
      <c r="E280" t="s">
        <v>179</v>
      </c>
      <c r="F280" t="str">
        <f ca="1">OFFSET(Industries!B$1,MATCH(Table1[[#This Row],[Ticker]],Industries!$A$2:$A$140,0),0)</f>
        <v>Mega-Cap</v>
      </c>
      <c r="G280" t="str">
        <f ca="1">OFFSET(Industries!F$1,MATCH(Table1[[#This Row],[Ticker]],Industries!$A$2:$A$140,0),0)</f>
        <v>A</v>
      </c>
      <c r="H280" t="s">
        <v>1434</v>
      </c>
      <c r="I280" t="s">
        <v>1434</v>
      </c>
      <c r="J280" s="2">
        <v>45383</v>
      </c>
      <c r="K280" t="s">
        <v>2</v>
      </c>
      <c r="L280" t="s">
        <v>3</v>
      </c>
      <c r="M280" t="s">
        <v>1711</v>
      </c>
      <c r="N280" s="1">
        <f>Table1[[#This Row],[Consideration Weight]]</f>
        <v>9.5000000000000001E-2</v>
      </c>
      <c r="O280" t="s">
        <v>3</v>
      </c>
      <c r="P280" s="3">
        <v>9.5000000000000001E-2</v>
      </c>
      <c r="Q280" s="3"/>
    </row>
    <row r="281" spans="1:22" x14ac:dyDescent="0.3">
      <c r="A281" t="s">
        <v>281</v>
      </c>
      <c r="B281" t="str">
        <f ca="1">OFFSET(Industries!C$1,MATCH(Table1[[#This Row],[Ticker]],Industries!$A$2:$A$150,0),0)</f>
        <v>Consumer Discretionary</v>
      </c>
      <c r="C281" t="str">
        <f ca="1">OFFSET(Industries!D$1,MATCH(Table1[[#This Row],[Ticker]],Industries!$A$2:$A$150,0),0)</f>
        <v>Consumer Discretionary Distribution and Retail</v>
      </c>
      <c r="D281" t="str">
        <f ca="1">OFFSET(Industries!E$1,MATCH(Table1[[#This Row],[Ticker]],Industries!$A$2:$A$150,0),0)</f>
        <v>Specialty Retail</v>
      </c>
      <c r="E281" t="s">
        <v>179</v>
      </c>
      <c r="F281" t="str">
        <f ca="1">OFFSET(Industries!B$1,MATCH(Table1[[#This Row],[Ticker]],Industries!$A$2:$A$140,0),0)</f>
        <v>Mega-Cap</v>
      </c>
      <c r="G281" t="str">
        <f ca="1">OFFSET(Industries!F$1,MATCH(Table1[[#This Row],[Ticker]],Industries!$A$2:$A$140,0),0)</f>
        <v>A</v>
      </c>
      <c r="H281" t="s">
        <v>1434</v>
      </c>
      <c r="I281" t="s">
        <v>1434</v>
      </c>
      <c r="J281" s="2">
        <v>45383</v>
      </c>
      <c r="K281" t="s">
        <v>2</v>
      </c>
      <c r="L281" t="s">
        <v>1708</v>
      </c>
      <c r="M281" t="s">
        <v>1709</v>
      </c>
      <c r="N281" s="1">
        <f>Table1[[#This Row],[Consideration Weight]]</f>
        <v>0.19</v>
      </c>
      <c r="O281" t="s">
        <v>4</v>
      </c>
      <c r="P281" s="3">
        <v>0.19</v>
      </c>
      <c r="Q281" s="3" t="s">
        <v>1636</v>
      </c>
      <c r="R281" t="s">
        <v>23</v>
      </c>
      <c r="S281" t="s">
        <v>1083</v>
      </c>
      <c r="T281" t="s">
        <v>7</v>
      </c>
      <c r="U281" s="1">
        <v>0.45</v>
      </c>
      <c r="V281" t="s">
        <v>184</v>
      </c>
    </row>
    <row r="282" spans="1:22" x14ac:dyDescent="0.3">
      <c r="A282" t="s">
        <v>281</v>
      </c>
      <c r="B282" t="str">
        <f ca="1">OFFSET(Industries!C$1,MATCH(Table1[[#This Row],[Ticker]],Industries!$A$2:$A$150,0),0)</f>
        <v>Consumer Discretionary</v>
      </c>
      <c r="C282" t="str">
        <f ca="1">OFFSET(Industries!D$1,MATCH(Table1[[#This Row],[Ticker]],Industries!$A$2:$A$150,0),0)</f>
        <v>Consumer Discretionary Distribution and Retail</v>
      </c>
      <c r="D282" t="str">
        <f ca="1">OFFSET(Industries!E$1,MATCH(Table1[[#This Row],[Ticker]],Industries!$A$2:$A$150,0),0)</f>
        <v>Specialty Retail</v>
      </c>
      <c r="E282" t="s">
        <v>179</v>
      </c>
      <c r="F282" t="str">
        <f ca="1">OFFSET(Industries!B$1,MATCH(Table1[[#This Row],[Ticker]],Industries!$A$2:$A$140,0),0)</f>
        <v>Mega-Cap</v>
      </c>
      <c r="G282" t="str">
        <f ca="1">OFFSET(Industries!F$1,MATCH(Table1[[#This Row],[Ticker]],Industries!$A$2:$A$140,0),0)</f>
        <v>A</v>
      </c>
      <c r="H282" t="s">
        <v>1434</v>
      </c>
      <c r="I282" t="s">
        <v>1434</v>
      </c>
      <c r="J282" s="2">
        <v>45383</v>
      </c>
      <c r="K282" t="s">
        <v>2</v>
      </c>
      <c r="L282" t="s">
        <v>1708</v>
      </c>
      <c r="M282" t="s">
        <v>1709</v>
      </c>
      <c r="N282" s="1"/>
      <c r="O282" t="s">
        <v>4</v>
      </c>
      <c r="P282" s="3">
        <v>0.19</v>
      </c>
      <c r="Q282" s="3" t="s">
        <v>1636</v>
      </c>
      <c r="R282" t="s">
        <v>23</v>
      </c>
      <c r="S282" t="s">
        <v>90</v>
      </c>
      <c r="T282" t="s">
        <v>8</v>
      </c>
      <c r="U282" s="1">
        <v>0.45</v>
      </c>
      <c r="V282" t="s">
        <v>185</v>
      </c>
    </row>
    <row r="283" spans="1:22" x14ac:dyDescent="0.3">
      <c r="A283" t="s">
        <v>281</v>
      </c>
      <c r="B283" t="str">
        <f ca="1">OFFSET(Industries!C$1,MATCH(Table1[[#This Row],[Ticker]],Industries!$A$2:$A$150,0),0)</f>
        <v>Consumer Discretionary</v>
      </c>
      <c r="C283" t="str">
        <f ca="1">OFFSET(Industries!D$1,MATCH(Table1[[#This Row],[Ticker]],Industries!$A$2:$A$150,0),0)</f>
        <v>Consumer Discretionary Distribution and Retail</v>
      </c>
      <c r="D283" t="str">
        <f ca="1">OFFSET(Industries!E$1,MATCH(Table1[[#This Row],[Ticker]],Industries!$A$2:$A$150,0),0)</f>
        <v>Specialty Retail</v>
      </c>
      <c r="E283" t="s">
        <v>179</v>
      </c>
      <c r="F283" t="str">
        <f ca="1">OFFSET(Industries!B$1,MATCH(Table1[[#This Row],[Ticker]],Industries!$A$2:$A$140,0),0)</f>
        <v>Mega-Cap</v>
      </c>
      <c r="G283" t="str">
        <f ca="1">OFFSET(Industries!F$1,MATCH(Table1[[#This Row],[Ticker]],Industries!$A$2:$A$140,0),0)</f>
        <v>A</v>
      </c>
      <c r="H283" t="s">
        <v>1434</v>
      </c>
      <c r="I283" t="s">
        <v>1434</v>
      </c>
      <c r="J283" s="2">
        <v>45383</v>
      </c>
      <c r="K283" t="s">
        <v>2</v>
      </c>
      <c r="L283" t="s">
        <v>1708</v>
      </c>
      <c r="M283" t="s">
        <v>1709</v>
      </c>
      <c r="N283" s="1"/>
      <c r="O283" t="s">
        <v>4</v>
      </c>
      <c r="P283" s="3">
        <v>0.19</v>
      </c>
      <c r="Q283" s="3" t="s">
        <v>1636</v>
      </c>
      <c r="R283" t="s">
        <v>62</v>
      </c>
      <c r="S283" t="s">
        <v>1111</v>
      </c>
      <c r="T283" t="s">
        <v>183</v>
      </c>
      <c r="U283" s="1">
        <v>0.1</v>
      </c>
    </row>
    <row r="284" spans="1:22" x14ac:dyDescent="0.3">
      <c r="A284" t="s">
        <v>281</v>
      </c>
      <c r="B284" t="str">
        <f ca="1">OFFSET(Industries!C$1,MATCH(Table1[[#This Row],[Ticker]],Industries!$A$2:$A$150,0),0)</f>
        <v>Consumer Discretionary</v>
      </c>
      <c r="C284" t="str">
        <f ca="1">OFFSET(Industries!D$1,MATCH(Table1[[#This Row],[Ticker]],Industries!$A$2:$A$150,0),0)</f>
        <v>Consumer Discretionary Distribution and Retail</v>
      </c>
      <c r="D284" t="str">
        <f ca="1">OFFSET(Industries!E$1,MATCH(Table1[[#This Row],[Ticker]],Industries!$A$2:$A$150,0),0)</f>
        <v>Specialty Retail</v>
      </c>
      <c r="E284" t="s">
        <v>179</v>
      </c>
      <c r="F284" t="str">
        <f ca="1">OFFSET(Industries!B$1,MATCH(Table1[[#This Row],[Ticker]],Industries!$A$2:$A$140,0),0)</f>
        <v>Mega-Cap</v>
      </c>
      <c r="G284" t="str">
        <f ca="1">OFFSET(Industries!F$1,MATCH(Table1[[#This Row],[Ticker]],Industries!$A$2:$A$140,0),0)</f>
        <v>A</v>
      </c>
      <c r="H284" t="s">
        <v>1434</v>
      </c>
      <c r="I284" t="s">
        <v>1434</v>
      </c>
      <c r="J284" s="2">
        <v>45383</v>
      </c>
      <c r="K284" t="s">
        <v>2</v>
      </c>
      <c r="L284" t="s">
        <v>1710</v>
      </c>
      <c r="M284" t="s">
        <v>1709</v>
      </c>
      <c r="N284" s="1">
        <f>Table1[[#This Row],[Consideration Weight]]</f>
        <v>0.35799999999999998</v>
      </c>
      <c r="O284" t="s">
        <v>476</v>
      </c>
      <c r="P284" s="3">
        <f>0.358</f>
        <v>0.35799999999999998</v>
      </c>
      <c r="Q284" s="3" t="s">
        <v>1636</v>
      </c>
      <c r="R284" t="s">
        <v>1059</v>
      </c>
      <c r="S284" t="s">
        <v>1101</v>
      </c>
      <c r="T284" t="s">
        <v>1252</v>
      </c>
      <c r="U284" s="1">
        <v>0.5</v>
      </c>
      <c r="V284" t="s">
        <v>186</v>
      </c>
    </row>
    <row r="285" spans="1:22" x14ac:dyDescent="0.3">
      <c r="A285" t="s">
        <v>281</v>
      </c>
      <c r="B285" t="str">
        <f ca="1">OFFSET(Industries!C$1,MATCH(Table1[[#This Row],[Ticker]],Industries!$A$2:$A$150,0),0)</f>
        <v>Consumer Discretionary</v>
      </c>
      <c r="C285" t="str">
        <f ca="1">OFFSET(Industries!D$1,MATCH(Table1[[#This Row],[Ticker]],Industries!$A$2:$A$150,0),0)</f>
        <v>Consumer Discretionary Distribution and Retail</v>
      </c>
      <c r="D285" t="str">
        <f ca="1">OFFSET(Industries!E$1,MATCH(Table1[[#This Row],[Ticker]],Industries!$A$2:$A$150,0),0)</f>
        <v>Specialty Retail</v>
      </c>
      <c r="E285" t="s">
        <v>179</v>
      </c>
      <c r="F285" t="str">
        <f ca="1">OFFSET(Industries!B$1,MATCH(Table1[[#This Row],[Ticker]],Industries!$A$2:$A$140,0),0)</f>
        <v>Mega-Cap</v>
      </c>
      <c r="G285" t="str">
        <f ca="1">OFFSET(Industries!F$1,MATCH(Table1[[#This Row],[Ticker]],Industries!$A$2:$A$140,0),0)</f>
        <v>A</v>
      </c>
      <c r="H285" t="s">
        <v>1434</v>
      </c>
      <c r="I285" t="s">
        <v>1434</v>
      </c>
      <c r="J285" s="2">
        <v>45383</v>
      </c>
      <c r="K285" t="s">
        <v>2</v>
      </c>
      <c r="L285" t="s">
        <v>1710</v>
      </c>
      <c r="M285" t="s">
        <v>1709</v>
      </c>
      <c r="N285" s="1"/>
      <c r="O285" t="s">
        <v>476</v>
      </c>
      <c r="P285" s="3">
        <f>0.358</f>
        <v>0.35799999999999998</v>
      </c>
      <c r="Q285" s="3" t="s">
        <v>1636</v>
      </c>
      <c r="R285" t="s">
        <v>24</v>
      </c>
      <c r="S285" t="s">
        <v>90</v>
      </c>
      <c r="T285" t="s">
        <v>1253</v>
      </c>
      <c r="U285" s="1">
        <v>0.5</v>
      </c>
      <c r="V285" t="s">
        <v>186</v>
      </c>
    </row>
    <row r="286" spans="1:22" x14ac:dyDescent="0.3">
      <c r="A286" t="s">
        <v>281</v>
      </c>
      <c r="B286" t="str">
        <f ca="1">OFFSET(Industries!C$1,MATCH(Table1[[#This Row],[Ticker]],Industries!$A$2:$A$150,0),0)</f>
        <v>Consumer Discretionary</v>
      </c>
      <c r="C286" t="str">
        <f ca="1">OFFSET(Industries!D$1,MATCH(Table1[[#This Row],[Ticker]],Industries!$A$2:$A$150,0),0)</f>
        <v>Consumer Discretionary Distribution and Retail</v>
      </c>
      <c r="D286" t="str">
        <f ca="1">OFFSET(Industries!E$1,MATCH(Table1[[#This Row],[Ticker]],Industries!$A$2:$A$150,0),0)</f>
        <v>Specialty Retail</v>
      </c>
      <c r="E286" t="s">
        <v>179</v>
      </c>
      <c r="F286" t="str">
        <f ca="1">OFFSET(Industries!B$1,MATCH(Table1[[#This Row],[Ticker]],Industries!$A$2:$A$140,0),0)</f>
        <v>Mega-Cap</v>
      </c>
      <c r="G286" t="str">
        <f ca="1">OFFSET(Industries!F$1,MATCH(Table1[[#This Row],[Ticker]],Industries!$A$2:$A$140,0),0)</f>
        <v>A</v>
      </c>
      <c r="H286" t="s">
        <v>1434</v>
      </c>
      <c r="I286" t="s">
        <v>1434</v>
      </c>
      <c r="J286" s="2">
        <v>45383</v>
      </c>
      <c r="K286" t="s">
        <v>2</v>
      </c>
      <c r="L286" t="s">
        <v>1710</v>
      </c>
      <c r="M286" t="s">
        <v>1709</v>
      </c>
      <c r="N286" s="1">
        <f>Table1[[#This Row],[Consideration Weight]]</f>
        <v>0.214</v>
      </c>
      <c r="O286" t="s">
        <v>194</v>
      </c>
      <c r="P286" s="3">
        <v>0.214</v>
      </c>
      <c r="Q286" s="3"/>
      <c r="R286" t="s">
        <v>28</v>
      </c>
      <c r="S286" t="s">
        <v>1113</v>
      </c>
      <c r="T286" t="s">
        <v>8</v>
      </c>
      <c r="V286" t="s">
        <v>187</v>
      </c>
    </row>
    <row r="287" spans="1:22" x14ac:dyDescent="0.3">
      <c r="A287" t="s">
        <v>281</v>
      </c>
      <c r="B287" t="str">
        <f ca="1">OFFSET(Industries!C$1,MATCH(Table1[[#This Row],[Ticker]],Industries!$A$2:$A$150,0),0)</f>
        <v>Consumer Discretionary</v>
      </c>
      <c r="C287" t="str">
        <f ca="1">OFFSET(Industries!D$1,MATCH(Table1[[#This Row],[Ticker]],Industries!$A$2:$A$150,0),0)</f>
        <v>Consumer Discretionary Distribution and Retail</v>
      </c>
      <c r="D287" t="str">
        <f ca="1">OFFSET(Industries!E$1,MATCH(Table1[[#This Row],[Ticker]],Industries!$A$2:$A$150,0),0)</f>
        <v>Specialty Retail</v>
      </c>
      <c r="E287" t="s">
        <v>179</v>
      </c>
      <c r="F287" t="str">
        <f ca="1">OFFSET(Industries!B$1,MATCH(Table1[[#This Row],[Ticker]],Industries!$A$2:$A$140,0),0)</f>
        <v>Mega-Cap</v>
      </c>
      <c r="G287" t="str">
        <f ca="1">OFFSET(Industries!F$1,MATCH(Table1[[#This Row],[Ticker]],Industries!$A$2:$A$140,0),0)</f>
        <v>A</v>
      </c>
      <c r="H287" t="s">
        <v>1434</v>
      </c>
      <c r="I287" t="s">
        <v>1434</v>
      </c>
      <c r="J287" s="2">
        <v>45383</v>
      </c>
      <c r="K287" t="s">
        <v>2</v>
      </c>
      <c r="L287" t="s">
        <v>1710</v>
      </c>
      <c r="M287" t="s">
        <v>1711</v>
      </c>
      <c r="N287" s="1">
        <f>Table1[[#This Row],[Consideration Weight]]</f>
        <v>0.14300000000000002</v>
      </c>
      <c r="O287" t="s">
        <v>87</v>
      </c>
      <c r="P287" s="3">
        <v>0.14300000000000002</v>
      </c>
      <c r="Q287" s="3"/>
    </row>
    <row r="288" spans="1:22" x14ac:dyDescent="0.3">
      <c r="A288" t="s">
        <v>281</v>
      </c>
      <c r="B288" t="str">
        <f ca="1">OFFSET(Industries!C$1,MATCH(Table1[[#This Row],[Ticker]],Industries!$A$2:$A$150,0),0)</f>
        <v>Consumer Discretionary</v>
      </c>
      <c r="C288" t="str">
        <f ca="1">OFFSET(Industries!D$1,MATCH(Table1[[#This Row],[Ticker]],Industries!$A$2:$A$150,0),0)</f>
        <v>Consumer Discretionary Distribution and Retail</v>
      </c>
      <c r="D288" t="str">
        <f ca="1">OFFSET(Industries!E$1,MATCH(Table1[[#This Row],[Ticker]],Industries!$A$2:$A$150,0),0)</f>
        <v>Specialty Retail</v>
      </c>
      <c r="E288" t="s">
        <v>179</v>
      </c>
      <c r="F288" t="str">
        <f ca="1">OFFSET(Industries!B$1,MATCH(Table1[[#This Row],[Ticker]],Industries!$A$2:$A$140,0),0)</f>
        <v>Mega-Cap</v>
      </c>
      <c r="G288" t="str">
        <f ca="1">OFFSET(Industries!F$1,MATCH(Table1[[#This Row],[Ticker]],Industries!$A$2:$A$140,0),0)</f>
        <v>A</v>
      </c>
      <c r="H288" t="s">
        <v>1434</v>
      </c>
      <c r="I288" t="s">
        <v>1434</v>
      </c>
      <c r="J288" s="2">
        <v>45383</v>
      </c>
      <c r="K288" t="s">
        <v>21</v>
      </c>
      <c r="L288" t="s">
        <v>3</v>
      </c>
      <c r="M288" t="s">
        <v>1711</v>
      </c>
      <c r="N288" s="1">
        <f>Table1[[#This Row],[Consideration Weight]]</f>
        <v>0.20399999999999999</v>
      </c>
      <c r="O288" t="s">
        <v>3</v>
      </c>
      <c r="P288" s="3">
        <v>0.20399999999999999</v>
      </c>
      <c r="Q288" s="3"/>
    </row>
    <row r="289" spans="1:22" x14ac:dyDescent="0.3">
      <c r="A289" t="s">
        <v>281</v>
      </c>
      <c r="B289" t="str">
        <f ca="1">OFFSET(Industries!C$1,MATCH(Table1[[#This Row],[Ticker]],Industries!$A$2:$A$150,0),0)</f>
        <v>Consumer Discretionary</v>
      </c>
      <c r="C289" t="str">
        <f ca="1">OFFSET(Industries!D$1,MATCH(Table1[[#This Row],[Ticker]],Industries!$A$2:$A$150,0),0)</f>
        <v>Consumer Discretionary Distribution and Retail</v>
      </c>
      <c r="D289" t="str">
        <f ca="1">OFFSET(Industries!E$1,MATCH(Table1[[#This Row],[Ticker]],Industries!$A$2:$A$150,0),0)</f>
        <v>Specialty Retail</v>
      </c>
      <c r="E289" t="s">
        <v>179</v>
      </c>
      <c r="F289" t="str">
        <f ca="1">OFFSET(Industries!B$1,MATCH(Table1[[#This Row],[Ticker]],Industries!$A$2:$A$140,0),0)</f>
        <v>Mega-Cap</v>
      </c>
      <c r="G289" t="str">
        <f ca="1">OFFSET(Industries!F$1,MATCH(Table1[[#This Row],[Ticker]],Industries!$A$2:$A$140,0),0)</f>
        <v>A</v>
      </c>
      <c r="H289" t="s">
        <v>1434</v>
      </c>
      <c r="I289" t="s">
        <v>1434</v>
      </c>
      <c r="J289" s="2">
        <v>45383</v>
      </c>
      <c r="K289" t="s">
        <v>21</v>
      </c>
      <c r="L289" t="s">
        <v>1708</v>
      </c>
      <c r="M289" t="s">
        <v>1709</v>
      </c>
      <c r="N289" s="1">
        <f>Table1[[#This Row],[Consideration Weight]]</f>
        <v>0.21</v>
      </c>
      <c r="O289" t="s">
        <v>4</v>
      </c>
      <c r="P289" s="3">
        <v>0.21</v>
      </c>
      <c r="Q289" s="3" t="s">
        <v>1636</v>
      </c>
      <c r="R289" t="s">
        <v>23</v>
      </c>
      <c r="S289" t="s">
        <v>1083</v>
      </c>
      <c r="T289" t="s">
        <v>7</v>
      </c>
      <c r="U289" s="1">
        <v>0.45</v>
      </c>
    </row>
    <row r="290" spans="1:22" x14ac:dyDescent="0.3">
      <c r="A290" t="s">
        <v>281</v>
      </c>
      <c r="B290" t="str">
        <f ca="1">OFFSET(Industries!C$1,MATCH(Table1[[#This Row],[Ticker]],Industries!$A$2:$A$150,0),0)</f>
        <v>Consumer Discretionary</v>
      </c>
      <c r="C290" t="str">
        <f ca="1">OFFSET(Industries!D$1,MATCH(Table1[[#This Row],[Ticker]],Industries!$A$2:$A$150,0),0)</f>
        <v>Consumer Discretionary Distribution and Retail</v>
      </c>
      <c r="D290" t="str">
        <f ca="1">OFFSET(Industries!E$1,MATCH(Table1[[#This Row],[Ticker]],Industries!$A$2:$A$150,0),0)</f>
        <v>Specialty Retail</v>
      </c>
      <c r="E290" t="s">
        <v>179</v>
      </c>
      <c r="F290" t="str">
        <f ca="1">OFFSET(Industries!B$1,MATCH(Table1[[#This Row],[Ticker]],Industries!$A$2:$A$140,0),0)</f>
        <v>Mega-Cap</v>
      </c>
      <c r="G290" t="str">
        <f ca="1">OFFSET(Industries!F$1,MATCH(Table1[[#This Row],[Ticker]],Industries!$A$2:$A$140,0),0)</f>
        <v>A</v>
      </c>
      <c r="H290" t="s">
        <v>1434</v>
      </c>
      <c r="I290" t="s">
        <v>1434</v>
      </c>
      <c r="J290" s="2">
        <v>45383</v>
      </c>
      <c r="K290" t="s">
        <v>21</v>
      </c>
      <c r="L290" t="s">
        <v>1708</v>
      </c>
      <c r="M290" t="s">
        <v>1709</v>
      </c>
      <c r="N290" s="1"/>
      <c r="O290" t="s">
        <v>4</v>
      </c>
      <c r="P290" s="3">
        <v>0.21</v>
      </c>
      <c r="Q290" s="3" t="s">
        <v>1636</v>
      </c>
      <c r="R290" t="s">
        <v>23</v>
      </c>
      <c r="S290" t="s">
        <v>90</v>
      </c>
      <c r="T290" t="s">
        <v>8</v>
      </c>
      <c r="U290" s="1">
        <v>0.45</v>
      </c>
    </row>
    <row r="291" spans="1:22" x14ac:dyDescent="0.3">
      <c r="A291" t="s">
        <v>281</v>
      </c>
      <c r="B291" t="str">
        <f ca="1">OFFSET(Industries!C$1,MATCH(Table1[[#This Row],[Ticker]],Industries!$A$2:$A$150,0),0)</f>
        <v>Consumer Discretionary</v>
      </c>
      <c r="C291" t="str">
        <f ca="1">OFFSET(Industries!D$1,MATCH(Table1[[#This Row],[Ticker]],Industries!$A$2:$A$150,0),0)</f>
        <v>Consumer Discretionary Distribution and Retail</v>
      </c>
      <c r="D291" t="str">
        <f ca="1">OFFSET(Industries!E$1,MATCH(Table1[[#This Row],[Ticker]],Industries!$A$2:$A$150,0),0)</f>
        <v>Specialty Retail</v>
      </c>
      <c r="E291" t="s">
        <v>179</v>
      </c>
      <c r="F291" t="str">
        <f ca="1">OFFSET(Industries!B$1,MATCH(Table1[[#This Row],[Ticker]],Industries!$A$2:$A$140,0),0)</f>
        <v>Mega-Cap</v>
      </c>
      <c r="G291" t="str">
        <f ca="1">OFFSET(Industries!F$1,MATCH(Table1[[#This Row],[Ticker]],Industries!$A$2:$A$140,0),0)</f>
        <v>A</v>
      </c>
      <c r="H291" t="s">
        <v>1434</v>
      </c>
      <c r="I291" t="s">
        <v>1434</v>
      </c>
      <c r="J291" s="2">
        <v>45383</v>
      </c>
      <c r="K291" t="s">
        <v>21</v>
      </c>
      <c r="L291" t="s">
        <v>1708</v>
      </c>
      <c r="M291" t="s">
        <v>1709</v>
      </c>
      <c r="N291" s="1"/>
      <c r="O291" t="s">
        <v>4</v>
      </c>
      <c r="P291" s="3">
        <v>0.21</v>
      </c>
      <c r="Q291" s="3" t="s">
        <v>1636</v>
      </c>
      <c r="R291" t="s">
        <v>62</v>
      </c>
      <c r="S291" t="s">
        <v>1111</v>
      </c>
      <c r="T291" t="s">
        <v>183</v>
      </c>
      <c r="U291" s="1">
        <v>0.1</v>
      </c>
    </row>
    <row r="292" spans="1:22" x14ac:dyDescent="0.3">
      <c r="A292" t="s">
        <v>281</v>
      </c>
      <c r="B292" t="str">
        <f ca="1">OFFSET(Industries!C$1,MATCH(Table1[[#This Row],[Ticker]],Industries!$A$2:$A$150,0),0)</f>
        <v>Consumer Discretionary</v>
      </c>
      <c r="C292" t="str">
        <f ca="1">OFFSET(Industries!D$1,MATCH(Table1[[#This Row],[Ticker]],Industries!$A$2:$A$150,0),0)</f>
        <v>Consumer Discretionary Distribution and Retail</v>
      </c>
      <c r="D292" t="str">
        <f ca="1">OFFSET(Industries!E$1,MATCH(Table1[[#This Row],[Ticker]],Industries!$A$2:$A$150,0),0)</f>
        <v>Specialty Retail</v>
      </c>
      <c r="E292" t="s">
        <v>179</v>
      </c>
      <c r="F292" t="str">
        <f ca="1">OFFSET(Industries!B$1,MATCH(Table1[[#This Row],[Ticker]],Industries!$A$2:$A$140,0),0)</f>
        <v>Mega-Cap</v>
      </c>
      <c r="G292" t="str">
        <f ca="1">OFFSET(Industries!F$1,MATCH(Table1[[#This Row],[Ticker]],Industries!$A$2:$A$140,0),0)</f>
        <v>A</v>
      </c>
      <c r="H292" t="s">
        <v>1434</v>
      </c>
      <c r="I292" t="s">
        <v>1434</v>
      </c>
      <c r="J292" s="2">
        <v>45383</v>
      </c>
      <c r="K292" t="s">
        <v>21</v>
      </c>
      <c r="L292" t="s">
        <v>1710</v>
      </c>
      <c r="M292" t="s">
        <v>1709</v>
      </c>
      <c r="N292" s="1">
        <f>Table1[[#This Row],[Consideration Weight]]</f>
        <v>0.29299999999999998</v>
      </c>
      <c r="O292" t="s">
        <v>476</v>
      </c>
      <c r="P292" s="3">
        <v>0.29299999999999998</v>
      </c>
      <c r="Q292" s="3" t="s">
        <v>1636</v>
      </c>
      <c r="R292" t="s">
        <v>1059</v>
      </c>
      <c r="S292" t="s">
        <v>1101</v>
      </c>
      <c r="T292" t="s">
        <v>1252</v>
      </c>
      <c r="U292" s="1">
        <v>0.5</v>
      </c>
    </row>
    <row r="293" spans="1:22" x14ac:dyDescent="0.3">
      <c r="A293" t="s">
        <v>281</v>
      </c>
      <c r="B293" t="str">
        <f ca="1">OFFSET(Industries!C$1,MATCH(Table1[[#This Row],[Ticker]],Industries!$A$2:$A$150,0),0)</f>
        <v>Consumer Discretionary</v>
      </c>
      <c r="C293" t="str">
        <f ca="1">OFFSET(Industries!D$1,MATCH(Table1[[#This Row],[Ticker]],Industries!$A$2:$A$150,0),0)</f>
        <v>Consumer Discretionary Distribution and Retail</v>
      </c>
      <c r="D293" t="str">
        <f ca="1">OFFSET(Industries!E$1,MATCH(Table1[[#This Row],[Ticker]],Industries!$A$2:$A$150,0),0)</f>
        <v>Specialty Retail</v>
      </c>
      <c r="E293" t="s">
        <v>179</v>
      </c>
      <c r="F293" t="str">
        <f ca="1">OFFSET(Industries!B$1,MATCH(Table1[[#This Row],[Ticker]],Industries!$A$2:$A$140,0),0)</f>
        <v>Mega-Cap</v>
      </c>
      <c r="G293" t="str">
        <f ca="1">OFFSET(Industries!F$1,MATCH(Table1[[#This Row],[Ticker]],Industries!$A$2:$A$140,0),0)</f>
        <v>A</v>
      </c>
      <c r="H293" t="s">
        <v>1434</v>
      </c>
      <c r="I293" t="s">
        <v>1434</v>
      </c>
      <c r="J293" s="2">
        <v>45383</v>
      </c>
      <c r="K293" t="s">
        <v>21</v>
      </c>
      <c r="L293" t="s">
        <v>1710</v>
      </c>
      <c r="M293" t="s">
        <v>1709</v>
      </c>
      <c r="N293" s="1"/>
      <c r="O293" t="s">
        <v>476</v>
      </c>
      <c r="P293" s="3">
        <v>0.29299999999999998</v>
      </c>
      <c r="Q293" s="3" t="s">
        <v>1636</v>
      </c>
      <c r="R293" t="s">
        <v>24</v>
      </c>
      <c r="S293" t="s">
        <v>90</v>
      </c>
      <c r="T293" t="s">
        <v>1253</v>
      </c>
      <c r="U293" s="1">
        <v>0.5</v>
      </c>
    </row>
    <row r="294" spans="1:22" x14ac:dyDescent="0.3">
      <c r="A294" t="s">
        <v>281</v>
      </c>
      <c r="B294" t="str">
        <f ca="1">OFFSET(Industries!C$1,MATCH(Table1[[#This Row],[Ticker]],Industries!$A$2:$A$150,0),0)</f>
        <v>Consumer Discretionary</v>
      </c>
      <c r="C294" t="str">
        <f ca="1">OFFSET(Industries!D$1,MATCH(Table1[[#This Row],[Ticker]],Industries!$A$2:$A$150,0),0)</f>
        <v>Consumer Discretionary Distribution and Retail</v>
      </c>
      <c r="D294" t="str">
        <f ca="1">OFFSET(Industries!E$1,MATCH(Table1[[#This Row],[Ticker]],Industries!$A$2:$A$150,0),0)</f>
        <v>Specialty Retail</v>
      </c>
      <c r="E294" t="s">
        <v>179</v>
      </c>
      <c r="F294" t="str">
        <f ca="1">OFFSET(Industries!B$1,MATCH(Table1[[#This Row],[Ticker]],Industries!$A$2:$A$140,0),0)</f>
        <v>Mega-Cap</v>
      </c>
      <c r="G294" t="str">
        <f ca="1">OFFSET(Industries!F$1,MATCH(Table1[[#This Row],[Ticker]],Industries!$A$2:$A$140,0),0)</f>
        <v>A</v>
      </c>
      <c r="H294" t="s">
        <v>1434</v>
      </c>
      <c r="I294" t="s">
        <v>1434</v>
      </c>
      <c r="J294" s="2">
        <v>45383</v>
      </c>
      <c r="K294" t="s">
        <v>21</v>
      </c>
      <c r="L294" t="s">
        <v>1710</v>
      </c>
      <c r="M294" t="s">
        <v>1709</v>
      </c>
      <c r="N294" s="1">
        <f>Table1[[#This Row],[Consideration Weight]]</f>
        <v>0.17599999999999999</v>
      </c>
      <c r="O294" t="s">
        <v>194</v>
      </c>
      <c r="P294" s="3">
        <v>0.17599999999999999</v>
      </c>
      <c r="Q294" s="3"/>
      <c r="R294" t="s">
        <v>28</v>
      </c>
      <c r="S294" t="s">
        <v>1113</v>
      </c>
      <c r="T294" t="s">
        <v>8</v>
      </c>
    </row>
    <row r="295" spans="1:22" x14ac:dyDescent="0.3">
      <c r="A295" t="s">
        <v>281</v>
      </c>
      <c r="B295" t="str">
        <f ca="1">OFFSET(Industries!C$1,MATCH(Table1[[#This Row],[Ticker]],Industries!$A$2:$A$150,0),0)</f>
        <v>Consumer Discretionary</v>
      </c>
      <c r="C295" t="str">
        <f ca="1">OFFSET(Industries!D$1,MATCH(Table1[[#This Row],[Ticker]],Industries!$A$2:$A$150,0),0)</f>
        <v>Consumer Discretionary Distribution and Retail</v>
      </c>
      <c r="D295" t="str">
        <f ca="1">OFFSET(Industries!E$1,MATCH(Table1[[#This Row],[Ticker]],Industries!$A$2:$A$150,0),0)</f>
        <v>Specialty Retail</v>
      </c>
      <c r="E295" t="s">
        <v>179</v>
      </c>
      <c r="F295" t="str">
        <f ca="1">OFFSET(Industries!B$1,MATCH(Table1[[#This Row],[Ticker]],Industries!$A$2:$A$140,0),0)</f>
        <v>Mega-Cap</v>
      </c>
      <c r="G295" t="str">
        <f ca="1">OFFSET(Industries!F$1,MATCH(Table1[[#This Row],[Ticker]],Industries!$A$2:$A$140,0),0)</f>
        <v>A</v>
      </c>
      <c r="H295" t="s">
        <v>1434</v>
      </c>
      <c r="I295" t="s">
        <v>1434</v>
      </c>
      <c r="J295" s="2">
        <v>45383</v>
      </c>
      <c r="K295" t="s">
        <v>21</v>
      </c>
      <c r="L295" t="s">
        <v>1710</v>
      </c>
      <c r="M295" t="s">
        <v>1711</v>
      </c>
      <c r="N295" s="1">
        <f>Table1[[#This Row],[Consideration Weight]]</f>
        <v>0.11700000000000001</v>
      </c>
      <c r="O295" t="s">
        <v>87</v>
      </c>
      <c r="P295" s="3">
        <v>0.11700000000000001</v>
      </c>
      <c r="Q295" s="3"/>
    </row>
    <row r="296" spans="1:22" x14ac:dyDescent="0.3">
      <c r="A296" t="s">
        <v>282</v>
      </c>
      <c r="B296" t="str">
        <f ca="1">OFFSET(Industries!C$1,MATCH(Table1[[#This Row],[Ticker]],Industries!$A$2:$A$150,0),0)</f>
        <v>Materials</v>
      </c>
      <c r="C296" t="str">
        <f ca="1">OFFSET(Industries!D$1,MATCH(Table1[[#This Row],[Ticker]],Industries!$A$2:$A$150,0),0)</f>
        <v>Materials</v>
      </c>
      <c r="D296" t="str">
        <f ca="1">OFFSET(Industries!E$1,MATCH(Table1[[#This Row],[Ticker]],Industries!$A$2:$A$150,0),0)</f>
        <v>Chemicals</v>
      </c>
      <c r="E296" t="s">
        <v>195</v>
      </c>
      <c r="F296" t="str">
        <f ca="1">OFFSET(Industries!B$1,MATCH(Table1[[#This Row],[Ticker]],Industries!$A$2:$A$140,0),0)</f>
        <v>Mega-Cap</v>
      </c>
      <c r="G296" t="str">
        <f ca="1">OFFSET(Industries!F$1,MATCH(Table1[[#This Row],[Ticker]],Industries!$A$2:$A$140,0),0)</f>
        <v>A</v>
      </c>
      <c r="H296" t="s">
        <v>1434</v>
      </c>
      <c r="I296" t="s">
        <v>1434</v>
      </c>
      <c r="J296" s="2">
        <v>45411</v>
      </c>
      <c r="K296" t="s">
        <v>2</v>
      </c>
      <c r="L296" t="s">
        <v>3</v>
      </c>
      <c r="M296" t="s">
        <v>1711</v>
      </c>
      <c r="N296" s="1">
        <f>Table1[[#This Row],[Consideration Weight]]</f>
        <v>0.08</v>
      </c>
      <c r="O296" t="s">
        <v>3</v>
      </c>
      <c r="P296" s="3">
        <v>0.08</v>
      </c>
      <c r="Q296" s="3"/>
    </row>
    <row r="297" spans="1:22" x14ac:dyDescent="0.3">
      <c r="A297" t="s">
        <v>282</v>
      </c>
      <c r="B297" t="str">
        <f ca="1">OFFSET(Industries!C$1,MATCH(Table1[[#This Row],[Ticker]],Industries!$A$2:$A$150,0),0)</f>
        <v>Materials</v>
      </c>
      <c r="C297" t="str">
        <f ca="1">OFFSET(Industries!D$1,MATCH(Table1[[#This Row],[Ticker]],Industries!$A$2:$A$150,0),0)</f>
        <v>Materials</v>
      </c>
      <c r="D297" t="str">
        <f ca="1">OFFSET(Industries!E$1,MATCH(Table1[[#This Row],[Ticker]],Industries!$A$2:$A$150,0),0)</f>
        <v>Chemicals</v>
      </c>
      <c r="E297" t="s">
        <v>195</v>
      </c>
      <c r="F297" t="str">
        <f ca="1">OFFSET(Industries!B$1,MATCH(Table1[[#This Row],[Ticker]],Industries!$A$2:$A$140,0),0)</f>
        <v>Mega-Cap</v>
      </c>
      <c r="G297" t="str">
        <f ca="1">OFFSET(Industries!F$1,MATCH(Table1[[#This Row],[Ticker]],Industries!$A$2:$A$140,0),0)</f>
        <v>A</v>
      </c>
      <c r="H297" t="s">
        <v>1434</v>
      </c>
      <c r="I297" t="s">
        <v>1434</v>
      </c>
      <c r="J297" s="2">
        <v>45411</v>
      </c>
      <c r="K297" t="s">
        <v>2</v>
      </c>
      <c r="L297" t="s">
        <v>1708</v>
      </c>
      <c r="M297" t="s">
        <v>1709</v>
      </c>
      <c r="N297" s="1">
        <f>Table1[[#This Row],[Consideration Weight]]</f>
        <v>0.19</v>
      </c>
      <c r="O297" t="s">
        <v>4</v>
      </c>
      <c r="P297" s="3">
        <v>0.19</v>
      </c>
      <c r="Q297" s="3" t="s">
        <v>1636</v>
      </c>
      <c r="R297" t="s">
        <v>24</v>
      </c>
      <c r="S297" t="s">
        <v>1098</v>
      </c>
      <c r="T297" t="s">
        <v>107</v>
      </c>
      <c r="U297" s="1">
        <f>0.55*0.75</f>
        <v>0.41250000000000003</v>
      </c>
      <c r="V297" t="s">
        <v>196</v>
      </c>
    </row>
    <row r="298" spans="1:22" x14ac:dyDescent="0.3">
      <c r="A298" t="s">
        <v>282</v>
      </c>
      <c r="B298" t="str">
        <f ca="1">OFFSET(Industries!C$1,MATCH(Table1[[#This Row],[Ticker]],Industries!$A$2:$A$150,0),0)</f>
        <v>Materials</v>
      </c>
      <c r="C298" t="str">
        <f ca="1">OFFSET(Industries!D$1,MATCH(Table1[[#This Row],[Ticker]],Industries!$A$2:$A$150,0),0)</f>
        <v>Materials</v>
      </c>
      <c r="D298" t="str">
        <f ca="1">OFFSET(Industries!E$1,MATCH(Table1[[#This Row],[Ticker]],Industries!$A$2:$A$150,0),0)</f>
        <v>Chemicals</v>
      </c>
      <c r="E298" t="s">
        <v>195</v>
      </c>
      <c r="F298" t="str">
        <f ca="1">OFFSET(Industries!B$1,MATCH(Table1[[#This Row],[Ticker]],Industries!$A$2:$A$140,0),0)</f>
        <v>Mega-Cap</v>
      </c>
      <c r="G298" t="str">
        <f ca="1">OFFSET(Industries!F$1,MATCH(Table1[[#This Row],[Ticker]],Industries!$A$2:$A$140,0),0)</f>
        <v>A</v>
      </c>
      <c r="H298" t="s">
        <v>1434</v>
      </c>
      <c r="I298" t="s">
        <v>1434</v>
      </c>
      <c r="J298" s="2">
        <v>45411</v>
      </c>
      <c r="K298" t="s">
        <v>2</v>
      </c>
      <c r="L298" t="s">
        <v>1708</v>
      </c>
      <c r="M298" t="s">
        <v>1709</v>
      </c>
      <c r="N298" s="1"/>
      <c r="O298" t="s">
        <v>4</v>
      </c>
      <c r="P298" s="3">
        <v>0.19</v>
      </c>
      <c r="Q298" s="3" t="s">
        <v>1636</v>
      </c>
      <c r="R298" t="s">
        <v>62</v>
      </c>
      <c r="S298" t="s">
        <v>63</v>
      </c>
      <c r="T298" t="s">
        <v>81</v>
      </c>
      <c r="U298" s="1">
        <f>0.25*0.75</f>
        <v>0.1875</v>
      </c>
      <c r="V298" t="s">
        <v>181</v>
      </c>
    </row>
    <row r="299" spans="1:22" x14ac:dyDescent="0.3">
      <c r="A299" t="s">
        <v>282</v>
      </c>
      <c r="B299" t="str">
        <f ca="1">OFFSET(Industries!C$1,MATCH(Table1[[#This Row],[Ticker]],Industries!$A$2:$A$150,0),0)</f>
        <v>Materials</v>
      </c>
      <c r="C299" t="str">
        <f ca="1">OFFSET(Industries!D$1,MATCH(Table1[[#This Row],[Ticker]],Industries!$A$2:$A$150,0),0)</f>
        <v>Materials</v>
      </c>
      <c r="D299" t="str">
        <f ca="1">OFFSET(Industries!E$1,MATCH(Table1[[#This Row],[Ticker]],Industries!$A$2:$A$150,0),0)</f>
        <v>Chemicals</v>
      </c>
      <c r="E299" t="s">
        <v>195</v>
      </c>
      <c r="F299" t="str">
        <f ca="1">OFFSET(Industries!B$1,MATCH(Table1[[#This Row],[Ticker]],Industries!$A$2:$A$140,0),0)</f>
        <v>Mega-Cap</v>
      </c>
      <c r="G299" t="str">
        <f ca="1">OFFSET(Industries!F$1,MATCH(Table1[[#This Row],[Ticker]],Industries!$A$2:$A$140,0),0)</f>
        <v>A</v>
      </c>
      <c r="H299" t="s">
        <v>1434</v>
      </c>
      <c r="I299" t="s">
        <v>1434</v>
      </c>
      <c r="J299" s="2">
        <v>45411</v>
      </c>
      <c r="K299" t="s">
        <v>2</v>
      </c>
      <c r="L299" t="s">
        <v>1708</v>
      </c>
      <c r="M299" t="s">
        <v>1709</v>
      </c>
      <c r="N299" s="1"/>
      <c r="O299" t="s">
        <v>4</v>
      </c>
      <c r="P299" s="3">
        <v>0.19</v>
      </c>
      <c r="Q299" s="3" t="s">
        <v>1636</v>
      </c>
      <c r="R299" t="s">
        <v>23</v>
      </c>
      <c r="S299" t="s">
        <v>1083</v>
      </c>
      <c r="T299" t="s">
        <v>7</v>
      </c>
      <c r="U299" s="1">
        <f>0.2*0.75</f>
        <v>0.15000000000000002</v>
      </c>
      <c r="V299" t="s">
        <v>181</v>
      </c>
    </row>
    <row r="300" spans="1:22" x14ac:dyDescent="0.3">
      <c r="A300" t="s">
        <v>282</v>
      </c>
      <c r="B300" t="str">
        <f ca="1">OFFSET(Industries!C$1,MATCH(Table1[[#This Row],[Ticker]],Industries!$A$2:$A$150,0),0)</f>
        <v>Materials</v>
      </c>
      <c r="C300" t="str">
        <f ca="1">OFFSET(Industries!D$1,MATCH(Table1[[#This Row],[Ticker]],Industries!$A$2:$A$150,0),0)</f>
        <v>Materials</v>
      </c>
      <c r="D300" t="str">
        <f ca="1">OFFSET(Industries!E$1,MATCH(Table1[[#This Row],[Ticker]],Industries!$A$2:$A$150,0),0)</f>
        <v>Chemicals</v>
      </c>
      <c r="E300" t="s">
        <v>195</v>
      </c>
      <c r="F300" t="str">
        <f ca="1">OFFSET(Industries!B$1,MATCH(Table1[[#This Row],[Ticker]],Industries!$A$2:$A$140,0),0)</f>
        <v>Mega-Cap</v>
      </c>
      <c r="G300" t="str">
        <f ca="1">OFFSET(Industries!F$1,MATCH(Table1[[#This Row],[Ticker]],Industries!$A$2:$A$140,0),0)</f>
        <v>A</v>
      </c>
      <c r="H300" t="s">
        <v>1434</v>
      </c>
      <c r="I300" t="s">
        <v>1434</v>
      </c>
      <c r="J300" s="2">
        <v>45411</v>
      </c>
      <c r="K300" t="s">
        <v>2</v>
      </c>
      <c r="L300" t="s">
        <v>1708</v>
      </c>
      <c r="M300" t="s">
        <v>1709</v>
      </c>
      <c r="N300" s="1"/>
      <c r="O300" t="s">
        <v>4</v>
      </c>
      <c r="P300" s="3">
        <v>0.19</v>
      </c>
      <c r="Q300" s="3" t="s">
        <v>1637</v>
      </c>
      <c r="R300" t="s">
        <v>26</v>
      </c>
      <c r="S300" t="s">
        <v>26</v>
      </c>
      <c r="T300" t="s">
        <v>198</v>
      </c>
      <c r="U300" s="1">
        <f>0.6*0.25</f>
        <v>0.15</v>
      </c>
      <c r="V300" t="s">
        <v>201</v>
      </c>
    </row>
    <row r="301" spans="1:22" x14ac:dyDescent="0.3">
      <c r="A301" t="s">
        <v>282</v>
      </c>
      <c r="B301" t="str">
        <f ca="1">OFFSET(Industries!C$1,MATCH(Table1[[#This Row],[Ticker]],Industries!$A$2:$A$150,0),0)</f>
        <v>Materials</v>
      </c>
      <c r="C301" t="str">
        <f ca="1">OFFSET(Industries!D$1,MATCH(Table1[[#This Row],[Ticker]],Industries!$A$2:$A$150,0),0)</f>
        <v>Materials</v>
      </c>
      <c r="D301" t="str">
        <f ca="1">OFFSET(Industries!E$1,MATCH(Table1[[#This Row],[Ticker]],Industries!$A$2:$A$150,0),0)</f>
        <v>Chemicals</v>
      </c>
      <c r="E301" t="s">
        <v>195</v>
      </c>
      <c r="F301" t="str">
        <f ca="1">OFFSET(Industries!B$1,MATCH(Table1[[#This Row],[Ticker]],Industries!$A$2:$A$140,0),0)</f>
        <v>Mega-Cap</v>
      </c>
      <c r="G301" t="str">
        <f ca="1">OFFSET(Industries!F$1,MATCH(Table1[[#This Row],[Ticker]],Industries!$A$2:$A$140,0),0)</f>
        <v>A</v>
      </c>
      <c r="H301" t="s">
        <v>1434</v>
      </c>
      <c r="I301" t="s">
        <v>1434</v>
      </c>
      <c r="J301" s="2">
        <v>45411</v>
      </c>
      <c r="K301" t="s">
        <v>2</v>
      </c>
      <c r="L301" t="s">
        <v>1708</v>
      </c>
      <c r="M301" t="s">
        <v>1709</v>
      </c>
      <c r="N301" s="1"/>
      <c r="O301" t="s">
        <v>4</v>
      </c>
      <c r="P301" s="3">
        <v>0.19</v>
      </c>
      <c r="Q301" s="3" t="s">
        <v>1637</v>
      </c>
      <c r="R301" t="s">
        <v>26</v>
      </c>
      <c r="S301" t="s">
        <v>26</v>
      </c>
      <c r="T301" t="s">
        <v>197</v>
      </c>
      <c r="U301" s="1">
        <f>0.2*0.25</f>
        <v>0.05</v>
      </c>
    </row>
    <row r="302" spans="1:22" x14ac:dyDescent="0.3">
      <c r="A302" t="s">
        <v>282</v>
      </c>
      <c r="B302" t="str">
        <f ca="1">OFFSET(Industries!C$1,MATCH(Table1[[#This Row],[Ticker]],Industries!$A$2:$A$150,0),0)</f>
        <v>Materials</v>
      </c>
      <c r="C302" t="str">
        <f ca="1">OFFSET(Industries!D$1,MATCH(Table1[[#This Row],[Ticker]],Industries!$A$2:$A$150,0),0)</f>
        <v>Materials</v>
      </c>
      <c r="D302" t="str">
        <f ca="1">OFFSET(Industries!E$1,MATCH(Table1[[#This Row],[Ticker]],Industries!$A$2:$A$150,0),0)</f>
        <v>Chemicals</v>
      </c>
      <c r="E302" t="s">
        <v>195</v>
      </c>
      <c r="F302" t="str">
        <f ca="1">OFFSET(Industries!B$1,MATCH(Table1[[#This Row],[Ticker]],Industries!$A$2:$A$140,0),0)</f>
        <v>Mega-Cap</v>
      </c>
      <c r="G302" t="str">
        <f ca="1">OFFSET(Industries!F$1,MATCH(Table1[[#This Row],[Ticker]],Industries!$A$2:$A$140,0),0)</f>
        <v>A</v>
      </c>
      <c r="H302" t="s">
        <v>1434</v>
      </c>
      <c r="I302" t="s">
        <v>1434</v>
      </c>
      <c r="J302" s="2">
        <v>45411</v>
      </c>
      <c r="K302" t="s">
        <v>2</v>
      </c>
      <c r="L302" t="s">
        <v>1708</v>
      </c>
      <c r="M302" t="s">
        <v>1709</v>
      </c>
      <c r="N302" s="1"/>
      <c r="O302" t="s">
        <v>4</v>
      </c>
      <c r="P302" s="3">
        <v>0.19</v>
      </c>
      <c r="Q302" s="3" t="s">
        <v>1637</v>
      </c>
      <c r="R302" t="s">
        <v>25</v>
      </c>
      <c r="S302" t="s">
        <v>1086</v>
      </c>
      <c r="T302" t="s">
        <v>199</v>
      </c>
      <c r="U302" s="1">
        <f>0.2*0.25</f>
        <v>0.05</v>
      </c>
      <c r="V302" t="s">
        <v>204</v>
      </c>
    </row>
    <row r="303" spans="1:22" x14ac:dyDescent="0.3">
      <c r="A303" t="s">
        <v>282</v>
      </c>
      <c r="B303" t="str">
        <f ca="1">OFFSET(Industries!C$1,MATCH(Table1[[#This Row],[Ticker]],Industries!$A$2:$A$150,0),0)</f>
        <v>Materials</v>
      </c>
      <c r="C303" t="str">
        <f ca="1">OFFSET(Industries!D$1,MATCH(Table1[[#This Row],[Ticker]],Industries!$A$2:$A$150,0),0)</f>
        <v>Materials</v>
      </c>
      <c r="D303" t="str">
        <f ca="1">OFFSET(Industries!E$1,MATCH(Table1[[#This Row],[Ticker]],Industries!$A$2:$A$150,0),0)</f>
        <v>Chemicals</v>
      </c>
      <c r="E303" t="s">
        <v>195</v>
      </c>
      <c r="F303" t="str">
        <f ca="1">OFFSET(Industries!B$1,MATCH(Table1[[#This Row],[Ticker]],Industries!$A$2:$A$140,0),0)</f>
        <v>Mega-Cap</v>
      </c>
      <c r="G303" t="str">
        <f ca="1">OFFSET(Industries!F$1,MATCH(Table1[[#This Row],[Ticker]],Industries!$A$2:$A$140,0),0)</f>
        <v>A</v>
      </c>
      <c r="H303" t="s">
        <v>1434</v>
      </c>
      <c r="I303" t="s">
        <v>1434</v>
      </c>
      <c r="J303" s="2">
        <v>45411</v>
      </c>
      <c r="K303" t="s">
        <v>2</v>
      </c>
      <c r="L303" t="s">
        <v>1708</v>
      </c>
      <c r="M303" t="s">
        <v>1709</v>
      </c>
      <c r="N303" s="1"/>
      <c r="O303" t="s">
        <v>4</v>
      </c>
      <c r="P303" s="3">
        <v>0.19</v>
      </c>
      <c r="Q303" s="3"/>
      <c r="R303" t="s">
        <v>28</v>
      </c>
      <c r="S303" t="s">
        <v>1087</v>
      </c>
      <c r="T303" t="s">
        <v>40</v>
      </c>
      <c r="V303" t="s">
        <v>202</v>
      </c>
    </row>
    <row r="304" spans="1:22" x14ac:dyDescent="0.3">
      <c r="A304" t="s">
        <v>282</v>
      </c>
      <c r="B304" t="str">
        <f ca="1">OFFSET(Industries!C$1,MATCH(Table1[[#This Row],[Ticker]],Industries!$A$2:$A$150,0),0)</f>
        <v>Materials</v>
      </c>
      <c r="C304" t="str">
        <f ca="1">OFFSET(Industries!D$1,MATCH(Table1[[#This Row],[Ticker]],Industries!$A$2:$A$150,0),0)</f>
        <v>Materials</v>
      </c>
      <c r="D304" t="str">
        <f ca="1">OFFSET(Industries!E$1,MATCH(Table1[[#This Row],[Ticker]],Industries!$A$2:$A$150,0),0)</f>
        <v>Chemicals</v>
      </c>
      <c r="E304" t="s">
        <v>195</v>
      </c>
      <c r="F304" t="str">
        <f ca="1">OFFSET(Industries!B$1,MATCH(Table1[[#This Row],[Ticker]],Industries!$A$2:$A$140,0),0)</f>
        <v>Mega-Cap</v>
      </c>
      <c r="G304" t="str">
        <f ca="1">OFFSET(Industries!F$1,MATCH(Table1[[#This Row],[Ticker]],Industries!$A$2:$A$140,0),0)</f>
        <v>A</v>
      </c>
      <c r="H304" t="s">
        <v>1434</v>
      </c>
      <c r="I304" t="s">
        <v>1434</v>
      </c>
      <c r="J304" s="2">
        <v>45411</v>
      </c>
      <c r="K304" t="s">
        <v>2</v>
      </c>
      <c r="L304" t="s">
        <v>1710</v>
      </c>
      <c r="M304" t="s">
        <v>1709</v>
      </c>
      <c r="N304" s="1">
        <f>Table1[[#This Row],[Consideration Weight]]</f>
        <v>0.39</v>
      </c>
      <c r="O304" t="s">
        <v>476</v>
      </c>
      <c r="P304" s="3">
        <v>0.39</v>
      </c>
      <c r="Q304" s="3" t="s">
        <v>1636</v>
      </c>
      <c r="R304" t="s">
        <v>1059</v>
      </c>
      <c r="S304" t="s">
        <v>1114</v>
      </c>
      <c r="T304" t="s">
        <v>205</v>
      </c>
      <c r="U304" s="1">
        <v>0.6</v>
      </c>
      <c r="V304" t="s">
        <v>206</v>
      </c>
    </row>
    <row r="305" spans="1:22" x14ac:dyDescent="0.3">
      <c r="A305" t="s">
        <v>282</v>
      </c>
      <c r="B305" t="str">
        <f ca="1">OFFSET(Industries!C$1,MATCH(Table1[[#This Row],[Ticker]],Industries!$A$2:$A$150,0),0)</f>
        <v>Materials</v>
      </c>
      <c r="C305" t="str">
        <f ca="1">OFFSET(Industries!D$1,MATCH(Table1[[#This Row],[Ticker]],Industries!$A$2:$A$150,0),0)</f>
        <v>Materials</v>
      </c>
      <c r="D305" t="str">
        <f ca="1">OFFSET(Industries!E$1,MATCH(Table1[[#This Row],[Ticker]],Industries!$A$2:$A$150,0),0)</f>
        <v>Chemicals</v>
      </c>
      <c r="E305" t="s">
        <v>195</v>
      </c>
      <c r="F305" t="str">
        <f ca="1">OFFSET(Industries!B$1,MATCH(Table1[[#This Row],[Ticker]],Industries!$A$2:$A$140,0),0)</f>
        <v>Mega-Cap</v>
      </c>
      <c r="G305" t="str">
        <f ca="1">OFFSET(Industries!F$1,MATCH(Table1[[#This Row],[Ticker]],Industries!$A$2:$A$140,0),0)</f>
        <v>A</v>
      </c>
      <c r="H305" t="s">
        <v>1434</v>
      </c>
      <c r="I305" t="s">
        <v>1434</v>
      </c>
      <c r="J305" s="2">
        <v>45411</v>
      </c>
      <c r="K305" t="s">
        <v>2</v>
      </c>
      <c r="L305" t="s">
        <v>1710</v>
      </c>
      <c r="M305" t="s">
        <v>1709</v>
      </c>
      <c r="N305" s="1"/>
      <c r="O305" t="s">
        <v>476</v>
      </c>
      <c r="P305" s="3">
        <v>0.39</v>
      </c>
      <c r="Q305" s="3" t="s">
        <v>1646</v>
      </c>
      <c r="R305" t="s">
        <v>35</v>
      </c>
      <c r="S305" t="s">
        <v>29</v>
      </c>
      <c r="T305" t="s">
        <v>200</v>
      </c>
      <c r="U305" s="1">
        <v>0.4</v>
      </c>
    </row>
    <row r="306" spans="1:22" x14ac:dyDescent="0.3">
      <c r="A306" t="s">
        <v>282</v>
      </c>
      <c r="B306" t="str">
        <f ca="1">OFFSET(Industries!C$1,MATCH(Table1[[#This Row],[Ticker]],Industries!$A$2:$A$150,0),0)</f>
        <v>Materials</v>
      </c>
      <c r="C306" t="str">
        <f ca="1">OFFSET(Industries!D$1,MATCH(Table1[[#This Row],[Ticker]],Industries!$A$2:$A$150,0),0)</f>
        <v>Materials</v>
      </c>
      <c r="D306" t="str">
        <f ca="1">OFFSET(Industries!E$1,MATCH(Table1[[#This Row],[Ticker]],Industries!$A$2:$A$150,0),0)</f>
        <v>Chemicals</v>
      </c>
      <c r="E306" t="s">
        <v>195</v>
      </c>
      <c r="F306" t="str">
        <f ca="1">OFFSET(Industries!B$1,MATCH(Table1[[#This Row],[Ticker]],Industries!$A$2:$A$140,0),0)</f>
        <v>Mega-Cap</v>
      </c>
      <c r="G306" t="str">
        <f ca="1">OFFSET(Industries!F$1,MATCH(Table1[[#This Row],[Ticker]],Industries!$A$2:$A$140,0),0)</f>
        <v>A</v>
      </c>
      <c r="H306" t="s">
        <v>1434</v>
      </c>
      <c r="I306" t="s">
        <v>1434</v>
      </c>
      <c r="J306" s="2">
        <v>45411</v>
      </c>
      <c r="K306" t="s">
        <v>2</v>
      </c>
      <c r="L306" t="s">
        <v>1710</v>
      </c>
      <c r="M306" t="s">
        <v>1711</v>
      </c>
      <c r="N306" s="1">
        <f>Table1[[#This Row],[Consideration Weight]]</f>
        <v>0.21</v>
      </c>
      <c r="O306" t="s">
        <v>87</v>
      </c>
      <c r="P306" s="3">
        <v>0.21</v>
      </c>
      <c r="Q306" s="3"/>
    </row>
    <row r="307" spans="1:22" x14ac:dyDescent="0.3">
      <c r="A307" t="s">
        <v>282</v>
      </c>
      <c r="B307" t="str">
        <f ca="1">OFFSET(Industries!C$1,MATCH(Table1[[#This Row],[Ticker]],Industries!$A$2:$A$150,0),0)</f>
        <v>Materials</v>
      </c>
      <c r="C307" t="str">
        <f ca="1">OFFSET(Industries!D$1,MATCH(Table1[[#This Row],[Ticker]],Industries!$A$2:$A$150,0),0)</f>
        <v>Materials</v>
      </c>
      <c r="D307" t="str">
        <f ca="1">OFFSET(Industries!E$1,MATCH(Table1[[#This Row],[Ticker]],Industries!$A$2:$A$150,0),0)</f>
        <v>Chemicals</v>
      </c>
      <c r="E307" t="s">
        <v>195</v>
      </c>
      <c r="F307" t="str">
        <f ca="1">OFFSET(Industries!B$1,MATCH(Table1[[#This Row],[Ticker]],Industries!$A$2:$A$140,0),0)</f>
        <v>Mega-Cap</v>
      </c>
      <c r="G307" t="str">
        <f ca="1">OFFSET(Industries!F$1,MATCH(Table1[[#This Row],[Ticker]],Industries!$A$2:$A$140,0),0)</f>
        <v>A</v>
      </c>
      <c r="H307" t="s">
        <v>1434</v>
      </c>
      <c r="I307" t="s">
        <v>1434</v>
      </c>
      <c r="J307" s="2">
        <v>45411</v>
      </c>
      <c r="K307" t="s">
        <v>2</v>
      </c>
      <c r="L307" t="s">
        <v>1710</v>
      </c>
      <c r="M307" t="s">
        <v>1711</v>
      </c>
      <c r="N307" s="1">
        <f>Table1[[#This Row],[Consideration Weight]]</f>
        <v>0.13</v>
      </c>
      <c r="O307" t="s">
        <v>194</v>
      </c>
      <c r="P307" s="3">
        <v>0.13</v>
      </c>
      <c r="Q307" s="3"/>
    </row>
    <row r="308" spans="1:22" x14ac:dyDescent="0.3">
      <c r="A308" t="s">
        <v>282</v>
      </c>
      <c r="B308" t="str">
        <f ca="1">OFFSET(Industries!C$1,MATCH(Table1[[#This Row],[Ticker]],Industries!$A$2:$A$150,0),0)</f>
        <v>Materials</v>
      </c>
      <c r="C308" t="str">
        <f ca="1">OFFSET(Industries!D$1,MATCH(Table1[[#This Row],[Ticker]],Industries!$A$2:$A$150,0),0)</f>
        <v>Materials</v>
      </c>
      <c r="D308" t="str">
        <f ca="1">OFFSET(Industries!E$1,MATCH(Table1[[#This Row],[Ticker]],Industries!$A$2:$A$150,0),0)</f>
        <v>Chemicals</v>
      </c>
      <c r="E308" t="s">
        <v>195</v>
      </c>
      <c r="F308" t="str">
        <f ca="1">OFFSET(Industries!B$1,MATCH(Table1[[#This Row],[Ticker]],Industries!$A$2:$A$140,0),0)</f>
        <v>Mega-Cap</v>
      </c>
      <c r="G308" t="str">
        <f ca="1">OFFSET(Industries!F$1,MATCH(Table1[[#This Row],[Ticker]],Industries!$A$2:$A$140,0),0)</f>
        <v>A</v>
      </c>
      <c r="H308" t="s">
        <v>1434</v>
      </c>
      <c r="I308" t="s">
        <v>1434</v>
      </c>
      <c r="J308" s="2">
        <v>45411</v>
      </c>
      <c r="K308" t="s">
        <v>21</v>
      </c>
      <c r="L308" t="s">
        <v>3</v>
      </c>
      <c r="M308" t="s">
        <v>1711</v>
      </c>
      <c r="N308" s="1">
        <f>Table1[[#This Row],[Consideration Weight]]</f>
        <v>0.16900860818753316</v>
      </c>
      <c r="O308" t="s">
        <v>3</v>
      </c>
      <c r="P308" s="3">
        <v>0.16900860818753316</v>
      </c>
      <c r="Q308" s="3"/>
    </row>
    <row r="309" spans="1:22" x14ac:dyDescent="0.3">
      <c r="A309" t="s">
        <v>282</v>
      </c>
      <c r="B309" t="str">
        <f ca="1">OFFSET(Industries!C$1,MATCH(Table1[[#This Row],[Ticker]],Industries!$A$2:$A$150,0),0)</f>
        <v>Materials</v>
      </c>
      <c r="C309" t="str">
        <f ca="1">OFFSET(Industries!D$1,MATCH(Table1[[#This Row],[Ticker]],Industries!$A$2:$A$150,0),0)</f>
        <v>Materials</v>
      </c>
      <c r="D309" t="str">
        <f ca="1">OFFSET(Industries!E$1,MATCH(Table1[[#This Row],[Ticker]],Industries!$A$2:$A$150,0),0)</f>
        <v>Chemicals</v>
      </c>
      <c r="E309" t="s">
        <v>195</v>
      </c>
      <c r="F309" t="str">
        <f ca="1">OFFSET(Industries!B$1,MATCH(Table1[[#This Row],[Ticker]],Industries!$A$2:$A$140,0),0)</f>
        <v>Mega-Cap</v>
      </c>
      <c r="G309" t="str">
        <f ca="1">OFFSET(Industries!F$1,MATCH(Table1[[#This Row],[Ticker]],Industries!$A$2:$A$140,0),0)</f>
        <v>A</v>
      </c>
      <c r="H309" t="s">
        <v>1434</v>
      </c>
      <c r="I309" t="s">
        <v>1434</v>
      </c>
      <c r="J309" s="2">
        <v>45411</v>
      </c>
      <c r="K309" t="s">
        <v>21</v>
      </c>
      <c r="L309" t="s">
        <v>1708</v>
      </c>
      <c r="M309" t="s">
        <v>1709</v>
      </c>
      <c r="N309" s="1">
        <f>Table1[[#This Row],[Consideration Weight]]</f>
        <v>0.18066963013957979</v>
      </c>
      <c r="O309" t="s">
        <v>4</v>
      </c>
      <c r="P309" s="3">
        <v>0.18066963013957979</v>
      </c>
      <c r="Q309" s="3" t="s">
        <v>1636</v>
      </c>
      <c r="R309" t="s">
        <v>24</v>
      </c>
      <c r="S309" t="s">
        <v>1098</v>
      </c>
      <c r="T309" t="s">
        <v>107</v>
      </c>
      <c r="U309" s="1">
        <f>0.55*0.75</f>
        <v>0.41250000000000003</v>
      </c>
    </row>
    <row r="310" spans="1:22" x14ac:dyDescent="0.3">
      <c r="A310" t="s">
        <v>282</v>
      </c>
      <c r="B310" t="str">
        <f ca="1">OFFSET(Industries!C$1,MATCH(Table1[[#This Row],[Ticker]],Industries!$A$2:$A$150,0),0)</f>
        <v>Materials</v>
      </c>
      <c r="C310" t="str">
        <f ca="1">OFFSET(Industries!D$1,MATCH(Table1[[#This Row],[Ticker]],Industries!$A$2:$A$150,0),0)</f>
        <v>Materials</v>
      </c>
      <c r="D310" t="str">
        <f ca="1">OFFSET(Industries!E$1,MATCH(Table1[[#This Row],[Ticker]],Industries!$A$2:$A$150,0),0)</f>
        <v>Chemicals</v>
      </c>
      <c r="E310" t="s">
        <v>195</v>
      </c>
      <c r="F310" t="str">
        <f ca="1">OFFSET(Industries!B$1,MATCH(Table1[[#This Row],[Ticker]],Industries!$A$2:$A$140,0),0)</f>
        <v>Mega-Cap</v>
      </c>
      <c r="G310" t="str">
        <f ca="1">OFFSET(Industries!F$1,MATCH(Table1[[#This Row],[Ticker]],Industries!$A$2:$A$140,0),0)</f>
        <v>A</v>
      </c>
      <c r="H310" t="s">
        <v>1434</v>
      </c>
      <c r="I310" t="s">
        <v>1434</v>
      </c>
      <c r="J310" s="2">
        <v>45411</v>
      </c>
      <c r="K310" t="s">
        <v>21</v>
      </c>
      <c r="L310" t="s">
        <v>1708</v>
      </c>
      <c r="M310" t="s">
        <v>1709</v>
      </c>
      <c r="N310" s="1"/>
      <c r="O310" t="s">
        <v>4</v>
      </c>
      <c r="P310" s="3">
        <v>0.18066963013957979</v>
      </c>
      <c r="Q310" s="3" t="s">
        <v>1636</v>
      </c>
      <c r="R310" t="s">
        <v>62</v>
      </c>
      <c r="S310" t="s">
        <v>63</v>
      </c>
      <c r="T310" t="s">
        <v>81</v>
      </c>
      <c r="U310" s="1">
        <f>0.25*0.75</f>
        <v>0.1875</v>
      </c>
    </row>
    <row r="311" spans="1:22" x14ac:dyDescent="0.3">
      <c r="A311" t="s">
        <v>282</v>
      </c>
      <c r="B311" t="str">
        <f ca="1">OFFSET(Industries!C$1,MATCH(Table1[[#This Row],[Ticker]],Industries!$A$2:$A$150,0),0)</f>
        <v>Materials</v>
      </c>
      <c r="C311" t="str">
        <f ca="1">OFFSET(Industries!D$1,MATCH(Table1[[#This Row],[Ticker]],Industries!$A$2:$A$150,0),0)</f>
        <v>Materials</v>
      </c>
      <c r="D311" t="str">
        <f ca="1">OFFSET(Industries!E$1,MATCH(Table1[[#This Row],[Ticker]],Industries!$A$2:$A$150,0),0)</f>
        <v>Chemicals</v>
      </c>
      <c r="E311" t="s">
        <v>195</v>
      </c>
      <c r="F311" t="str">
        <f ca="1">OFFSET(Industries!B$1,MATCH(Table1[[#This Row],[Ticker]],Industries!$A$2:$A$140,0),0)</f>
        <v>Mega-Cap</v>
      </c>
      <c r="G311" t="str">
        <f ca="1">OFFSET(Industries!F$1,MATCH(Table1[[#This Row],[Ticker]],Industries!$A$2:$A$140,0),0)</f>
        <v>A</v>
      </c>
      <c r="H311" t="s">
        <v>1434</v>
      </c>
      <c r="I311" t="s">
        <v>1434</v>
      </c>
      <c r="J311" s="2">
        <v>45411</v>
      </c>
      <c r="K311" t="s">
        <v>21</v>
      </c>
      <c r="L311" t="s">
        <v>1708</v>
      </c>
      <c r="M311" t="s">
        <v>1709</v>
      </c>
      <c r="N311" s="1"/>
      <c r="O311" t="s">
        <v>4</v>
      </c>
      <c r="P311" s="3">
        <v>0.18066963013957979</v>
      </c>
      <c r="Q311" s="3" t="s">
        <v>1636</v>
      </c>
      <c r="R311" t="s">
        <v>23</v>
      </c>
      <c r="S311" t="s">
        <v>1083</v>
      </c>
      <c r="T311" t="s">
        <v>7</v>
      </c>
      <c r="U311" s="1">
        <f>0.2*0.75</f>
        <v>0.15000000000000002</v>
      </c>
    </row>
    <row r="312" spans="1:22" x14ac:dyDescent="0.3">
      <c r="A312" t="s">
        <v>282</v>
      </c>
      <c r="B312" t="str">
        <f ca="1">OFFSET(Industries!C$1,MATCH(Table1[[#This Row],[Ticker]],Industries!$A$2:$A$150,0),0)</f>
        <v>Materials</v>
      </c>
      <c r="C312" t="str">
        <f ca="1">OFFSET(Industries!D$1,MATCH(Table1[[#This Row],[Ticker]],Industries!$A$2:$A$150,0),0)</f>
        <v>Materials</v>
      </c>
      <c r="D312" t="str">
        <f ca="1">OFFSET(Industries!E$1,MATCH(Table1[[#This Row],[Ticker]],Industries!$A$2:$A$150,0),0)</f>
        <v>Chemicals</v>
      </c>
      <c r="E312" t="s">
        <v>195</v>
      </c>
      <c r="F312" t="str">
        <f ca="1">OFFSET(Industries!B$1,MATCH(Table1[[#This Row],[Ticker]],Industries!$A$2:$A$140,0),0)</f>
        <v>Mega-Cap</v>
      </c>
      <c r="G312" t="str">
        <f ca="1">OFFSET(Industries!F$1,MATCH(Table1[[#This Row],[Ticker]],Industries!$A$2:$A$140,0),0)</f>
        <v>A</v>
      </c>
      <c r="H312" t="s">
        <v>1434</v>
      </c>
      <c r="I312" t="s">
        <v>1434</v>
      </c>
      <c r="J312" s="2">
        <v>45411</v>
      </c>
      <c r="K312" t="s">
        <v>21</v>
      </c>
      <c r="L312" t="s">
        <v>1708</v>
      </c>
      <c r="M312" t="s">
        <v>1709</v>
      </c>
      <c r="N312" s="1"/>
      <c r="O312" t="s">
        <v>4</v>
      </c>
      <c r="P312" s="3">
        <v>0.18066963013957979</v>
      </c>
      <c r="Q312" s="3" t="s">
        <v>1637</v>
      </c>
      <c r="R312" t="s">
        <v>26</v>
      </c>
      <c r="S312" t="s">
        <v>26</v>
      </c>
      <c r="T312" t="s">
        <v>198</v>
      </c>
      <c r="U312" s="1">
        <f>0.6*0.25</f>
        <v>0.15</v>
      </c>
    </row>
    <row r="313" spans="1:22" x14ac:dyDescent="0.3">
      <c r="A313" t="s">
        <v>282</v>
      </c>
      <c r="B313" t="str">
        <f ca="1">OFFSET(Industries!C$1,MATCH(Table1[[#This Row],[Ticker]],Industries!$A$2:$A$150,0),0)</f>
        <v>Materials</v>
      </c>
      <c r="C313" t="str">
        <f ca="1">OFFSET(Industries!D$1,MATCH(Table1[[#This Row],[Ticker]],Industries!$A$2:$A$150,0),0)</f>
        <v>Materials</v>
      </c>
      <c r="D313" t="str">
        <f ca="1">OFFSET(Industries!E$1,MATCH(Table1[[#This Row],[Ticker]],Industries!$A$2:$A$150,0),0)</f>
        <v>Chemicals</v>
      </c>
      <c r="E313" t="s">
        <v>195</v>
      </c>
      <c r="F313" t="str">
        <f ca="1">OFFSET(Industries!B$1,MATCH(Table1[[#This Row],[Ticker]],Industries!$A$2:$A$140,0),0)</f>
        <v>Mega-Cap</v>
      </c>
      <c r="G313" t="str">
        <f ca="1">OFFSET(Industries!F$1,MATCH(Table1[[#This Row],[Ticker]],Industries!$A$2:$A$140,0),0)</f>
        <v>A</v>
      </c>
      <c r="H313" t="s">
        <v>1434</v>
      </c>
      <c r="I313" t="s">
        <v>1434</v>
      </c>
      <c r="J313" s="2">
        <v>45411</v>
      </c>
      <c r="K313" t="s">
        <v>21</v>
      </c>
      <c r="L313" t="s">
        <v>1708</v>
      </c>
      <c r="M313" t="s">
        <v>1709</v>
      </c>
      <c r="N313" s="1"/>
      <c r="O313" t="s">
        <v>4</v>
      </c>
      <c r="P313" s="3">
        <v>0.18066963013957979</v>
      </c>
      <c r="Q313" s="3" t="s">
        <v>1637</v>
      </c>
      <c r="R313" t="s">
        <v>26</v>
      </c>
      <c r="S313" t="s">
        <v>26</v>
      </c>
      <c r="T313" t="s">
        <v>197</v>
      </c>
      <c r="U313" s="1">
        <f>0.2*0.25</f>
        <v>0.05</v>
      </c>
    </row>
    <row r="314" spans="1:22" x14ac:dyDescent="0.3">
      <c r="A314" t="s">
        <v>282</v>
      </c>
      <c r="B314" t="str">
        <f ca="1">OFFSET(Industries!C$1,MATCH(Table1[[#This Row],[Ticker]],Industries!$A$2:$A$150,0),0)</f>
        <v>Materials</v>
      </c>
      <c r="C314" t="str">
        <f ca="1">OFFSET(Industries!D$1,MATCH(Table1[[#This Row],[Ticker]],Industries!$A$2:$A$150,0),0)</f>
        <v>Materials</v>
      </c>
      <c r="D314" t="str">
        <f ca="1">OFFSET(Industries!E$1,MATCH(Table1[[#This Row],[Ticker]],Industries!$A$2:$A$150,0),0)</f>
        <v>Chemicals</v>
      </c>
      <c r="E314" t="s">
        <v>195</v>
      </c>
      <c r="F314" t="str">
        <f ca="1">OFFSET(Industries!B$1,MATCH(Table1[[#This Row],[Ticker]],Industries!$A$2:$A$140,0),0)</f>
        <v>Mega-Cap</v>
      </c>
      <c r="G314" t="str">
        <f ca="1">OFFSET(Industries!F$1,MATCH(Table1[[#This Row],[Ticker]],Industries!$A$2:$A$140,0),0)</f>
        <v>A</v>
      </c>
      <c r="H314" t="s">
        <v>1434</v>
      </c>
      <c r="I314" t="s">
        <v>1434</v>
      </c>
      <c r="J314" s="2">
        <v>45411</v>
      </c>
      <c r="K314" t="s">
        <v>21</v>
      </c>
      <c r="L314" t="s">
        <v>1708</v>
      </c>
      <c r="M314" t="s">
        <v>1709</v>
      </c>
      <c r="N314" s="1"/>
      <c r="O314" t="s">
        <v>4</v>
      </c>
      <c r="P314" s="3">
        <v>0.18066963013957979</v>
      </c>
      <c r="Q314" s="3" t="s">
        <v>1637</v>
      </c>
      <c r="R314" t="s">
        <v>25</v>
      </c>
      <c r="S314" t="s">
        <v>1086</v>
      </c>
      <c r="T314" t="s">
        <v>199</v>
      </c>
      <c r="U314" s="1">
        <f>0.2*0.25</f>
        <v>0.05</v>
      </c>
    </row>
    <row r="315" spans="1:22" x14ac:dyDescent="0.3">
      <c r="A315" t="s">
        <v>282</v>
      </c>
      <c r="B315" t="str">
        <f ca="1">OFFSET(Industries!C$1,MATCH(Table1[[#This Row],[Ticker]],Industries!$A$2:$A$150,0),0)</f>
        <v>Materials</v>
      </c>
      <c r="C315" t="str">
        <f ca="1">OFFSET(Industries!D$1,MATCH(Table1[[#This Row],[Ticker]],Industries!$A$2:$A$150,0),0)</f>
        <v>Materials</v>
      </c>
      <c r="D315" t="str">
        <f ca="1">OFFSET(Industries!E$1,MATCH(Table1[[#This Row],[Ticker]],Industries!$A$2:$A$150,0),0)</f>
        <v>Chemicals</v>
      </c>
      <c r="E315" t="s">
        <v>195</v>
      </c>
      <c r="F315" t="str">
        <f ca="1">OFFSET(Industries!B$1,MATCH(Table1[[#This Row],[Ticker]],Industries!$A$2:$A$140,0),0)</f>
        <v>Mega-Cap</v>
      </c>
      <c r="G315" t="str">
        <f ca="1">OFFSET(Industries!F$1,MATCH(Table1[[#This Row],[Ticker]],Industries!$A$2:$A$140,0),0)</f>
        <v>A</v>
      </c>
      <c r="H315" t="s">
        <v>1434</v>
      </c>
      <c r="I315" t="s">
        <v>1434</v>
      </c>
      <c r="J315" s="2">
        <v>45411</v>
      </c>
      <c r="K315" t="s">
        <v>21</v>
      </c>
      <c r="L315" t="s">
        <v>1708</v>
      </c>
      <c r="M315" t="s">
        <v>1709</v>
      </c>
      <c r="N315" s="1"/>
      <c r="O315" t="s">
        <v>4</v>
      </c>
      <c r="P315" s="3">
        <v>0.18066963013957979</v>
      </c>
      <c r="Q315" s="3"/>
      <c r="R315" t="s">
        <v>28</v>
      </c>
      <c r="S315" t="s">
        <v>1087</v>
      </c>
      <c r="T315" t="s">
        <v>40</v>
      </c>
      <c r="V315" t="s">
        <v>203</v>
      </c>
    </row>
    <row r="316" spans="1:22" x14ac:dyDescent="0.3">
      <c r="A316" t="s">
        <v>282</v>
      </c>
      <c r="B316" t="str">
        <f ca="1">OFFSET(Industries!C$1,MATCH(Table1[[#This Row],[Ticker]],Industries!$A$2:$A$150,0),0)</f>
        <v>Materials</v>
      </c>
      <c r="C316" t="str">
        <f ca="1">OFFSET(Industries!D$1,MATCH(Table1[[#This Row],[Ticker]],Industries!$A$2:$A$150,0),0)</f>
        <v>Materials</v>
      </c>
      <c r="D316" t="str">
        <f ca="1">OFFSET(Industries!E$1,MATCH(Table1[[#This Row],[Ticker]],Industries!$A$2:$A$150,0),0)</f>
        <v>Chemicals</v>
      </c>
      <c r="E316" t="s">
        <v>195</v>
      </c>
      <c r="F316" t="str">
        <f ca="1">OFFSET(Industries!B$1,MATCH(Table1[[#This Row],[Ticker]],Industries!$A$2:$A$140,0),0)</f>
        <v>Mega-Cap</v>
      </c>
      <c r="G316" t="str">
        <f ca="1">OFFSET(Industries!F$1,MATCH(Table1[[#This Row],[Ticker]],Industries!$A$2:$A$140,0),0)</f>
        <v>A</v>
      </c>
      <c r="H316" t="s">
        <v>1434</v>
      </c>
      <c r="I316" t="s">
        <v>1434</v>
      </c>
      <c r="J316" s="2">
        <v>45411</v>
      </c>
      <c r="K316" t="s">
        <v>21</v>
      </c>
      <c r="L316" t="s">
        <v>1710</v>
      </c>
      <c r="M316" t="s">
        <v>1709</v>
      </c>
      <c r="N316" s="1">
        <f>Table1[[#This Row],[Consideration Weight]]</f>
        <v>0.32516088083644357</v>
      </c>
      <c r="O316" t="s">
        <v>476</v>
      </c>
      <c r="P316" s="3">
        <v>0.32516088083644357</v>
      </c>
      <c r="Q316" s="3" t="s">
        <v>1636</v>
      </c>
      <c r="R316" t="s">
        <v>1059</v>
      </c>
      <c r="S316" t="s">
        <v>1114</v>
      </c>
      <c r="T316" t="s">
        <v>205</v>
      </c>
      <c r="U316" s="1">
        <v>0.6</v>
      </c>
    </row>
    <row r="317" spans="1:22" x14ac:dyDescent="0.3">
      <c r="A317" t="s">
        <v>282</v>
      </c>
      <c r="B317" t="str">
        <f ca="1">OFFSET(Industries!C$1,MATCH(Table1[[#This Row],[Ticker]],Industries!$A$2:$A$150,0),0)</f>
        <v>Materials</v>
      </c>
      <c r="C317" t="str">
        <f ca="1">OFFSET(Industries!D$1,MATCH(Table1[[#This Row],[Ticker]],Industries!$A$2:$A$150,0),0)</f>
        <v>Materials</v>
      </c>
      <c r="D317" t="str">
        <f ca="1">OFFSET(Industries!E$1,MATCH(Table1[[#This Row],[Ticker]],Industries!$A$2:$A$150,0),0)</f>
        <v>Chemicals</v>
      </c>
      <c r="E317" t="s">
        <v>195</v>
      </c>
      <c r="F317" t="str">
        <f ca="1">OFFSET(Industries!B$1,MATCH(Table1[[#This Row],[Ticker]],Industries!$A$2:$A$140,0),0)</f>
        <v>Mega-Cap</v>
      </c>
      <c r="G317" t="str">
        <f ca="1">OFFSET(Industries!F$1,MATCH(Table1[[#This Row],[Ticker]],Industries!$A$2:$A$140,0),0)</f>
        <v>A</v>
      </c>
      <c r="H317" t="s">
        <v>1434</v>
      </c>
      <c r="I317" t="s">
        <v>1434</v>
      </c>
      <c r="J317" s="2">
        <v>45411</v>
      </c>
      <c r="K317" t="s">
        <v>21</v>
      </c>
      <c r="L317" t="s">
        <v>1710</v>
      </c>
      <c r="M317" t="s">
        <v>1709</v>
      </c>
      <c r="N317" s="1"/>
      <c r="O317" t="s">
        <v>476</v>
      </c>
      <c r="P317" s="3">
        <v>0.32516088083644357</v>
      </c>
      <c r="Q317" s="3" t="s">
        <v>1646</v>
      </c>
      <c r="R317" t="s">
        <v>35</v>
      </c>
      <c r="S317" t="s">
        <v>29</v>
      </c>
      <c r="T317" t="s">
        <v>200</v>
      </c>
      <c r="U317" s="1">
        <v>0.4</v>
      </c>
    </row>
    <row r="318" spans="1:22" x14ac:dyDescent="0.3">
      <c r="A318" t="s">
        <v>282</v>
      </c>
      <c r="B318" t="str">
        <f ca="1">OFFSET(Industries!C$1,MATCH(Table1[[#This Row],[Ticker]],Industries!$A$2:$A$150,0),0)</f>
        <v>Materials</v>
      </c>
      <c r="C318" t="str">
        <f ca="1">OFFSET(Industries!D$1,MATCH(Table1[[#This Row],[Ticker]],Industries!$A$2:$A$150,0),0)</f>
        <v>Materials</v>
      </c>
      <c r="D318" t="str">
        <f ca="1">OFFSET(Industries!E$1,MATCH(Table1[[#This Row],[Ticker]],Industries!$A$2:$A$150,0),0)</f>
        <v>Chemicals</v>
      </c>
      <c r="E318" t="s">
        <v>195</v>
      </c>
      <c r="F318" t="str">
        <f ca="1">OFFSET(Industries!B$1,MATCH(Table1[[#This Row],[Ticker]],Industries!$A$2:$A$140,0),0)</f>
        <v>Mega-Cap</v>
      </c>
      <c r="G318" t="str">
        <f ca="1">OFFSET(Industries!F$1,MATCH(Table1[[#This Row],[Ticker]],Industries!$A$2:$A$140,0),0)</f>
        <v>A</v>
      </c>
      <c r="H318" t="s">
        <v>1434</v>
      </c>
      <c r="I318" t="s">
        <v>1434</v>
      </c>
      <c r="J318" s="2">
        <v>45411</v>
      </c>
      <c r="K318" t="s">
        <v>21</v>
      </c>
      <c r="L318" t="s">
        <v>1710</v>
      </c>
      <c r="M318" t="s">
        <v>1711</v>
      </c>
      <c r="N318" s="1">
        <f>Table1[[#This Row],[Consideration Weight]]</f>
        <v>0.1950965285018661</v>
      </c>
      <c r="O318" t="s">
        <v>87</v>
      </c>
      <c r="P318" s="3">
        <v>0.1950965285018661</v>
      </c>
      <c r="Q318" s="3"/>
    </row>
    <row r="319" spans="1:22" x14ac:dyDescent="0.3">
      <c r="A319" t="s">
        <v>282</v>
      </c>
      <c r="B319" t="str">
        <f ca="1">OFFSET(Industries!C$1,MATCH(Table1[[#This Row],[Ticker]],Industries!$A$2:$A$150,0),0)</f>
        <v>Materials</v>
      </c>
      <c r="C319" t="str">
        <f ca="1">OFFSET(Industries!D$1,MATCH(Table1[[#This Row],[Ticker]],Industries!$A$2:$A$150,0),0)</f>
        <v>Materials</v>
      </c>
      <c r="D319" t="str">
        <f ca="1">OFFSET(Industries!E$1,MATCH(Table1[[#This Row],[Ticker]],Industries!$A$2:$A$150,0),0)</f>
        <v>Chemicals</v>
      </c>
      <c r="E319" t="s">
        <v>195</v>
      </c>
      <c r="F319" t="str">
        <f ca="1">OFFSET(Industries!B$1,MATCH(Table1[[#This Row],[Ticker]],Industries!$A$2:$A$140,0),0)</f>
        <v>Mega-Cap</v>
      </c>
      <c r="G319" t="str">
        <f ca="1">OFFSET(Industries!F$1,MATCH(Table1[[#This Row],[Ticker]],Industries!$A$2:$A$140,0),0)</f>
        <v>A</v>
      </c>
      <c r="H319" t="s">
        <v>1434</v>
      </c>
      <c r="I319" t="s">
        <v>1434</v>
      </c>
      <c r="J319" s="2">
        <v>45411</v>
      </c>
      <c r="K319" t="s">
        <v>21</v>
      </c>
      <c r="L319" t="s">
        <v>1710</v>
      </c>
      <c r="M319" t="s">
        <v>1711</v>
      </c>
      <c r="N319" s="1">
        <f>Table1[[#This Row],[Consideration Weight]]</f>
        <v>0.13006435233457742</v>
      </c>
      <c r="O319" t="s">
        <v>194</v>
      </c>
      <c r="P319" s="3">
        <v>0.13006435233457742</v>
      </c>
      <c r="Q319" s="3"/>
    </row>
    <row r="320" spans="1:22" x14ac:dyDescent="0.3">
      <c r="A320" t="s">
        <v>283</v>
      </c>
      <c r="B320" t="str">
        <f ca="1">OFFSET(Industries!C$1,MATCH(Table1[[#This Row],[Ticker]],Industries!$A$2:$A$150,0),0)</f>
        <v>Health Care</v>
      </c>
      <c r="C320" t="str">
        <f ca="1">OFFSET(Industries!D$1,MATCH(Table1[[#This Row],[Ticker]],Industries!$A$2:$A$150,0),0)</f>
        <v>Pharmaceuticals, Biotechnology and Life Sciences</v>
      </c>
      <c r="D320" t="str">
        <f ca="1">OFFSET(Industries!E$1,MATCH(Table1[[#This Row],[Ticker]],Industries!$A$2:$A$150,0),0)</f>
        <v>Biotechnology</v>
      </c>
      <c r="E320" t="s">
        <v>49</v>
      </c>
      <c r="F320" t="str">
        <f ca="1">OFFSET(Industries!B$1,MATCH(Table1[[#This Row],[Ticker]],Industries!$A$2:$A$140,0),0)</f>
        <v>Mega-Cap</v>
      </c>
      <c r="H320" t="s">
        <v>1434</v>
      </c>
      <c r="I320" t="s">
        <v>1434</v>
      </c>
      <c r="J320" s="2">
        <v>45386</v>
      </c>
      <c r="K320" t="s">
        <v>2</v>
      </c>
      <c r="L320" t="s">
        <v>3</v>
      </c>
      <c r="M320" t="s">
        <v>1711</v>
      </c>
      <c r="N320" s="1">
        <f>Table1[[#This Row],[Consideration Weight]]</f>
        <v>7.0000000000000007E-2</v>
      </c>
      <c r="O320" t="s">
        <v>3</v>
      </c>
      <c r="P320" s="3">
        <v>7.0000000000000007E-2</v>
      </c>
      <c r="Q320" s="3"/>
    </row>
    <row r="321" spans="1:22" x14ac:dyDescent="0.3">
      <c r="A321" t="s">
        <v>283</v>
      </c>
      <c r="B321" t="str">
        <f ca="1">OFFSET(Industries!C$1,MATCH(Table1[[#This Row],[Ticker]],Industries!$A$2:$A$150,0),0)</f>
        <v>Health Care</v>
      </c>
      <c r="C321" t="str">
        <f ca="1">OFFSET(Industries!D$1,MATCH(Table1[[#This Row],[Ticker]],Industries!$A$2:$A$150,0),0)</f>
        <v>Pharmaceuticals, Biotechnology and Life Sciences</v>
      </c>
      <c r="D321" t="str">
        <f ca="1">OFFSET(Industries!E$1,MATCH(Table1[[#This Row],[Ticker]],Industries!$A$2:$A$150,0),0)</f>
        <v>Biotechnology</v>
      </c>
      <c r="E321" t="s">
        <v>49</v>
      </c>
      <c r="F321" t="str">
        <f ca="1">OFFSET(Industries!B$1,MATCH(Table1[[#This Row],[Ticker]],Industries!$A$2:$A$140,0),0)</f>
        <v>Mega-Cap</v>
      </c>
      <c r="H321" t="s">
        <v>1434</v>
      </c>
      <c r="I321" t="s">
        <v>1434</v>
      </c>
      <c r="J321" s="2">
        <v>45386</v>
      </c>
      <c r="K321" t="s">
        <v>2</v>
      </c>
      <c r="L321" t="s">
        <v>1708</v>
      </c>
      <c r="M321" t="s">
        <v>1709</v>
      </c>
      <c r="N321" s="1">
        <f>Table1[[#This Row],[Consideration Weight]]</f>
        <v>0.17</v>
      </c>
      <c r="O321" t="s">
        <v>4</v>
      </c>
      <c r="P321" s="3">
        <v>0.17</v>
      </c>
      <c r="Q321" s="3" t="s">
        <v>1637</v>
      </c>
      <c r="R321" t="s">
        <v>25</v>
      </c>
      <c r="S321" t="s">
        <v>344</v>
      </c>
      <c r="T321" t="s">
        <v>207</v>
      </c>
      <c r="U321" s="1">
        <v>0.38</v>
      </c>
      <c r="V321" t="s">
        <v>213</v>
      </c>
    </row>
    <row r="322" spans="1:22" x14ac:dyDescent="0.3">
      <c r="A322" t="s">
        <v>283</v>
      </c>
      <c r="B322" t="str">
        <f ca="1">OFFSET(Industries!C$1,MATCH(Table1[[#This Row],[Ticker]],Industries!$A$2:$A$150,0),0)</f>
        <v>Health Care</v>
      </c>
      <c r="C322" t="str">
        <f ca="1">OFFSET(Industries!D$1,MATCH(Table1[[#This Row],[Ticker]],Industries!$A$2:$A$150,0),0)</f>
        <v>Pharmaceuticals, Biotechnology and Life Sciences</v>
      </c>
      <c r="D322" t="str">
        <f ca="1">OFFSET(Industries!E$1,MATCH(Table1[[#This Row],[Ticker]],Industries!$A$2:$A$150,0),0)</f>
        <v>Biotechnology</v>
      </c>
      <c r="E322" t="s">
        <v>49</v>
      </c>
      <c r="F322" t="str">
        <f ca="1">OFFSET(Industries!B$1,MATCH(Table1[[#This Row],[Ticker]],Industries!$A$2:$A$140,0),0)</f>
        <v>Mega-Cap</v>
      </c>
      <c r="H322" t="s">
        <v>1434</v>
      </c>
      <c r="I322" t="s">
        <v>1434</v>
      </c>
      <c r="J322" s="2">
        <v>45386</v>
      </c>
      <c r="K322" t="s">
        <v>2</v>
      </c>
      <c r="L322" t="s">
        <v>1708</v>
      </c>
      <c r="M322" t="s">
        <v>1709</v>
      </c>
      <c r="N322" s="1"/>
      <c r="O322" t="s">
        <v>4</v>
      </c>
      <c r="P322" s="3">
        <v>0.17</v>
      </c>
      <c r="Q322" s="3" t="s">
        <v>1637</v>
      </c>
      <c r="R322" t="s">
        <v>25</v>
      </c>
      <c r="S322" t="s">
        <v>344</v>
      </c>
      <c r="T322" t="s">
        <v>208</v>
      </c>
      <c r="U322" s="1">
        <v>0.33</v>
      </c>
      <c r="V322" t="s">
        <v>214</v>
      </c>
    </row>
    <row r="323" spans="1:22" x14ac:dyDescent="0.3">
      <c r="A323" t="s">
        <v>283</v>
      </c>
      <c r="B323" t="str">
        <f ca="1">OFFSET(Industries!C$1,MATCH(Table1[[#This Row],[Ticker]],Industries!$A$2:$A$150,0),0)</f>
        <v>Health Care</v>
      </c>
      <c r="C323" t="str">
        <f ca="1">OFFSET(Industries!D$1,MATCH(Table1[[#This Row],[Ticker]],Industries!$A$2:$A$150,0),0)</f>
        <v>Pharmaceuticals, Biotechnology and Life Sciences</v>
      </c>
      <c r="D323" t="str">
        <f ca="1">OFFSET(Industries!E$1,MATCH(Table1[[#This Row],[Ticker]],Industries!$A$2:$A$150,0),0)</f>
        <v>Biotechnology</v>
      </c>
      <c r="E323" t="s">
        <v>49</v>
      </c>
      <c r="F323" t="str">
        <f ca="1">OFFSET(Industries!B$1,MATCH(Table1[[#This Row],[Ticker]],Industries!$A$2:$A$140,0),0)</f>
        <v>Mega-Cap</v>
      </c>
      <c r="H323" t="s">
        <v>1434</v>
      </c>
      <c r="I323" t="s">
        <v>1434</v>
      </c>
      <c r="J323" s="2">
        <v>45386</v>
      </c>
      <c r="K323" t="s">
        <v>2</v>
      </c>
      <c r="L323" t="s">
        <v>1708</v>
      </c>
      <c r="M323" t="s">
        <v>1709</v>
      </c>
      <c r="N323" s="1"/>
      <c r="O323" t="s">
        <v>4</v>
      </c>
      <c r="P323" s="3">
        <v>0.17</v>
      </c>
      <c r="Q323" s="3" t="s">
        <v>1637</v>
      </c>
      <c r="R323" t="s">
        <v>25</v>
      </c>
      <c r="S323" t="s">
        <v>1086</v>
      </c>
      <c r="T323" t="s">
        <v>209</v>
      </c>
      <c r="U323" s="1">
        <v>0.1</v>
      </c>
      <c r="V323" t="s">
        <v>215</v>
      </c>
    </row>
    <row r="324" spans="1:22" x14ac:dyDescent="0.3">
      <c r="A324" t="s">
        <v>283</v>
      </c>
      <c r="B324" t="str">
        <f ca="1">OFFSET(Industries!C$1,MATCH(Table1[[#This Row],[Ticker]],Industries!$A$2:$A$150,0),0)</f>
        <v>Health Care</v>
      </c>
      <c r="C324" t="str">
        <f ca="1">OFFSET(Industries!D$1,MATCH(Table1[[#This Row],[Ticker]],Industries!$A$2:$A$150,0),0)</f>
        <v>Pharmaceuticals, Biotechnology and Life Sciences</v>
      </c>
      <c r="D324" t="str">
        <f ca="1">OFFSET(Industries!E$1,MATCH(Table1[[#This Row],[Ticker]],Industries!$A$2:$A$150,0),0)</f>
        <v>Biotechnology</v>
      </c>
      <c r="E324" t="s">
        <v>49</v>
      </c>
      <c r="F324" t="str">
        <f ca="1">OFFSET(Industries!B$1,MATCH(Table1[[#This Row],[Ticker]],Industries!$A$2:$A$140,0),0)</f>
        <v>Mega-Cap</v>
      </c>
      <c r="H324" t="s">
        <v>1434</v>
      </c>
      <c r="I324" t="s">
        <v>1434</v>
      </c>
      <c r="J324" s="2">
        <v>45386</v>
      </c>
      <c r="K324" t="s">
        <v>2</v>
      </c>
      <c r="L324" t="s">
        <v>1708</v>
      </c>
      <c r="M324" t="s">
        <v>1709</v>
      </c>
      <c r="N324" s="1"/>
      <c r="O324" t="s">
        <v>4</v>
      </c>
      <c r="P324" s="3">
        <v>0.17</v>
      </c>
      <c r="Q324" s="3" t="s">
        <v>1636</v>
      </c>
      <c r="R324" t="s">
        <v>24</v>
      </c>
      <c r="S324" t="s">
        <v>1086</v>
      </c>
      <c r="T324" t="s">
        <v>210</v>
      </c>
      <c r="U324" s="1">
        <v>0.1</v>
      </c>
      <c r="V324" t="s">
        <v>220</v>
      </c>
    </row>
    <row r="325" spans="1:22" x14ac:dyDescent="0.3">
      <c r="A325" t="s">
        <v>283</v>
      </c>
      <c r="B325" t="str">
        <f ca="1">OFFSET(Industries!C$1,MATCH(Table1[[#This Row],[Ticker]],Industries!$A$2:$A$150,0),0)</f>
        <v>Health Care</v>
      </c>
      <c r="C325" t="str">
        <f ca="1">OFFSET(Industries!D$1,MATCH(Table1[[#This Row],[Ticker]],Industries!$A$2:$A$150,0),0)</f>
        <v>Pharmaceuticals, Biotechnology and Life Sciences</v>
      </c>
      <c r="D325" t="str">
        <f ca="1">OFFSET(Industries!E$1,MATCH(Table1[[#This Row],[Ticker]],Industries!$A$2:$A$150,0),0)</f>
        <v>Biotechnology</v>
      </c>
      <c r="E325" t="s">
        <v>49</v>
      </c>
      <c r="F325" t="str">
        <f ca="1">OFFSET(Industries!B$1,MATCH(Table1[[#This Row],[Ticker]],Industries!$A$2:$A$140,0),0)</f>
        <v>Mega-Cap</v>
      </c>
      <c r="H325" t="s">
        <v>1434</v>
      </c>
      <c r="I325" t="s">
        <v>1434</v>
      </c>
      <c r="J325" s="2">
        <v>45386</v>
      </c>
      <c r="K325" t="s">
        <v>2</v>
      </c>
      <c r="L325" t="s">
        <v>1708</v>
      </c>
      <c r="M325" t="s">
        <v>1709</v>
      </c>
      <c r="N325" s="1"/>
      <c r="O325" t="s">
        <v>4</v>
      </c>
      <c r="P325" s="3">
        <v>0.17</v>
      </c>
      <c r="Q325" s="3" t="s">
        <v>1637</v>
      </c>
      <c r="R325" t="s">
        <v>25</v>
      </c>
      <c r="S325" t="s">
        <v>1086</v>
      </c>
      <c r="T325" t="s">
        <v>211</v>
      </c>
      <c r="U325" s="1">
        <v>0.09</v>
      </c>
      <c r="V325" t="s">
        <v>216</v>
      </c>
    </row>
    <row r="326" spans="1:22" x14ac:dyDescent="0.3">
      <c r="A326" t="s">
        <v>283</v>
      </c>
      <c r="B326" t="str">
        <f ca="1">OFFSET(Industries!C$1,MATCH(Table1[[#This Row],[Ticker]],Industries!$A$2:$A$150,0),0)</f>
        <v>Health Care</v>
      </c>
      <c r="C326" t="str">
        <f ca="1">OFFSET(Industries!D$1,MATCH(Table1[[#This Row],[Ticker]],Industries!$A$2:$A$150,0),0)</f>
        <v>Pharmaceuticals, Biotechnology and Life Sciences</v>
      </c>
      <c r="D326" t="str">
        <f ca="1">OFFSET(Industries!E$1,MATCH(Table1[[#This Row],[Ticker]],Industries!$A$2:$A$150,0),0)</f>
        <v>Biotechnology</v>
      </c>
      <c r="E326" t="s">
        <v>49</v>
      </c>
      <c r="F326" t="str">
        <f ca="1">OFFSET(Industries!B$1,MATCH(Table1[[#This Row],[Ticker]],Industries!$A$2:$A$140,0),0)</f>
        <v>Mega-Cap</v>
      </c>
      <c r="H326" t="s">
        <v>1434</v>
      </c>
      <c r="I326" t="s">
        <v>1434</v>
      </c>
      <c r="J326" s="2">
        <v>45386</v>
      </c>
      <c r="K326" t="s">
        <v>2</v>
      </c>
      <c r="L326" t="s">
        <v>1708</v>
      </c>
      <c r="M326" t="s">
        <v>1709</v>
      </c>
      <c r="N326" s="1"/>
      <c r="O326" t="s">
        <v>4</v>
      </c>
      <c r="P326" s="3">
        <v>0.17</v>
      </c>
      <c r="Q326" s="3"/>
      <c r="R326" t="s">
        <v>28</v>
      </c>
      <c r="S326" t="s">
        <v>1110</v>
      </c>
      <c r="T326" t="s">
        <v>172</v>
      </c>
      <c r="V326" t="s">
        <v>217</v>
      </c>
    </row>
    <row r="327" spans="1:22" x14ac:dyDescent="0.3">
      <c r="A327" t="s">
        <v>283</v>
      </c>
      <c r="B327" t="str">
        <f ca="1">OFFSET(Industries!C$1,MATCH(Table1[[#This Row],[Ticker]],Industries!$A$2:$A$150,0),0)</f>
        <v>Health Care</v>
      </c>
      <c r="C327" t="str">
        <f ca="1">OFFSET(Industries!D$1,MATCH(Table1[[#This Row],[Ticker]],Industries!$A$2:$A$150,0),0)</f>
        <v>Pharmaceuticals, Biotechnology and Life Sciences</v>
      </c>
      <c r="D327" t="str">
        <f ca="1">OFFSET(Industries!E$1,MATCH(Table1[[#This Row],[Ticker]],Industries!$A$2:$A$150,0),0)</f>
        <v>Biotechnology</v>
      </c>
      <c r="E327" t="s">
        <v>49</v>
      </c>
      <c r="F327" t="str">
        <f ca="1">OFFSET(Industries!B$1,MATCH(Table1[[#This Row],[Ticker]],Industries!$A$2:$A$140,0),0)</f>
        <v>Mega-Cap</v>
      </c>
      <c r="H327" t="s">
        <v>1434</v>
      </c>
      <c r="I327" t="s">
        <v>1434</v>
      </c>
      <c r="J327" s="2">
        <v>45386</v>
      </c>
      <c r="K327" t="s">
        <v>2</v>
      </c>
      <c r="L327" t="s">
        <v>1708</v>
      </c>
      <c r="M327" t="s">
        <v>1709</v>
      </c>
      <c r="N327" s="1"/>
      <c r="O327" t="s">
        <v>4</v>
      </c>
      <c r="P327" s="3">
        <v>0.17</v>
      </c>
      <c r="Q327" s="3"/>
      <c r="R327" t="s">
        <v>28</v>
      </c>
      <c r="S327" t="s">
        <v>1087</v>
      </c>
      <c r="T327" t="s">
        <v>40</v>
      </c>
    </row>
    <row r="328" spans="1:22" x14ac:dyDescent="0.3">
      <c r="A328" t="s">
        <v>283</v>
      </c>
      <c r="B328" t="str">
        <f ca="1">OFFSET(Industries!C$1,MATCH(Table1[[#This Row],[Ticker]],Industries!$A$2:$A$150,0),0)</f>
        <v>Health Care</v>
      </c>
      <c r="C328" t="str">
        <f ca="1">OFFSET(Industries!D$1,MATCH(Table1[[#This Row],[Ticker]],Industries!$A$2:$A$150,0),0)</f>
        <v>Pharmaceuticals, Biotechnology and Life Sciences</v>
      </c>
      <c r="D328" t="str">
        <f ca="1">OFFSET(Industries!E$1,MATCH(Table1[[#This Row],[Ticker]],Industries!$A$2:$A$150,0),0)</f>
        <v>Biotechnology</v>
      </c>
      <c r="E328" t="s">
        <v>49</v>
      </c>
      <c r="F328" t="str">
        <f ca="1">OFFSET(Industries!B$1,MATCH(Table1[[#This Row],[Ticker]],Industries!$A$2:$A$140,0),0)</f>
        <v>Mega-Cap</v>
      </c>
      <c r="H328" t="s">
        <v>1434</v>
      </c>
      <c r="I328" t="s">
        <v>1434</v>
      </c>
      <c r="J328" s="2">
        <v>45386</v>
      </c>
      <c r="K328" t="s">
        <v>2</v>
      </c>
      <c r="L328" t="s">
        <v>1710</v>
      </c>
      <c r="M328" t="s">
        <v>1709</v>
      </c>
      <c r="N328" s="1">
        <f>Table1[[#This Row],[Consideration Weight]]</f>
        <v>0.38</v>
      </c>
      <c r="O328" t="s">
        <v>476</v>
      </c>
      <c r="P328" s="3">
        <v>0.38</v>
      </c>
      <c r="Q328" s="3" t="s">
        <v>1636</v>
      </c>
      <c r="R328" t="s">
        <v>23</v>
      </c>
      <c r="S328" t="s">
        <v>1083</v>
      </c>
      <c r="T328" t="s">
        <v>218</v>
      </c>
      <c r="U328" s="1">
        <v>0.5</v>
      </c>
      <c r="V328" t="s">
        <v>142</v>
      </c>
    </row>
    <row r="329" spans="1:22" x14ac:dyDescent="0.3">
      <c r="A329" t="s">
        <v>283</v>
      </c>
      <c r="B329" t="str">
        <f ca="1">OFFSET(Industries!C$1,MATCH(Table1[[#This Row],[Ticker]],Industries!$A$2:$A$150,0),0)</f>
        <v>Health Care</v>
      </c>
      <c r="C329" t="str">
        <f ca="1">OFFSET(Industries!D$1,MATCH(Table1[[#This Row],[Ticker]],Industries!$A$2:$A$150,0),0)</f>
        <v>Pharmaceuticals, Biotechnology and Life Sciences</v>
      </c>
      <c r="D329" t="str">
        <f ca="1">OFFSET(Industries!E$1,MATCH(Table1[[#This Row],[Ticker]],Industries!$A$2:$A$150,0),0)</f>
        <v>Biotechnology</v>
      </c>
      <c r="E329" t="s">
        <v>49</v>
      </c>
      <c r="F329" t="str">
        <f ca="1">OFFSET(Industries!B$1,MATCH(Table1[[#This Row],[Ticker]],Industries!$A$2:$A$140,0),0)</f>
        <v>Mega-Cap</v>
      </c>
      <c r="H329" t="s">
        <v>1434</v>
      </c>
      <c r="I329" t="s">
        <v>1434</v>
      </c>
      <c r="J329" s="2">
        <v>45386</v>
      </c>
      <c r="K329" t="s">
        <v>2</v>
      </c>
      <c r="L329" t="s">
        <v>1710</v>
      </c>
      <c r="M329" t="s">
        <v>1709</v>
      </c>
      <c r="N329" s="1"/>
      <c r="O329" t="s">
        <v>476</v>
      </c>
      <c r="P329" s="3">
        <v>0.38</v>
      </c>
      <c r="Q329" s="3" t="s">
        <v>1637</v>
      </c>
      <c r="R329" t="s">
        <v>25</v>
      </c>
      <c r="S329" t="s">
        <v>1086</v>
      </c>
      <c r="T329" t="s">
        <v>212</v>
      </c>
      <c r="U329" s="1">
        <v>0.5</v>
      </c>
      <c r="V329" t="s">
        <v>219</v>
      </c>
    </row>
    <row r="330" spans="1:22" x14ac:dyDescent="0.3">
      <c r="A330" t="s">
        <v>283</v>
      </c>
      <c r="B330" t="str">
        <f ca="1">OFFSET(Industries!C$1,MATCH(Table1[[#This Row],[Ticker]],Industries!$A$2:$A$150,0),0)</f>
        <v>Health Care</v>
      </c>
      <c r="C330" t="str">
        <f ca="1">OFFSET(Industries!D$1,MATCH(Table1[[#This Row],[Ticker]],Industries!$A$2:$A$150,0),0)</f>
        <v>Pharmaceuticals, Biotechnology and Life Sciences</v>
      </c>
      <c r="D330" t="str">
        <f ca="1">OFFSET(Industries!E$1,MATCH(Table1[[#This Row],[Ticker]],Industries!$A$2:$A$150,0),0)</f>
        <v>Biotechnology</v>
      </c>
      <c r="E330" t="s">
        <v>49</v>
      </c>
      <c r="F330" t="str">
        <f ca="1">OFFSET(Industries!B$1,MATCH(Table1[[#This Row],[Ticker]],Industries!$A$2:$A$140,0),0)</f>
        <v>Mega-Cap</v>
      </c>
      <c r="H330" t="s">
        <v>1434</v>
      </c>
      <c r="I330" t="s">
        <v>1434</v>
      </c>
      <c r="J330" s="2">
        <v>45386</v>
      </c>
      <c r="K330" t="s">
        <v>2</v>
      </c>
      <c r="L330" t="s">
        <v>1710</v>
      </c>
      <c r="M330" t="s">
        <v>1709</v>
      </c>
      <c r="N330" s="1"/>
      <c r="O330" t="s">
        <v>476</v>
      </c>
      <c r="P330" s="3">
        <v>0.38</v>
      </c>
      <c r="Q330" s="3"/>
      <c r="R330" t="s">
        <v>28</v>
      </c>
      <c r="S330" t="s">
        <v>1087</v>
      </c>
      <c r="T330" t="s">
        <v>40</v>
      </c>
    </row>
    <row r="331" spans="1:22" x14ac:dyDescent="0.3">
      <c r="A331" t="s">
        <v>283</v>
      </c>
      <c r="B331" t="str">
        <f ca="1">OFFSET(Industries!C$1,MATCH(Table1[[#This Row],[Ticker]],Industries!$A$2:$A$150,0),0)</f>
        <v>Health Care</v>
      </c>
      <c r="C331" t="str">
        <f ca="1">OFFSET(Industries!D$1,MATCH(Table1[[#This Row],[Ticker]],Industries!$A$2:$A$150,0),0)</f>
        <v>Pharmaceuticals, Biotechnology and Life Sciences</v>
      </c>
      <c r="D331" t="str">
        <f ca="1">OFFSET(Industries!E$1,MATCH(Table1[[#This Row],[Ticker]],Industries!$A$2:$A$150,0),0)</f>
        <v>Biotechnology</v>
      </c>
      <c r="E331" t="s">
        <v>49</v>
      </c>
      <c r="F331" t="str">
        <f ca="1">OFFSET(Industries!B$1,MATCH(Table1[[#This Row],[Ticker]],Industries!$A$2:$A$140,0),0)</f>
        <v>Mega-Cap</v>
      </c>
      <c r="H331" t="s">
        <v>1434</v>
      </c>
      <c r="I331" t="s">
        <v>1434</v>
      </c>
      <c r="J331" s="2">
        <v>45386</v>
      </c>
      <c r="K331" t="s">
        <v>2</v>
      </c>
      <c r="L331" t="s">
        <v>1710</v>
      </c>
      <c r="M331" t="s">
        <v>1709</v>
      </c>
      <c r="N331" s="1">
        <f>Table1[[#This Row],[Consideration Weight]]</f>
        <v>0.38</v>
      </c>
      <c r="O331" t="s">
        <v>194</v>
      </c>
      <c r="P331" s="3">
        <v>0.38</v>
      </c>
      <c r="Q331" s="3"/>
      <c r="V331" t="s">
        <v>1714</v>
      </c>
    </row>
    <row r="332" spans="1:22" x14ac:dyDescent="0.3">
      <c r="A332" t="s">
        <v>283</v>
      </c>
      <c r="B332" t="str">
        <f ca="1">OFFSET(Industries!C$1,MATCH(Table1[[#This Row],[Ticker]],Industries!$A$2:$A$150,0),0)</f>
        <v>Health Care</v>
      </c>
      <c r="C332" t="str">
        <f ca="1">OFFSET(Industries!D$1,MATCH(Table1[[#This Row],[Ticker]],Industries!$A$2:$A$150,0),0)</f>
        <v>Pharmaceuticals, Biotechnology and Life Sciences</v>
      </c>
      <c r="D332" t="str">
        <f ca="1">OFFSET(Industries!E$1,MATCH(Table1[[#This Row],[Ticker]],Industries!$A$2:$A$150,0),0)</f>
        <v>Biotechnology</v>
      </c>
      <c r="E332" t="s">
        <v>49</v>
      </c>
      <c r="F332" t="str">
        <f ca="1">OFFSET(Industries!B$1,MATCH(Table1[[#This Row],[Ticker]],Industries!$A$2:$A$140,0),0)</f>
        <v>Mega-Cap</v>
      </c>
      <c r="H332" t="s">
        <v>1434</v>
      </c>
      <c r="I332" t="s">
        <v>1434</v>
      </c>
      <c r="J332" s="2">
        <v>45386</v>
      </c>
      <c r="K332" t="s">
        <v>21</v>
      </c>
      <c r="L332" t="s">
        <v>3</v>
      </c>
      <c r="M332" t="s">
        <v>1711</v>
      </c>
      <c r="N332" s="1">
        <f>Table1[[#This Row],[Consideration Weight]]</f>
        <v>0.1</v>
      </c>
      <c r="O332" t="s">
        <v>3</v>
      </c>
      <c r="P332" s="3">
        <v>0.1</v>
      </c>
      <c r="Q332" s="3"/>
    </row>
    <row r="333" spans="1:22" x14ac:dyDescent="0.3">
      <c r="A333" t="s">
        <v>283</v>
      </c>
      <c r="B333" t="str">
        <f ca="1">OFFSET(Industries!C$1,MATCH(Table1[[#This Row],[Ticker]],Industries!$A$2:$A$150,0),0)</f>
        <v>Health Care</v>
      </c>
      <c r="C333" t="str">
        <f ca="1">OFFSET(Industries!D$1,MATCH(Table1[[#This Row],[Ticker]],Industries!$A$2:$A$150,0),0)</f>
        <v>Pharmaceuticals, Biotechnology and Life Sciences</v>
      </c>
      <c r="D333" t="str">
        <f ca="1">OFFSET(Industries!E$1,MATCH(Table1[[#This Row],[Ticker]],Industries!$A$2:$A$150,0),0)</f>
        <v>Biotechnology</v>
      </c>
      <c r="E333" t="s">
        <v>49</v>
      </c>
      <c r="F333" t="str">
        <f ca="1">OFFSET(Industries!B$1,MATCH(Table1[[#This Row],[Ticker]],Industries!$A$2:$A$140,0),0)</f>
        <v>Mega-Cap</v>
      </c>
      <c r="H333" t="s">
        <v>1434</v>
      </c>
      <c r="I333" t="s">
        <v>1434</v>
      </c>
      <c r="J333" s="2">
        <v>45386</v>
      </c>
      <c r="K333" t="s">
        <v>21</v>
      </c>
      <c r="L333" t="s">
        <v>1708</v>
      </c>
      <c r="M333" t="s">
        <v>1709</v>
      </c>
      <c r="N333" s="1">
        <f>Table1[[#This Row],[Consideration Weight]]</f>
        <v>0.18</v>
      </c>
      <c r="O333" t="s">
        <v>4</v>
      </c>
      <c r="P333" s="3">
        <v>0.18</v>
      </c>
      <c r="Q333" s="3" t="s">
        <v>1637</v>
      </c>
      <c r="R333" t="s">
        <v>25</v>
      </c>
      <c r="S333" t="s">
        <v>344</v>
      </c>
      <c r="T333" t="s">
        <v>207</v>
      </c>
      <c r="U333" s="1">
        <v>0.38</v>
      </c>
    </row>
    <row r="334" spans="1:22" x14ac:dyDescent="0.3">
      <c r="A334" t="s">
        <v>283</v>
      </c>
      <c r="B334" t="str">
        <f ca="1">OFFSET(Industries!C$1,MATCH(Table1[[#This Row],[Ticker]],Industries!$A$2:$A$150,0),0)</f>
        <v>Health Care</v>
      </c>
      <c r="C334" t="str">
        <f ca="1">OFFSET(Industries!D$1,MATCH(Table1[[#This Row],[Ticker]],Industries!$A$2:$A$150,0),0)</f>
        <v>Pharmaceuticals, Biotechnology and Life Sciences</v>
      </c>
      <c r="D334" t="str">
        <f ca="1">OFFSET(Industries!E$1,MATCH(Table1[[#This Row],[Ticker]],Industries!$A$2:$A$150,0),0)</f>
        <v>Biotechnology</v>
      </c>
      <c r="E334" t="s">
        <v>49</v>
      </c>
      <c r="F334" t="str">
        <f ca="1">OFFSET(Industries!B$1,MATCH(Table1[[#This Row],[Ticker]],Industries!$A$2:$A$140,0),0)</f>
        <v>Mega-Cap</v>
      </c>
      <c r="H334" t="s">
        <v>1434</v>
      </c>
      <c r="I334" t="s">
        <v>1434</v>
      </c>
      <c r="J334" s="2">
        <v>45386</v>
      </c>
      <c r="K334" t="s">
        <v>21</v>
      </c>
      <c r="L334" t="s">
        <v>1708</v>
      </c>
      <c r="M334" t="s">
        <v>1709</v>
      </c>
      <c r="N334" s="1"/>
      <c r="O334" t="s">
        <v>4</v>
      </c>
      <c r="P334" s="3">
        <v>0.18</v>
      </c>
      <c r="Q334" s="3" t="s">
        <v>1637</v>
      </c>
      <c r="R334" t="s">
        <v>25</v>
      </c>
      <c r="S334" t="s">
        <v>1086</v>
      </c>
      <c r="T334" t="s">
        <v>208</v>
      </c>
      <c r="U334" s="1">
        <v>0.33</v>
      </c>
    </row>
    <row r="335" spans="1:22" x14ac:dyDescent="0.3">
      <c r="A335" t="s">
        <v>283</v>
      </c>
      <c r="B335" t="str">
        <f ca="1">OFFSET(Industries!C$1,MATCH(Table1[[#This Row],[Ticker]],Industries!$A$2:$A$150,0),0)</f>
        <v>Health Care</v>
      </c>
      <c r="C335" t="str">
        <f ca="1">OFFSET(Industries!D$1,MATCH(Table1[[#This Row],[Ticker]],Industries!$A$2:$A$150,0),0)</f>
        <v>Pharmaceuticals, Biotechnology and Life Sciences</v>
      </c>
      <c r="D335" t="str">
        <f ca="1">OFFSET(Industries!E$1,MATCH(Table1[[#This Row],[Ticker]],Industries!$A$2:$A$150,0),0)</f>
        <v>Biotechnology</v>
      </c>
      <c r="E335" t="s">
        <v>49</v>
      </c>
      <c r="F335" t="str">
        <f ca="1">OFFSET(Industries!B$1,MATCH(Table1[[#This Row],[Ticker]],Industries!$A$2:$A$140,0),0)</f>
        <v>Mega-Cap</v>
      </c>
      <c r="H335" t="s">
        <v>1434</v>
      </c>
      <c r="I335" t="s">
        <v>1434</v>
      </c>
      <c r="J335" s="2">
        <v>45386</v>
      </c>
      <c r="K335" t="s">
        <v>21</v>
      </c>
      <c r="L335" t="s">
        <v>1708</v>
      </c>
      <c r="M335" t="s">
        <v>1709</v>
      </c>
      <c r="N335" s="1"/>
      <c r="O335" t="s">
        <v>4</v>
      </c>
      <c r="P335" s="3">
        <v>0.18</v>
      </c>
      <c r="Q335" s="3" t="s">
        <v>1637</v>
      </c>
      <c r="R335" t="s">
        <v>25</v>
      </c>
      <c r="S335" t="s">
        <v>1086</v>
      </c>
      <c r="T335" t="s">
        <v>209</v>
      </c>
      <c r="U335" s="1">
        <v>0.1</v>
      </c>
    </row>
    <row r="336" spans="1:22" x14ac:dyDescent="0.3">
      <c r="A336" t="s">
        <v>283</v>
      </c>
      <c r="B336" t="str">
        <f ca="1">OFFSET(Industries!C$1,MATCH(Table1[[#This Row],[Ticker]],Industries!$A$2:$A$150,0),0)</f>
        <v>Health Care</v>
      </c>
      <c r="C336" t="str">
        <f ca="1">OFFSET(Industries!D$1,MATCH(Table1[[#This Row],[Ticker]],Industries!$A$2:$A$150,0),0)</f>
        <v>Pharmaceuticals, Biotechnology and Life Sciences</v>
      </c>
      <c r="D336" t="str">
        <f ca="1">OFFSET(Industries!E$1,MATCH(Table1[[#This Row],[Ticker]],Industries!$A$2:$A$150,0),0)</f>
        <v>Biotechnology</v>
      </c>
      <c r="E336" t="s">
        <v>49</v>
      </c>
      <c r="F336" t="str">
        <f ca="1">OFFSET(Industries!B$1,MATCH(Table1[[#This Row],[Ticker]],Industries!$A$2:$A$140,0),0)</f>
        <v>Mega-Cap</v>
      </c>
      <c r="H336" t="s">
        <v>1434</v>
      </c>
      <c r="I336" t="s">
        <v>1434</v>
      </c>
      <c r="J336" s="2">
        <v>45386</v>
      </c>
      <c r="K336" t="s">
        <v>21</v>
      </c>
      <c r="L336" t="s">
        <v>1708</v>
      </c>
      <c r="M336" t="s">
        <v>1709</v>
      </c>
      <c r="N336" s="1"/>
      <c r="O336" t="s">
        <v>4</v>
      </c>
      <c r="P336" s="3">
        <v>0.18</v>
      </c>
      <c r="Q336" s="3" t="s">
        <v>1636</v>
      </c>
      <c r="R336" t="s">
        <v>24</v>
      </c>
      <c r="S336" t="s">
        <v>1086</v>
      </c>
      <c r="T336" t="s">
        <v>210</v>
      </c>
      <c r="U336" s="1">
        <v>0.1</v>
      </c>
    </row>
    <row r="337" spans="1:22" x14ac:dyDescent="0.3">
      <c r="A337" t="s">
        <v>283</v>
      </c>
      <c r="B337" t="str">
        <f ca="1">OFFSET(Industries!C$1,MATCH(Table1[[#This Row],[Ticker]],Industries!$A$2:$A$150,0),0)</f>
        <v>Health Care</v>
      </c>
      <c r="C337" t="str">
        <f ca="1">OFFSET(Industries!D$1,MATCH(Table1[[#This Row],[Ticker]],Industries!$A$2:$A$150,0),0)</f>
        <v>Pharmaceuticals, Biotechnology and Life Sciences</v>
      </c>
      <c r="D337" t="str">
        <f ca="1">OFFSET(Industries!E$1,MATCH(Table1[[#This Row],[Ticker]],Industries!$A$2:$A$150,0),0)</f>
        <v>Biotechnology</v>
      </c>
      <c r="E337" t="s">
        <v>49</v>
      </c>
      <c r="F337" t="str">
        <f ca="1">OFFSET(Industries!B$1,MATCH(Table1[[#This Row],[Ticker]],Industries!$A$2:$A$140,0),0)</f>
        <v>Mega-Cap</v>
      </c>
      <c r="H337" t="s">
        <v>1434</v>
      </c>
      <c r="I337" t="s">
        <v>1434</v>
      </c>
      <c r="J337" s="2">
        <v>45386</v>
      </c>
      <c r="K337" t="s">
        <v>21</v>
      </c>
      <c r="L337" t="s">
        <v>1708</v>
      </c>
      <c r="M337" t="s">
        <v>1709</v>
      </c>
      <c r="N337" s="1"/>
      <c r="O337" t="s">
        <v>4</v>
      </c>
      <c r="P337" s="3">
        <v>0.18</v>
      </c>
      <c r="Q337" s="3" t="s">
        <v>1637</v>
      </c>
      <c r="R337" t="s">
        <v>25</v>
      </c>
      <c r="S337" t="s">
        <v>1086</v>
      </c>
      <c r="T337" t="s">
        <v>211</v>
      </c>
      <c r="U337" s="1">
        <v>0.09</v>
      </c>
    </row>
    <row r="338" spans="1:22" x14ac:dyDescent="0.3">
      <c r="A338" t="s">
        <v>283</v>
      </c>
      <c r="B338" t="str">
        <f ca="1">OFFSET(Industries!C$1,MATCH(Table1[[#This Row],[Ticker]],Industries!$A$2:$A$150,0),0)</f>
        <v>Health Care</v>
      </c>
      <c r="C338" t="str">
        <f ca="1">OFFSET(Industries!D$1,MATCH(Table1[[#This Row],[Ticker]],Industries!$A$2:$A$150,0),0)</f>
        <v>Pharmaceuticals, Biotechnology and Life Sciences</v>
      </c>
      <c r="D338" t="str">
        <f ca="1">OFFSET(Industries!E$1,MATCH(Table1[[#This Row],[Ticker]],Industries!$A$2:$A$150,0),0)</f>
        <v>Biotechnology</v>
      </c>
      <c r="E338" t="s">
        <v>49</v>
      </c>
      <c r="F338" t="str">
        <f ca="1">OFFSET(Industries!B$1,MATCH(Table1[[#This Row],[Ticker]],Industries!$A$2:$A$140,0),0)</f>
        <v>Mega-Cap</v>
      </c>
      <c r="H338" t="s">
        <v>1434</v>
      </c>
      <c r="I338" t="s">
        <v>1434</v>
      </c>
      <c r="J338" s="2">
        <v>45386</v>
      </c>
      <c r="K338" t="s">
        <v>21</v>
      </c>
      <c r="L338" t="s">
        <v>1708</v>
      </c>
      <c r="M338" t="s">
        <v>1709</v>
      </c>
      <c r="N338" s="1"/>
      <c r="O338" t="s">
        <v>4</v>
      </c>
      <c r="P338" s="3">
        <v>0.18</v>
      </c>
      <c r="Q338" s="3"/>
      <c r="R338" t="s">
        <v>28</v>
      </c>
      <c r="S338" t="s">
        <v>1110</v>
      </c>
      <c r="T338" t="s">
        <v>172</v>
      </c>
    </row>
    <row r="339" spans="1:22" x14ac:dyDescent="0.3">
      <c r="A339" t="s">
        <v>283</v>
      </c>
      <c r="B339" t="str">
        <f ca="1">OFFSET(Industries!C$1,MATCH(Table1[[#This Row],[Ticker]],Industries!$A$2:$A$150,0),0)</f>
        <v>Health Care</v>
      </c>
      <c r="C339" t="str">
        <f ca="1">OFFSET(Industries!D$1,MATCH(Table1[[#This Row],[Ticker]],Industries!$A$2:$A$150,0),0)</f>
        <v>Pharmaceuticals, Biotechnology and Life Sciences</v>
      </c>
      <c r="D339" t="str">
        <f ca="1">OFFSET(Industries!E$1,MATCH(Table1[[#This Row],[Ticker]],Industries!$A$2:$A$150,0),0)</f>
        <v>Biotechnology</v>
      </c>
      <c r="E339" t="s">
        <v>49</v>
      </c>
      <c r="F339" t="str">
        <f ca="1">OFFSET(Industries!B$1,MATCH(Table1[[#This Row],[Ticker]],Industries!$A$2:$A$140,0),0)</f>
        <v>Mega-Cap</v>
      </c>
      <c r="H339" t="s">
        <v>1434</v>
      </c>
      <c r="I339" t="s">
        <v>1434</v>
      </c>
      <c r="J339" s="2">
        <v>45386</v>
      </c>
      <c r="K339" t="s">
        <v>21</v>
      </c>
      <c r="L339" t="s">
        <v>1708</v>
      </c>
      <c r="M339" t="s">
        <v>1709</v>
      </c>
      <c r="N339" s="1"/>
      <c r="O339" t="s">
        <v>4</v>
      </c>
      <c r="P339" s="3">
        <v>0.18</v>
      </c>
      <c r="Q339" s="3"/>
      <c r="R339" t="s">
        <v>28</v>
      </c>
      <c r="S339" t="s">
        <v>1087</v>
      </c>
      <c r="T339" t="s">
        <v>40</v>
      </c>
    </row>
    <row r="340" spans="1:22" x14ac:dyDescent="0.3">
      <c r="A340" t="s">
        <v>283</v>
      </c>
      <c r="B340" t="str">
        <f ca="1">OFFSET(Industries!C$1,MATCH(Table1[[#This Row],[Ticker]],Industries!$A$2:$A$150,0),0)</f>
        <v>Health Care</v>
      </c>
      <c r="C340" t="str">
        <f ca="1">OFFSET(Industries!D$1,MATCH(Table1[[#This Row],[Ticker]],Industries!$A$2:$A$150,0),0)</f>
        <v>Pharmaceuticals, Biotechnology and Life Sciences</v>
      </c>
      <c r="D340" t="str">
        <f ca="1">OFFSET(Industries!E$1,MATCH(Table1[[#This Row],[Ticker]],Industries!$A$2:$A$150,0),0)</f>
        <v>Biotechnology</v>
      </c>
      <c r="E340" t="s">
        <v>49</v>
      </c>
      <c r="F340" t="str">
        <f ca="1">OFFSET(Industries!B$1,MATCH(Table1[[#This Row],[Ticker]],Industries!$A$2:$A$140,0),0)</f>
        <v>Mega-Cap</v>
      </c>
      <c r="H340" t="s">
        <v>1434</v>
      </c>
      <c r="I340" t="s">
        <v>1434</v>
      </c>
      <c r="J340" s="2">
        <v>45386</v>
      </c>
      <c r="K340" t="s">
        <v>21</v>
      </c>
      <c r="L340" t="s">
        <v>1710</v>
      </c>
      <c r="M340" t="s">
        <v>1709</v>
      </c>
      <c r="N340" s="1">
        <f>Table1[[#This Row],[Consideration Weight]]</f>
        <v>0.36</v>
      </c>
      <c r="O340" t="s">
        <v>476</v>
      </c>
      <c r="P340" s="3">
        <v>0.36</v>
      </c>
      <c r="Q340" s="3" t="s">
        <v>1636</v>
      </c>
      <c r="R340" t="s">
        <v>23</v>
      </c>
      <c r="S340" t="s">
        <v>1083</v>
      </c>
      <c r="T340" t="s">
        <v>218</v>
      </c>
      <c r="U340" s="1">
        <v>0.5</v>
      </c>
    </row>
    <row r="341" spans="1:22" x14ac:dyDescent="0.3">
      <c r="A341" t="s">
        <v>283</v>
      </c>
      <c r="B341" t="str">
        <f ca="1">OFFSET(Industries!C$1,MATCH(Table1[[#This Row],[Ticker]],Industries!$A$2:$A$150,0),0)</f>
        <v>Health Care</v>
      </c>
      <c r="C341" t="str">
        <f ca="1">OFFSET(Industries!D$1,MATCH(Table1[[#This Row],[Ticker]],Industries!$A$2:$A$150,0),0)</f>
        <v>Pharmaceuticals, Biotechnology and Life Sciences</v>
      </c>
      <c r="D341" t="str">
        <f ca="1">OFFSET(Industries!E$1,MATCH(Table1[[#This Row],[Ticker]],Industries!$A$2:$A$150,0),0)</f>
        <v>Biotechnology</v>
      </c>
      <c r="E341" t="s">
        <v>49</v>
      </c>
      <c r="F341" t="str">
        <f ca="1">OFFSET(Industries!B$1,MATCH(Table1[[#This Row],[Ticker]],Industries!$A$2:$A$140,0),0)</f>
        <v>Mega-Cap</v>
      </c>
      <c r="H341" t="s">
        <v>1434</v>
      </c>
      <c r="I341" t="s">
        <v>1434</v>
      </c>
      <c r="J341" s="2">
        <v>45386</v>
      </c>
      <c r="K341" t="s">
        <v>21</v>
      </c>
      <c r="L341" t="s">
        <v>1710</v>
      </c>
      <c r="M341" t="s">
        <v>1709</v>
      </c>
      <c r="N341" s="1"/>
      <c r="O341" t="s">
        <v>476</v>
      </c>
      <c r="P341" s="3">
        <v>0.36</v>
      </c>
      <c r="Q341" s="3" t="s">
        <v>1637</v>
      </c>
      <c r="R341" t="s">
        <v>25</v>
      </c>
      <c r="S341" t="s">
        <v>1086</v>
      </c>
      <c r="T341" t="s">
        <v>212</v>
      </c>
      <c r="U341" s="1">
        <v>0.5</v>
      </c>
    </row>
    <row r="342" spans="1:22" x14ac:dyDescent="0.3">
      <c r="A342" t="s">
        <v>283</v>
      </c>
      <c r="B342" t="str">
        <f ca="1">OFFSET(Industries!C$1,MATCH(Table1[[#This Row],[Ticker]],Industries!$A$2:$A$150,0),0)</f>
        <v>Health Care</v>
      </c>
      <c r="C342" t="str">
        <f ca="1">OFFSET(Industries!D$1,MATCH(Table1[[#This Row],[Ticker]],Industries!$A$2:$A$150,0),0)</f>
        <v>Pharmaceuticals, Biotechnology and Life Sciences</v>
      </c>
      <c r="D342" t="str">
        <f ca="1">OFFSET(Industries!E$1,MATCH(Table1[[#This Row],[Ticker]],Industries!$A$2:$A$150,0),0)</f>
        <v>Biotechnology</v>
      </c>
      <c r="E342" t="s">
        <v>49</v>
      </c>
      <c r="F342" t="str">
        <f ca="1">OFFSET(Industries!B$1,MATCH(Table1[[#This Row],[Ticker]],Industries!$A$2:$A$140,0),0)</f>
        <v>Mega-Cap</v>
      </c>
      <c r="H342" t="s">
        <v>1434</v>
      </c>
      <c r="I342" t="s">
        <v>1434</v>
      </c>
      <c r="J342" s="2">
        <v>45386</v>
      </c>
      <c r="K342" t="s">
        <v>21</v>
      </c>
      <c r="L342" t="s">
        <v>1710</v>
      </c>
      <c r="M342" t="s">
        <v>1709</v>
      </c>
      <c r="N342" s="1"/>
      <c r="O342" t="s">
        <v>476</v>
      </c>
      <c r="P342" s="3">
        <v>0.36</v>
      </c>
      <c r="Q342" s="3"/>
      <c r="R342" t="s">
        <v>28</v>
      </c>
      <c r="S342" t="s">
        <v>1087</v>
      </c>
      <c r="T342" t="s">
        <v>40</v>
      </c>
    </row>
    <row r="343" spans="1:22" x14ac:dyDescent="0.3">
      <c r="A343" t="s">
        <v>283</v>
      </c>
      <c r="B343" t="str">
        <f ca="1">OFFSET(Industries!C$1,MATCH(Table1[[#This Row],[Ticker]],Industries!$A$2:$A$150,0),0)</f>
        <v>Health Care</v>
      </c>
      <c r="C343" t="str">
        <f ca="1">OFFSET(Industries!D$1,MATCH(Table1[[#This Row],[Ticker]],Industries!$A$2:$A$150,0),0)</f>
        <v>Pharmaceuticals, Biotechnology and Life Sciences</v>
      </c>
      <c r="D343" t="str">
        <f ca="1">OFFSET(Industries!E$1,MATCH(Table1[[#This Row],[Ticker]],Industries!$A$2:$A$150,0),0)</f>
        <v>Biotechnology</v>
      </c>
      <c r="E343" t="s">
        <v>49</v>
      </c>
      <c r="F343" t="str">
        <f ca="1">OFFSET(Industries!B$1,MATCH(Table1[[#This Row],[Ticker]],Industries!$A$2:$A$140,0),0)</f>
        <v>Mega-Cap</v>
      </c>
      <c r="H343" t="s">
        <v>1434</v>
      </c>
      <c r="I343" t="s">
        <v>1434</v>
      </c>
      <c r="J343" s="2">
        <v>45386</v>
      </c>
      <c r="K343" t="s">
        <v>21</v>
      </c>
      <c r="L343" t="s">
        <v>1710</v>
      </c>
      <c r="M343" t="s">
        <v>1709</v>
      </c>
      <c r="N343" s="1">
        <f>Table1[[#This Row],[Consideration Weight]]</f>
        <v>0.36</v>
      </c>
      <c r="O343" t="s">
        <v>194</v>
      </c>
      <c r="P343" s="3">
        <v>0.36</v>
      </c>
      <c r="Q343" s="3"/>
      <c r="V343" t="s">
        <v>1714</v>
      </c>
    </row>
    <row r="344" spans="1:22" x14ac:dyDescent="0.3">
      <c r="A344" t="s">
        <v>284</v>
      </c>
      <c r="B344" t="str">
        <f ca="1">OFFSET(Industries!C$1,MATCH(Table1[[#This Row],[Ticker]],Industries!$A$2:$A$150,0),0)</f>
        <v>Financials</v>
      </c>
      <c r="C344" t="str">
        <f ca="1">OFFSET(Industries!D$1,MATCH(Table1[[#This Row],[Ticker]],Industries!$A$2:$A$150,0),0)</f>
        <v>Financial Services</v>
      </c>
      <c r="D344" t="str">
        <f ca="1">OFFSET(Industries!E$1,MATCH(Table1[[#This Row],[Ticker]],Industries!$A$2:$A$150,0),0)</f>
        <v>Financial Services</v>
      </c>
      <c r="E344" t="s">
        <v>106</v>
      </c>
      <c r="F344" t="str">
        <f ca="1">OFFSET(Industries!B$1,MATCH(Table1[[#This Row],[Ticker]],Industries!$A$2:$A$140,0),0)</f>
        <v>Mega-Cap</v>
      </c>
      <c r="G344" t="str">
        <f ca="1">OFFSET(Industries!F$1,MATCH(Table1[[#This Row],[Ticker]],Industries!$A$2:$A$140,0),0)</f>
        <v>AA-</v>
      </c>
      <c r="H344" t="s">
        <v>1434</v>
      </c>
      <c r="I344" t="s">
        <v>1434</v>
      </c>
      <c r="J344" s="2">
        <v>45267</v>
      </c>
      <c r="K344" t="s">
        <v>2</v>
      </c>
      <c r="L344" t="s">
        <v>3</v>
      </c>
      <c r="M344" t="s">
        <v>1711</v>
      </c>
      <c r="N344" s="1">
        <f>Table1[[#This Row],[Consideration Weight]]</f>
        <v>7.0000000000000007E-2</v>
      </c>
      <c r="O344" t="s">
        <v>3</v>
      </c>
      <c r="P344" s="3">
        <v>7.0000000000000007E-2</v>
      </c>
      <c r="Q344" s="3"/>
    </row>
    <row r="345" spans="1:22" x14ac:dyDescent="0.3">
      <c r="A345" t="s">
        <v>284</v>
      </c>
      <c r="B345" t="str">
        <f ca="1">OFFSET(Industries!C$1,MATCH(Table1[[#This Row],[Ticker]],Industries!$A$2:$A$150,0),0)</f>
        <v>Financials</v>
      </c>
      <c r="C345" t="str">
        <f ca="1">OFFSET(Industries!D$1,MATCH(Table1[[#This Row],[Ticker]],Industries!$A$2:$A$150,0),0)</f>
        <v>Financial Services</v>
      </c>
      <c r="D345" t="str">
        <f ca="1">OFFSET(Industries!E$1,MATCH(Table1[[#This Row],[Ticker]],Industries!$A$2:$A$150,0),0)</f>
        <v>Financial Services</v>
      </c>
      <c r="E345" t="s">
        <v>106</v>
      </c>
      <c r="F345" t="str">
        <f ca="1">OFFSET(Industries!B$1,MATCH(Table1[[#This Row],[Ticker]],Industries!$A$2:$A$140,0),0)</f>
        <v>Mega-Cap</v>
      </c>
      <c r="G345" t="str">
        <f ca="1">OFFSET(Industries!F$1,MATCH(Table1[[#This Row],[Ticker]],Industries!$A$2:$A$140,0),0)</f>
        <v>AA-</v>
      </c>
      <c r="H345" t="s">
        <v>1434</v>
      </c>
      <c r="I345" t="s">
        <v>1434</v>
      </c>
      <c r="J345" s="2">
        <v>45267</v>
      </c>
      <c r="K345" t="s">
        <v>2</v>
      </c>
      <c r="L345" t="s">
        <v>1708</v>
      </c>
      <c r="M345" t="s">
        <v>1709</v>
      </c>
      <c r="N345" s="1">
        <f>Table1[[#This Row],[Consideration Weight]]</f>
        <v>0.16</v>
      </c>
      <c r="O345" t="s">
        <v>4</v>
      </c>
      <c r="P345" s="3">
        <v>0.16</v>
      </c>
      <c r="Q345" s="3" t="s">
        <v>1636</v>
      </c>
      <c r="R345" t="s">
        <v>25</v>
      </c>
      <c r="S345" t="s">
        <v>1086</v>
      </c>
      <c r="T345" t="s">
        <v>221</v>
      </c>
      <c r="U345" s="1">
        <v>0.5</v>
      </c>
      <c r="V345" t="s">
        <v>1743</v>
      </c>
    </row>
    <row r="346" spans="1:22" x14ac:dyDescent="0.3">
      <c r="A346" t="s">
        <v>284</v>
      </c>
      <c r="B346" t="str">
        <f ca="1">OFFSET(Industries!C$1,MATCH(Table1[[#This Row],[Ticker]],Industries!$A$2:$A$150,0),0)</f>
        <v>Financials</v>
      </c>
      <c r="C346" t="str">
        <f ca="1">OFFSET(Industries!D$1,MATCH(Table1[[#This Row],[Ticker]],Industries!$A$2:$A$150,0),0)</f>
        <v>Financial Services</v>
      </c>
      <c r="D346" t="str">
        <f ca="1">OFFSET(Industries!E$1,MATCH(Table1[[#This Row],[Ticker]],Industries!$A$2:$A$150,0),0)</f>
        <v>Financial Services</v>
      </c>
      <c r="E346" t="s">
        <v>106</v>
      </c>
      <c r="F346" t="str">
        <f ca="1">OFFSET(Industries!B$1,MATCH(Table1[[#This Row],[Ticker]],Industries!$A$2:$A$140,0),0)</f>
        <v>Mega-Cap</v>
      </c>
      <c r="G346" t="str">
        <f ca="1">OFFSET(Industries!F$1,MATCH(Table1[[#This Row],[Ticker]],Industries!$A$2:$A$140,0),0)</f>
        <v>AA-</v>
      </c>
      <c r="H346" t="s">
        <v>1434</v>
      </c>
      <c r="I346" t="s">
        <v>1434</v>
      </c>
      <c r="J346" s="2">
        <v>45267</v>
      </c>
      <c r="K346" t="s">
        <v>2</v>
      </c>
      <c r="L346" t="s">
        <v>1708</v>
      </c>
      <c r="M346" t="s">
        <v>1709</v>
      </c>
      <c r="N346" s="1"/>
      <c r="O346" t="s">
        <v>4</v>
      </c>
      <c r="P346" s="3">
        <v>0.16</v>
      </c>
      <c r="Q346" s="3" t="s">
        <v>1637</v>
      </c>
      <c r="R346" t="s">
        <v>25</v>
      </c>
      <c r="S346" t="s">
        <v>1086</v>
      </c>
      <c r="T346" t="s">
        <v>222</v>
      </c>
      <c r="U346" s="1">
        <v>0.5</v>
      </c>
      <c r="V346" t="s">
        <v>1663</v>
      </c>
    </row>
    <row r="347" spans="1:22" x14ac:dyDescent="0.3">
      <c r="A347" t="s">
        <v>284</v>
      </c>
      <c r="B347" t="str">
        <f ca="1">OFFSET(Industries!C$1,MATCH(Table1[[#This Row],[Ticker]],Industries!$A$2:$A$150,0),0)</f>
        <v>Financials</v>
      </c>
      <c r="C347" t="str">
        <f ca="1">OFFSET(Industries!D$1,MATCH(Table1[[#This Row],[Ticker]],Industries!$A$2:$A$150,0),0)</f>
        <v>Financial Services</v>
      </c>
      <c r="D347" t="str">
        <f ca="1">OFFSET(Industries!E$1,MATCH(Table1[[#This Row],[Ticker]],Industries!$A$2:$A$150,0),0)</f>
        <v>Financial Services</v>
      </c>
      <c r="E347" t="s">
        <v>106</v>
      </c>
      <c r="F347" t="str">
        <f ca="1">OFFSET(Industries!B$1,MATCH(Table1[[#This Row],[Ticker]],Industries!$A$2:$A$140,0),0)</f>
        <v>Mega-Cap</v>
      </c>
      <c r="G347" t="str">
        <f ca="1">OFFSET(Industries!F$1,MATCH(Table1[[#This Row],[Ticker]],Industries!$A$2:$A$140,0),0)</f>
        <v>AA-</v>
      </c>
      <c r="H347" t="s">
        <v>1434</v>
      </c>
      <c r="I347" t="s">
        <v>1434</v>
      </c>
      <c r="J347" s="2">
        <v>45267</v>
      </c>
      <c r="K347" t="s">
        <v>2</v>
      </c>
      <c r="L347" t="s">
        <v>1708</v>
      </c>
      <c r="M347" t="s">
        <v>1709</v>
      </c>
      <c r="N347" s="1"/>
      <c r="O347" t="s">
        <v>4</v>
      </c>
      <c r="P347" s="3">
        <v>0.16</v>
      </c>
      <c r="Q347" s="3"/>
      <c r="R347" t="s">
        <v>28</v>
      </c>
      <c r="S347" t="s">
        <v>1110</v>
      </c>
      <c r="T347" t="s">
        <v>172</v>
      </c>
      <c r="V347" t="s">
        <v>1115</v>
      </c>
    </row>
    <row r="348" spans="1:22" x14ac:dyDescent="0.3">
      <c r="A348" t="s">
        <v>284</v>
      </c>
      <c r="B348" t="str">
        <f ca="1">OFFSET(Industries!C$1,MATCH(Table1[[#This Row],[Ticker]],Industries!$A$2:$A$150,0),0)</f>
        <v>Financials</v>
      </c>
      <c r="C348" t="str">
        <f ca="1">OFFSET(Industries!D$1,MATCH(Table1[[#This Row],[Ticker]],Industries!$A$2:$A$150,0),0)</f>
        <v>Financial Services</v>
      </c>
      <c r="D348" t="str">
        <f ca="1">OFFSET(Industries!E$1,MATCH(Table1[[#This Row],[Ticker]],Industries!$A$2:$A$150,0),0)</f>
        <v>Financial Services</v>
      </c>
      <c r="E348" t="s">
        <v>106</v>
      </c>
      <c r="F348" t="str">
        <f ca="1">OFFSET(Industries!B$1,MATCH(Table1[[#This Row],[Ticker]],Industries!$A$2:$A$140,0),0)</f>
        <v>Mega-Cap</v>
      </c>
      <c r="G348" t="str">
        <f ca="1">OFFSET(Industries!F$1,MATCH(Table1[[#This Row],[Ticker]],Industries!$A$2:$A$140,0),0)</f>
        <v>AA-</v>
      </c>
      <c r="H348" t="s">
        <v>1434</v>
      </c>
      <c r="I348" t="s">
        <v>1434</v>
      </c>
      <c r="J348" s="2">
        <v>45267</v>
      </c>
      <c r="K348" t="s">
        <v>2</v>
      </c>
      <c r="L348" t="s">
        <v>1710</v>
      </c>
      <c r="M348" t="s">
        <v>1709</v>
      </c>
      <c r="N348" s="1">
        <f>Table1[[#This Row],[Consideration Weight]]</f>
        <v>0.39</v>
      </c>
      <c r="O348" t="s">
        <v>476</v>
      </c>
      <c r="P348" s="3">
        <v>0.39</v>
      </c>
      <c r="Q348" s="3" t="s">
        <v>1636</v>
      </c>
      <c r="R348" t="s">
        <v>24</v>
      </c>
      <c r="S348" t="s">
        <v>1089</v>
      </c>
      <c r="T348" t="s">
        <v>223</v>
      </c>
      <c r="U348" s="1">
        <v>1</v>
      </c>
      <c r="V348" t="s">
        <v>1744</v>
      </c>
    </row>
    <row r="349" spans="1:22" x14ac:dyDescent="0.3">
      <c r="A349" t="s">
        <v>284</v>
      </c>
      <c r="B349" t="str">
        <f ca="1">OFFSET(Industries!C$1,MATCH(Table1[[#This Row],[Ticker]],Industries!$A$2:$A$150,0),0)</f>
        <v>Financials</v>
      </c>
      <c r="C349" t="str">
        <f ca="1">OFFSET(Industries!D$1,MATCH(Table1[[#This Row],[Ticker]],Industries!$A$2:$A$150,0),0)</f>
        <v>Financial Services</v>
      </c>
      <c r="D349" t="str">
        <f ca="1">OFFSET(Industries!E$1,MATCH(Table1[[#This Row],[Ticker]],Industries!$A$2:$A$150,0),0)</f>
        <v>Financial Services</v>
      </c>
      <c r="E349" t="s">
        <v>106</v>
      </c>
      <c r="F349" t="str">
        <f ca="1">OFFSET(Industries!B$1,MATCH(Table1[[#This Row],[Ticker]],Industries!$A$2:$A$140,0),0)</f>
        <v>Mega-Cap</v>
      </c>
      <c r="G349" t="str">
        <f ca="1">OFFSET(Industries!F$1,MATCH(Table1[[#This Row],[Ticker]],Industries!$A$2:$A$140,0),0)</f>
        <v>AA-</v>
      </c>
      <c r="H349" t="s">
        <v>1434</v>
      </c>
      <c r="I349" t="s">
        <v>1434</v>
      </c>
      <c r="J349" s="2">
        <v>45267</v>
      </c>
      <c r="K349" t="s">
        <v>2</v>
      </c>
      <c r="L349" t="s">
        <v>1710</v>
      </c>
      <c r="M349" t="s">
        <v>1709</v>
      </c>
      <c r="N349" s="1"/>
      <c r="O349" t="s">
        <v>476</v>
      </c>
      <c r="P349" s="3">
        <v>0.39</v>
      </c>
      <c r="Q349" s="3"/>
      <c r="R349" t="s">
        <v>28</v>
      </c>
      <c r="S349" t="s">
        <v>1085</v>
      </c>
      <c r="T349" t="s">
        <v>30</v>
      </c>
      <c r="V349" t="s">
        <v>224</v>
      </c>
    </row>
    <row r="350" spans="1:22" x14ac:dyDescent="0.3">
      <c r="A350" t="s">
        <v>284</v>
      </c>
      <c r="B350" t="str">
        <f ca="1">OFFSET(Industries!C$1,MATCH(Table1[[#This Row],[Ticker]],Industries!$A$2:$A$150,0),0)</f>
        <v>Financials</v>
      </c>
      <c r="C350" t="str">
        <f ca="1">OFFSET(Industries!D$1,MATCH(Table1[[#This Row],[Ticker]],Industries!$A$2:$A$150,0),0)</f>
        <v>Financial Services</v>
      </c>
      <c r="D350" t="str">
        <f ca="1">OFFSET(Industries!E$1,MATCH(Table1[[#This Row],[Ticker]],Industries!$A$2:$A$150,0),0)</f>
        <v>Financial Services</v>
      </c>
      <c r="E350" t="s">
        <v>106</v>
      </c>
      <c r="F350" t="str">
        <f ca="1">OFFSET(Industries!B$1,MATCH(Table1[[#This Row],[Ticker]],Industries!$A$2:$A$140,0),0)</f>
        <v>Mega-Cap</v>
      </c>
      <c r="G350" t="str">
        <f ca="1">OFFSET(Industries!F$1,MATCH(Table1[[#This Row],[Ticker]],Industries!$A$2:$A$140,0),0)</f>
        <v>AA-</v>
      </c>
      <c r="H350" t="s">
        <v>1434</v>
      </c>
      <c r="I350" t="s">
        <v>1434</v>
      </c>
      <c r="J350" s="2">
        <v>45267</v>
      </c>
      <c r="K350" t="s">
        <v>2</v>
      </c>
      <c r="L350" t="s">
        <v>1710</v>
      </c>
      <c r="M350" t="s">
        <v>1711</v>
      </c>
      <c r="N350" s="1">
        <f>Table1[[#This Row],[Consideration Weight]]</f>
        <v>0.19</v>
      </c>
      <c r="O350" t="s">
        <v>194</v>
      </c>
      <c r="P350" s="3">
        <v>0.19</v>
      </c>
      <c r="Q350" s="3"/>
    </row>
    <row r="351" spans="1:22" x14ac:dyDescent="0.3">
      <c r="A351" t="s">
        <v>284</v>
      </c>
      <c r="B351" t="str">
        <f ca="1">OFFSET(Industries!C$1,MATCH(Table1[[#This Row],[Ticker]],Industries!$A$2:$A$150,0),0)</f>
        <v>Financials</v>
      </c>
      <c r="C351" t="str">
        <f ca="1">OFFSET(Industries!D$1,MATCH(Table1[[#This Row],[Ticker]],Industries!$A$2:$A$150,0),0)</f>
        <v>Financial Services</v>
      </c>
      <c r="D351" t="str">
        <f ca="1">OFFSET(Industries!E$1,MATCH(Table1[[#This Row],[Ticker]],Industries!$A$2:$A$150,0),0)</f>
        <v>Financial Services</v>
      </c>
      <c r="E351" t="s">
        <v>106</v>
      </c>
      <c r="F351" t="str">
        <f ca="1">OFFSET(Industries!B$1,MATCH(Table1[[#This Row],[Ticker]],Industries!$A$2:$A$140,0),0)</f>
        <v>Mega-Cap</v>
      </c>
      <c r="G351" t="str">
        <f ca="1">OFFSET(Industries!F$1,MATCH(Table1[[#This Row],[Ticker]],Industries!$A$2:$A$140,0),0)</f>
        <v>AA-</v>
      </c>
      <c r="H351" t="s">
        <v>1434</v>
      </c>
      <c r="I351" t="s">
        <v>1434</v>
      </c>
      <c r="J351" s="2">
        <v>45267</v>
      </c>
      <c r="K351" t="s">
        <v>2</v>
      </c>
      <c r="L351" t="s">
        <v>1710</v>
      </c>
      <c r="M351" t="s">
        <v>1711</v>
      </c>
      <c r="N351" s="1">
        <f>Table1[[#This Row],[Consideration Weight]]</f>
        <v>0.19</v>
      </c>
      <c r="O351" t="s">
        <v>87</v>
      </c>
      <c r="P351" s="3">
        <v>0.19</v>
      </c>
      <c r="Q351" s="3"/>
    </row>
    <row r="352" spans="1:22" x14ac:dyDescent="0.3">
      <c r="A352" t="s">
        <v>284</v>
      </c>
      <c r="B352" t="str">
        <f ca="1">OFFSET(Industries!C$1,MATCH(Table1[[#This Row],[Ticker]],Industries!$A$2:$A$150,0),0)</f>
        <v>Financials</v>
      </c>
      <c r="C352" t="str">
        <f ca="1">OFFSET(Industries!D$1,MATCH(Table1[[#This Row],[Ticker]],Industries!$A$2:$A$150,0),0)</f>
        <v>Financial Services</v>
      </c>
      <c r="D352" t="str">
        <f ca="1">OFFSET(Industries!E$1,MATCH(Table1[[#This Row],[Ticker]],Industries!$A$2:$A$150,0),0)</f>
        <v>Financial Services</v>
      </c>
      <c r="E352" t="s">
        <v>106</v>
      </c>
      <c r="F352" t="str">
        <f ca="1">OFFSET(Industries!B$1,MATCH(Table1[[#This Row],[Ticker]],Industries!$A$2:$A$140,0),0)</f>
        <v>Mega-Cap</v>
      </c>
      <c r="G352" t="str">
        <f ca="1">OFFSET(Industries!F$1,MATCH(Table1[[#This Row],[Ticker]],Industries!$A$2:$A$140,0),0)</f>
        <v>AA-</v>
      </c>
      <c r="H352" t="s">
        <v>1434</v>
      </c>
      <c r="I352" t="s">
        <v>1434</v>
      </c>
      <c r="J352" s="2">
        <v>45267</v>
      </c>
      <c r="K352" t="s">
        <v>21</v>
      </c>
      <c r="L352" t="s">
        <v>3</v>
      </c>
      <c r="M352" t="s">
        <v>1711</v>
      </c>
      <c r="N352" s="1">
        <f>Table1[[#This Row],[Consideration Weight]]</f>
        <v>0.09</v>
      </c>
      <c r="O352" t="s">
        <v>3</v>
      </c>
      <c r="P352" s="3">
        <v>0.09</v>
      </c>
      <c r="Q352" s="3"/>
    </row>
    <row r="353" spans="1:22" x14ac:dyDescent="0.3">
      <c r="A353" t="s">
        <v>284</v>
      </c>
      <c r="B353" t="str">
        <f ca="1">OFFSET(Industries!C$1,MATCH(Table1[[#This Row],[Ticker]],Industries!$A$2:$A$150,0),0)</f>
        <v>Financials</v>
      </c>
      <c r="C353" t="str">
        <f ca="1">OFFSET(Industries!D$1,MATCH(Table1[[#This Row],[Ticker]],Industries!$A$2:$A$150,0),0)</f>
        <v>Financial Services</v>
      </c>
      <c r="D353" t="str">
        <f ca="1">OFFSET(Industries!E$1,MATCH(Table1[[#This Row],[Ticker]],Industries!$A$2:$A$150,0),0)</f>
        <v>Financial Services</v>
      </c>
      <c r="E353" t="s">
        <v>106</v>
      </c>
      <c r="F353" t="str">
        <f ca="1">OFFSET(Industries!B$1,MATCH(Table1[[#This Row],[Ticker]],Industries!$A$2:$A$140,0),0)</f>
        <v>Mega-Cap</v>
      </c>
      <c r="G353" t="str">
        <f ca="1">OFFSET(Industries!F$1,MATCH(Table1[[#This Row],[Ticker]],Industries!$A$2:$A$140,0),0)</f>
        <v>AA-</v>
      </c>
      <c r="H353" t="s">
        <v>1434</v>
      </c>
      <c r="I353" t="s">
        <v>1434</v>
      </c>
      <c r="J353" s="2">
        <v>45267</v>
      </c>
      <c r="K353" t="s">
        <v>21</v>
      </c>
      <c r="L353" t="s">
        <v>1708</v>
      </c>
      <c r="M353" t="s">
        <v>1709</v>
      </c>
      <c r="N353" s="1">
        <f>Table1[[#This Row],[Consideration Weight]]</f>
        <v>0.16</v>
      </c>
      <c r="O353" t="s">
        <v>4</v>
      </c>
      <c r="P353" s="3">
        <v>0.16</v>
      </c>
      <c r="Q353" s="3" t="s">
        <v>1636</v>
      </c>
      <c r="R353" t="s">
        <v>25</v>
      </c>
      <c r="S353" t="s">
        <v>1086</v>
      </c>
      <c r="T353" t="s">
        <v>221</v>
      </c>
      <c r="U353" s="1">
        <v>0.5</v>
      </c>
    </row>
    <row r="354" spans="1:22" x14ac:dyDescent="0.3">
      <c r="A354" t="s">
        <v>284</v>
      </c>
      <c r="B354" t="str">
        <f ca="1">OFFSET(Industries!C$1,MATCH(Table1[[#This Row],[Ticker]],Industries!$A$2:$A$150,0),0)</f>
        <v>Financials</v>
      </c>
      <c r="C354" t="str">
        <f ca="1">OFFSET(Industries!D$1,MATCH(Table1[[#This Row],[Ticker]],Industries!$A$2:$A$150,0),0)</f>
        <v>Financial Services</v>
      </c>
      <c r="D354" t="str">
        <f ca="1">OFFSET(Industries!E$1,MATCH(Table1[[#This Row],[Ticker]],Industries!$A$2:$A$150,0),0)</f>
        <v>Financial Services</v>
      </c>
      <c r="E354" t="s">
        <v>106</v>
      </c>
      <c r="F354" t="str">
        <f ca="1">OFFSET(Industries!B$1,MATCH(Table1[[#This Row],[Ticker]],Industries!$A$2:$A$140,0),0)</f>
        <v>Mega-Cap</v>
      </c>
      <c r="G354" t="str">
        <f ca="1">OFFSET(Industries!F$1,MATCH(Table1[[#This Row],[Ticker]],Industries!$A$2:$A$140,0),0)</f>
        <v>AA-</v>
      </c>
      <c r="H354" t="s">
        <v>1434</v>
      </c>
      <c r="I354" t="s">
        <v>1434</v>
      </c>
      <c r="J354" s="2">
        <v>45267</v>
      </c>
      <c r="K354" t="s">
        <v>21</v>
      </c>
      <c r="L354" t="s">
        <v>1708</v>
      </c>
      <c r="M354" t="s">
        <v>1709</v>
      </c>
      <c r="N354" s="1"/>
      <c r="O354" t="s">
        <v>4</v>
      </c>
      <c r="P354" s="3">
        <v>0.16</v>
      </c>
      <c r="Q354" s="3" t="s">
        <v>1637</v>
      </c>
      <c r="R354" t="s">
        <v>25</v>
      </c>
      <c r="S354" t="s">
        <v>1086</v>
      </c>
      <c r="T354" t="s">
        <v>222</v>
      </c>
      <c r="U354" s="1">
        <v>0.5</v>
      </c>
    </row>
    <row r="355" spans="1:22" x14ac:dyDescent="0.3">
      <c r="A355" t="s">
        <v>284</v>
      </c>
      <c r="B355" t="str">
        <f ca="1">OFFSET(Industries!C$1,MATCH(Table1[[#This Row],[Ticker]],Industries!$A$2:$A$150,0),0)</f>
        <v>Financials</v>
      </c>
      <c r="C355" t="str">
        <f ca="1">OFFSET(Industries!D$1,MATCH(Table1[[#This Row],[Ticker]],Industries!$A$2:$A$150,0),0)</f>
        <v>Financial Services</v>
      </c>
      <c r="D355" t="str">
        <f ca="1">OFFSET(Industries!E$1,MATCH(Table1[[#This Row],[Ticker]],Industries!$A$2:$A$150,0),0)</f>
        <v>Financial Services</v>
      </c>
      <c r="E355" t="s">
        <v>106</v>
      </c>
      <c r="F355" t="str">
        <f ca="1">OFFSET(Industries!B$1,MATCH(Table1[[#This Row],[Ticker]],Industries!$A$2:$A$140,0),0)</f>
        <v>Mega-Cap</v>
      </c>
      <c r="G355" t="str">
        <f ca="1">OFFSET(Industries!F$1,MATCH(Table1[[#This Row],[Ticker]],Industries!$A$2:$A$140,0),0)</f>
        <v>AA-</v>
      </c>
      <c r="H355" t="s">
        <v>1434</v>
      </c>
      <c r="I355" t="s">
        <v>1434</v>
      </c>
      <c r="J355" s="2">
        <v>45267</v>
      </c>
      <c r="K355" t="s">
        <v>21</v>
      </c>
      <c r="L355" t="s">
        <v>1708</v>
      </c>
      <c r="M355" t="s">
        <v>1709</v>
      </c>
      <c r="N355" s="1"/>
      <c r="O355" t="s">
        <v>4</v>
      </c>
      <c r="P355" s="3">
        <v>0.16</v>
      </c>
      <c r="Q355" s="3"/>
      <c r="R355" t="s">
        <v>28</v>
      </c>
      <c r="S355" t="s">
        <v>1110</v>
      </c>
      <c r="T355" t="s">
        <v>172</v>
      </c>
    </row>
    <row r="356" spans="1:22" x14ac:dyDescent="0.3">
      <c r="A356" t="s">
        <v>284</v>
      </c>
      <c r="B356" t="str">
        <f ca="1">OFFSET(Industries!C$1,MATCH(Table1[[#This Row],[Ticker]],Industries!$A$2:$A$150,0),0)</f>
        <v>Financials</v>
      </c>
      <c r="C356" t="str">
        <f ca="1">OFFSET(Industries!D$1,MATCH(Table1[[#This Row],[Ticker]],Industries!$A$2:$A$150,0),0)</f>
        <v>Financial Services</v>
      </c>
      <c r="D356" t="str">
        <f ca="1">OFFSET(Industries!E$1,MATCH(Table1[[#This Row],[Ticker]],Industries!$A$2:$A$150,0),0)</f>
        <v>Financial Services</v>
      </c>
      <c r="E356" t="s">
        <v>106</v>
      </c>
      <c r="F356" t="str">
        <f ca="1">OFFSET(Industries!B$1,MATCH(Table1[[#This Row],[Ticker]],Industries!$A$2:$A$140,0),0)</f>
        <v>Mega-Cap</v>
      </c>
      <c r="G356" t="str">
        <f ca="1">OFFSET(Industries!F$1,MATCH(Table1[[#This Row],[Ticker]],Industries!$A$2:$A$140,0),0)</f>
        <v>AA-</v>
      </c>
      <c r="H356" t="s">
        <v>1434</v>
      </c>
      <c r="I356" t="s">
        <v>1434</v>
      </c>
      <c r="J356" s="2">
        <v>45267</v>
      </c>
      <c r="K356" t="s">
        <v>21</v>
      </c>
      <c r="L356" t="s">
        <v>1710</v>
      </c>
      <c r="M356" t="s">
        <v>1709</v>
      </c>
      <c r="N356" s="1">
        <f>Table1[[#This Row],[Consideration Weight]]</f>
        <v>0.375</v>
      </c>
      <c r="O356" t="s">
        <v>476</v>
      </c>
      <c r="P356" s="3">
        <v>0.375</v>
      </c>
      <c r="Q356" s="3" t="s">
        <v>1636</v>
      </c>
      <c r="R356" t="s">
        <v>24</v>
      </c>
      <c r="S356" t="s">
        <v>1089</v>
      </c>
      <c r="T356" t="s">
        <v>223</v>
      </c>
      <c r="U356" s="1">
        <v>1</v>
      </c>
    </row>
    <row r="357" spans="1:22" x14ac:dyDescent="0.3">
      <c r="A357" t="s">
        <v>284</v>
      </c>
      <c r="B357" t="str">
        <f ca="1">OFFSET(Industries!C$1,MATCH(Table1[[#This Row],[Ticker]],Industries!$A$2:$A$150,0),0)</f>
        <v>Financials</v>
      </c>
      <c r="C357" t="str">
        <f ca="1">OFFSET(Industries!D$1,MATCH(Table1[[#This Row],[Ticker]],Industries!$A$2:$A$150,0),0)</f>
        <v>Financial Services</v>
      </c>
      <c r="D357" t="str">
        <f ca="1">OFFSET(Industries!E$1,MATCH(Table1[[#This Row],[Ticker]],Industries!$A$2:$A$150,0),0)</f>
        <v>Financial Services</v>
      </c>
      <c r="E357" t="s">
        <v>106</v>
      </c>
      <c r="F357" t="str">
        <f ca="1">OFFSET(Industries!B$1,MATCH(Table1[[#This Row],[Ticker]],Industries!$A$2:$A$140,0),0)</f>
        <v>Mega-Cap</v>
      </c>
      <c r="G357" t="str">
        <f ca="1">OFFSET(Industries!F$1,MATCH(Table1[[#This Row],[Ticker]],Industries!$A$2:$A$140,0),0)</f>
        <v>AA-</v>
      </c>
      <c r="H357" t="s">
        <v>1434</v>
      </c>
      <c r="I357" t="s">
        <v>1434</v>
      </c>
      <c r="J357" s="2">
        <v>45267</v>
      </c>
      <c r="K357" t="s">
        <v>21</v>
      </c>
      <c r="L357" t="s">
        <v>1710</v>
      </c>
      <c r="M357" t="s">
        <v>1709</v>
      </c>
      <c r="N357" s="1"/>
      <c r="O357" t="s">
        <v>476</v>
      </c>
      <c r="P357" s="3">
        <v>0.375</v>
      </c>
      <c r="Q357" s="3"/>
      <c r="R357" t="s">
        <v>28</v>
      </c>
      <c r="S357" t="s">
        <v>1085</v>
      </c>
      <c r="T357" t="s">
        <v>30</v>
      </c>
    </row>
    <row r="358" spans="1:22" x14ac:dyDescent="0.3">
      <c r="A358" t="s">
        <v>284</v>
      </c>
      <c r="B358" t="str">
        <f ca="1">OFFSET(Industries!C$1,MATCH(Table1[[#This Row],[Ticker]],Industries!$A$2:$A$150,0),0)</f>
        <v>Financials</v>
      </c>
      <c r="C358" t="str">
        <f ca="1">OFFSET(Industries!D$1,MATCH(Table1[[#This Row],[Ticker]],Industries!$A$2:$A$150,0),0)</f>
        <v>Financial Services</v>
      </c>
      <c r="D358" t="str">
        <f ca="1">OFFSET(Industries!E$1,MATCH(Table1[[#This Row],[Ticker]],Industries!$A$2:$A$150,0),0)</f>
        <v>Financial Services</v>
      </c>
      <c r="E358" t="s">
        <v>106</v>
      </c>
      <c r="F358" t="str">
        <f ca="1">OFFSET(Industries!B$1,MATCH(Table1[[#This Row],[Ticker]],Industries!$A$2:$A$140,0),0)</f>
        <v>Mega-Cap</v>
      </c>
      <c r="G358" t="str">
        <f ca="1">OFFSET(Industries!F$1,MATCH(Table1[[#This Row],[Ticker]],Industries!$A$2:$A$140,0),0)</f>
        <v>AA-</v>
      </c>
      <c r="H358" t="s">
        <v>1434</v>
      </c>
      <c r="I358" t="s">
        <v>1434</v>
      </c>
      <c r="J358" s="2">
        <v>45267</v>
      </c>
      <c r="K358" t="s">
        <v>21</v>
      </c>
      <c r="L358" t="s">
        <v>1710</v>
      </c>
      <c r="M358" t="s">
        <v>1711</v>
      </c>
      <c r="N358" s="1">
        <f>Table1[[#This Row],[Consideration Weight]]</f>
        <v>0.1875</v>
      </c>
      <c r="O358" t="s">
        <v>194</v>
      </c>
      <c r="P358" s="3">
        <v>0.1875</v>
      </c>
      <c r="Q358" s="3"/>
    </row>
    <row r="359" spans="1:22" x14ac:dyDescent="0.3">
      <c r="A359" t="s">
        <v>284</v>
      </c>
      <c r="B359" t="str">
        <f ca="1">OFFSET(Industries!C$1,MATCH(Table1[[#This Row],[Ticker]],Industries!$A$2:$A$150,0),0)</f>
        <v>Financials</v>
      </c>
      <c r="C359" t="str">
        <f ca="1">OFFSET(Industries!D$1,MATCH(Table1[[#This Row],[Ticker]],Industries!$A$2:$A$150,0),0)</f>
        <v>Financial Services</v>
      </c>
      <c r="D359" t="str">
        <f ca="1">OFFSET(Industries!E$1,MATCH(Table1[[#This Row],[Ticker]],Industries!$A$2:$A$150,0),0)</f>
        <v>Financial Services</v>
      </c>
      <c r="E359" t="s">
        <v>106</v>
      </c>
      <c r="F359" t="str">
        <f ca="1">OFFSET(Industries!B$1,MATCH(Table1[[#This Row],[Ticker]],Industries!$A$2:$A$140,0),0)</f>
        <v>Mega-Cap</v>
      </c>
      <c r="G359" t="str">
        <f ca="1">OFFSET(Industries!F$1,MATCH(Table1[[#This Row],[Ticker]],Industries!$A$2:$A$140,0),0)</f>
        <v>AA-</v>
      </c>
      <c r="H359" t="s">
        <v>1434</v>
      </c>
      <c r="I359" t="s">
        <v>1434</v>
      </c>
      <c r="J359" s="2">
        <v>45267</v>
      </c>
      <c r="K359" t="s">
        <v>21</v>
      </c>
      <c r="L359" t="s">
        <v>1710</v>
      </c>
      <c r="M359" t="s">
        <v>1711</v>
      </c>
      <c r="N359" s="1">
        <f>Table1[[#This Row],[Consideration Weight]]</f>
        <v>0.1875</v>
      </c>
      <c r="O359" t="s">
        <v>87</v>
      </c>
      <c r="P359" s="3">
        <v>0.1875</v>
      </c>
      <c r="Q359" s="3"/>
    </row>
    <row r="360" spans="1:22" x14ac:dyDescent="0.3">
      <c r="A360" t="s">
        <v>285</v>
      </c>
      <c r="B360" t="str">
        <f ca="1">OFFSET(Industries!C$1,MATCH(Table1[[#This Row],[Ticker]],Industries!$A$2:$A$150,0),0)</f>
        <v>Health Care</v>
      </c>
      <c r="C360" t="str">
        <f ca="1">OFFSET(Industries!D$1,MATCH(Table1[[#This Row],[Ticker]],Industries!$A$2:$A$150,0),0)</f>
        <v>Pharmaceuticals, Biotechnology and Life Sciences</v>
      </c>
      <c r="D360" t="str">
        <f ca="1">OFFSET(Industries!E$1,MATCH(Table1[[#This Row],[Ticker]],Industries!$A$2:$A$150,0),0)</f>
        <v>Life Sciences Tools and Services</v>
      </c>
      <c r="E360" t="s">
        <v>127</v>
      </c>
      <c r="F360" t="str">
        <f ca="1">OFFSET(Industries!B$1,MATCH(Table1[[#This Row],[Ticker]],Industries!$A$2:$A$140,0),0)</f>
        <v>Mega-Cap</v>
      </c>
      <c r="G360" t="str">
        <f ca="1">OFFSET(Industries!F$1,MATCH(Table1[[#This Row],[Ticker]],Industries!$A$2:$A$140,0),0)</f>
        <v>A-</v>
      </c>
      <c r="H360" t="s">
        <v>1434</v>
      </c>
      <c r="I360" t="s">
        <v>1434</v>
      </c>
      <c r="J360" s="2">
        <v>45391</v>
      </c>
      <c r="K360" t="s">
        <v>2</v>
      </c>
      <c r="L360" t="s">
        <v>3</v>
      </c>
      <c r="M360" t="s">
        <v>1711</v>
      </c>
      <c r="N360" s="1">
        <f>Table1[[#This Row],[Consideration Weight]]</f>
        <v>0.09</v>
      </c>
      <c r="O360" t="s">
        <v>3</v>
      </c>
      <c r="P360" s="3">
        <v>0.09</v>
      </c>
      <c r="Q360" s="3"/>
    </row>
    <row r="361" spans="1:22" x14ac:dyDescent="0.3">
      <c r="A361" t="s">
        <v>285</v>
      </c>
      <c r="B361" t="str">
        <f ca="1">OFFSET(Industries!C$1,MATCH(Table1[[#This Row],[Ticker]],Industries!$A$2:$A$150,0),0)</f>
        <v>Health Care</v>
      </c>
      <c r="C361" t="str">
        <f ca="1">OFFSET(Industries!D$1,MATCH(Table1[[#This Row],[Ticker]],Industries!$A$2:$A$150,0),0)</f>
        <v>Pharmaceuticals, Biotechnology and Life Sciences</v>
      </c>
      <c r="D361" t="str">
        <f ca="1">OFFSET(Industries!E$1,MATCH(Table1[[#This Row],[Ticker]],Industries!$A$2:$A$150,0),0)</f>
        <v>Life Sciences Tools and Services</v>
      </c>
      <c r="E361" t="s">
        <v>127</v>
      </c>
      <c r="F361" t="str">
        <f ca="1">OFFSET(Industries!B$1,MATCH(Table1[[#This Row],[Ticker]],Industries!$A$2:$A$140,0),0)</f>
        <v>Mega-Cap</v>
      </c>
      <c r="G361" t="str">
        <f ca="1">OFFSET(Industries!F$1,MATCH(Table1[[#This Row],[Ticker]],Industries!$A$2:$A$140,0),0)</f>
        <v>A-</v>
      </c>
      <c r="H361" t="s">
        <v>1434</v>
      </c>
      <c r="I361" t="s">
        <v>1434</v>
      </c>
      <c r="J361" s="2">
        <v>45391</v>
      </c>
      <c r="K361" t="s">
        <v>2</v>
      </c>
      <c r="L361" t="s">
        <v>1708</v>
      </c>
      <c r="M361" t="s">
        <v>1709</v>
      </c>
      <c r="N361" s="1">
        <f>Table1[[#This Row],[Consideration Weight]]</f>
        <v>0.18</v>
      </c>
      <c r="O361" t="s">
        <v>4</v>
      </c>
      <c r="P361" s="3">
        <v>0.18</v>
      </c>
      <c r="Q361" s="3" t="s">
        <v>1636</v>
      </c>
      <c r="R361" t="s">
        <v>23</v>
      </c>
      <c r="S361" t="s">
        <v>1083</v>
      </c>
      <c r="T361" t="s">
        <v>226</v>
      </c>
      <c r="U361" s="1">
        <v>0.35</v>
      </c>
      <c r="V361" t="s">
        <v>228</v>
      </c>
    </row>
    <row r="362" spans="1:22" x14ac:dyDescent="0.3">
      <c r="A362" t="s">
        <v>285</v>
      </c>
      <c r="B362" t="str">
        <f ca="1">OFFSET(Industries!C$1,MATCH(Table1[[#This Row],[Ticker]],Industries!$A$2:$A$150,0),0)</f>
        <v>Health Care</v>
      </c>
      <c r="C362" t="str">
        <f ca="1">OFFSET(Industries!D$1,MATCH(Table1[[#This Row],[Ticker]],Industries!$A$2:$A$150,0),0)</f>
        <v>Pharmaceuticals, Biotechnology and Life Sciences</v>
      </c>
      <c r="D362" t="str">
        <f ca="1">OFFSET(Industries!E$1,MATCH(Table1[[#This Row],[Ticker]],Industries!$A$2:$A$150,0),0)</f>
        <v>Life Sciences Tools and Services</v>
      </c>
      <c r="E362" t="s">
        <v>127</v>
      </c>
      <c r="F362" t="str">
        <f ca="1">OFFSET(Industries!B$1,MATCH(Table1[[#This Row],[Ticker]],Industries!$A$2:$A$140,0),0)</f>
        <v>Mega-Cap</v>
      </c>
      <c r="G362" t="str">
        <f ca="1">OFFSET(Industries!F$1,MATCH(Table1[[#This Row],[Ticker]],Industries!$A$2:$A$140,0),0)</f>
        <v>A-</v>
      </c>
      <c r="H362" t="s">
        <v>1434</v>
      </c>
      <c r="I362" t="s">
        <v>1434</v>
      </c>
      <c r="J362" s="2">
        <v>45391</v>
      </c>
      <c r="K362" t="s">
        <v>2</v>
      </c>
      <c r="L362" t="s">
        <v>1708</v>
      </c>
      <c r="M362" t="s">
        <v>1709</v>
      </c>
      <c r="N362" s="1"/>
      <c r="O362" t="s">
        <v>4</v>
      </c>
      <c r="P362" s="3">
        <v>0.18</v>
      </c>
      <c r="Q362" s="3" t="s">
        <v>1636</v>
      </c>
      <c r="R362" t="s">
        <v>24</v>
      </c>
      <c r="S362" t="s">
        <v>1098</v>
      </c>
      <c r="T362" t="s">
        <v>107</v>
      </c>
      <c r="U362" s="1">
        <v>0.3</v>
      </c>
      <c r="V362" t="s">
        <v>229</v>
      </c>
    </row>
    <row r="363" spans="1:22" x14ac:dyDescent="0.3">
      <c r="A363" t="s">
        <v>285</v>
      </c>
      <c r="B363" t="str">
        <f ca="1">OFFSET(Industries!C$1,MATCH(Table1[[#This Row],[Ticker]],Industries!$A$2:$A$150,0),0)</f>
        <v>Health Care</v>
      </c>
      <c r="C363" t="str">
        <f ca="1">OFFSET(Industries!D$1,MATCH(Table1[[#This Row],[Ticker]],Industries!$A$2:$A$150,0),0)</f>
        <v>Pharmaceuticals, Biotechnology and Life Sciences</v>
      </c>
      <c r="D363" t="str">
        <f ca="1">OFFSET(Industries!E$1,MATCH(Table1[[#This Row],[Ticker]],Industries!$A$2:$A$150,0),0)</f>
        <v>Life Sciences Tools and Services</v>
      </c>
      <c r="E363" t="s">
        <v>127</v>
      </c>
      <c r="F363" t="str">
        <f ca="1">OFFSET(Industries!B$1,MATCH(Table1[[#This Row],[Ticker]],Industries!$A$2:$A$140,0),0)</f>
        <v>Mega-Cap</v>
      </c>
      <c r="G363" t="str">
        <f ca="1">OFFSET(Industries!F$1,MATCH(Table1[[#This Row],[Ticker]],Industries!$A$2:$A$140,0),0)</f>
        <v>A-</v>
      </c>
      <c r="H363" t="s">
        <v>1434</v>
      </c>
      <c r="I363" t="s">
        <v>1434</v>
      </c>
      <c r="J363" s="2">
        <v>45391</v>
      </c>
      <c r="K363" t="s">
        <v>2</v>
      </c>
      <c r="L363" t="s">
        <v>1708</v>
      </c>
      <c r="M363" t="s">
        <v>1709</v>
      </c>
      <c r="N363" s="1"/>
      <c r="O363" t="s">
        <v>4</v>
      </c>
      <c r="P363" s="3">
        <v>0.18</v>
      </c>
      <c r="Q363" s="3" t="s">
        <v>1637</v>
      </c>
      <c r="R363" t="s">
        <v>25</v>
      </c>
      <c r="S363" t="s">
        <v>1086</v>
      </c>
      <c r="T363" t="s">
        <v>227</v>
      </c>
      <c r="U363" s="1">
        <v>0.3</v>
      </c>
      <c r="V363" t="s">
        <v>230</v>
      </c>
    </row>
    <row r="364" spans="1:22" x14ac:dyDescent="0.3">
      <c r="A364" t="s">
        <v>285</v>
      </c>
      <c r="B364" t="str">
        <f ca="1">OFFSET(Industries!C$1,MATCH(Table1[[#This Row],[Ticker]],Industries!$A$2:$A$150,0),0)</f>
        <v>Health Care</v>
      </c>
      <c r="C364" t="str">
        <f ca="1">OFFSET(Industries!D$1,MATCH(Table1[[#This Row],[Ticker]],Industries!$A$2:$A$150,0),0)</f>
        <v>Pharmaceuticals, Biotechnology and Life Sciences</v>
      </c>
      <c r="D364" t="str">
        <f ca="1">OFFSET(Industries!E$1,MATCH(Table1[[#This Row],[Ticker]],Industries!$A$2:$A$150,0),0)</f>
        <v>Life Sciences Tools and Services</v>
      </c>
      <c r="E364" t="s">
        <v>127</v>
      </c>
      <c r="F364" t="str">
        <f ca="1">OFFSET(Industries!B$1,MATCH(Table1[[#This Row],[Ticker]],Industries!$A$2:$A$140,0),0)</f>
        <v>Mega-Cap</v>
      </c>
      <c r="G364" t="str">
        <f ca="1">OFFSET(Industries!F$1,MATCH(Table1[[#This Row],[Ticker]],Industries!$A$2:$A$140,0),0)</f>
        <v>A-</v>
      </c>
      <c r="H364" t="s">
        <v>1434</v>
      </c>
      <c r="I364" t="s">
        <v>1434</v>
      </c>
      <c r="J364" s="2">
        <v>45391</v>
      </c>
      <c r="K364" t="s">
        <v>2</v>
      </c>
      <c r="L364" t="s">
        <v>1708</v>
      </c>
      <c r="M364" t="s">
        <v>1709</v>
      </c>
      <c r="N364" s="1"/>
      <c r="O364" t="s">
        <v>4</v>
      </c>
      <c r="P364" s="3">
        <v>0.18</v>
      </c>
      <c r="Q364" s="3" t="s">
        <v>1636</v>
      </c>
      <c r="R364" t="s">
        <v>62</v>
      </c>
      <c r="S364" t="s">
        <v>129</v>
      </c>
      <c r="T364" t="s">
        <v>129</v>
      </c>
      <c r="U364" s="1">
        <v>0.05</v>
      </c>
    </row>
    <row r="365" spans="1:22" x14ac:dyDescent="0.3">
      <c r="A365" t="s">
        <v>285</v>
      </c>
      <c r="B365" t="str">
        <f ca="1">OFFSET(Industries!C$1,MATCH(Table1[[#This Row],[Ticker]],Industries!$A$2:$A$150,0),0)</f>
        <v>Health Care</v>
      </c>
      <c r="C365" t="str">
        <f ca="1">OFFSET(Industries!D$1,MATCH(Table1[[#This Row],[Ticker]],Industries!$A$2:$A$150,0),0)</f>
        <v>Pharmaceuticals, Biotechnology and Life Sciences</v>
      </c>
      <c r="D365" t="str">
        <f ca="1">OFFSET(Industries!E$1,MATCH(Table1[[#This Row],[Ticker]],Industries!$A$2:$A$150,0),0)</f>
        <v>Life Sciences Tools and Services</v>
      </c>
      <c r="E365" t="s">
        <v>127</v>
      </c>
      <c r="F365" t="str">
        <f ca="1">OFFSET(Industries!B$1,MATCH(Table1[[#This Row],[Ticker]],Industries!$A$2:$A$140,0),0)</f>
        <v>Mega-Cap</v>
      </c>
      <c r="G365" t="str">
        <f ca="1">OFFSET(Industries!F$1,MATCH(Table1[[#This Row],[Ticker]],Industries!$A$2:$A$140,0),0)</f>
        <v>A-</v>
      </c>
      <c r="H365" t="s">
        <v>1434</v>
      </c>
      <c r="I365" t="s">
        <v>1434</v>
      </c>
      <c r="J365" s="2">
        <v>45391</v>
      </c>
      <c r="K365" t="s">
        <v>2</v>
      </c>
      <c r="L365" t="s">
        <v>1710</v>
      </c>
      <c r="M365" t="s">
        <v>1709</v>
      </c>
      <c r="N365" s="1">
        <f>Table1[[#This Row],[Consideration Weight]]</f>
        <v>0.36499999999999999</v>
      </c>
      <c r="O365" t="s">
        <v>476</v>
      </c>
      <c r="P365" s="3">
        <v>0.36499999999999999</v>
      </c>
      <c r="Q365" s="3" t="s">
        <v>1636</v>
      </c>
      <c r="R365" t="s">
        <v>23</v>
      </c>
      <c r="S365" t="s">
        <v>1083</v>
      </c>
      <c r="T365" t="s">
        <v>226</v>
      </c>
      <c r="U365" s="1">
        <v>0.5</v>
      </c>
    </row>
    <row r="366" spans="1:22" x14ac:dyDescent="0.3">
      <c r="A366" t="s">
        <v>285</v>
      </c>
      <c r="B366" t="str">
        <f ca="1">OFFSET(Industries!C$1,MATCH(Table1[[#This Row],[Ticker]],Industries!$A$2:$A$150,0),0)</f>
        <v>Health Care</v>
      </c>
      <c r="C366" t="str">
        <f ca="1">OFFSET(Industries!D$1,MATCH(Table1[[#This Row],[Ticker]],Industries!$A$2:$A$150,0),0)</f>
        <v>Pharmaceuticals, Biotechnology and Life Sciences</v>
      </c>
      <c r="D366" t="str">
        <f ca="1">OFFSET(Industries!E$1,MATCH(Table1[[#This Row],[Ticker]],Industries!$A$2:$A$150,0),0)</f>
        <v>Life Sciences Tools and Services</v>
      </c>
      <c r="E366" t="s">
        <v>127</v>
      </c>
      <c r="F366" t="str">
        <f ca="1">OFFSET(Industries!B$1,MATCH(Table1[[#This Row],[Ticker]],Industries!$A$2:$A$140,0),0)</f>
        <v>Mega-Cap</v>
      </c>
      <c r="G366" t="str">
        <f ca="1">OFFSET(Industries!F$1,MATCH(Table1[[#This Row],[Ticker]],Industries!$A$2:$A$140,0),0)</f>
        <v>A-</v>
      </c>
      <c r="H366" t="s">
        <v>1434</v>
      </c>
      <c r="I366" t="s">
        <v>1434</v>
      </c>
      <c r="J366" s="2">
        <v>45391</v>
      </c>
      <c r="K366" t="s">
        <v>2</v>
      </c>
      <c r="L366" t="s">
        <v>1710</v>
      </c>
      <c r="M366" t="s">
        <v>1709</v>
      </c>
      <c r="N366" s="1"/>
      <c r="O366" t="s">
        <v>476</v>
      </c>
      <c r="P366" s="3">
        <v>0.36499999999999999</v>
      </c>
      <c r="Q366" s="3" t="s">
        <v>1636</v>
      </c>
      <c r="R366" t="s">
        <v>24</v>
      </c>
      <c r="S366" t="s">
        <v>1089</v>
      </c>
      <c r="T366" t="s">
        <v>50</v>
      </c>
      <c r="U366" s="1">
        <v>0.5</v>
      </c>
      <c r="V366" t="s">
        <v>231</v>
      </c>
    </row>
    <row r="367" spans="1:22" x14ac:dyDescent="0.3">
      <c r="A367" t="s">
        <v>285</v>
      </c>
      <c r="B367" t="str">
        <f ca="1">OFFSET(Industries!C$1,MATCH(Table1[[#This Row],[Ticker]],Industries!$A$2:$A$150,0),0)</f>
        <v>Health Care</v>
      </c>
      <c r="C367" t="str">
        <f ca="1">OFFSET(Industries!D$1,MATCH(Table1[[#This Row],[Ticker]],Industries!$A$2:$A$150,0),0)</f>
        <v>Pharmaceuticals, Biotechnology and Life Sciences</v>
      </c>
      <c r="D367" t="str">
        <f ca="1">OFFSET(Industries!E$1,MATCH(Table1[[#This Row],[Ticker]],Industries!$A$2:$A$150,0),0)</f>
        <v>Life Sciences Tools and Services</v>
      </c>
      <c r="E367" t="s">
        <v>127</v>
      </c>
      <c r="F367" t="str">
        <f ca="1">OFFSET(Industries!B$1,MATCH(Table1[[#This Row],[Ticker]],Industries!$A$2:$A$140,0),0)</f>
        <v>Mega-Cap</v>
      </c>
      <c r="G367" t="str">
        <f ca="1">OFFSET(Industries!F$1,MATCH(Table1[[#This Row],[Ticker]],Industries!$A$2:$A$140,0),0)</f>
        <v>A-</v>
      </c>
      <c r="H367" t="s">
        <v>1434</v>
      </c>
      <c r="I367" t="s">
        <v>1434</v>
      </c>
      <c r="J367" s="2">
        <v>45391</v>
      </c>
      <c r="K367" t="s">
        <v>2</v>
      </c>
      <c r="L367" t="s">
        <v>1710</v>
      </c>
      <c r="M367" t="s">
        <v>1709</v>
      </c>
      <c r="N367" s="1"/>
      <c r="O367" t="s">
        <v>476</v>
      </c>
      <c r="P367" s="3">
        <v>0.36499999999999999</v>
      </c>
      <c r="Q367" s="3"/>
      <c r="R367" t="s">
        <v>28</v>
      </c>
      <c r="S367" t="s">
        <v>1085</v>
      </c>
      <c r="T367" t="s">
        <v>200</v>
      </c>
      <c r="V367" t="s">
        <v>232</v>
      </c>
    </row>
    <row r="368" spans="1:22" x14ac:dyDescent="0.3">
      <c r="A368" t="s">
        <v>285</v>
      </c>
      <c r="B368" t="str">
        <f ca="1">OFFSET(Industries!C$1,MATCH(Table1[[#This Row],[Ticker]],Industries!$A$2:$A$150,0),0)</f>
        <v>Health Care</v>
      </c>
      <c r="C368" t="str">
        <f ca="1">OFFSET(Industries!D$1,MATCH(Table1[[#This Row],[Ticker]],Industries!$A$2:$A$150,0),0)</f>
        <v>Pharmaceuticals, Biotechnology and Life Sciences</v>
      </c>
      <c r="D368" t="str">
        <f ca="1">OFFSET(Industries!E$1,MATCH(Table1[[#This Row],[Ticker]],Industries!$A$2:$A$150,0),0)</f>
        <v>Life Sciences Tools and Services</v>
      </c>
      <c r="E368" t="s">
        <v>127</v>
      </c>
      <c r="F368" t="str">
        <f ca="1">OFFSET(Industries!B$1,MATCH(Table1[[#This Row],[Ticker]],Industries!$A$2:$A$140,0),0)</f>
        <v>Mega-Cap</v>
      </c>
      <c r="G368" t="str">
        <f ca="1">OFFSET(Industries!F$1,MATCH(Table1[[#This Row],[Ticker]],Industries!$A$2:$A$140,0),0)</f>
        <v>A-</v>
      </c>
      <c r="H368" t="s">
        <v>1434</v>
      </c>
      <c r="I368" t="s">
        <v>1434</v>
      </c>
      <c r="J368" s="2">
        <v>45391</v>
      </c>
      <c r="K368" t="s">
        <v>2</v>
      </c>
      <c r="L368" t="s">
        <v>1710</v>
      </c>
      <c r="M368" t="s">
        <v>1711</v>
      </c>
      <c r="N368" s="1">
        <f>Table1[[#This Row],[Consideration Weight]]</f>
        <v>0.36499999999999999</v>
      </c>
      <c r="O368" t="s">
        <v>87</v>
      </c>
      <c r="P368" s="3">
        <v>0.36499999999999999</v>
      </c>
      <c r="Q368" s="3"/>
    </row>
    <row r="369" spans="1:22" x14ac:dyDescent="0.3">
      <c r="A369" t="s">
        <v>285</v>
      </c>
      <c r="B369" t="str">
        <f ca="1">OFFSET(Industries!C$1,MATCH(Table1[[#This Row],[Ticker]],Industries!$A$2:$A$150,0),0)</f>
        <v>Health Care</v>
      </c>
      <c r="C369" t="str">
        <f ca="1">OFFSET(Industries!D$1,MATCH(Table1[[#This Row],[Ticker]],Industries!$A$2:$A$150,0),0)</f>
        <v>Pharmaceuticals, Biotechnology and Life Sciences</v>
      </c>
      <c r="D369" t="str">
        <f ca="1">OFFSET(Industries!E$1,MATCH(Table1[[#This Row],[Ticker]],Industries!$A$2:$A$150,0),0)</f>
        <v>Life Sciences Tools and Services</v>
      </c>
      <c r="E369" t="s">
        <v>127</v>
      </c>
      <c r="F369" t="str">
        <f ca="1">OFFSET(Industries!B$1,MATCH(Table1[[#This Row],[Ticker]],Industries!$A$2:$A$140,0),0)</f>
        <v>Mega-Cap</v>
      </c>
      <c r="G369" t="str">
        <f ca="1">OFFSET(Industries!F$1,MATCH(Table1[[#This Row],[Ticker]],Industries!$A$2:$A$140,0),0)</f>
        <v>A-</v>
      </c>
      <c r="H369" t="s">
        <v>1434</v>
      </c>
      <c r="I369" t="s">
        <v>1434</v>
      </c>
      <c r="J369" s="2">
        <v>45391</v>
      </c>
      <c r="K369" t="s">
        <v>21</v>
      </c>
      <c r="L369" t="s">
        <v>3</v>
      </c>
      <c r="M369" t="s">
        <v>1711</v>
      </c>
      <c r="N369" s="1">
        <f>Table1[[#This Row],[Consideration Weight]]</f>
        <v>0.16</v>
      </c>
      <c r="O369" t="s">
        <v>3</v>
      </c>
      <c r="P369" s="3">
        <v>0.16</v>
      </c>
      <c r="Q369" s="3"/>
    </row>
    <row r="370" spans="1:22" x14ac:dyDescent="0.3">
      <c r="A370" t="s">
        <v>285</v>
      </c>
      <c r="B370" t="str">
        <f ca="1">OFFSET(Industries!C$1,MATCH(Table1[[#This Row],[Ticker]],Industries!$A$2:$A$150,0),0)</f>
        <v>Health Care</v>
      </c>
      <c r="C370" t="str">
        <f ca="1">OFFSET(Industries!D$1,MATCH(Table1[[#This Row],[Ticker]],Industries!$A$2:$A$150,0),0)</f>
        <v>Pharmaceuticals, Biotechnology and Life Sciences</v>
      </c>
      <c r="D370" t="str">
        <f ca="1">OFFSET(Industries!E$1,MATCH(Table1[[#This Row],[Ticker]],Industries!$A$2:$A$150,0),0)</f>
        <v>Life Sciences Tools and Services</v>
      </c>
      <c r="E370" t="s">
        <v>127</v>
      </c>
      <c r="F370" t="str">
        <f ca="1">OFFSET(Industries!B$1,MATCH(Table1[[#This Row],[Ticker]],Industries!$A$2:$A$140,0),0)</f>
        <v>Mega-Cap</v>
      </c>
      <c r="G370" t="str">
        <f ca="1">OFFSET(Industries!F$1,MATCH(Table1[[#This Row],[Ticker]],Industries!$A$2:$A$140,0),0)</f>
        <v>A-</v>
      </c>
      <c r="H370" t="s">
        <v>1434</v>
      </c>
      <c r="I370" t="s">
        <v>1434</v>
      </c>
      <c r="J370" s="2">
        <v>45391</v>
      </c>
      <c r="K370" t="s">
        <v>21</v>
      </c>
      <c r="L370" t="s">
        <v>1708</v>
      </c>
      <c r="M370" t="s">
        <v>1709</v>
      </c>
      <c r="N370" s="1">
        <f>Table1[[#This Row],[Consideration Weight]]</f>
        <v>0.16</v>
      </c>
      <c r="O370" t="s">
        <v>4</v>
      </c>
      <c r="P370" s="3">
        <v>0.16</v>
      </c>
      <c r="Q370" s="3" t="s">
        <v>1636</v>
      </c>
      <c r="R370" t="s">
        <v>23</v>
      </c>
      <c r="S370" t="s">
        <v>1083</v>
      </c>
      <c r="T370" t="s">
        <v>226</v>
      </c>
      <c r="U370" s="1">
        <v>0.35</v>
      </c>
    </row>
    <row r="371" spans="1:22" x14ac:dyDescent="0.3">
      <c r="A371" t="s">
        <v>285</v>
      </c>
      <c r="B371" t="str">
        <f ca="1">OFFSET(Industries!C$1,MATCH(Table1[[#This Row],[Ticker]],Industries!$A$2:$A$150,0),0)</f>
        <v>Health Care</v>
      </c>
      <c r="C371" t="str">
        <f ca="1">OFFSET(Industries!D$1,MATCH(Table1[[#This Row],[Ticker]],Industries!$A$2:$A$150,0),0)</f>
        <v>Pharmaceuticals, Biotechnology and Life Sciences</v>
      </c>
      <c r="D371" t="str">
        <f ca="1">OFFSET(Industries!E$1,MATCH(Table1[[#This Row],[Ticker]],Industries!$A$2:$A$150,0),0)</f>
        <v>Life Sciences Tools and Services</v>
      </c>
      <c r="E371" t="s">
        <v>127</v>
      </c>
      <c r="F371" t="str">
        <f ca="1">OFFSET(Industries!B$1,MATCH(Table1[[#This Row],[Ticker]],Industries!$A$2:$A$140,0),0)</f>
        <v>Mega-Cap</v>
      </c>
      <c r="G371" t="str">
        <f ca="1">OFFSET(Industries!F$1,MATCH(Table1[[#This Row],[Ticker]],Industries!$A$2:$A$140,0),0)</f>
        <v>A-</v>
      </c>
      <c r="H371" t="s">
        <v>1434</v>
      </c>
      <c r="I371" t="s">
        <v>1434</v>
      </c>
      <c r="J371" s="2">
        <v>45391</v>
      </c>
      <c r="K371" t="s">
        <v>21</v>
      </c>
      <c r="L371" t="s">
        <v>1708</v>
      </c>
      <c r="M371" t="s">
        <v>1709</v>
      </c>
      <c r="N371" s="1"/>
      <c r="O371" t="s">
        <v>4</v>
      </c>
      <c r="P371" s="3">
        <v>0.16</v>
      </c>
      <c r="Q371" s="3" t="s">
        <v>1636</v>
      </c>
      <c r="R371" t="s">
        <v>24</v>
      </c>
      <c r="S371" t="s">
        <v>1098</v>
      </c>
      <c r="T371" t="s">
        <v>107</v>
      </c>
      <c r="U371" s="1">
        <v>0.3</v>
      </c>
    </row>
    <row r="372" spans="1:22" x14ac:dyDescent="0.3">
      <c r="A372" t="s">
        <v>285</v>
      </c>
      <c r="B372" t="str">
        <f ca="1">OFFSET(Industries!C$1,MATCH(Table1[[#This Row],[Ticker]],Industries!$A$2:$A$150,0),0)</f>
        <v>Health Care</v>
      </c>
      <c r="C372" t="str">
        <f ca="1">OFFSET(Industries!D$1,MATCH(Table1[[#This Row],[Ticker]],Industries!$A$2:$A$150,0),0)</f>
        <v>Pharmaceuticals, Biotechnology and Life Sciences</v>
      </c>
      <c r="D372" t="str">
        <f ca="1">OFFSET(Industries!E$1,MATCH(Table1[[#This Row],[Ticker]],Industries!$A$2:$A$150,0),0)</f>
        <v>Life Sciences Tools and Services</v>
      </c>
      <c r="E372" t="s">
        <v>127</v>
      </c>
      <c r="F372" t="str">
        <f ca="1">OFFSET(Industries!B$1,MATCH(Table1[[#This Row],[Ticker]],Industries!$A$2:$A$140,0),0)</f>
        <v>Mega-Cap</v>
      </c>
      <c r="G372" t="str">
        <f ca="1">OFFSET(Industries!F$1,MATCH(Table1[[#This Row],[Ticker]],Industries!$A$2:$A$140,0),0)</f>
        <v>A-</v>
      </c>
      <c r="H372" t="s">
        <v>1434</v>
      </c>
      <c r="I372" t="s">
        <v>1434</v>
      </c>
      <c r="J372" s="2">
        <v>45391</v>
      </c>
      <c r="K372" t="s">
        <v>21</v>
      </c>
      <c r="L372" t="s">
        <v>1708</v>
      </c>
      <c r="M372" t="s">
        <v>1709</v>
      </c>
      <c r="N372" s="1"/>
      <c r="O372" t="s">
        <v>4</v>
      </c>
      <c r="P372" s="3">
        <v>0.16</v>
      </c>
      <c r="Q372" s="3" t="s">
        <v>1637</v>
      </c>
      <c r="R372" t="s">
        <v>25</v>
      </c>
      <c r="S372" t="s">
        <v>1086</v>
      </c>
      <c r="T372" t="s">
        <v>227</v>
      </c>
      <c r="U372" s="1">
        <v>0.3</v>
      </c>
    </row>
    <row r="373" spans="1:22" x14ac:dyDescent="0.3">
      <c r="A373" t="s">
        <v>285</v>
      </c>
      <c r="B373" t="str">
        <f ca="1">OFFSET(Industries!C$1,MATCH(Table1[[#This Row],[Ticker]],Industries!$A$2:$A$150,0),0)</f>
        <v>Health Care</v>
      </c>
      <c r="C373" t="str">
        <f ca="1">OFFSET(Industries!D$1,MATCH(Table1[[#This Row],[Ticker]],Industries!$A$2:$A$150,0),0)</f>
        <v>Pharmaceuticals, Biotechnology and Life Sciences</v>
      </c>
      <c r="D373" t="str">
        <f ca="1">OFFSET(Industries!E$1,MATCH(Table1[[#This Row],[Ticker]],Industries!$A$2:$A$150,0),0)</f>
        <v>Life Sciences Tools and Services</v>
      </c>
      <c r="E373" t="s">
        <v>127</v>
      </c>
      <c r="F373" t="str">
        <f ca="1">OFFSET(Industries!B$1,MATCH(Table1[[#This Row],[Ticker]],Industries!$A$2:$A$140,0),0)</f>
        <v>Mega-Cap</v>
      </c>
      <c r="G373" t="str">
        <f ca="1">OFFSET(Industries!F$1,MATCH(Table1[[#This Row],[Ticker]],Industries!$A$2:$A$140,0),0)</f>
        <v>A-</v>
      </c>
      <c r="H373" t="s">
        <v>1434</v>
      </c>
      <c r="I373" t="s">
        <v>1434</v>
      </c>
      <c r="J373" s="2">
        <v>45391</v>
      </c>
      <c r="K373" t="s">
        <v>21</v>
      </c>
      <c r="L373" t="s">
        <v>1708</v>
      </c>
      <c r="M373" t="s">
        <v>1709</v>
      </c>
      <c r="N373" s="1"/>
      <c r="O373" t="s">
        <v>4</v>
      </c>
      <c r="P373" s="3">
        <v>0.16</v>
      </c>
      <c r="Q373" s="3" t="s">
        <v>1636</v>
      </c>
      <c r="R373" t="s">
        <v>62</v>
      </c>
      <c r="S373" t="s">
        <v>129</v>
      </c>
      <c r="T373" t="s">
        <v>129</v>
      </c>
      <c r="U373" s="1">
        <v>0.05</v>
      </c>
    </row>
    <row r="374" spans="1:22" x14ac:dyDescent="0.3">
      <c r="A374" t="s">
        <v>285</v>
      </c>
      <c r="B374" t="str">
        <f ca="1">OFFSET(Industries!C$1,MATCH(Table1[[#This Row],[Ticker]],Industries!$A$2:$A$150,0),0)</f>
        <v>Health Care</v>
      </c>
      <c r="C374" t="str">
        <f ca="1">OFFSET(Industries!D$1,MATCH(Table1[[#This Row],[Ticker]],Industries!$A$2:$A$150,0),0)</f>
        <v>Pharmaceuticals, Biotechnology and Life Sciences</v>
      </c>
      <c r="D374" t="str">
        <f ca="1">OFFSET(Industries!E$1,MATCH(Table1[[#This Row],[Ticker]],Industries!$A$2:$A$150,0),0)</f>
        <v>Life Sciences Tools and Services</v>
      </c>
      <c r="E374" t="s">
        <v>127</v>
      </c>
      <c r="F374" t="str">
        <f ca="1">OFFSET(Industries!B$1,MATCH(Table1[[#This Row],[Ticker]],Industries!$A$2:$A$140,0),0)</f>
        <v>Mega-Cap</v>
      </c>
      <c r="G374" t="str">
        <f ca="1">OFFSET(Industries!F$1,MATCH(Table1[[#This Row],[Ticker]],Industries!$A$2:$A$140,0),0)</f>
        <v>A-</v>
      </c>
      <c r="H374" t="s">
        <v>1434</v>
      </c>
      <c r="I374" t="s">
        <v>1434</v>
      </c>
      <c r="J374" s="2">
        <v>45391</v>
      </c>
      <c r="K374" t="s">
        <v>21</v>
      </c>
      <c r="L374" t="s">
        <v>1710</v>
      </c>
      <c r="M374" t="s">
        <v>1709</v>
      </c>
      <c r="N374" s="1">
        <f>Table1[[#This Row],[Consideration Weight]]</f>
        <v>0.27</v>
      </c>
      <c r="O374" t="s">
        <v>476</v>
      </c>
      <c r="P374" s="3">
        <v>0.27</v>
      </c>
      <c r="Q374" s="3" t="s">
        <v>1636</v>
      </c>
      <c r="R374" t="s">
        <v>23</v>
      </c>
      <c r="S374" t="s">
        <v>1083</v>
      </c>
      <c r="T374" t="s">
        <v>226</v>
      </c>
      <c r="U374" s="1">
        <v>0.5</v>
      </c>
    </row>
    <row r="375" spans="1:22" x14ac:dyDescent="0.3">
      <c r="A375" t="s">
        <v>285</v>
      </c>
      <c r="B375" t="str">
        <f ca="1">OFFSET(Industries!C$1,MATCH(Table1[[#This Row],[Ticker]],Industries!$A$2:$A$150,0),0)</f>
        <v>Health Care</v>
      </c>
      <c r="C375" t="str">
        <f ca="1">OFFSET(Industries!D$1,MATCH(Table1[[#This Row],[Ticker]],Industries!$A$2:$A$150,0),0)</f>
        <v>Pharmaceuticals, Biotechnology and Life Sciences</v>
      </c>
      <c r="D375" t="str">
        <f ca="1">OFFSET(Industries!E$1,MATCH(Table1[[#This Row],[Ticker]],Industries!$A$2:$A$150,0),0)</f>
        <v>Life Sciences Tools and Services</v>
      </c>
      <c r="E375" t="s">
        <v>127</v>
      </c>
      <c r="F375" t="str">
        <f ca="1">OFFSET(Industries!B$1,MATCH(Table1[[#This Row],[Ticker]],Industries!$A$2:$A$140,0),0)</f>
        <v>Mega-Cap</v>
      </c>
      <c r="G375" t="str">
        <f ca="1">OFFSET(Industries!F$1,MATCH(Table1[[#This Row],[Ticker]],Industries!$A$2:$A$140,0),0)</f>
        <v>A-</v>
      </c>
      <c r="H375" t="s">
        <v>1434</v>
      </c>
      <c r="I375" t="s">
        <v>1434</v>
      </c>
      <c r="J375" s="2">
        <v>45391</v>
      </c>
      <c r="K375" t="s">
        <v>21</v>
      </c>
      <c r="L375" t="s">
        <v>1710</v>
      </c>
      <c r="M375" t="s">
        <v>1709</v>
      </c>
      <c r="N375" s="1"/>
      <c r="O375" t="s">
        <v>476</v>
      </c>
      <c r="P375" s="3">
        <v>0.27</v>
      </c>
      <c r="Q375" s="3" t="s">
        <v>1636</v>
      </c>
      <c r="R375" t="s">
        <v>24</v>
      </c>
      <c r="S375" t="s">
        <v>1089</v>
      </c>
      <c r="T375" t="s">
        <v>50</v>
      </c>
      <c r="U375" s="1">
        <v>0.5</v>
      </c>
    </row>
    <row r="376" spans="1:22" x14ac:dyDescent="0.3">
      <c r="A376" t="s">
        <v>285</v>
      </c>
      <c r="B376" t="str">
        <f ca="1">OFFSET(Industries!C$1,MATCH(Table1[[#This Row],[Ticker]],Industries!$A$2:$A$150,0),0)</f>
        <v>Health Care</v>
      </c>
      <c r="C376" t="str">
        <f ca="1">OFFSET(Industries!D$1,MATCH(Table1[[#This Row],[Ticker]],Industries!$A$2:$A$150,0),0)</f>
        <v>Pharmaceuticals, Biotechnology and Life Sciences</v>
      </c>
      <c r="D376" t="str">
        <f ca="1">OFFSET(Industries!E$1,MATCH(Table1[[#This Row],[Ticker]],Industries!$A$2:$A$150,0),0)</f>
        <v>Life Sciences Tools and Services</v>
      </c>
      <c r="E376" t="s">
        <v>127</v>
      </c>
      <c r="F376" t="str">
        <f ca="1">OFFSET(Industries!B$1,MATCH(Table1[[#This Row],[Ticker]],Industries!$A$2:$A$140,0),0)</f>
        <v>Mega-Cap</v>
      </c>
      <c r="G376" t="str">
        <f ca="1">OFFSET(Industries!F$1,MATCH(Table1[[#This Row],[Ticker]],Industries!$A$2:$A$140,0),0)</f>
        <v>A-</v>
      </c>
      <c r="H376" t="s">
        <v>1434</v>
      </c>
      <c r="I376" t="s">
        <v>1434</v>
      </c>
      <c r="J376" s="2">
        <v>45391</v>
      </c>
      <c r="K376" t="s">
        <v>21</v>
      </c>
      <c r="L376" t="s">
        <v>1710</v>
      </c>
      <c r="M376" t="s">
        <v>1709</v>
      </c>
      <c r="N376" s="1"/>
      <c r="O376" t="s">
        <v>476</v>
      </c>
      <c r="P376" s="3">
        <v>0.27</v>
      </c>
      <c r="Q376" s="3"/>
      <c r="R376" t="s">
        <v>28</v>
      </c>
      <c r="S376" t="s">
        <v>1085</v>
      </c>
      <c r="T376" t="s">
        <v>200</v>
      </c>
    </row>
    <row r="377" spans="1:22" x14ac:dyDescent="0.3">
      <c r="A377" t="s">
        <v>285</v>
      </c>
      <c r="B377" t="str">
        <f ca="1">OFFSET(Industries!C$1,MATCH(Table1[[#This Row],[Ticker]],Industries!$A$2:$A$150,0),0)</f>
        <v>Health Care</v>
      </c>
      <c r="C377" t="str">
        <f ca="1">OFFSET(Industries!D$1,MATCH(Table1[[#This Row],[Ticker]],Industries!$A$2:$A$150,0),0)</f>
        <v>Pharmaceuticals, Biotechnology and Life Sciences</v>
      </c>
      <c r="D377" t="str">
        <f ca="1">OFFSET(Industries!E$1,MATCH(Table1[[#This Row],[Ticker]],Industries!$A$2:$A$150,0),0)</f>
        <v>Life Sciences Tools and Services</v>
      </c>
      <c r="E377" t="s">
        <v>127</v>
      </c>
      <c r="F377" t="str">
        <f ca="1">OFFSET(Industries!B$1,MATCH(Table1[[#This Row],[Ticker]],Industries!$A$2:$A$140,0),0)</f>
        <v>Mega-Cap</v>
      </c>
      <c r="G377" t="str">
        <f ca="1">OFFSET(Industries!F$1,MATCH(Table1[[#This Row],[Ticker]],Industries!$A$2:$A$140,0),0)</f>
        <v>A-</v>
      </c>
      <c r="H377" t="s">
        <v>1434</v>
      </c>
      <c r="I377" t="s">
        <v>1434</v>
      </c>
      <c r="J377" s="2">
        <v>45391</v>
      </c>
      <c r="K377" t="s">
        <v>21</v>
      </c>
      <c r="L377" t="s">
        <v>1710</v>
      </c>
      <c r="M377" t="s">
        <v>1711</v>
      </c>
      <c r="N377" s="1">
        <f>Table1[[#This Row],[Consideration Weight]]</f>
        <v>0.27</v>
      </c>
      <c r="O377" t="s">
        <v>87</v>
      </c>
      <c r="P377" s="3">
        <v>0.27</v>
      </c>
      <c r="Q377" s="3"/>
    </row>
    <row r="378" spans="1:22" x14ac:dyDescent="0.3">
      <c r="A378" t="s">
        <v>285</v>
      </c>
      <c r="B378" t="str">
        <f ca="1">OFFSET(Industries!C$1,MATCH(Table1[[#This Row],[Ticker]],Industries!$A$2:$A$150,0),0)</f>
        <v>Health Care</v>
      </c>
      <c r="C378" t="str">
        <f ca="1">OFFSET(Industries!D$1,MATCH(Table1[[#This Row],[Ticker]],Industries!$A$2:$A$150,0),0)</f>
        <v>Pharmaceuticals, Biotechnology and Life Sciences</v>
      </c>
      <c r="D378" t="str">
        <f ca="1">OFFSET(Industries!E$1,MATCH(Table1[[#This Row],[Ticker]],Industries!$A$2:$A$150,0),0)</f>
        <v>Life Sciences Tools and Services</v>
      </c>
      <c r="E378" t="s">
        <v>127</v>
      </c>
      <c r="F378" t="str">
        <f ca="1">OFFSET(Industries!B$1,MATCH(Table1[[#This Row],[Ticker]],Industries!$A$2:$A$140,0),0)</f>
        <v>Mega-Cap</v>
      </c>
      <c r="G378" t="str">
        <f ca="1">OFFSET(Industries!F$1,MATCH(Table1[[#This Row],[Ticker]],Industries!$A$2:$A$140,0),0)</f>
        <v>A-</v>
      </c>
      <c r="H378" t="s">
        <v>1434</v>
      </c>
      <c r="I378" t="s">
        <v>1434</v>
      </c>
      <c r="J378" s="2">
        <v>45391</v>
      </c>
      <c r="K378" t="s">
        <v>21</v>
      </c>
      <c r="L378" t="s">
        <v>1710</v>
      </c>
      <c r="M378" t="s">
        <v>1711</v>
      </c>
      <c r="N378" s="1">
        <f>Table1[[#This Row],[Consideration Weight]]</f>
        <v>0.14000000000000001</v>
      </c>
      <c r="O378" t="s">
        <v>194</v>
      </c>
      <c r="P378" s="3">
        <v>0.14000000000000001</v>
      </c>
      <c r="Q378" s="3"/>
    </row>
    <row r="379" spans="1:22" x14ac:dyDescent="0.3">
      <c r="A379" t="s">
        <v>286</v>
      </c>
      <c r="B379" t="str">
        <f ca="1">OFFSET(Industries!C$1,MATCH(Table1[[#This Row],[Ticker]],Industries!$A$2:$A$150,0),0)</f>
        <v>Communication Services</v>
      </c>
      <c r="C379" t="str">
        <f ca="1">OFFSET(Industries!D$1,MATCH(Table1[[#This Row],[Ticker]],Industries!$A$2:$A$150,0),0)</f>
        <v>Media and Entertainment</v>
      </c>
      <c r="D379" t="str">
        <f ca="1">OFFSET(Industries!E$1,MATCH(Table1[[#This Row],[Ticker]],Industries!$A$2:$A$150,0),0)</f>
        <v>Media</v>
      </c>
      <c r="E379" t="s">
        <v>233</v>
      </c>
      <c r="F379" t="str">
        <f ca="1">OFFSET(Industries!B$1,MATCH(Table1[[#This Row],[Ticker]],Industries!$A$2:$A$140,0),0)</f>
        <v>Mega-Cap</v>
      </c>
      <c r="G379" t="str">
        <f ca="1">OFFSET(Industries!F$1,MATCH(Table1[[#This Row],[Ticker]],Industries!$A$2:$A$140,0),0)</f>
        <v>A-</v>
      </c>
      <c r="H379" t="s">
        <v>1434</v>
      </c>
      <c r="I379" t="s">
        <v>1434</v>
      </c>
      <c r="J379" s="2">
        <v>45408</v>
      </c>
      <c r="K379" t="s">
        <v>2</v>
      </c>
      <c r="L379" t="s">
        <v>3</v>
      </c>
      <c r="M379" t="s">
        <v>1711</v>
      </c>
      <c r="N379" s="1">
        <f>Table1[[#This Row],[Consideration Weight]]</f>
        <v>7.0000000000000007E-2</v>
      </c>
      <c r="O379" t="s">
        <v>3</v>
      </c>
      <c r="P379" s="3">
        <v>7.0000000000000007E-2</v>
      </c>
      <c r="Q379" s="3"/>
    </row>
    <row r="380" spans="1:22" x14ac:dyDescent="0.3">
      <c r="A380" t="s">
        <v>286</v>
      </c>
      <c r="B380" t="str">
        <f ca="1">OFFSET(Industries!C$1,MATCH(Table1[[#This Row],[Ticker]],Industries!$A$2:$A$150,0),0)</f>
        <v>Communication Services</v>
      </c>
      <c r="C380" t="str">
        <f ca="1">OFFSET(Industries!D$1,MATCH(Table1[[#This Row],[Ticker]],Industries!$A$2:$A$150,0),0)</f>
        <v>Media and Entertainment</v>
      </c>
      <c r="D380" t="str">
        <f ca="1">OFFSET(Industries!E$1,MATCH(Table1[[#This Row],[Ticker]],Industries!$A$2:$A$150,0),0)</f>
        <v>Media</v>
      </c>
      <c r="E380" t="s">
        <v>233</v>
      </c>
      <c r="F380" t="str">
        <f ca="1">OFFSET(Industries!B$1,MATCH(Table1[[#This Row],[Ticker]],Industries!$A$2:$A$140,0),0)</f>
        <v>Mega-Cap</v>
      </c>
      <c r="G380" t="str">
        <f ca="1">OFFSET(Industries!F$1,MATCH(Table1[[#This Row],[Ticker]],Industries!$A$2:$A$140,0),0)</f>
        <v>A-</v>
      </c>
      <c r="H380" t="s">
        <v>1434</v>
      </c>
      <c r="I380" t="s">
        <v>1434</v>
      </c>
      <c r="J380" s="2">
        <v>45408</v>
      </c>
      <c r="K380" t="s">
        <v>2</v>
      </c>
      <c r="L380" t="s">
        <v>1708</v>
      </c>
      <c r="M380" t="s">
        <v>1709</v>
      </c>
      <c r="N380" s="1">
        <f>Table1[[#This Row],[Consideration Weight]]</f>
        <v>0.24</v>
      </c>
      <c r="O380" t="s">
        <v>4</v>
      </c>
      <c r="P380" s="3">
        <v>0.24</v>
      </c>
      <c r="Q380" s="3" t="s">
        <v>1636</v>
      </c>
      <c r="R380" t="s">
        <v>24</v>
      </c>
      <c r="S380" t="s">
        <v>1104</v>
      </c>
      <c r="T380" t="s">
        <v>153</v>
      </c>
      <c r="U380" s="1">
        <v>0.35</v>
      </c>
      <c r="V380" t="s">
        <v>234</v>
      </c>
    </row>
    <row r="381" spans="1:22" x14ac:dyDescent="0.3">
      <c r="A381" t="s">
        <v>286</v>
      </c>
      <c r="B381" t="str">
        <f ca="1">OFFSET(Industries!C$1,MATCH(Table1[[#This Row],[Ticker]],Industries!$A$2:$A$150,0),0)</f>
        <v>Communication Services</v>
      </c>
      <c r="C381" t="str">
        <f ca="1">OFFSET(Industries!D$1,MATCH(Table1[[#This Row],[Ticker]],Industries!$A$2:$A$150,0),0)</f>
        <v>Media and Entertainment</v>
      </c>
      <c r="D381" t="str">
        <f ca="1">OFFSET(Industries!E$1,MATCH(Table1[[#This Row],[Ticker]],Industries!$A$2:$A$150,0),0)</f>
        <v>Media</v>
      </c>
      <c r="E381" t="s">
        <v>233</v>
      </c>
      <c r="F381" t="str">
        <f ca="1">OFFSET(Industries!B$1,MATCH(Table1[[#This Row],[Ticker]],Industries!$A$2:$A$140,0),0)</f>
        <v>Mega-Cap</v>
      </c>
      <c r="G381" t="str">
        <f ca="1">OFFSET(Industries!F$1,MATCH(Table1[[#This Row],[Ticker]],Industries!$A$2:$A$140,0),0)</f>
        <v>A-</v>
      </c>
      <c r="H381" t="s">
        <v>1434</v>
      </c>
      <c r="I381" t="s">
        <v>1434</v>
      </c>
      <c r="J381" s="2">
        <v>45408</v>
      </c>
      <c r="K381" t="s">
        <v>2</v>
      </c>
      <c r="L381" t="s">
        <v>1708</v>
      </c>
      <c r="M381" t="s">
        <v>1709</v>
      </c>
      <c r="N381" s="1"/>
      <c r="O381" t="s">
        <v>4</v>
      </c>
      <c r="P381" s="3">
        <v>0.24</v>
      </c>
      <c r="Q381" s="3" t="s">
        <v>1636</v>
      </c>
      <c r="R381" t="s">
        <v>62</v>
      </c>
      <c r="S381" t="s">
        <v>129</v>
      </c>
      <c r="T381" t="s">
        <v>129</v>
      </c>
      <c r="U381" s="1">
        <v>0.28000000000000003</v>
      </c>
    </row>
    <row r="382" spans="1:22" x14ac:dyDescent="0.3">
      <c r="A382" t="s">
        <v>286</v>
      </c>
      <c r="B382" t="str">
        <f ca="1">OFFSET(Industries!C$1,MATCH(Table1[[#This Row],[Ticker]],Industries!$A$2:$A$150,0),0)</f>
        <v>Communication Services</v>
      </c>
      <c r="C382" t="str">
        <f ca="1">OFFSET(Industries!D$1,MATCH(Table1[[#This Row],[Ticker]],Industries!$A$2:$A$150,0),0)</f>
        <v>Media and Entertainment</v>
      </c>
      <c r="D382" t="str">
        <f ca="1">OFFSET(Industries!E$1,MATCH(Table1[[#This Row],[Ticker]],Industries!$A$2:$A$150,0),0)</f>
        <v>Media</v>
      </c>
      <c r="E382" t="s">
        <v>233</v>
      </c>
      <c r="F382" t="str">
        <f ca="1">OFFSET(Industries!B$1,MATCH(Table1[[#This Row],[Ticker]],Industries!$A$2:$A$140,0),0)</f>
        <v>Mega-Cap</v>
      </c>
      <c r="G382" t="str">
        <f ca="1">OFFSET(Industries!F$1,MATCH(Table1[[#This Row],[Ticker]],Industries!$A$2:$A$140,0),0)</f>
        <v>A-</v>
      </c>
      <c r="H382" t="s">
        <v>1434</v>
      </c>
      <c r="I382" t="s">
        <v>1434</v>
      </c>
      <c r="J382" s="2">
        <v>45408</v>
      </c>
      <c r="K382" t="s">
        <v>2</v>
      </c>
      <c r="L382" t="s">
        <v>1708</v>
      </c>
      <c r="M382" t="s">
        <v>1709</v>
      </c>
      <c r="N382" s="1"/>
      <c r="O382" t="s">
        <v>4</v>
      </c>
      <c r="P382" s="3">
        <v>0.24</v>
      </c>
      <c r="Q382" s="3" t="s">
        <v>1637</v>
      </c>
      <c r="R382" t="s">
        <v>25</v>
      </c>
      <c r="S382" t="s">
        <v>1086</v>
      </c>
      <c r="T382" t="s">
        <v>235</v>
      </c>
      <c r="U382" s="1">
        <v>0.15</v>
      </c>
      <c r="V382" t="s">
        <v>236</v>
      </c>
    </row>
    <row r="383" spans="1:22" x14ac:dyDescent="0.3">
      <c r="A383" t="s">
        <v>286</v>
      </c>
      <c r="B383" t="str">
        <f ca="1">OFFSET(Industries!C$1,MATCH(Table1[[#This Row],[Ticker]],Industries!$A$2:$A$150,0),0)</f>
        <v>Communication Services</v>
      </c>
      <c r="C383" t="str">
        <f ca="1">OFFSET(Industries!D$1,MATCH(Table1[[#This Row],[Ticker]],Industries!$A$2:$A$150,0),0)</f>
        <v>Media and Entertainment</v>
      </c>
      <c r="D383" t="str">
        <f ca="1">OFFSET(Industries!E$1,MATCH(Table1[[#This Row],[Ticker]],Industries!$A$2:$A$150,0),0)</f>
        <v>Media</v>
      </c>
      <c r="E383" t="s">
        <v>233</v>
      </c>
      <c r="F383" t="str">
        <f ca="1">OFFSET(Industries!B$1,MATCH(Table1[[#This Row],[Ticker]],Industries!$A$2:$A$140,0),0)</f>
        <v>Mega-Cap</v>
      </c>
      <c r="G383" t="str">
        <f ca="1">OFFSET(Industries!F$1,MATCH(Table1[[#This Row],[Ticker]],Industries!$A$2:$A$140,0),0)</f>
        <v>A-</v>
      </c>
      <c r="H383" t="s">
        <v>1434</v>
      </c>
      <c r="I383" t="s">
        <v>1434</v>
      </c>
      <c r="J383" s="2">
        <v>45408</v>
      </c>
      <c r="K383" t="s">
        <v>2</v>
      </c>
      <c r="L383" t="s">
        <v>1708</v>
      </c>
      <c r="M383" t="s">
        <v>1709</v>
      </c>
      <c r="N383" s="1"/>
      <c r="O383" t="s">
        <v>4</v>
      </c>
      <c r="P383" s="3">
        <v>0.24</v>
      </c>
      <c r="Q383" s="3" t="s">
        <v>1637</v>
      </c>
      <c r="R383" t="s">
        <v>26</v>
      </c>
      <c r="S383" t="s">
        <v>26</v>
      </c>
      <c r="T383" t="s">
        <v>237</v>
      </c>
      <c r="U383" s="1">
        <v>0.15</v>
      </c>
      <c r="V383" t="s">
        <v>238</v>
      </c>
    </row>
    <row r="384" spans="1:22" x14ac:dyDescent="0.3">
      <c r="A384" t="s">
        <v>286</v>
      </c>
      <c r="B384" t="str">
        <f ca="1">OFFSET(Industries!C$1,MATCH(Table1[[#This Row],[Ticker]],Industries!$A$2:$A$150,0),0)</f>
        <v>Communication Services</v>
      </c>
      <c r="C384" t="str">
        <f ca="1">OFFSET(Industries!D$1,MATCH(Table1[[#This Row],[Ticker]],Industries!$A$2:$A$150,0),0)</f>
        <v>Media and Entertainment</v>
      </c>
      <c r="D384" t="str">
        <f ca="1">OFFSET(Industries!E$1,MATCH(Table1[[#This Row],[Ticker]],Industries!$A$2:$A$150,0),0)</f>
        <v>Media</v>
      </c>
      <c r="E384" t="s">
        <v>233</v>
      </c>
      <c r="F384" t="str">
        <f ca="1">OFFSET(Industries!B$1,MATCH(Table1[[#This Row],[Ticker]],Industries!$A$2:$A$140,0),0)</f>
        <v>Mega-Cap</v>
      </c>
      <c r="G384" t="str">
        <f ca="1">OFFSET(Industries!F$1,MATCH(Table1[[#This Row],[Ticker]],Industries!$A$2:$A$140,0),0)</f>
        <v>A-</v>
      </c>
      <c r="H384" t="s">
        <v>1434</v>
      </c>
      <c r="I384" t="s">
        <v>1434</v>
      </c>
      <c r="J384" s="2">
        <v>45408</v>
      </c>
      <c r="K384" t="s">
        <v>2</v>
      </c>
      <c r="L384" t="s">
        <v>1708</v>
      </c>
      <c r="M384" t="s">
        <v>1709</v>
      </c>
      <c r="N384" s="1"/>
      <c r="O384" t="s">
        <v>4</v>
      </c>
      <c r="P384" s="3">
        <v>0.24</v>
      </c>
      <c r="Q384" s="3" t="s">
        <v>1636</v>
      </c>
      <c r="R384" t="s">
        <v>23</v>
      </c>
      <c r="S384" t="s">
        <v>1083</v>
      </c>
      <c r="T384" t="s">
        <v>37</v>
      </c>
      <c r="U384" s="1">
        <v>7.0000000000000007E-2</v>
      </c>
    </row>
    <row r="385" spans="1:22" x14ac:dyDescent="0.3">
      <c r="A385" t="s">
        <v>286</v>
      </c>
      <c r="B385" t="str">
        <f ca="1">OFFSET(Industries!C$1,MATCH(Table1[[#This Row],[Ticker]],Industries!$A$2:$A$150,0),0)</f>
        <v>Communication Services</v>
      </c>
      <c r="C385" t="str">
        <f ca="1">OFFSET(Industries!D$1,MATCH(Table1[[#This Row],[Ticker]],Industries!$A$2:$A$150,0),0)</f>
        <v>Media and Entertainment</v>
      </c>
      <c r="D385" t="str">
        <f ca="1">OFFSET(Industries!E$1,MATCH(Table1[[#This Row],[Ticker]],Industries!$A$2:$A$150,0),0)</f>
        <v>Media</v>
      </c>
      <c r="E385" t="s">
        <v>233</v>
      </c>
      <c r="F385" t="str">
        <f ca="1">OFFSET(Industries!B$1,MATCH(Table1[[#This Row],[Ticker]],Industries!$A$2:$A$140,0),0)</f>
        <v>Mega-Cap</v>
      </c>
      <c r="G385" t="str">
        <f ca="1">OFFSET(Industries!F$1,MATCH(Table1[[#This Row],[Ticker]],Industries!$A$2:$A$140,0),0)</f>
        <v>A-</v>
      </c>
      <c r="H385" t="s">
        <v>1434</v>
      </c>
      <c r="I385" t="s">
        <v>1434</v>
      </c>
      <c r="J385" s="2">
        <v>45408</v>
      </c>
      <c r="K385" t="s">
        <v>2</v>
      </c>
      <c r="L385" t="s">
        <v>1710</v>
      </c>
      <c r="M385" t="s">
        <v>1709</v>
      </c>
      <c r="N385" s="1">
        <f>Table1[[#This Row],[Consideration Weight]]</f>
        <v>0.52</v>
      </c>
      <c r="O385" t="s">
        <v>476</v>
      </c>
      <c r="P385" s="3">
        <v>0.52</v>
      </c>
      <c r="Q385" s="3" t="s">
        <v>1636</v>
      </c>
      <c r="R385" t="s">
        <v>1059</v>
      </c>
      <c r="S385" t="s">
        <v>1101</v>
      </c>
      <c r="T385" t="s">
        <v>239</v>
      </c>
      <c r="U385" s="1">
        <v>0.5</v>
      </c>
    </row>
    <row r="386" spans="1:22" x14ac:dyDescent="0.3">
      <c r="A386" t="s">
        <v>286</v>
      </c>
      <c r="B386" t="str">
        <f ca="1">OFFSET(Industries!C$1,MATCH(Table1[[#This Row],[Ticker]],Industries!$A$2:$A$150,0),0)</f>
        <v>Communication Services</v>
      </c>
      <c r="C386" t="str">
        <f ca="1">OFFSET(Industries!D$1,MATCH(Table1[[#This Row],[Ticker]],Industries!$A$2:$A$150,0),0)</f>
        <v>Media and Entertainment</v>
      </c>
      <c r="D386" t="str">
        <f ca="1">OFFSET(Industries!E$1,MATCH(Table1[[#This Row],[Ticker]],Industries!$A$2:$A$150,0),0)</f>
        <v>Media</v>
      </c>
      <c r="E386" t="s">
        <v>233</v>
      </c>
      <c r="F386" t="str">
        <f ca="1">OFFSET(Industries!B$1,MATCH(Table1[[#This Row],[Ticker]],Industries!$A$2:$A$140,0),0)</f>
        <v>Mega-Cap</v>
      </c>
      <c r="G386" t="str">
        <f ca="1">OFFSET(Industries!F$1,MATCH(Table1[[#This Row],[Ticker]],Industries!$A$2:$A$140,0),0)</f>
        <v>A-</v>
      </c>
      <c r="H386" t="s">
        <v>1434</v>
      </c>
      <c r="I386" t="s">
        <v>1434</v>
      </c>
      <c r="J386" s="2">
        <v>45408</v>
      </c>
      <c r="K386" t="s">
        <v>2</v>
      </c>
      <c r="L386" t="s">
        <v>1710</v>
      </c>
      <c r="M386" t="s">
        <v>1709</v>
      </c>
      <c r="N386" s="1"/>
      <c r="O386" t="s">
        <v>476</v>
      </c>
      <c r="P386" s="3">
        <v>0.52</v>
      </c>
      <c r="Q386" s="3" t="s">
        <v>1636</v>
      </c>
      <c r="R386" t="s">
        <v>24</v>
      </c>
      <c r="S386" t="s">
        <v>1089</v>
      </c>
      <c r="T386" t="s">
        <v>240</v>
      </c>
      <c r="U386" s="1">
        <v>0.5</v>
      </c>
      <c r="V386" t="s">
        <v>241</v>
      </c>
    </row>
    <row r="387" spans="1:22" x14ac:dyDescent="0.3">
      <c r="A387" t="s">
        <v>286</v>
      </c>
      <c r="B387" t="str">
        <f ca="1">OFFSET(Industries!C$1,MATCH(Table1[[#This Row],[Ticker]],Industries!$A$2:$A$150,0),0)</f>
        <v>Communication Services</v>
      </c>
      <c r="C387" t="str">
        <f ca="1">OFFSET(Industries!D$1,MATCH(Table1[[#This Row],[Ticker]],Industries!$A$2:$A$150,0),0)</f>
        <v>Media and Entertainment</v>
      </c>
      <c r="D387" t="str">
        <f ca="1">OFFSET(Industries!E$1,MATCH(Table1[[#This Row],[Ticker]],Industries!$A$2:$A$150,0),0)</f>
        <v>Media</v>
      </c>
      <c r="E387" t="s">
        <v>233</v>
      </c>
      <c r="F387" t="str">
        <f ca="1">OFFSET(Industries!B$1,MATCH(Table1[[#This Row],[Ticker]],Industries!$A$2:$A$140,0),0)</f>
        <v>Mega-Cap</v>
      </c>
      <c r="G387" t="str">
        <f ca="1">OFFSET(Industries!F$1,MATCH(Table1[[#This Row],[Ticker]],Industries!$A$2:$A$140,0),0)</f>
        <v>A-</v>
      </c>
      <c r="H387" t="s">
        <v>1434</v>
      </c>
      <c r="I387" t="s">
        <v>1434</v>
      </c>
      <c r="J387" s="2">
        <v>45408</v>
      </c>
      <c r="K387" t="s">
        <v>2</v>
      </c>
      <c r="L387" t="s">
        <v>1710</v>
      </c>
      <c r="M387" t="s">
        <v>1709</v>
      </c>
      <c r="N387" s="1"/>
      <c r="O387" t="s">
        <v>476</v>
      </c>
      <c r="P387" s="3">
        <v>0.52</v>
      </c>
      <c r="Q387" s="3"/>
      <c r="R387" t="s">
        <v>28</v>
      </c>
      <c r="S387" t="s">
        <v>1085</v>
      </c>
      <c r="T387" t="s">
        <v>200</v>
      </c>
      <c r="V387" t="s">
        <v>242</v>
      </c>
    </row>
    <row r="388" spans="1:22" x14ac:dyDescent="0.3">
      <c r="A388" t="s">
        <v>286</v>
      </c>
      <c r="B388" t="str">
        <f ca="1">OFFSET(Industries!C$1,MATCH(Table1[[#This Row],[Ticker]],Industries!$A$2:$A$150,0),0)</f>
        <v>Communication Services</v>
      </c>
      <c r="C388" t="str">
        <f ca="1">OFFSET(Industries!D$1,MATCH(Table1[[#This Row],[Ticker]],Industries!$A$2:$A$150,0),0)</f>
        <v>Media and Entertainment</v>
      </c>
      <c r="D388" t="str">
        <f ca="1">OFFSET(Industries!E$1,MATCH(Table1[[#This Row],[Ticker]],Industries!$A$2:$A$150,0),0)</f>
        <v>Media</v>
      </c>
      <c r="E388" t="s">
        <v>233</v>
      </c>
      <c r="F388" t="str">
        <f ca="1">OFFSET(Industries!B$1,MATCH(Table1[[#This Row],[Ticker]],Industries!$A$2:$A$140,0),0)</f>
        <v>Mega-Cap</v>
      </c>
      <c r="G388" t="str">
        <f ca="1">OFFSET(Industries!F$1,MATCH(Table1[[#This Row],[Ticker]],Industries!$A$2:$A$140,0),0)</f>
        <v>A-</v>
      </c>
      <c r="H388" t="s">
        <v>1434</v>
      </c>
      <c r="I388" t="s">
        <v>1434</v>
      </c>
      <c r="J388" s="2">
        <v>45408</v>
      </c>
      <c r="K388" t="s">
        <v>2</v>
      </c>
      <c r="L388" t="s">
        <v>1710</v>
      </c>
      <c r="M388" t="s">
        <v>1709</v>
      </c>
      <c r="N388" s="1"/>
      <c r="O388" t="s">
        <v>476</v>
      </c>
      <c r="P388" s="3">
        <v>0.52</v>
      </c>
      <c r="Q388" s="3"/>
      <c r="R388" t="s">
        <v>28</v>
      </c>
      <c r="S388" t="s">
        <v>1095</v>
      </c>
      <c r="T388" t="s">
        <v>55</v>
      </c>
      <c r="V388" t="s">
        <v>243</v>
      </c>
    </row>
    <row r="389" spans="1:22" x14ac:dyDescent="0.3">
      <c r="A389" t="s">
        <v>286</v>
      </c>
      <c r="B389" t="str">
        <f ca="1">OFFSET(Industries!C$1,MATCH(Table1[[#This Row],[Ticker]],Industries!$A$2:$A$150,0),0)</f>
        <v>Communication Services</v>
      </c>
      <c r="C389" t="str">
        <f ca="1">OFFSET(Industries!D$1,MATCH(Table1[[#This Row],[Ticker]],Industries!$A$2:$A$150,0),0)</f>
        <v>Media and Entertainment</v>
      </c>
      <c r="D389" t="str">
        <f ca="1">OFFSET(Industries!E$1,MATCH(Table1[[#This Row],[Ticker]],Industries!$A$2:$A$150,0),0)</f>
        <v>Media</v>
      </c>
      <c r="E389" t="s">
        <v>233</v>
      </c>
      <c r="F389" t="str">
        <f ca="1">OFFSET(Industries!B$1,MATCH(Table1[[#This Row],[Ticker]],Industries!$A$2:$A$140,0),0)</f>
        <v>Mega-Cap</v>
      </c>
      <c r="G389" t="str">
        <f ca="1">OFFSET(Industries!F$1,MATCH(Table1[[#This Row],[Ticker]],Industries!$A$2:$A$140,0),0)</f>
        <v>A-</v>
      </c>
      <c r="H389" t="s">
        <v>1434</v>
      </c>
      <c r="I389" t="s">
        <v>1434</v>
      </c>
      <c r="J389" s="2">
        <v>45408</v>
      </c>
      <c r="K389" t="s">
        <v>2</v>
      </c>
      <c r="L389" t="s">
        <v>1710</v>
      </c>
      <c r="M389" t="s">
        <v>1711</v>
      </c>
      <c r="N389" s="1">
        <f>Table1[[#This Row],[Consideration Weight]]</f>
        <v>0.17</v>
      </c>
      <c r="O389" t="s">
        <v>87</v>
      </c>
      <c r="P389" s="3">
        <v>0.17</v>
      </c>
      <c r="Q389" s="3"/>
    </row>
    <row r="390" spans="1:22" x14ac:dyDescent="0.3">
      <c r="A390" t="s">
        <v>286</v>
      </c>
      <c r="B390" t="str">
        <f ca="1">OFFSET(Industries!C$1,MATCH(Table1[[#This Row],[Ticker]],Industries!$A$2:$A$150,0),0)</f>
        <v>Communication Services</v>
      </c>
      <c r="C390" t="str">
        <f ca="1">OFFSET(Industries!D$1,MATCH(Table1[[#This Row],[Ticker]],Industries!$A$2:$A$150,0),0)</f>
        <v>Media and Entertainment</v>
      </c>
      <c r="D390" t="str">
        <f ca="1">OFFSET(Industries!E$1,MATCH(Table1[[#This Row],[Ticker]],Industries!$A$2:$A$150,0),0)</f>
        <v>Media</v>
      </c>
      <c r="E390" t="s">
        <v>233</v>
      </c>
      <c r="F390" t="str">
        <f ca="1">OFFSET(Industries!B$1,MATCH(Table1[[#This Row],[Ticker]],Industries!$A$2:$A$140,0),0)</f>
        <v>Mega-Cap</v>
      </c>
      <c r="G390" t="str">
        <f ca="1">OFFSET(Industries!F$1,MATCH(Table1[[#This Row],[Ticker]],Industries!$A$2:$A$140,0),0)</f>
        <v>A-</v>
      </c>
      <c r="H390" t="s">
        <v>1434</v>
      </c>
      <c r="I390" t="s">
        <v>1434</v>
      </c>
      <c r="J390" s="2">
        <v>45408</v>
      </c>
      <c r="K390" t="s">
        <v>21</v>
      </c>
      <c r="L390" t="s">
        <v>3</v>
      </c>
      <c r="M390" t="s">
        <v>1711</v>
      </c>
      <c r="N390" s="1">
        <f>Table1[[#This Row],[Consideration Weight]]</f>
        <v>0.13</v>
      </c>
      <c r="O390" t="s">
        <v>3</v>
      </c>
      <c r="P390" s="3">
        <v>0.13</v>
      </c>
      <c r="Q390" s="3"/>
    </row>
    <row r="391" spans="1:22" x14ac:dyDescent="0.3">
      <c r="A391" t="s">
        <v>286</v>
      </c>
      <c r="B391" t="str">
        <f ca="1">OFFSET(Industries!C$1,MATCH(Table1[[#This Row],[Ticker]],Industries!$A$2:$A$150,0),0)</f>
        <v>Communication Services</v>
      </c>
      <c r="C391" t="str">
        <f ca="1">OFFSET(Industries!D$1,MATCH(Table1[[#This Row],[Ticker]],Industries!$A$2:$A$150,0),0)</f>
        <v>Media and Entertainment</v>
      </c>
      <c r="D391" t="str">
        <f ca="1">OFFSET(Industries!E$1,MATCH(Table1[[#This Row],[Ticker]],Industries!$A$2:$A$150,0),0)</f>
        <v>Media</v>
      </c>
      <c r="E391" t="s">
        <v>233</v>
      </c>
      <c r="F391" t="str">
        <f ca="1">OFFSET(Industries!B$1,MATCH(Table1[[#This Row],[Ticker]],Industries!$A$2:$A$140,0),0)</f>
        <v>Mega-Cap</v>
      </c>
      <c r="G391" t="str">
        <f ca="1">OFFSET(Industries!F$1,MATCH(Table1[[#This Row],[Ticker]],Industries!$A$2:$A$140,0),0)</f>
        <v>A-</v>
      </c>
      <c r="H391" t="s">
        <v>1434</v>
      </c>
      <c r="I391" t="s">
        <v>1434</v>
      </c>
      <c r="J391" s="2">
        <v>45408</v>
      </c>
      <c r="K391" t="s">
        <v>21</v>
      </c>
      <c r="L391" t="s">
        <v>1708</v>
      </c>
      <c r="M391" t="s">
        <v>1709</v>
      </c>
      <c r="N391" s="1">
        <f>Table1[[#This Row],[Consideration Weight]]</f>
        <v>0.34</v>
      </c>
      <c r="O391" t="s">
        <v>4</v>
      </c>
      <c r="P391" s="3">
        <v>0.34</v>
      </c>
      <c r="Q391" s="3" t="s">
        <v>1636</v>
      </c>
      <c r="R391" t="s">
        <v>24</v>
      </c>
      <c r="S391" t="s">
        <v>1104</v>
      </c>
      <c r="T391" t="s">
        <v>153</v>
      </c>
      <c r="U391" s="1">
        <v>0.35</v>
      </c>
    </row>
    <row r="392" spans="1:22" x14ac:dyDescent="0.3">
      <c r="A392" t="s">
        <v>286</v>
      </c>
      <c r="B392" t="str">
        <f ca="1">OFFSET(Industries!C$1,MATCH(Table1[[#This Row],[Ticker]],Industries!$A$2:$A$150,0),0)</f>
        <v>Communication Services</v>
      </c>
      <c r="C392" t="str">
        <f ca="1">OFFSET(Industries!D$1,MATCH(Table1[[#This Row],[Ticker]],Industries!$A$2:$A$150,0),0)</f>
        <v>Media and Entertainment</v>
      </c>
      <c r="D392" t="str">
        <f ca="1">OFFSET(Industries!E$1,MATCH(Table1[[#This Row],[Ticker]],Industries!$A$2:$A$150,0),0)</f>
        <v>Media</v>
      </c>
      <c r="E392" t="s">
        <v>233</v>
      </c>
      <c r="F392" t="str">
        <f ca="1">OFFSET(Industries!B$1,MATCH(Table1[[#This Row],[Ticker]],Industries!$A$2:$A$140,0),0)</f>
        <v>Mega-Cap</v>
      </c>
      <c r="G392" t="str">
        <f ca="1">OFFSET(Industries!F$1,MATCH(Table1[[#This Row],[Ticker]],Industries!$A$2:$A$140,0),0)</f>
        <v>A-</v>
      </c>
      <c r="H392" t="s">
        <v>1434</v>
      </c>
      <c r="I392" t="s">
        <v>1434</v>
      </c>
      <c r="J392" s="2">
        <v>45408</v>
      </c>
      <c r="K392" t="s">
        <v>21</v>
      </c>
      <c r="L392" t="s">
        <v>1708</v>
      </c>
      <c r="M392" t="s">
        <v>1709</v>
      </c>
      <c r="N392" s="1"/>
      <c r="O392" t="s">
        <v>4</v>
      </c>
      <c r="P392" s="3">
        <v>0.34</v>
      </c>
      <c r="Q392" s="3" t="s">
        <v>1636</v>
      </c>
      <c r="R392" t="s">
        <v>62</v>
      </c>
      <c r="S392" t="s">
        <v>129</v>
      </c>
      <c r="T392" t="s">
        <v>129</v>
      </c>
      <c r="U392" s="1">
        <v>0.28000000000000003</v>
      </c>
    </row>
    <row r="393" spans="1:22" x14ac:dyDescent="0.3">
      <c r="A393" t="s">
        <v>286</v>
      </c>
      <c r="B393" t="str">
        <f ca="1">OFFSET(Industries!C$1,MATCH(Table1[[#This Row],[Ticker]],Industries!$A$2:$A$150,0),0)</f>
        <v>Communication Services</v>
      </c>
      <c r="C393" t="str">
        <f ca="1">OFFSET(Industries!D$1,MATCH(Table1[[#This Row],[Ticker]],Industries!$A$2:$A$150,0),0)</f>
        <v>Media and Entertainment</v>
      </c>
      <c r="D393" t="str">
        <f ca="1">OFFSET(Industries!E$1,MATCH(Table1[[#This Row],[Ticker]],Industries!$A$2:$A$150,0),0)</f>
        <v>Media</v>
      </c>
      <c r="E393" t="s">
        <v>233</v>
      </c>
      <c r="F393" t="str">
        <f ca="1">OFFSET(Industries!B$1,MATCH(Table1[[#This Row],[Ticker]],Industries!$A$2:$A$140,0),0)</f>
        <v>Mega-Cap</v>
      </c>
      <c r="G393" t="str">
        <f ca="1">OFFSET(Industries!F$1,MATCH(Table1[[#This Row],[Ticker]],Industries!$A$2:$A$140,0),0)</f>
        <v>A-</v>
      </c>
      <c r="H393" t="s">
        <v>1434</v>
      </c>
      <c r="I393" t="s">
        <v>1434</v>
      </c>
      <c r="J393" s="2">
        <v>45408</v>
      </c>
      <c r="K393" t="s">
        <v>21</v>
      </c>
      <c r="L393" t="s">
        <v>1708</v>
      </c>
      <c r="M393" t="s">
        <v>1709</v>
      </c>
      <c r="N393" s="1"/>
      <c r="O393" t="s">
        <v>4</v>
      </c>
      <c r="P393" s="3">
        <v>0.34</v>
      </c>
      <c r="Q393" s="3" t="s">
        <v>1637</v>
      </c>
      <c r="R393" t="s">
        <v>25</v>
      </c>
      <c r="S393" t="s">
        <v>1086</v>
      </c>
      <c r="T393" t="s">
        <v>235</v>
      </c>
      <c r="U393" s="1">
        <v>0.15</v>
      </c>
    </row>
    <row r="394" spans="1:22" x14ac:dyDescent="0.3">
      <c r="A394" t="s">
        <v>286</v>
      </c>
      <c r="B394" t="str">
        <f ca="1">OFFSET(Industries!C$1,MATCH(Table1[[#This Row],[Ticker]],Industries!$A$2:$A$150,0),0)</f>
        <v>Communication Services</v>
      </c>
      <c r="C394" t="str">
        <f ca="1">OFFSET(Industries!D$1,MATCH(Table1[[#This Row],[Ticker]],Industries!$A$2:$A$150,0),0)</f>
        <v>Media and Entertainment</v>
      </c>
      <c r="D394" t="str">
        <f ca="1">OFFSET(Industries!E$1,MATCH(Table1[[#This Row],[Ticker]],Industries!$A$2:$A$150,0),0)</f>
        <v>Media</v>
      </c>
      <c r="E394" t="s">
        <v>233</v>
      </c>
      <c r="F394" t="str">
        <f ca="1">OFFSET(Industries!B$1,MATCH(Table1[[#This Row],[Ticker]],Industries!$A$2:$A$140,0),0)</f>
        <v>Mega-Cap</v>
      </c>
      <c r="G394" t="str">
        <f ca="1">OFFSET(Industries!F$1,MATCH(Table1[[#This Row],[Ticker]],Industries!$A$2:$A$140,0),0)</f>
        <v>A-</v>
      </c>
      <c r="H394" t="s">
        <v>1434</v>
      </c>
      <c r="I394" t="s">
        <v>1434</v>
      </c>
      <c r="J394" s="2">
        <v>45408</v>
      </c>
      <c r="K394" t="s">
        <v>21</v>
      </c>
      <c r="L394" t="s">
        <v>1708</v>
      </c>
      <c r="M394" t="s">
        <v>1709</v>
      </c>
      <c r="N394" s="1"/>
      <c r="O394" t="s">
        <v>4</v>
      </c>
      <c r="P394" s="3">
        <v>0.34</v>
      </c>
      <c r="Q394" s="3" t="s">
        <v>1637</v>
      </c>
      <c r="R394" t="s">
        <v>26</v>
      </c>
      <c r="S394" t="s">
        <v>26</v>
      </c>
      <c r="T394" t="s">
        <v>237</v>
      </c>
      <c r="U394" s="1">
        <v>0.15</v>
      </c>
    </row>
    <row r="395" spans="1:22" x14ac:dyDescent="0.3">
      <c r="A395" t="s">
        <v>286</v>
      </c>
      <c r="B395" t="str">
        <f ca="1">OFFSET(Industries!C$1,MATCH(Table1[[#This Row],[Ticker]],Industries!$A$2:$A$150,0),0)</f>
        <v>Communication Services</v>
      </c>
      <c r="C395" t="str">
        <f ca="1">OFFSET(Industries!D$1,MATCH(Table1[[#This Row],[Ticker]],Industries!$A$2:$A$150,0),0)</f>
        <v>Media and Entertainment</v>
      </c>
      <c r="D395" t="str">
        <f ca="1">OFFSET(Industries!E$1,MATCH(Table1[[#This Row],[Ticker]],Industries!$A$2:$A$150,0),0)</f>
        <v>Media</v>
      </c>
      <c r="E395" t="s">
        <v>233</v>
      </c>
      <c r="F395" t="str">
        <f ca="1">OFFSET(Industries!B$1,MATCH(Table1[[#This Row],[Ticker]],Industries!$A$2:$A$140,0),0)</f>
        <v>Mega-Cap</v>
      </c>
      <c r="G395" t="str">
        <f ca="1">OFFSET(Industries!F$1,MATCH(Table1[[#This Row],[Ticker]],Industries!$A$2:$A$140,0),0)</f>
        <v>A-</v>
      </c>
      <c r="H395" t="s">
        <v>1434</v>
      </c>
      <c r="I395" t="s">
        <v>1434</v>
      </c>
      <c r="J395" s="2">
        <v>45408</v>
      </c>
      <c r="K395" t="s">
        <v>21</v>
      </c>
      <c r="L395" t="s">
        <v>1708</v>
      </c>
      <c r="M395" t="s">
        <v>1709</v>
      </c>
      <c r="N395" s="1"/>
      <c r="O395" t="s">
        <v>4</v>
      </c>
      <c r="P395" s="3">
        <v>0.34</v>
      </c>
      <c r="Q395" s="3" t="s">
        <v>1636</v>
      </c>
      <c r="R395" t="s">
        <v>23</v>
      </c>
      <c r="S395" t="s">
        <v>1083</v>
      </c>
      <c r="T395" t="s">
        <v>37</v>
      </c>
      <c r="U395" s="1">
        <v>7.0000000000000007E-2</v>
      </c>
    </row>
    <row r="396" spans="1:22" x14ac:dyDescent="0.3">
      <c r="A396" t="s">
        <v>286</v>
      </c>
      <c r="B396" t="str">
        <f ca="1">OFFSET(Industries!C$1,MATCH(Table1[[#This Row],[Ticker]],Industries!$A$2:$A$150,0),0)</f>
        <v>Communication Services</v>
      </c>
      <c r="C396" t="str">
        <f ca="1">OFFSET(Industries!D$1,MATCH(Table1[[#This Row],[Ticker]],Industries!$A$2:$A$150,0),0)</f>
        <v>Media and Entertainment</v>
      </c>
      <c r="D396" t="str">
        <f ca="1">OFFSET(Industries!E$1,MATCH(Table1[[#This Row],[Ticker]],Industries!$A$2:$A$150,0),0)</f>
        <v>Media</v>
      </c>
      <c r="E396" t="s">
        <v>233</v>
      </c>
      <c r="F396" t="str">
        <f ca="1">OFFSET(Industries!B$1,MATCH(Table1[[#This Row],[Ticker]],Industries!$A$2:$A$140,0),0)</f>
        <v>Mega-Cap</v>
      </c>
      <c r="G396" t="str">
        <f ca="1">OFFSET(Industries!F$1,MATCH(Table1[[#This Row],[Ticker]],Industries!$A$2:$A$140,0),0)</f>
        <v>A-</v>
      </c>
      <c r="H396" t="s">
        <v>1434</v>
      </c>
      <c r="I396" t="s">
        <v>1434</v>
      </c>
      <c r="J396" s="2">
        <v>45408</v>
      </c>
      <c r="K396" t="s">
        <v>21</v>
      </c>
      <c r="L396" t="s">
        <v>1710</v>
      </c>
      <c r="M396" t="s">
        <v>1709</v>
      </c>
      <c r="N396" s="1">
        <f>Table1[[#This Row],[Consideration Weight]]</f>
        <v>0.4</v>
      </c>
      <c r="O396" t="s">
        <v>476</v>
      </c>
      <c r="P396" s="3">
        <v>0.4</v>
      </c>
      <c r="Q396" s="3" t="s">
        <v>1636</v>
      </c>
      <c r="R396" t="s">
        <v>1059</v>
      </c>
      <c r="S396" t="s">
        <v>1101</v>
      </c>
      <c r="T396" t="s">
        <v>239</v>
      </c>
      <c r="U396" s="1">
        <v>0.5</v>
      </c>
    </row>
    <row r="397" spans="1:22" x14ac:dyDescent="0.3">
      <c r="A397" t="s">
        <v>286</v>
      </c>
      <c r="B397" t="str">
        <f ca="1">OFFSET(Industries!C$1,MATCH(Table1[[#This Row],[Ticker]],Industries!$A$2:$A$150,0),0)</f>
        <v>Communication Services</v>
      </c>
      <c r="C397" t="str">
        <f ca="1">OFFSET(Industries!D$1,MATCH(Table1[[#This Row],[Ticker]],Industries!$A$2:$A$150,0),0)</f>
        <v>Media and Entertainment</v>
      </c>
      <c r="D397" t="str">
        <f ca="1">OFFSET(Industries!E$1,MATCH(Table1[[#This Row],[Ticker]],Industries!$A$2:$A$150,0),0)</f>
        <v>Media</v>
      </c>
      <c r="E397" t="s">
        <v>233</v>
      </c>
      <c r="F397" t="str">
        <f ca="1">OFFSET(Industries!B$1,MATCH(Table1[[#This Row],[Ticker]],Industries!$A$2:$A$140,0),0)</f>
        <v>Mega-Cap</v>
      </c>
      <c r="G397" t="str">
        <f ca="1">OFFSET(Industries!F$1,MATCH(Table1[[#This Row],[Ticker]],Industries!$A$2:$A$140,0),0)</f>
        <v>A-</v>
      </c>
      <c r="H397" t="s">
        <v>1434</v>
      </c>
      <c r="I397" t="s">
        <v>1434</v>
      </c>
      <c r="J397" s="2">
        <v>45408</v>
      </c>
      <c r="K397" t="s">
        <v>21</v>
      </c>
      <c r="L397" t="s">
        <v>1710</v>
      </c>
      <c r="M397" t="s">
        <v>1709</v>
      </c>
      <c r="N397" s="1"/>
      <c r="O397" t="s">
        <v>476</v>
      </c>
      <c r="P397" s="3">
        <v>0.4</v>
      </c>
      <c r="Q397" s="3" t="s">
        <v>1636</v>
      </c>
      <c r="R397" t="s">
        <v>24</v>
      </c>
      <c r="S397" t="s">
        <v>1089</v>
      </c>
      <c r="T397" t="s">
        <v>240</v>
      </c>
      <c r="U397" s="1">
        <v>0.5</v>
      </c>
    </row>
    <row r="398" spans="1:22" x14ac:dyDescent="0.3">
      <c r="A398" t="s">
        <v>286</v>
      </c>
      <c r="B398" t="str">
        <f ca="1">OFFSET(Industries!C$1,MATCH(Table1[[#This Row],[Ticker]],Industries!$A$2:$A$150,0),0)</f>
        <v>Communication Services</v>
      </c>
      <c r="C398" t="str">
        <f ca="1">OFFSET(Industries!D$1,MATCH(Table1[[#This Row],[Ticker]],Industries!$A$2:$A$150,0),0)</f>
        <v>Media and Entertainment</v>
      </c>
      <c r="D398" t="str">
        <f ca="1">OFFSET(Industries!E$1,MATCH(Table1[[#This Row],[Ticker]],Industries!$A$2:$A$150,0),0)</f>
        <v>Media</v>
      </c>
      <c r="E398" t="s">
        <v>233</v>
      </c>
      <c r="F398" t="str">
        <f ca="1">OFFSET(Industries!B$1,MATCH(Table1[[#This Row],[Ticker]],Industries!$A$2:$A$140,0),0)</f>
        <v>Mega-Cap</v>
      </c>
      <c r="G398" t="str">
        <f ca="1">OFFSET(Industries!F$1,MATCH(Table1[[#This Row],[Ticker]],Industries!$A$2:$A$140,0),0)</f>
        <v>A-</v>
      </c>
      <c r="H398" t="s">
        <v>1434</v>
      </c>
      <c r="I398" t="s">
        <v>1434</v>
      </c>
      <c r="J398" s="2">
        <v>45408</v>
      </c>
      <c r="K398" t="s">
        <v>21</v>
      </c>
      <c r="L398" t="s">
        <v>1710</v>
      </c>
      <c r="M398" t="s">
        <v>1709</v>
      </c>
      <c r="N398" s="1"/>
      <c r="O398" t="s">
        <v>476</v>
      </c>
      <c r="P398" s="3">
        <v>0.4</v>
      </c>
      <c r="Q398" s="3"/>
      <c r="R398" t="s">
        <v>28</v>
      </c>
      <c r="S398" t="s">
        <v>1085</v>
      </c>
      <c r="T398" t="s">
        <v>200</v>
      </c>
    </row>
    <row r="399" spans="1:22" x14ac:dyDescent="0.3">
      <c r="A399" t="s">
        <v>286</v>
      </c>
      <c r="B399" t="str">
        <f ca="1">OFFSET(Industries!C$1,MATCH(Table1[[#This Row],[Ticker]],Industries!$A$2:$A$150,0),0)</f>
        <v>Communication Services</v>
      </c>
      <c r="C399" t="str">
        <f ca="1">OFFSET(Industries!D$1,MATCH(Table1[[#This Row],[Ticker]],Industries!$A$2:$A$150,0),0)</f>
        <v>Media and Entertainment</v>
      </c>
      <c r="D399" t="str">
        <f ca="1">OFFSET(Industries!E$1,MATCH(Table1[[#This Row],[Ticker]],Industries!$A$2:$A$150,0),0)</f>
        <v>Media</v>
      </c>
      <c r="E399" t="s">
        <v>233</v>
      </c>
      <c r="F399" t="str">
        <f ca="1">OFFSET(Industries!B$1,MATCH(Table1[[#This Row],[Ticker]],Industries!$A$2:$A$140,0),0)</f>
        <v>Mega-Cap</v>
      </c>
      <c r="G399" t="str">
        <f ca="1">OFFSET(Industries!F$1,MATCH(Table1[[#This Row],[Ticker]],Industries!$A$2:$A$140,0),0)</f>
        <v>A-</v>
      </c>
      <c r="H399" t="s">
        <v>1434</v>
      </c>
      <c r="I399" t="s">
        <v>1434</v>
      </c>
      <c r="J399" s="2">
        <v>45408</v>
      </c>
      <c r="K399" t="s">
        <v>21</v>
      </c>
      <c r="L399" t="s">
        <v>1710</v>
      </c>
      <c r="M399" t="s">
        <v>1709</v>
      </c>
      <c r="N399" s="1"/>
      <c r="O399" t="s">
        <v>476</v>
      </c>
      <c r="P399" s="3">
        <v>0.4</v>
      </c>
      <c r="Q399" s="3"/>
      <c r="R399" t="s">
        <v>28</v>
      </c>
      <c r="S399" t="s">
        <v>1095</v>
      </c>
      <c r="T399" t="s">
        <v>55</v>
      </c>
    </row>
    <row r="400" spans="1:22" x14ac:dyDescent="0.3">
      <c r="A400" t="s">
        <v>286</v>
      </c>
      <c r="B400" t="str">
        <f ca="1">OFFSET(Industries!C$1,MATCH(Table1[[#This Row],[Ticker]],Industries!$A$2:$A$150,0),0)</f>
        <v>Communication Services</v>
      </c>
      <c r="C400" t="str">
        <f ca="1">OFFSET(Industries!D$1,MATCH(Table1[[#This Row],[Ticker]],Industries!$A$2:$A$150,0),0)</f>
        <v>Media and Entertainment</v>
      </c>
      <c r="D400" t="str">
        <f ca="1">OFFSET(Industries!E$1,MATCH(Table1[[#This Row],[Ticker]],Industries!$A$2:$A$150,0),0)</f>
        <v>Media</v>
      </c>
      <c r="E400" t="s">
        <v>233</v>
      </c>
      <c r="F400" t="str">
        <f ca="1">OFFSET(Industries!B$1,MATCH(Table1[[#This Row],[Ticker]],Industries!$A$2:$A$140,0),0)</f>
        <v>Mega-Cap</v>
      </c>
      <c r="G400" t="str">
        <f ca="1">OFFSET(Industries!F$1,MATCH(Table1[[#This Row],[Ticker]],Industries!$A$2:$A$140,0),0)</f>
        <v>A-</v>
      </c>
      <c r="H400" t="s">
        <v>1434</v>
      </c>
      <c r="I400" t="s">
        <v>1434</v>
      </c>
      <c r="J400" s="2">
        <v>45408</v>
      </c>
      <c r="K400" t="s">
        <v>21</v>
      </c>
      <c r="L400" t="s">
        <v>1710</v>
      </c>
      <c r="M400" t="s">
        <v>1711</v>
      </c>
      <c r="N400" s="1">
        <f>Table1[[#This Row],[Consideration Weight]]</f>
        <v>0.13</v>
      </c>
      <c r="O400" t="s">
        <v>87</v>
      </c>
      <c r="P400" s="3">
        <v>0.13</v>
      </c>
      <c r="Q400" s="3"/>
    </row>
    <row r="401" spans="1:22" x14ac:dyDescent="0.3">
      <c r="A401" t="s">
        <v>287</v>
      </c>
      <c r="B401" t="str">
        <f ca="1">OFFSET(Industries!C$1,MATCH(Table1[[#This Row],[Ticker]],Industries!$A$2:$A$150,0),0)</f>
        <v>Industrials</v>
      </c>
      <c r="C401" t="str">
        <f ca="1">OFFSET(Industries!D$1,MATCH(Table1[[#This Row],[Ticker]],Industries!$A$2:$A$150,0),0)</f>
        <v>Capital Goods</v>
      </c>
      <c r="D401" t="str">
        <f ca="1">OFFSET(Industries!E$1,MATCH(Table1[[#This Row],[Ticker]],Industries!$A$2:$A$150,0),0)</f>
        <v>Machinery</v>
      </c>
      <c r="E401" t="s">
        <v>158</v>
      </c>
      <c r="F401" t="str">
        <f ca="1">OFFSET(Industries!B$1,MATCH(Table1[[#This Row],[Ticker]],Industries!$A$2:$A$140,0),0)</f>
        <v>Mega-Cap</v>
      </c>
      <c r="G401" t="str">
        <f ca="1">OFFSET(Industries!F$1,MATCH(Table1[[#This Row],[Ticker]],Industries!$A$2:$A$140,0),0)</f>
        <v>A</v>
      </c>
      <c r="H401" t="s">
        <v>1434</v>
      </c>
      <c r="I401" t="s">
        <v>1434</v>
      </c>
      <c r="J401" s="2">
        <v>45411</v>
      </c>
      <c r="K401" t="s">
        <v>2</v>
      </c>
      <c r="L401" t="s">
        <v>3</v>
      </c>
      <c r="M401" t="s">
        <v>1711</v>
      </c>
      <c r="N401" s="1">
        <f>Table1[[#This Row],[Consideration Weight]]</f>
        <v>0.09</v>
      </c>
      <c r="O401" t="s">
        <v>3</v>
      </c>
      <c r="P401" s="3">
        <v>0.09</v>
      </c>
      <c r="Q401" s="3"/>
    </row>
    <row r="402" spans="1:22" x14ac:dyDescent="0.3">
      <c r="A402" t="s">
        <v>287</v>
      </c>
      <c r="B402" t="str">
        <f ca="1">OFFSET(Industries!C$1,MATCH(Table1[[#This Row],[Ticker]],Industries!$A$2:$A$150,0),0)</f>
        <v>Industrials</v>
      </c>
      <c r="C402" t="str">
        <f ca="1">OFFSET(Industries!D$1,MATCH(Table1[[#This Row],[Ticker]],Industries!$A$2:$A$150,0),0)</f>
        <v>Capital Goods</v>
      </c>
      <c r="D402" t="str">
        <f ca="1">OFFSET(Industries!E$1,MATCH(Table1[[#This Row],[Ticker]],Industries!$A$2:$A$150,0),0)</f>
        <v>Machinery</v>
      </c>
      <c r="E402" t="s">
        <v>158</v>
      </c>
      <c r="F402" t="str">
        <f ca="1">OFFSET(Industries!B$1,MATCH(Table1[[#This Row],[Ticker]],Industries!$A$2:$A$140,0),0)</f>
        <v>Mega-Cap</v>
      </c>
      <c r="G402" t="str">
        <f ca="1">OFFSET(Industries!F$1,MATCH(Table1[[#This Row],[Ticker]],Industries!$A$2:$A$140,0),0)</f>
        <v>A</v>
      </c>
      <c r="H402" t="s">
        <v>1434</v>
      </c>
      <c r="I402" t="s">
        <v>1434</v>
      </c>
      <c r="J402" s="2">
        <v>45411</v>
      </c>
      <c r="K402" t="s">
        <v>2</v>
      </c>
      <c r="L402" t="s">
        <v>1708</v>
      </c>
      <c r="M402" t="s">
        <v>1709</v>
      </c>
      <c r="N402" s="1">
        <f>Table1[[#This Row],[Consideration Weight]]</f>
        <v>0.16</v>
      </c>
      <c r="O402" t="s">
        <v>4</v>
      </c>
      <c r="P402" s="3">
        <v>0.16</v>
      </c>
      <c r="Q402" s="3" t="s">
        <v>1636</v>
      </c>
      <c r="R402" t="s">
        <v>24</v>
      </c>
      <c r="S402" t="s">
        <v>90</v>
      </c>
      <c r="T402" t="s">
        <v>8</v>
      </c>
      <c r="U402" s="1">
        <v>0.33</v>
      </c>
      <c r="V402" t="s">
        <v>245</v>
      </c>
    </row>
    <row r="403" spans="1:22" x14ac:dyDescent="0.3">
      <c r="A403" t="s">
        <v>287</v>
      </c>
      <c r="B403" t="str">
        <f ca="1">OFFSET(Industries!C$1,MATCH(Table1[[#This Row],[Ticker]],Industries!$A$2:$A$150,0),0)</f>
        <v>Industrials</v>
      </c>
      <c r="C403" t="str">
        <f ca="1">OFFSET(Industries!D$1,MATCH(Table1[[#This Row],[Ticker]],Industries!$A$2:$A$150,0),0)</f>
        <v>Capital Goods</v>
      </c>
      <c r="D403" t="str">
        <f ca="1">OFFSET(Industries!E$1,MATCH(Table1[[#This Row],[Ticker]],Industries!$A$2:$A$150,0),0)</f>
        <v>Machinery</v>
      </c>
      <c r="E403" t="s">
        <v>158</v>
      </c>
      <c r="F403" t="str">
        <f ca="1">OFFSET(Industries!B$1,MATCH(Table1[[#This Row],[Ticker]],Industries!$A$2:$A$140,0),0)</f>
        <v>Mega-Cap</v>
      </c>
      <c r="G403" t="str">
        <f ca="1">OFFSET(Industries!F$1,MATCH(Table1[[#This Row],[Ticker]],Industries!$A$2:$A$140,0),0)</f>
        <v>A</v>
      </c>
      <c r="H403" t="s">
        <v>1434</v>
      </c>
      <c r="I403" t="s">
        <v>1434</v>
      </c>
      <c r="J403" s="2">
        <v>45411</v>
      </c>
      <c r="K403" t="s">
        <v>2</v>
      </c>
      <c r="L403" t="s">
        <v>1708</v>
      </c>
      <c r="M403" t="s">
        <v>1709</v>
      </c>
      <c r="N403" s="1"/>
      <c r="O403" t="s">
        <v>4</v>
      </c>
      <c r="P403" s="3">
        <v>0.16</v>
      </c>
      <c r="Q403" s="3" t="s">
        <v>1636</v>
      </c>
      <c r="R403" t="s">
        <v>24</v>
      </c>
      <c r="S403" t="s">
        <v>90</v>
      </c>
      <c r="T403" t="s">
        <v>244</v>
      </c>
      <c r="U403" s="1">
        <v>0.33</v>
      </c>
      <c r="V403" t="s">
        <v>246</v>
      </c>
    </row>
    <row r="404" spans="1:22" x14ac:dyDescent="0.3">
      <c r="A404" t="s">
        <v>287</v>
      </c>
      <c r="B404" t="str">
        <f ca="1">OFFSET(Industries!C$1,MATCH(Table1[[#This Row],[Ticker]],Industries!$A$2:$A$150,0),0)</f>
        <v>Industrials</v>
      </c>
      <c r="C404" t="str">
        <f ca="1">OFFSET(Industries!D$1,MATCH(Table1[[#This Row],[Ticker]],Industries!$A$2:$A$150,0),0)</f>
        <v>Capital Goods</v>
      </c>
      <c r="D404" t="str">
        <f ca="1">OFFSET(Industries!E$1,MATCH(Table1[[#This Row],[Ticker]],Industries!$A$2:$A$150,0),0)</f>
        <v>Machinery</v>
      </c>
      <c r="E404" t="s">
        <v>158</v>
      </c>
      <c r="F404" t="str">
        <f ca="1">OFFSET(Industries!B$1,MATCH(Table1[[#This Row],[Ticker]],Industries!$A$2:$A$140,0),0)</f>
        <v>Mega-Cap</v>
      </c>
      <c r="G404" t="str">
        <f ca="1">OFFSET(Industries!F$1,MATCH(Table1[[#This Row],[Ticker]],Industries!$A$2:$A$140,0),0)</f>
        <v>A</v>
      </c>
      <c r="H404" t="s">
        <v>1434</v>
      </c>
      <c r="I404" t="s">
        <v>1434</v>
      </c>
      <c r="J404" s="2">
        <v>45411</v>
      </c>
      <c r="K404" t="s">
        <v>2</v>
      </c>
      <c r="L404" t="s">
        <v>1708</v>
      </c>
      <c r="M404" t="s">
        <v>1709</v>
      </c>
      <c r="N404" s="1"/>
      <c r="O404" t="s">
        <v>4</v>
      </c>
      <c r="P404" s="3">
        <v>0.16</v>
      </c>
      <c r="Q404" s="3" t="s">
        <v>1636</v>
      </c>
      <c r="R404" t="s">
        <v>23</v>
      </c>
      <c r="S404" t="s">
        <v>1083</v>
      </c>
      <c r="T404" t="s">
        <v>252</v>
      </c>
      <c r="U404" s="1">
        <v>0.34</v>
      </c>
      <c r="V404" t="s">
        <v>247</v>
      </c>
    </row>
    <row r="405" spans="1:22" x14ac:dyDescent="0.3">
      <c r="A405" t="s">
        <v>287</v>
      </c>
      <c r="B405" t="str">
        <f ca="1">OFFSET(Industries!C$1,MATCH(Table1[[#This Row],[Ticker]],Industries!$A$2:$A$150,0),0)</f>
        <v>Industrials</v>
      </c>
      <c r="C405" t="str">
        <f ca="1">OFFSET(Industries!D$1,MATCH(Table1[[#This Row],[Ticker]],Industries!$A$2:$A$150,0),0)</f>
        <v>Capital Goods</v>
      </c>
      <c r="D405" t="str">
        <f ca="1">OFFSET(Industries!E$1,MATCH(Table1[[#This Row],[Ticker]],Industries!$A$2:$A$150,0),0)</f>
        <v>Machinery</v>
      </c>
      <c r="E405" t="s">
        <v>158</v>
      </c>
      <c r="F405" t="str">
        <f ca="1">OFFSET(Industries!B$1,MATCH(Table1[[#This Row],[Ticker]],Industries!$A$2:$A$140,0),0)</f>
        <v>Mega-Cap</v>
      </c>
      <c r="G405" t="str">
        <f ca="1">OFFSET(Industries!F$1,MATCH(Table1[[#This Row],[Ticker]],Industries!$A$2:$A$140,0),0)</f>
        <v>A</v>
      </c>
      <c r="H405" t="s">
        <v>1434</v>
      </c>
      <c r="I405" t="s">
        <v>1434</v>
      </c>
      <c r="J405" s="2">
        <v>45411</v>
      </c>
      <c r="K405" t="s">
        <v>2</v>
      </c>
      <c r="L405" t="s">
        <v>1708</v>
      </c>
      <c r="M405" t="s">
        <v>1709</v>
      </c>
      <c r="N405" s="1"/>
      <c r="O405" t="s">
        <v>4</v>
      </c>
      <c r="P405" s="3">
        <v>0.16</v>
      </c>
      <c r="Q405" s="3"/>
      <c r="R405" t="s">
        <v>28</v>
      </c>
      <c r="S405" t="s">
        <v>1087</v>
      </c>
      <c r="T405" t="s">
        <v>40</v>
      </c>
      <c r="V405" t="s">
        <v>249</v>
      </c>
    </row>
    <row r="406" spans="1:22" x14ac:dyDescent="0.3">
      <c r="A406" t="s">
        <v>287</v>
      </c>
      <c r="B406" t="str">
        <f ca="1">OFFSET(Industries!C$1,MATCH(Table1[[#This Row],[Ticker]],Industries!$A$2:$A$150,0),0)</f>
        <v>Industrials</v>
      </c>
      <c r="C406" t="str">
        <f ca="1">OFFSET(Industries!D$1,MATCH(Table1[[#This Row],[Ticker]],Industries!$A$2:$A$150,0),0)</f>
        <v>Capital Goods</v>
      </c>
      <c r="D406" t="str">
        <f ca="1">OFFSET(Industries!E$1,MATCH(Table1[[#This Row],[Ticker]],Industries!$A$2:$A$150,0),0)</f>
        <v>Machinery</v>
      </c>
      <c r="E406" t="s">
        <v>158</v>
      </c>
      <c r="F406" t="str">
        <f ca="1">OFFSET(Industries!B$1,MATCH(Table1[[#This Row],[Ticker]],Industries!$A$2:$A$140,0),0)</f>
        <v>Mega-Cap</v>
      </c>
      <c r="G406" t="str">
        <f ca="1">OFFSET(Industries!F$1,MATCH(Table1[[#This Row],[Ticker]],Industries!$A$2:$A$140,0),0)</f>
        <v>A</v>
      </c>
      <c r="H406" t="s">
        <v>1434</v>
      </c>
      <c r="I406" t="s">
        <v>1434</v>
      </c>
      <c r="J406" s="2">
        <v>45411</v>
      </c>
      <c r="K406" t="s">
        <v>2</v>
      </c>
      <c r="L406" t="s">
        <v>1708</v>
      </c>
      <c r="M406" t="s">
        <v>1709</v>
      </c>
      <c r="N406" s="1"/>
      <c r="O406" t="s">
        <v>4</v>
      </c>
      <c r="P406" s="3">
        <v>0.16</v>
      </c>
      <c r="Q406" s="3"/>
      <c r="R406" t="s">
        <v>28</v>
      </c>
      <c r="S406" t="s">
        <v>1116</v>
      </c>
      <c r="T406" t="s">
        <v>257</v>
      </c>
      <c r="V406" t="s">
        <v>255</v>
      </c>
    </row>
    <row r="407" spans="1:22" x14ac:dyDescent="0.3">
      <c r="A407" t="s">
        <v>287</v>
      </c>
      <c r="B407" t="str">
        <f ca="1">OFFSET(Industries!C$1,MATCH(Table1[[#This Row],[Ticker]],Industries!$A$2:$A$150,0),0)</f>
        <v>Industrials</v>
      </c>
      <c r="C407" t="str">
        <f ca="1">OFFSET(Industries!D$1,MATCH(Table1[[#This Row],[Ticker]],Industries!$A$2:$A$150,0),0)</f>
        <v>Capital Goods</v>
      </c>
      <c r="D407" t="str">
        <f ca="1">OFFSET(Industries!E$1,MATCH(Table1[[#This Row],[Ticker]],Industries!$A$2:$A$150,0),0)</f>
        <v>Machinery</v>
      </c>
      <c r="E407" t="s">
        <v>158</v>
      </c>
      <c r="F407" t="str">
        <f ca="1">OFFSET(Industries!B$1,MATCH(Table1[[#This Row],[Ticker]],Industries!$A$2:$A$140,0),0)</f>
        <v>Mega-Cap</v>
      </c>
      <c r="G407" t="str">
        <f ca="1">OFFSET(Industries!F$1,MATCH(Table1[[#This Row],[Ticker]],Industries!$A$2:$A$140,0),0)</f>
        <v>A</v>
      </c>
      <c r="H407" t="s">
        <v>1434</v>
      </c>
      <c r="I407" t="s">
        <v>1434</v>
      </c>
      <c r="J407" s="2">
        <v>45411</v>
      </c>
      <c r="K407" t="s">
        <v>2</v>
      </c>
      <c r="L407" t="s">
        <v>1710</v>
      </c>
      <c r="M407" t="s">
        <v>1709</v>
      </c>
      <c r="N407" s="1">
        <f>Table1[[#This Row],[Consideration Weight]]</f>
        <v>0.375</v>
      </c>
      <c r="O407" t="s">
        <v>476</v>
      </c>
      <c r="P407" s="3">
        <v>0.375</v>
      </c>
      <c r="Q407" s="3" t="s">
        <v>1636</v>
      </c>
      <c r="R407" t="s">
        <v>1059</v>
      </c>
      <c r="S407" t="s">
        <v>1092</v>
      </c>
      <c r="T407" t="s">
        <v>250</v>
      </c>
      <c r="U407" s="1">
        <v>1</v>
      </c>
      <c r="V407" t="s">
        <v>258</v>
      </c>
    </row>
    <row r="408" spans="1:22" x14ac:dyDescent="0.3">
      <c r="A408" t="s">
        <v>287</v>
      </c>
      <c r="B408" t="str">
        <f ca="1">OFFSET(Industries!C$1,MATCH(Table1[[#This Row],[Ticker]],Industries!$A$2:$A$150,0),0)</f>
        <v>Industrials</v>
      </c>
      <c r="C408" t="str">
        <f ca="1">OFFSET(Industries!D$1,MATCH(Table1[[#This Row],[Ticker]],Industries!$A$2:$A$150,0),0)</f>
        <v>Capital Goods</v>
      </c>
      <c r="D408" t="str">
        <f ca="1">OFFSET(Industries!E$1,MATCH(Table1[[#This Row],[Ticker]],Industries!$A$2:$A$150,0),0)</f>
        <v>Machinery</v>
      </c>
      <c r="E408" t="s">
        <v>158</v>
      </c>
      <c r="F408" t="str">
        <f ca="1">OFFSET(Industries!B$1,MATCH(Table1[[#This Row],[Ticker]],Industries!$A$2:$A$140,0),0)</f>
        <v>Mega-Cap</v>
      </c>
      <c r="G408" t="str">
        <f ca="1">OFFSET(Industries!F$1,MATCH(Table1[[#This Row],[Ticker]],Industries!$A$2:$A$140,0),0)</f>
        <v>A</v>
      </c>
      <c r="H408" t="s">
        <v>1434</v>
      </c>
      <c r="I408" t="s">
        <v>1434</v>
      </c>
      <c r="J408" s="2">
        <v>45411</v>
      </c>
      <c r="K408" t="s">
        <v>2</v>
      </c>
      <c r="L408" t="s">
        <v>1710</v>
      </c>
      <c r="M408" t="s">
        <v>1709</v>
      </c>
      <c r="N408" s="1"/>
      <c r="O408" t="s">
        <v>476</v>
      </c>
      <c r="P408" s="3">
        <v>0.375</v>
      </c>
      <c r="Q408" s="3"/>
      <c r="R408" t="s">
        <v>28</v>
      </c>
      <c r="S408" t="s">
        <v>1085</v>
      </c>
      <c r="T408" t="s">
        <v>29</v>
      </c>
      <c r="V408" t="s">
        <v>254</v>
      </c>
    </row>
    <row r="409" spans="1:22" x14ac:dyDescent="0.3">
      <c r="A409" t="s">
        <v>287</v>
      </c>
      <c r="B409" t="str">
        <f ca="1">OFFSET(Industries!C$1,MATCH(Table1[[#This Row],[Ticker]],Industries!$A$2:$A$150,0),0)</f>
        <v>Industrials</v>
      </c>
      <c r="C409" t="str">
        <f ca="1">OFFSET(Industries!D$1,MATCH(Table1[[#This Row],[Ticker]],Industries!$A$2:$A$150,0),0)</f>
        <v>Capital Goods</v>
      </c>
      <c r="D409" t="str">
        <f ca="1">OFFSET(Industries!E$1,MATCH(Table1[[#This Row],[Ticker]],Industries!$A$2:$A$150,0),0)</f>
        <v>Machinery</v>
      </c>
      <c r="E409" t="s">
        <v>158</v>
      </c>
      <c r="F409" t="str">
        <f ca="1">OFFSET(Industries!B$1,MATCH(Table1[[#This Row],[Ticker]],Industries!$A$2:$A$140,0),0)</f>
        <v>Mega-Cap</v>
      </c>
      <c r="G409" t="str">
        <f ca="1">OFFSET(Industries!F$1,MATCH(Table1[[#This Row],[Ticker]],Industries!$A$2:$A$140,0),0)</f>
        <v>A</v>
      </c>
      <c r="H409" t="s">
        <v>1434</v>
      </c>
      <c r="I409" t="s">
        <v>1434</v>
      </c>
      <c r="J409" s="2">
        <v>45411</v>
      </c>
      <c r="K409" t="s">
        <v>2</v>
      </c>
      <c r="L409" t="s">
        <v>1710</v>
      </c>
      <c r="M409" t="s">
        <v>1709</v>
      </c>
      <c r="N409" s="1"/>
      <c r="O409" t="s">
        <v>476</v>
      </c>
      <c r="P409" s="3">
        <v>0.375</v>
      </c>
      <c r="Q409" s="3"/>
      <c r="R409" t="s">
        <v>28</v>
      </c>
      <c r="S409" t="s">
        <v>1110</v>
      </c>
      <c r="T409" t="s">
        <v>172</v>
      </c>
      <c r="V409" t="s">
        <v>256</v>
      </c>
    </row>
    <row r="410" spans="1:22" x14ac:dyDescent="0.3">
      <c r="A410" t="s">
        <v>287</v>
      </c>
      <c r="B410" t="str">
        <f ca="1">OFFSET(Industries!C$1,MATCH(Table1[[#This Row],[Ticker]],Industries!$A$2:$A$150,0),0)</f>
        <v>Industrials</v>
      </c>
      <c r="C410" t="str">
        <f ca="1">OFFSET(Industries!D$1,MATCH(Table1[[#This Row],[Ticker]],Industries!$A$2:$A$150,0),0)</f>
        <v>Capital Goods</v>
      </c>
      <c r="D410" t="str">
        <f ca="1">OFFSET(Industries!E$1,MATCH(Table1[[#This Row],[Ticker]],Industries!$A$2:$A$150,0),0)</f>
        <v>Machinery</v>
      </c>
      <c r="E410" t="s">
        <v>158</v>
      </c>
      <c r="F410" t="str">
        <f ca="1">OFFSET(Industries!B$1,MATCH(Table1[[#This Row],[Ticker]],Industries!$A$2:$A$140,0),0)</f>
        <v>Mega-Cap</v>
      </c>
      <c r="G410" t="str">
        <f ca="1">OFFSET(Industries!F$1,MATCH(Table1[[#This Row],[Ticker]],Industries!$A$2:$A$140,0),0)</f>
        <v>A</v>
      </c>
      <c r="H410" t="s">
        <v>1434</v>
      </c>
      <c r="I410" t="s">
        <v>1434</v>
      </c>
      <c r="J410" s="2">
        <v>45411</v>
      </c>
      <c r="K410" t="s">
        <v>2</v>
      </c>
      <c r="L410" t="s">
        <v>1710</v>
      </c>
      <c r="M410" t="s">
        <v>1711</v>
      </c>
      <c r="N410" s="1">
        <f>Table1[[#This Row],[Consideration Weight]]</f>
        <v>0.375</v>
      </c>
      <c r="O410" t="s">
        <v>87</v>
      </c>
      <c r="P410" s="3">
        <v>0.375</v>
      </c>
      <c r="Q410" s="3"/>
      <c r="V410" t="s">
        <v>1715</v>
      </c>
    </row>
    <row r="411" spans="1:22" x14ac:dyDescent="0.3">
      <c r="A411" t="s">
        <v>287</v>
      </c>
      <c r="B411" t="str">
        <f ca="1">OFFSET(Industries!C$1,MATCH(Table1[[#This Row],[Ticker]],Industries!$A$2:$A$150,0),0)</f>
        <v>Industrials</v>
      </c>
      <c r="C411" t="str">
        <f ca="1">OFFSET(Industries!D$1,MATCH(Table1[[#This Row],[Ticker]],Industries!$A$2:$A$150,0),0)</f>
        <v>Capital Goods</v>
      </c>
      <c r="D411" t="str">
        <f ca="1">OFFSET(Industries!E$1,MATCH(Table1[[#This Row],[Ticker]],Industries!$A$2:$A$150,0),0)</f>
        <v>Machinery</v>
      </c>
      <c r="E411" t="s">
        <v>158</v>
      </c>
      <c r="F411" t="str">
        <f ca="1">OFFSET(Industries!B$1,MATCH(Table1[[#This Row],[Ticker]],Industries!$A$2:$A$140,0),0)</f>
        <v>Mega-Cap</v>
      </c>
      <c r="G411" t="str">
        <f ca="1">OFFSET(Industries!F$1,MATCH(Table1[[#This Row],[Ticker]],Industries!$A$2:$A$140,0),0)</f>
        <v>A</v>
      </c>
      <c r="H411" t="s">
        <v>1434</v>
      </c>
      <c r="I411" t="s">
        <v>1434</v>
      </c>
      <c r="J411" s="2">
        <v>45411</v>
      </c>
      <c r="K411" t="s">
        <v>21</v>
      </c>
      <c r="L411" t="s">
        <v>3</v>
      </c>
      <c r="M411" t="s">
        <v>1711</v>
      </c>
      <c r="N411" s="1">
        <f>Table1[[#This Row],[Consideration Weight]]</f>
        <v>0.16</v>
      </c>
      <c r="O411" t="s">
        <v>3</v>
      </c>
      <c r="P411" s="3">
        <v>0.16</v>
      </c>
      <c r="Q411" s="3"/>
    </row>
    <row r="412" spans="1:22" x14ac:dyDescent="0.3">
      <c r="A412" t="s">
        <v>287</v>
      </c>
      <c r="B412" t="str">
        <f ca="1">OFFSET(Industries!C$1,MATCH(Table1[[#This Row],[Ticker]],Industries!$A$2:$A$150,0),0)</f>
        <v>Industrials</v>
      </c>
      <c r="C412" t="str">
        <f ca="1">OFFSET(Industries!D$1,MATCH(Table1[[#This Row],[Ticker]],Industries!$A$2:$A$150,0),0)</f>
        <v>Capital Goods</v>
      </c>
      <c r="D412" t="str">
        <f ca="1">OFFSET(Industries!E$1,MATCH(Table1[[#This Row],[Ticker]],Industries!$A$2:$A$150,0),0)</f>
        <v>Machinery</v>
      </c>
      <c r="E412" t="s">
        <v>158</v>
      </c>
      <c r="F412" t="str">
        <f ca="1">OFFSET(Industries!B$1,MATCH(Table1[[#This Row],[Ticker]],Industries!$A$2:$A$140,0),0)</f>
        <v>Mega-Cap</v>
      </c>
      <c r="G412" t="str">
        <f ca="1">OFFSET(Industries!F$1,MATCH(Table1[[#This Row],[Ticker]],Industries!$A$2:$A$140,0),0)</f>
        <v>A</v>
      </c>
      <c r="H412" t="s">
        <v>1434</v>
      </c>
      <c r="I412" t="s">
        <v>1434</v>
      </c>
      <c r="J412" s="2">
        <v>45411</v>
      </c>
      <c r="K412" t="s">
        <v>21</v>
      </c>
      <c r="L412" t="s">
        <v>1708</v>
      </c>
      <c r="M412" t="s">
        <v>1709</v>
      </c>
      <c r="N412" s="1">
        <f>Table1[[#This Row],[Consideration Weight]]</f>
        <v>0.17</v>
      </c>
      <c r="O412" t="s">
        <v>4</v>
      </c>
      <c r="P412" s="3">
        <v>0.17</v>
      </c>
      <c r="Q412" s="3" t="s">
        <v>1636</v>
      </c>
      <c r="R412" t="s">
        <v>24</v>
      </c>
      <c r="S412" t="s">
        <v>90</v>
      </c>
      <c r="T412" t="s">
        <v>8</v>
      </c>
      <c r="U412" s="1">
        <v>0.3</v>
      </c>
    </row>
    <row r="413" spans="1:22" x14ac:dyDescent="0.3">
      <c r="A413" t="s">
        <v>287</v>
      </c>
      <c r="B413" t="str">
        <f ca="1">OFFSET(Industries!C$1,MATCH(Table1[[#This Row],[Ticker]],Industries!$A$2:$A$150,0),0)</f>
        <v>Industrials</v>
      </c>
      <c r="C413" t="str">
        <f ca="1">OFFSET(Industries!D$1,MATCH(Table1[[#This Row],[Ticker]],Industries!$A$2:$A$150,0),0)</f>
        <v>Capital Goods</v>
      </c>
      <c r="D413" t="str">
        <f ca="1">OFFSET(Industries!E$1,MATCH(Table1[[#This Row],[Ticker]],Industries!$A$2:$A$150,0),0)</f>
        <v>Machinery</v>
      </c>
      <c r="E413" t="s">
        <v>158</v>
      </c>
      <c r="F413" t="str">
        <f ca="1">OFFSET(Industries!B$1,MATCH(Table1[[#This Row],[Ticker]],Industries!$A$2:$A$140,0),0)</f>
        <v>Mega-Cap</v>
      </c>
      <c r="G413" t="str">
        <f ca="1">OFFSET(Industries!F$1,MATCH(Table1[[#This Row],[Ticker]],Industries!$A$2:$A$140,0),0)</f>
        <v>A</v>
      </c>
      <c r="H413" t="s">
        <v>1434</v>
      </c>
      <c r="I413" t="s">
        <v>1434</v>
      </c>
      <c r="J413" s="2">
        <v>45411</v>
      </c>
      <c r="K413" t="s">
        <v>21</v>
      </c>
      <c r="L413" t="s">
        <v>1708</v>
      </c>
      <c r="M413" t="s">
        <v>1709</v>
      </c>
      <c r="N413" s="1"/>
      <c r="O413" t="s">
        <v>4</v>
      </c>
      <c r="P413" s="3">
        <v>0.17</v>
      </c>
      <c r="Q413" s="3" t="s">
        <v>1636</v>
      </c>
      <c r="R413" t="s">
        <v>24</v>
      </c>
      <c r="S413" t="s">
        <v>90</v>
      </c>
      <c r="T413" t="s">
        <v>244</v>
      </c>
      <c r="U413" s="1">
        <v>0.36</v>
      </c>
      <c r="V413" t="s">
        <v>251</v>
      </c>
    </row>
    <row r="414" spans="1:22" x14ac:dyDescent="0.3">
      <c r="A414" t="s">
        <v>287</v>
      </c>
      <c r="B414" t="str">
        <f ca="1">OFFSET(Industries!C$1,MATCH(Table1[[#This Row],[Ticker]],Industries!$A$2:$A$150,0),0)</f>
        <v>Industrials</v>
      </c>
      <c r="C414" t="str">
        <f ca="1">OFFSET(Industries!D$1,MATCH(Table1[[#This Row],[Ticker]],Industries!$A$2:$A$150,0),0)</f>
        <v>Capital Goods</v>
      </c>
      <c r="D414" t="str">
        <f ca="1">OFFSET(Industries!E$1,MATCH(Table1[[#This Row],[Ticker]],Industries!$A$2:$A$150,0),0)</f>
        <v>Machinery</v>
      </c>
      <c r="E414" t="s">
        <v>158</v>
      </c>
      <c r="F414" t="str">
        <f ca="1">OFFSET(Industries!B$1,MATCH(Table1[[#This Row],[Ticker]],Industries!$A$2:$A$140,0),0)</f>
        <v>Mega-Cap</v>
      </c>
      <c r="G414" t="str">
        <f ca="1">OFFSET(Industries!F$1,MATCH(Table1[[#This Row],[Ticker]],Industries!$A$2:$A$140,0),0)</f>
        <v>A</v>
      </c>
      <c r="H414" t="s">
        <v>1434</v>
      </c>
      <c r="I414" t="s">
        <v>1434</v>
      </c>
      <c r="J414" s="2">
        <v>45411</v>
      </c>
      <c r="K414" t="s">
        <v>21</v>
      </c>
      <c r="L414" t="s">
        <v>1708</v>
      </c>
      <c r="M414" t="s">
        <v>1709</v>
      </c>
      <c r="N414" s="1"/>
      <c r="O414" t="s">
        <v>4</v>
      </c>
      <c r="P414" s="3">
        <v>0.17</v>
      </c>
      <c r="Q414" s="3" t="s">
        <v>1636</v>
      </c>
      <c r="R414" t="s">
        <v>24</v>
      </c>
      <c r="S414" t="s">
        <v>1083</v>
      </c>
      <c r="T414" t="s">
        <v>252</v>
      </c>
      <c r="U414" s="1">
        <v>0.34</v>
      </c>
      <c r="V414" t="s">
        <v>253</v>
      </c>
    </row>
    <row r="415" spans="1:22" x14ac:dyDescent="0.3">
      <c r="A415" t="s">
        <v>287</v>
      </c>
      <c r="B415" t="str">
        <f ca="1">OFFSET(Industries!C$1,MATCH(Table1[[#This Row],[Ticker]],Industries!$A$2:$A$150,0),0)</f>
        <v>Industrials</v>
      </c>
      <c r="C415" t="str">
        <f ca="1">OFFSET(Industries!D$1,MATCH(Table1[[#This Row],[Ticker]],Industries!$A$2:$A$150,0),0)</f>
        <v>Capital Goods</v>
      </c>
      <c r="D415" t="str">
        <f ca="1">OFFSET(Industries!E$1,MATCH(Table1[[#This Row],[Ticker]],Industries!$A$2:$A$150,0),0)</f>
        <v>Machinery</v>
      </c>
      <c r="E415" t="s">
        <v>158</v>
      </c>
      <c r="F415" t="str">
        <f ca="1">OFFSET(Industries!B$1,MATCH(Table1[[#This Row],[Ticker]],Industries!$A$2:$A$140,0),0)</f>
        <v>Mega-Cap</v>
      </c>
      <c r="G415" t="str">
        <f ca="1">OFFSET(Industries!F$1,MATCH(Table1[[#This Row],[Ticker]],Industries!$A$2:$A$140,0),0)</f>
        <v>A</v>
      </c>
      <c r="H415" t="s">
        <v>1434</v>
      </c>
      <c r="I415" t="s">
        <v>1434</v>
      </c>
      <c r="J415" s="2">
        <v>45411</v>
      </c>
      <c r="K415" t="s">
        <v>21</v>
      </c>
      <c r="L415" t="s">
        <v>1708</v>
      </c>
      <c r="M415" t="s">
        <v>1709</v>
      </c>
      <c r="N415" s="1"/>
      <c r="O415" t="s">
        <v>4</v>
      </c>
      <c r="P415" s="3">
        <v>0.16</v>
      </c>
      <c r="Q415" s="3"/>
      <c r="R415" t="s">
        <v>28</v>
      </c>
      <c r="S415" t="s">
        <v>1087</v>
      </c>
      <c r="T415" t="s">
        <v>248</v>
      </c>
      <c r="V415" t="s">
        <v>249</v>
      </c>
    </row>
    <row r="416" spans="1:22" x14ac:dyDescent="0.3">
      <c r="A416" t="s">
        <v>287</v>
      </c>
      <c r="B416" t="str">
        <f ca="1">OFFSET(Industries!C$1,MATCH(Table1[[#This Row],[Ticker]],Industries!$A$2:$A$150,0),0)</f>
        <v>Industrials</v>
      </c>
      <c r="C416" t="str">
        <f ca="1">OFFSET(Industries!D$1,MATCH(Table1[[#This Row],[Ticker]],Industries!$A$2:$A$150,0),0)</f>
        <v>Capital Goods</v>
      </c>
      <c r="D416" t="str">
        <f ca="1">OFFSET(Industries!E$1,MATCH(Table1[[#This Row],[Ticker]],Industries!$A$2:$A$150,0),0)</f>
        <v>Machinery</v>
      </c>
      <c r="E416" t="s">
        <v>158</v>
      </c>
      <c r="F416" t="str">
        <f ca="1">OFFSET(Industries!B$1,MATCH(Table1[[#This Row],[Ticker]],Industries!$A$2:$A$140,0),0)</f>
        <v>Mega-Cap</v>
      </c>
      <c r="G416" t="str">
        <f ca="1">OFFSET(Industries!F$1,MATCH(Table1[[#This Row],[Ticker]],Industries!$A$2:$A$140,0),0)</f>
        <v>A</v>
      </c>
      <c r="H416" t="s">
        <v>1434</v>
      </c>
      <c r="I416" t="s">
        <v>1434</v>
      </c>
      <c r="J416" s="2">
        <v>45411</v>
      </c>
      <c r="K416" t="s">
        <v>2</v>
      </c>
      <c r="L416" t="s">
        <v>1708</v>
      </c>
      <c r="M416" t="s">
        <v>1709</v>
      </c>
      <c r="N416" s="1"/>
      <c r="O416" t="s">
        <v>4</v>
      </c>
      <c r="P416" s="3">
        <v>0.16</v>
      </c>
      <c r="Q416" s="3"/>
      <c r="R416" t="s">
        <v>28</v>
      </c>
      <c r="S416" t="s">
        <v>1116</v>
      </c>
      <c r="T416" t="s">
        <v>257</v>
      </c>
      <c r="V416" t="s">
        <v>255</v>
      </c>
    </row>
    <row r="417" spans="1:22" x14ac:dyDescent="0.3">
      <c r="A417" t="s">
        <v>287</v>
      </c>
      <c r="B417" t="str">
        <f ca="1">OFFSET(Industries!C$1,MATCH(Table1[[#This Row],[Ticker]],Industries!$A$2:$A$150,0),0)</f>
        <v>Industrials</v>
      </c>
      <c r="C417" t="str">
        <f ca="1">OFFSET(Industries!D$1,MATCH(Table1[[#This Row],[Ticker]],Industries!$A$2:$A$150,0),0)</f>
        <v>Capital Goods</v>
      </c>
      <c r="D417" t="str">
        <f ca="1">OFFSET(Industries!E$1,MATCH(Table1[[#This Row],[Ticker]],Industries!$A$2:$A$150,0),0)</f>
        <v>Machinery</v>
      </c>
      <c r="E417" t="s">
        <v>158</v>
      </c>
      <c r="F417" t="str">
        <f ca="1">OFFSET(Industries!B$1,MATCH(Table1[[#This Row],[Ticker]],Industries!$A$2:$A$140,0),0)</f>
        <v>Mega-Cap</v>
      </c>
      <c r="G417" t="str">
        <f ca="1">OFFSET(Industries!F$1,MATCH(Table1[[#This Row],[Ticker]],Industries!$A$2:$A$140,0),0)</f>
        <v>A</v>
      </c>
      <c r="H417" t="s">
        <v>1434</v>
      </c>
      <c r="I417" t="s">
        <v>1434</v>
      </c>
      <c r="J417" s="2">
        <v>45411</v>
      </c>
      <c r="K417" t="s">
        <v>21</v>
      </c>
      <c r="L417" t="s">
        <v>1710</v>
      </c>
      <c r="M417" t="s">
        <v>1709</v>
      </c>
      <c r="N417" s="1">
        <f>Table1[[#This Row],[Consideration Weight]]</f>
        <v>0.33500000000000002</v>
      </c>
      <c r="O417" t="s">
        <v>476</v>
      </c>
      <c r="P417" s="3">
        <v>0.33500000000000002</v>
      </c>
      <c r="Q417" s="3" t="s">
        <v>1636</v>
      </c>
      <c r="R417" t="s">
        <v>1059</v>
      </c>
      <c r="S417" t="s">
        <v>1092</v>
      </c>
      <c r="T417" t="s">
        <v>250</v>
      </c>
      <c r="U417" s="1">
        <v>1</v>
      </c>
    </row>
    <row r="418" spans="1:22" x14ac:dyDescent="0.3">
      <c r="A418" t="s">
        <v>287</v>
      </c>
      <c r="B418" t="str">
        <f ca="1">OFFSET(Industries!C$1,MATCH(Table1[[#This Row],[Ticker]],Industries!$A$2:$A$150,0),0)</f>
        <v>Industrials</v>
      </c>
      <c r="C418" t="str">
        <f ca="1">OFFSET(Industries!D$1,MATCH(Table1[[#This Row],[Ticker]],Industries!$A$2:$A$150,0),0)</f>
        <v>Capital Goods</v>
      </c>
      <c r="D418" t="str">
        <f ca="1">OFFSET(Industries!E$1,MATCH(Table1[[#This Row],[Ticker]],Industries!$A$2:$A$150,0),0)</f>
        <v>Machinery</v>
      </c>
      <c r="E418" t="s">
        <v>158</v>
      </c>
      <c r="F418" t="str">
        <f ca="1">OFFSET(Industries!B$1,MATCH(Table1[[#This Row],[Ticker]],Industries!$A$2:$A$140,0),0)</f>
        <v>Mega-Cap</v>
      </c>
      <c r="G418" t="str">
        <f ca="1">OFFSET(Industries!F$1,MATCH(Table1[[#This Row],[Ticker]],Industries!$A$2:$A$140,0),0)</f>
        <v>A</v>
      </c>
      <c r="H418" t="s">
        <v>1434</v>
      </c>
      <c r="I418" t="s">
        <v>1434</v>
      </c>
      <c r="J418" s="2">
        <v>45411</v>
      </c>
      <c r="K418" t="s">
        <v>21</v>
      </c>
      <c r="L418" t="s">
        <v>1710</v>
      </c>
      <c r="M418" t="s">
        <v>1709</v>
      </c>
      <c r="N418" s="1"/>
      <c r="O418" t="s">
        <v>476</v>
      </c>
      <c r="P418" s="3">
        <v>0.33500000000000002</v>
      </c>
      <c r="Q418" s="3"/>
      <c r="R418" t="s">
        <v>28</v>
      </c>
      <c r="S418" t="s">
        <v>1085</v>
      </c>
      <c r="T418" t="s">
        <v>29</v>
      </c>
    </row>
    <row r="419" spans="1:22" x14ac:dyDescent="0.3">
      <c r="A419" t="s">
        <v>287</v>
      </c>
      <c r="B419" t="str">
        <f ca="1">OFFSET(Industries!C$1,MATCH(Table1[[#This Row],[Ticker]],Industries!$A$2:$A$150,0),0)</f>
        <v>Industrials</v>
      </c>
      <c r="C419" t="str">
        <f ca="1">OFFSET(Industries!D$1,MATCH(Table1[[#This Row],[Ticker]],Industries!$A$2:$A$150,0),0)</f>
        <v>Capital Goods</v>
      </c>
      <c r="D419" t="str">
        <f ca="1">OFFSET(Industries!E$1,MATCH(Table1[[#This Row],[Ticker]],Industries!$A$2:$A$150,0),0)</f>
        <v>Machinery</v>
      </c>
      <c r="E419" t="s">
        <v>158</v>
      </c>
      <c r="F419" t="str">
        <f ca="1">OFFSET(Industries!B$1,MATCH(Table1[[#This Row],[Ticker]],Industries!$A$2:$A$140,0),0)</f>
        <v>Mega-Cap</v>
      </c>
      <c r="G419" t="str">
        <f ca="1">OFFSET(Industries!F$1,MATCH(Table1[[#This Row],[Ticker]],Industries!$A$2:$A$140,0),0)</f>
        <v>A</v>
      </c>
      <c r="H419" t="s">
        <v>1434</v>
      </c>
      <c r="I419" t="s">
        <v>1434</v>
      </c>
      <c r="J419" s="2">
        <v>45411</v>
      </c>
      <c r="K419" t="s">
        <v>21</v>
      </c>
      <c r="L419" t="s">
        <v>1710</v>
      </c>
      <c r="M419" t="s">
        <v>1709</v>
      </c>
      <c r="N419" s="1"/>
      <c r="O419" t="s">
        <v>476</v>
      </c>
      <c r="P419" s="3">
        <v>0.33500000000000002</v>
      </c>
      <c r="Q419" s="3"/>
      <c r="R419" t="s">
        <v>28</v>
      </c>
      <c r="S419" t="s">
        <v>1110</v>
      </c>
      <c r="T419" t="s">
        <v>172</v>
      </c>
    </row>
    <row r="420" spans="1:22" x14ac:dyDescent="0.3">
      <c r="A420" t="s">
        <v>287</v>
      </c>
      <c r="B420" t="str">
        <f ca="1">OFFSET(Industries!C$1,MATCH(Table1[[#This Row],[Ticker]],Industries!$A$2:$A$150,0),0)</f>
        <v>Industrials</v>
      </c>
      <c r="C420" t="str">
        <f ca="1">OFFSET(Industries!D$1,MATCH(Table1[[#This Row],[Ticker]],Industries!$A$2:$A$150,0),0)</f>
        <v>Capital Goods</v>
      </c>
      <c r="D420" t="str">
        <f ca="1">OFFSET(Industries!E$1,MATCH(Table1[[#This Row],[Ticker]],Industries!$A$2:$A$150,0),0)</f>
        <v>Machinery</v>
      </c>
      <c r="E420" t="s">
        <v>158</v>
      </c>
      <c r="F420" t="str">
        <f ca="1">OFFSET(Industries!B$1,MATCH(Table1[[#This Row],[Ticker]],Industries!$A$2:$A$140,0),0)</f>
        <v>Mega-Cap</v>
      </c>
      <c r="G420" t="str">
        <f ca="1">OFFSET(Industries!F$1,MATCH(Table1[[#This Row],[Ticker]],Industries!$A$2:$A$140,0),0)</f>
        <v>A</v>
      </c>
      <c r="H420" t="s">
        <v>1434</v>
      </c>
      <c r="I420" t="s">
        <v>1434</v>
      </c>
      <c r="J420" s="2">
        <v>45411</v>
      </c>
      <c r="K420" t="s">
        <v>21</v>
      </c>
      <c r="L420" t="s">
        <v>1710</v>
      </c>
      <c r="M420" t="s">
        <v>1711</v>
      </c>
      <c r="N420" s="1">
        <f>Table1[[#This Row],[Consideration Weight]]</f>
        <v>0.33500000000000002</v>
      </c>
      <c r="O420" t="s">
        <v>87</v>
      </c>
      <c r="P420" s="3">
        <v>0.33500000000000002</v>
      </c>
      <c r="Q420" s="3"/>
      <c r="V420" t="s">
        <v>181</v>
      </c>
    </row>
    <row r="421" spans="1:22" x14ac:dyDescent="0.3">
      <c r="A421" t="s">
        <v>288</v>
      </c>
      <c r="B421" t="str">
        <f ca="1">OFFSET(Industries!C$1,MATCH(Table1[[#This Row],[Ticker]],Industries!$A$2:$A$150,0),0)</f>
        <v>Consumer Discretionary</v>
      </c>
      <c r="C421" t="str">
        <f ca="1">OFFSET(Industries!D$1,MATCH(Table1[[#This Row],[Ticker]],Industries!$A$2:$A$150,0),0)</f>
        <v>Automobiles and Components</v>
      </c>
      <c r="D421" t="str">
        <f ca="1">OFFSET(Industries!E$1,MATCH(Table1[[#This Row],[Ticker]],Industries!$A$2:$A$150,0),0)</f>
        <v>Automobiles</v>
      </c>
      <c r="E421" t="s">
        <v>259</v>
      </c>
      <c r="F421" t="str">
        <f ca="1">OFFSET(Industries!B$1,MATCH(Table1[[#This Row],[Ticker]],Industries!$A$2:$A$140,0),0)</f>
        <v>Mega-Cap</v>
      </c>
      <c r="G421" t="str">
        <f ca="1">OFFSET(Industries!F$1,MATCH(Table1[[#This Row],[Ticker]],Industries!$A$2:$A$140,0),0)</f>
        <v>BBB</v>
      </c>
      <c r="H421" t="s">
        <v>1434</v>
      </c>
      <c r="I421" t="s">
        <v>1434</v>
      </c>
      <c r="J421" s="2">
        <v>45411</v>
      </c>
      <c r="K421" t="s">
        <v>2</v>
      </c>
      <c r="L421" t="s">
        <v>1716</v>
      </c>
      <c r="M421" t="s">
        <v>1709</v>
      </c>
      <c r="N421" s="1">
        <f>Table1[[#This Row],[Consideration Weight]]</f>
        <v>1</v>
      </c>
      <c r="O421" t="s">
        <v>462</v>
      </c>
      <c r="P421" s="1">
        <v>1</v>
      </c>
      <c r="Q421" s="1" t="s">
        <v>1636</v>
      </c>
      <c r="R421" t="s">
        <v>24</v>
      </c>
      <c r="S421" t="s">
        <v>1104</v>
      </c>
      <c r="T421" t="s">
        <v>153</v>
      </c>
      <c r="V421" t="s">
        <v>261</v>
      </c>
    </row>
    <row r="422" spans="1:22" x14ac:dyDescent="0.3">
      <c r="A422" t="s">
        <v>288</v>
      </c>
      <c r="B422" t="str">
        <f ca="1">OFFSET(Industries!C$1,MATCH(Table1[[#This Row],[Ticker]],Industries!$A$2:$A$150,0),0)</f>
        <v>Consumer Discretionary</v>
      </c>
      <c r="C422" t="str">
        <f ca="1">OFFSET(Industries!D$1,MATCH(Table1[[#This Row],[Ticker]],Industries!$A$2:$A$150,0),0)</f>
        <v>Automobiles and Components</v>
      </c>
      <c r="D422" t="str">
        <f ca="1">OFFSET(Industries!E$1,MATCH(Table1[[#This Row],[Ticker]],Industries!$A$2:$A$150,0),0)</f>
        <v>Automobiles</v>
      </c>
      <c r="E422" t="s">
        <v>259</v>
      </c>
      <c r="F422" t="str">
        <f ca="1">OFFSET(Industries!B$1,MATCH(Table1[[#This Row],[Ticker]],Industries!$A$2:$A$140,0),0)</f>
        <v>Mega-Cap</v>
      </c>
      <c r="G422" t="str">
        <f ca="1">OFFSET(Industries!F$1,MATCH(Table1[[#This Row],[Ticker]],Industries!$A$2:$A$140,0),0)</f>
        <v>BBB</v>
      </c>
      <c r="H422" t="s">
        <v>1434</v>
      </c>
      <c r="I422" t="s">
        <v>1434</v>
      </c>
      <c r="J422" s="2">
        <v>45411</v>
      </c>
      <c r="K422" t="s">
        <v>2</v>
      </c>
      <c r="L422" t="s">
        <v>1716</v>
      </c>
      <c r="M422" t="s">
        <v>1709</v>
      </c>
      <c r="N422" s="1"/>
      <c r="O422" t="s">
        <v>462</v>
      </c>
      <c r="P422" s="1">
        <v>1</v>
      </c>
      <c r="Q422" s="1" t="s">
        <v>1646</v>
      </c>
      <c r="R422" t="s">
        <v>35</v>
      </c>
      <c r="S422" t="s">
        <v>1117</v>
      </c>
      <c r="T422" t="s">
        <v>260</v>
      </c>
    </row>
    <row r="423" spans="1:22" x14ac:dyDescent="0.3">
      <c r="A423" t="s">
        <v>288</v>
      </c>
      <c r="B423" t="str">
        <f ca="1">OFFSET(Industries!C$1,MATCH(Table1[[#This Row],[Ticker]],Industries!$A$2:$A$150,0),0)</f>
        <v>Consumer Discretionary</v>
      </c>
      <c r="C423" t="str">
        <f ca="1">OFFSET(Industries!D$1,MATCH(Table1[[#This Row],[Ticker]],Industries!$A$2:$A$150,0),0)</f>
        <v>Automobiles and Components</v>
      </c>
      <c r="D423" t="str">
        <f ca="1">OFFSET(Industries!E$1,MATCH(Table1[[#This Row],[Ticker]],Industries!$A$2:$A$150,0),0)</f>
        <v>Automobiles</v>
      </c>
      <c r="E423" t="s">
        <v>259</v>
      </c>
      <c r="F423" t="str">
        <f ca="1">OFFSET(Industries!B$1,MATCH(Table1[[#This Row],[Ticker]],Industries!$A$2:$A$140,0),0)</f>
        <v>Mega-Cap</v>
      </c>
      <c r="G423" t="str">
        <f ca="1">OFFSET(Industries!F$1,MATCH(Table1[[#This Row],[Ticker]],Industries!$A$2:$A$140,0),0)</f>
        <v>BBB</v>
      </c>
      <c r="H423" t="s">
        <v>1434</v>
      </c>
      <c r="I423" t="s">
        <v>1434</v>
      </c>
      <c r="J423" s="2">
        <v>45411</v>
      </c>
      <c r="K423" t="s">
        <v>2</v>
      </c>
      <c r="L423" t="s">
        <v>1716</v>
      </c>
      <c r="M423" t="s">
        <v>1709</v>
      </c>
      <c r="N423" s="1"/>
      <c r="O423" t="s">
        <v>462</v>
      </c>
      <c r="P423" s="1">
        <v>1</v>
      </c>
      <c r="Q423" s="1" t="s">
        <v>1636</v>
      </c>
      <c r="R423" t="s">
        <v>23</v>
      </c>
      <c r="S423" t="s">
        <v>1083</v>
      </c>
      <c r="T423" t="s">
        <v>37</v>
      </c>
    </row>
    <row r="424" spans="1:22" x14ac:dyDescent="0.3">
      <c r="A424" t="s">
        <v>288</v>
      </c>
      <c r="B424" t="str">
        <f ca="1">OFFSET(Industries!C$1,MATCH(Table1[[#This Row],[Ticker]],Industries!$A$2:$A$150,0),0)</f>
        <v>Consumer Discretionary</v>
      </c>
      <c r="C424" t="str">
        <f ca="1">OFFSET(Industries!D$1,MATCH(Table1[[#This Row],[Ticker]],Industries!$A$2:$A$150,0),0)</f>
        <v>Automobiles and Components</v>
      </c>
      <c r="D424" t="str">
        <f ca="1">OFFSET(Industries!E$1,MATCH(Table1[[#This Row],[Ticker]],Industries!$A$2:$A$150,0),0)</f>
        <v>Automobiles</v>
      </c>
      <c r="E424" t="s">
        <v>259</v>
      </c>
      <c r="F424" t="str">
        <f ca="1">OFFSET(Industries!B$1,MATCH(Table1[[#This Row],[Ticker]],Industries!$A$2:$A$140,0),0)</f>
        <v>Mega-Cap</v>
      </c>
      <c r="G424" t="str">
        <f ca="1">OFFSET(Industries!F$1,MATCH(Table1[[#This Row],[Ticker]],Industries!$A$2:$A$140,0),0)</f>
        <v>BBB</v>
      </c>
      <c r="H424" t="s">
        <v>1434</v>
      </c>
      <c r="I424" t="s">
        <v>1434</v>
      </c>
      <c r="J424" s="2">
        <v>45411</v>
      </c>
      <c r="K424" t="s">
        <v>21</v>
      </c>
      <c r="L424" t="s">
        <v>3</v>
      </c>
      <c r="M424" t="s">
        <v>1711</v>
      </c>
      <c r="N424" s="1"/>
      <c r="O424" t="s">
        <v>3</v>
      </c>
      <c r="V424" t="s">
        <v>262</v>
      </c>
    </row>
    <row r="425" spans="1:22" x14ac:dyDescent="0.3">
      <c r="A425" t="s">
        <v>288</v>
      </c>
      <c r="B425" t="str">
        <f ca="1">OFFSET(Industries!C$1,MATCH(Table1[[#This Row],[Ticker]],Industries!$A$2:$A$150,0),0)</f>
        <v>Consumer Discretionary</v>
      </c>
      <c r="C425" t="str">
        <f ca="1">OFFSET(Industries!D$1,MATCH(Table1[[#This Row],[Ticker]],Industries!$A$2:$A$150,0),0)</f>
        <v>Automobiles and Components</v>
      </c>
      <c r="D425" t="str">
        <f ca="1">OFFSET(Industries!E$1,MATCH(Table1[[#This Row],[Ticker]],Industries!$A$2:$A$150,0),0)</f>
        <v>Automobiles</v>
      </c>
      <c r="E425" t="s">
        <v>259</v>
      </c>
      <c r="F425" t="str">
        <f ca="1">OFFSET(Industries!B$1,MATCH(Table1[[#This Row],[Ticker]],Industries!$A$2:$A$140,0),0)</f>
        <v>Mega-Cap</v>
      </c>
      <c r="G425" t="str">
        <f ca="1">OFFSET(Industries!F$1,MATCH(Table1[[#This Row],[Ticker]],Industries!$A$2:$A$140,0),0)</f>
        <v>BBB</v>
      </c>
      <c r="H425" t="s">
        <v>1434</v>
      </c>
      <c r="I425" t="s">
        <v>1434</v>
      </c>
      <c r="J425" s="2">
        <v>45411</v>
      </c>
      <c r="K425" t="s">
        <v>21</v>
      </c>
      <c r="L425" t="s">
        <v>1710</v>
      </c>
      <c r="M425" t="s">
        <v>1711</v>
      </c>
      <c r="N425" s="1"/>
      <c r="O425" t="s">
        <v>194</v>
      </c>
      <c r="V425" t="s">
        <v>263</v>
      </c>
    </row>
    <row r="426" spans="1:22" x14ac:dyDescent="0.3">
      <c r="A426" t="s">
        <v>288</v>
      </c>
      <c r="B426" t="str">
        <f ca="1">OFFSET(Industries!C$1,MATCH(Table1[[#This Row],[Ticker]],Industries!$A$2:$A$150,0),0)</f>
        <v>Consumer Discretionary</v>
      </c>
      <c r="C426" t="str">
        <f ca="1">OFFSET(Industries!D$1,MATCH(Table1[[#This Row],[Ticker]],Industries!$A$2:$A$150,0),0)</f>
        <v>Automobiles and Components</v>
      </c>
      <c r="D426" t="str">
        <f ca="1">OFFSET(Industries!E$1,MATCH(Table1[[#This Row],[Ticker]],Industries!$A$2:$A$150,0),0)</f>
        <v>Automobiles</v>
      </c>
      <c r="E426" t="s">
        <v>259</v>
      </c>
      <c r="F426" t="str">
        <f ca="1">OFFSET(Industries!B$1,MATCH(Table1[[#This Row],[Ticker]],Industries!$A$2:$A$140,0),0)</f>
        <v>Mega-Cap</v>
      </c>
      <c r="G426" t="str">
        <f ca="1">OFFSET(Industries!F$1,MATCH(Table1[[#This Row],[Ticker]],Industries!$A$2:$A$140,0),0)</f>
        <v>BBB</v>
      </c>
      <c r="H426" t="s">
        <v>1434</v>
      </c>
      <c r="I426" t="s">
        <v>1434</v>
      </c>
      <c r="J426" s="2">
        <v>45411</v>
      </c>
      <c r="K426" t="s">
        <v>21</v>
      </c>
      <c r="L426" t="s">
        <v>1710</v>
      </c>
      <c r="M426" t="s">
        <v>1709</v>
      </c>
      <c r="N426" s="1"/>
      <c r="O426" t="s">
        <v>462</v>
      </c>
      <c r="V426" t="s">
        <v>264</v>
      </c>
    </row>
    <row r="427" spans="1:22" x14ac:dyDescent="0.3">
      <c r="A427" t="s">
        <v>289</v>
      </c>
      <c r="B427" t="str">
        <f ca="1">OFFSET(Industries!C$1,MATCH(Table1[[#This Row],[Ticker]],Industries!$A$2:$A$150,0),0)</f>
        <v>Energy</v>
      </c>
      <c r="C427" t="str">
        <f ca="1">OFFSET(Industries!D$1,MATCH(Table1[[#This Row],[Ticker]],Industries!$A$2:$A$150,0),0)</f>
        <v>Energy</v>
      </c>
      <c r="D427" t="str">
        <f ca="1">OFFSET(Industries!E$1,MATCH(Table1[[#This Row],[Ticker]],Industries!$A$2:$A$150,0),0)</f>
        <v>Oil, Gas and Consumable Fuels</v>
      </c>
      <c r="E427" t="s">
        <v>290</v>
      </c>
      <c r="F427" t="str">
        <f ca="1">OFFSET(Industries!B$1,MATCH(Table1[[#This Row],[Ticker]],Industries!$A$2:$A$140,0),0)</f>
        <v>Ultra-Cap</v>
      </c>
      <c r="G427" t="str">
        <f ca="1">OFFSET(Industries!F$1,MATCH(Table1[[#This Row],[Ticker]],Industries!$A$2:$A$140,0),0)</f>
        <v>A-</v>
      </c>
      <c r="H427" t="s">
        <v>1434</v>
      </c>
      <c r="I427" t="s">
        <v>1434</v>
      </c>
      <c r="J427" s="2">
        <v>45379</v>
      </c>
      <c r="K427" t="s">
        <v>2</v>
      </c>
      <c r="L427" t="s">
        <v>3</v>
      </c>
      <c r="M427" t="s">
        <v>1711</v>
      </c>
      <c r="N427" s="1">
        <f>Table1[[#This Row],[Consideration Weight]]</f>
        <v>0.09</v>
      </c>
      <c r="O427" t="s">
        <v>3</v>
      </c>
      <c r="P427" s="3">
        <v>0.09</v>
      </c>
      <c r="Q427" s="3"/>
    </row>
    <row r="428" spans="1:22" x14ac:dyDescent="0.3">
      <c r="A428" t="s">
        <v>289</v>
      </c>
      <c r="B428" t="str">
        <f ca="1">OFFSET(Industries!C$1,MATCH(Table1[[#This Row],[Ticker]],Industries!$A$2:$A$150,0),0)</f>
        <v>Energy</v>
      </c>
      <c r="C428" t="str">
        <f ca="1">OFFSET(Industries!D$1,MATCH(Table1[[#This Row],[Ticker]],Industries!$A$2:$A$150,0),0)</f>
        <v>Energy</v>
      </c>
      <c r="D428" t="str">
        <f ca="1">OFFSET(Industries!E$1,MATCH(Table1[[#This Row],[Ticker]],Industries!$A$2:$A$150,0),0)</f>
        <v>Oil, Gas and Consumable Fuels</v>
      </c>
      <c r="E428" t="s">
        <v>290</v>
      </c>
      <c r="F428" t="str">
        <f ca="1">OFFSET(Industries!B$1,MATCH(Table1[[#This Row],[Ticker]],Industries!$A$2:$A$140,0),0)</f>
        <v>Ultra-Cap</v>
      </c>
      <c r="G428" t="str">
        <f ca="1">OFFSET(Industries!F$1,MATCH(Table1[[#This Row],[Ticker]],Industries!$A$2:$A$140,0),0)</f>
        <v>A-</v>
      </c>
      <c r="H428" t="s">
        <v>1434</v>
      </c>
      <c r="I428" t="s">
        <v>1434</v>
      </c>
      <c r="J428" s="2">
        <v>45378</v>
      </c>
      <c r="K428" t="s">
        <v>2</v>
      </c>
      <c r="L428" t="s">
        <v>1708</v>
      </c>
      <c r="M428" t="s">
        <v>1709</v>
      </c>
      <c r="N428" s="1">
        <f>Table1[[#This Row],[Consideration Weight]]</f>
        <v>0.14000000000000001</v>
      </c>
      <c r="O428" t="s">
        <v>4</v>
      </c>
      <c r="P428" s="3">
        <v>0.14000000000000001</v>
      </c>
      <c r="Q428" s="3" t="s">
        <v>1637</v>
      </c>
      <c r="R428" t="s">
        <v>25</v>
      </c>
      <c r="S428" t="s">
        <v>1086</v>
      </c>
      <c r="T428" t="s">
        <v>297</v>
      </c>
      <c r="U428" s="1">
        <v>0.3</v>
      </c>
      <c r="V428" t="s">
        <v>299</v>
      </c>
    </row>
    <row r="429" spans="1:22" x14ac:dyDescent="0.3">
      <c r="A429" t="s">
        <v>289</v>
      </c>
      <c r="B429" t="str">
        <f ca="1">OFFSET(Industries!C$1,MATCH(Table1[[#This Row],[Ticker]],Industries!$A$2:$A$150,0),0)</f>
        <v>Energy</v>
      </c>
      <c r="C429" t="str">
        <f ca="1">OFFSET(Industries!D$1,MATCH(Table1[[#This Row],[Ticker]],Industries!$A$2:$A$150,0),0)</f>
        <v>Energy</v>
      </c>
      <c r="D429" t="str">
        <f ca="1">OFFSET(Industries!E$1,MATCH(Table1[[#This Row],[Ticker]],Industries!$A$2:$A$150,0),0)</f>
        <v>Oil, Gas and Consumable Fuels</v>
      </c>
      <c r="E429" t="s">
        <v>290</v>
      </c>
      <c r="F429" t="str">
        <f ca="1">OFFSET(Industries!B$1,MATCH(Table1[[#This Row],[Ticker]],Industries!$A$2:$A$140,0),0)</f>
        <v>Ultra-Cap</v>
      </c>
      <c r="G429" t="str">
        <f ca="1">OFFSET(Industries!F$1,MATCH(Table1[[#This Row],[Ticker]],Industries!$A$2:$A$140,0),0)</f>
        <v>A-</v>
      </c>
      <c r="H429" t="s">
        <v>1434</v>
      </c>
      <c r="I429" t="s">
        <v>1434</v>
      </c>
      <c r="J429" s="2">
        <v>45379</v>
      </c>
      <c r="K429" t="s">
        <v>2</v>
      </c>
      <c r="L429" t="s">
        <v>1708</v>
      </c>
      <c r="M429" t="s">
        <v>1709</v>
      </c>
      <c r="N429" s="1"/>
      <c r="O429" t="s">
        <v>4</v>
      </c>
      <c r="P429" s="3">
        <v>0.14000000000000001</v>
      </c>
      <c r="Q429" s="3" t="s">
        <v>1636</v>
      </c>
      <c r="R429" t="s">
        <v>1059</v>
      </c>
      <c r="S429" t="s">
        <v>1086</v>
      </c>
      <c r="T429" t="s">
        <v>308</v>
      </c>
      <c r="U429" s="1">
        <v>0.15</v>
      </c>
      <c r="V429" t="s">
        <v>300</v>
      </c>
    </row>
    <row r="430" spans="1:22" x14ac:dyDescent="0.3">
      <c r="A430" t="s">
        <v>289</v>
      </c>
      <c r="B430" t="str">
        <f ca="1">OFFSET(Industries!C$1,MATCH(Table1[[#This Row],[Ticker]],Industries!$A$2:$A$150,0),0)</f>
        <v>Energy</v>
      </c>
      <c r="C430" t="str">
        <f ca="1">OFFSET(Industries!D$1,MATCH(Table1[[#This Row],[Ticker]],Industries!$A$2:$A$150,0),0)</f>
        <v>Energy</v>
      </c>
      <c r="D430" t="str">
        <f ca="1">OFFSET(Industries!E$1,MATCH(Table1[[#This Row],[Ticker]],Industries!$A$2:$A$150,0),0)</f>
        <v>Oil, Gas and Consumable Fuels</v>
      </c>
      <c r="E430" t="s">
        <v>290</v>
      </c>
      <c r="F430" t="str">
        <f ca="1">OFFSET(Industries!B$1,MATCH(Table1[[#This Row],[Ticker]],Industries!$A$2:$A$140,0),0)</f>
        <v>Ultra-Cap</v>
      </c>
      <c r="G430" t="str">
        <f ca="1">OFFSET(Industries!F$1,MATCH(Table1[[#This Row],[Ticker]],Industries!$A$2:$A$140,0),0)</f>
        <v>A-</v>
      </c>
      <c r="H430" t="s">
        <v>1434</v>
      </c>
      <c r="I430" t="s">
        <v>1434</v>
      </c>
      <c r="J430" s="2">
        <v>45379</v>
      </c>
      <c r="K430" t="s">
        <v>2</v>
      </c>
      <c r="L430" t="s">
        <v>1708</v>
      </c>
      <c r="M430" t="s">
        <v>1709</v>
      </c>
      <c r="N430" s="1"/>
      <c r="O430" t="s">
        <v>4</v>
      </c>
      <c r="P430" s="3">
        <v>0.14000000000000001</v>
      </c>
      <c r="Q430" s="3" t="s">
        <v>1636</v>
      </c>
      <c r="R430" t="s">
        <v>1059</v>
      </c>
      <c r="S430" t="s">
        <v>1119</v>
      </c>
      <c r="T430" t="s">
        <v>292</v>
      </c>
      <c r="U430" s="1">
        <v>0.15</v>
      </c>
      <c r="V430" t="s">
        <v>301</v>
      </c>
    </row>
    <row r="431" spans="1:22" x14ac:dyDescent="0.3">
      <c r="A431" t="s">
        <v>289</v>
      </c>
      <c r="B431" t="str">
        <f ca="1">OFFSET(Industries!C$1,MATCH(Table1[[#This Row],[Ticker]],Industries!$A$2:$A$150,0),0)</f>
        <v>Energy</v>
      </c>
      <c r="C431" t="str">
        <f ca="1">OFFSET(Industries!D$1,MATCH(Table1[[#This Row],[Ticker]],Industries!$A$2:$A$150,0),0)</f>
        <v>Energy</v>
      </c>
      <c r="D431" t="str">
        <f ca="1">OFFSET(Industries!E$1,MATCH(Table1[[#This Row],[Ticker]],Industries!$A$2:$A$150,0),0)</f>
        <v>Oil, Gas and Consumable Fuels</v>
      </c>
      <c r="E431" t="s">
        <v>290</v>
      </c>
      <c r="F431" t="str">
        <f ca="1">OFFSET(Industries!B$1,MATCH(Table1[[#This Row],[Ticker]],Industries!$A$2:$A$140,0),0)</f>
        <v>Ultra-Cap</v>
      </c>
      <c r="G431" t="str">
        <f ca="1">OFFSET(Industries!F$1,MATCH(Table1[[#This Row],[Ticker]],Industries!$A$2:$A$140,0),0)</f>
        <v>A-</v>
      </c>
      <c r="H431" t="s">
        <v>1434</v>
      </c>
      <c r="I431" t="s">
        <v>1434</v>
      </c>
      <c r="J431" s="2">
        <v>45379</v>
      </c>
      <c r="K431" t="s">
        <v>2</v>
      </c>
      <c r="L431" t="s">
        <v>1708</v>
      </c>
      <c r="M431" t="s">
        <v>1709</v>
      </c>
      <c r="N431" s="1"/>
      <c r="O431" t="s">
        <v>4</v>
      </c>
      <c r="P431" s="3">
        <v>0.14000000000000001</v>
      </c>
      <c r="Q431" s="3" t="s">
        <v>1636</v>
      </c>
      <c r="R431" t="s">
        <v>62</v>
      </c>
      <c r="S431" t="s">
        <v>129</v>
      </c>
      <c r="T431" t="s">
        <v>117</v>
      </c>
      <c r="U431" s="1">
        <v>0.15</v>
      </c>
      <c r="V431" t="s">
        <v>302</v>
      </c>
    </row>
    <row r="432" spans="1:22" x14ac:dyDescent="0.3">
      <c r="A432" t="s">
        <v>289</v>
      </c>
      <c r="B432" t="str">
        <f ca="1">OFFSET(Industries!C$1,MATCH(Table1[[#This Row],[Ticker]],Industries!$A$2:$A$150,0),0)</f>
        <v>Energy</v>
      </c>
      <c r="C432" t="str">
        <f ca="1">OFFSET(Industries!D$1,MATCH(Table1[[#This Row],[Ticker]],Industries!$A$2:$A$150,0),0)</f>
        <v>Energy</v>
      </c>
      <c r="D432" t="str">
        <f ca="1">OFFSET(Industries!E$1,MATCH(Table1[[#This Row],[Ticker]],Industries!$A$2:$A$150,0),0)</f>
        <v>Oil, Gas and Consumable Fuels</v>
      </c>
      <c r="E432" t="s">
        <v>290</v>
      </c>
      <c r="F432" t="str">
        <f ca="1">OFFSET(Industries!B$1,MATCH(Table1[[#This Row],[Ticker]],Industries!$A$2:$A$140,0),0)</f>
        <v>Ultra-Cap</v>
      </c>
      <c r="G432" t="str">
        <f ca="1">OFFSET(Industries!F$1,MATCH(Table1[[#This Row],[Ticker]],Industries!$A$2:$A$140,0),0)</f>
        <v>A-</v>
      </c>
      <c r="H432" t="s">
        <v>1434</v>
      </c>
      <c r="I432" t="s">
        <v>1434</v>
      </c>
      <c r="J432" s="2">
        <v>45379</v>
      </c>
      <c r="K432" t="s">
        <v>2</v>
      </c>
      <c r="L432" t="s">
        <v>1708</v>
      </c>
      <c r="M432" t="s">
        <v>1709</v>
      </c>
      <c r="N432" s="1"/>
      <c r="O432" t="s">
        <v>4</v>
      </c>
      <c r="P432" s="3">
        <v>0.14000000000000001</v>
      </c>
      <c r="Q432" s="3" t="s">
        <v>1637</v>
      </c>
      <c r="R432" t="s">
        <v>26</v>
      </c>
      <c r="S432" t="s">
        <v>814</v>
      </c>
      <c r="T432" t="s">
        <v>295</v>
      </c>
      <c r="U432" s="1">
        <v>7.4999999999999997E-2</v>
      </c>
    </row>
    <row r="433" spans="1:22" x14ac:dyDescent="0.3">
      <c r="A433" t="s">
        <v>289</v>
      </c>
      <c r="B433" t="str">
        <f ca="1">OFFSET(Industries!C$1,MATCH(Table1[[#This Row],[Ticker]],Industries!$A$2:$A$150,0),0)</f>
        <v>Energy</v>
      </c>
      <c r="C433" t="str">
        <f ca="1">OFFSET(Industries!D$1,MATCH(Table1[[#This Row],[Ticker]],Industries!$A$2:$A$150,0),0)</f>
        <v>Energy</v>
      </c>
      <c r="D433" t="str">
        <f ca="1">OFFSET(Industries!E$1,MATCH(Table1[[#This Row],[Ticker]],Industries!$A$2:$A$150,0),0)</f>
        <v>Oil, Gas and Consumable Fuels</v>
      </c>
      <c r="E433" t="s">
        <v>290</v>
      </c>
      <c r="F433" t="str">
        <f ca="1">OFFSET(Industries!B$1,MATCH(Table1[[#This Row],[Ticker]],Industries!$A$2:$A$140,0),0)</f>
        <v>Ultra-Cap</v>
      </c>
      <c r="G433" t="str">
        <f ca="1">OFFSET(Industries!F$1,MATCH(Table1[[#This Row],[Ticker]],Industries!$A$2:$A$140,0),0)</f>
        <v>A-</v>
      </c>
      <c r="H433" t="s">
        <v>1434</v>
      </c>
      <c r="I433" t="s">
        <v>1434</v>
      </c>
      <c r="J433" s="2">
        <v>45379</v>
      </c>
      <c r="K433" t="s">
        <v>2</v>
      </c>
      <c r="L433" t="s">
        <v>1708</v>
      </c>
      <c r="M433" t="s">
        <v>1709</v>
      </c>
      <c r="N433" s="1"/>
      <c r="O433" t="s">
        <v>4</v>
      </c>
      <c r="P433" s="3">
        <v>0.14000000000000001</v>
      </c>
      <c r="Q433" s="3" t="s">
        <v>1637</v>
      </c>
      <c r="R433" t="s">
        <v>26</v>
      </c>
      <c r="S433" t="s">
        <v>26</v>
      </c>
      <c r="T433" t="s">
        <v>296</v>
      </c>
      <c r="U433" s="1">
        <v>7.4999999999999997E-2</v>
      </c>
      <c r="V433" t="s">
        <v>303</v>
      </c>
    </row>
    <row r="434" spans="1:22" x14ac:dyDescent="0.3">
      <c r="A434" t="s">
        <v>289</v>
      </c>
      <c r="B434" t="str">
        <f ca="1">OFFSET(Industries!C$1,MATCH(Table1[[#This Row],[Ticker]],Industries!$A$2:$A$150,0),0)</f>
        <v>Energy</v>
      </c>
      <c r="C434" t="str">
        <f ca="1">OFFSET(Industries!D$1,MATCH(Table1[[#This Row],[Ticker]],Industries!$A$2:$A$150,0),0)</f>
        <v>Energy</v>
      </c>
      <c r="D434" t="str">
        <f ca="1">OFFSET(Industries!E$1,MATCH(Table1[[#This Row],[Ticker]],Industries!$A$2:$A$150,0),0)</f>
        <v>Oil, Gas and Consumable Fuels</v>
      </c>
      <c r="E434" t="s">
        <v>290</v>
      </c>
      <c r="F434" t="str">
        <f ca="1">OFFSET(Industries!B$1,MATCH(Table1[[#This Row],[Ticker]],Industries!$A$2:$A$140,0),0)</f>
        <v>Ultra-Cap</v>
      </c>
      <c r="G434" t="str">
        <f ca="1">OFFSET(Industries!F$1,MATCH(Table1[[#This Row],[Ticker]],Industries!$A$2:$A$140,0),0)</f>
        <v>A-</v>
      </c>
      <c r="H434" t="s">
        <v>1434</v>
      </c>
      <c r="I434" t="s">
        <v>1434</v>
      </c>
      <c r="J434" s="2">
        <v>45379</v>
      </c>
      <c r="K434" t="s">
        <v>2</v>
      </c>
      <c r="L434" t="s">
        <v>1708</v>
      </c>
      <c r="M434" t="s">
        <v>1709</v>
      </c>
      <c r="N434" s="1"/>
      <c r="O434" t="s">
        <v>4</v>
      </c>
      <c r="P434" s="3">
        <v>0.14000000000000001</v>
      </c>
      <c r="Q434" s="3" t="s">
        <v>1646</v>
      </c>
      <c r="R434" t="s">
        <v>35</v>
      </c>
      <c r="S434" t="s">
        <v>29</v>
      </c>
      <c r="T434" t="s">
        <v>293</v>
      </c>
      <c r="U434" s="1">
        <v>0.05</v>
      </c>
      <c r="V434" t="s">
        <v>304</v>
      </c>
    </row>
    <row r="435" spans="1:22" x14ac:dyDescent="0.3">
      <c r="A435" t="s">
        <v>289</v>
      </c>
      <c r="B435" t="str">
        <f ca="1">OFFSET(Industries!C$1,MATCH(Table1[[#This Row],[Ticker]],Industries!$A$2:$A$150,0),0)</f>
        <v>Energy</v>
      </c>
      <c r="C435" t="str">
        <f ca="1">OFFSET(Industries!D$1,MATCH(Table1[[#This Row],[Ticker]],Industries!$A$2:$A$150,0),0)</f>
        <v>Energy</v>
      </c>
      <c r="D435" t="str">
        <f ca="1">OFFSET(Industries!E$1,MATCH(Table1[[#This Row],[Ticker]],Industries!$A$2:$A$150,0),0)</f>
        <v>Oil, Gas and Consumable Fuels</v>
      </c>
      <c r="E435" t="s">
        <v>290</v>
      </c>
      <c r="F435" t="str">
        <f ca="1">OFFSET(Industries!B$1,MATCH(Table1[[#This Row],[Ticker]],Industries!$A$2:$A$140,0),0)</f>
        <v>Ultra-Cap</v>
      </c>
      <c r="G435" t="str">
        <f ca="1">OFFSET(Industries!F$1,MATCH(Table1[[#This Row],[Ticker]],Industries!$A$2:$A$140,0),0)</f>
        <v>A-</v>
      </c>
      <c r="H435" t="s">
        <v>1434</v>
      </c>
      <c r="I435" t="s">
        <v>1434</v>
      </c>
      <c r="J435" s="2">
        <v>45379</v>
      </c>
      <c r="K435" t="s">
        <v>2</v>
      </c>
      <c r="L435" t="s">
        <v>1708</v>
      </c>
      <c r="M435" t="s">
        <v>1709</v>
      </c>
      <c r="N435" s="1"/>
      <c r="O435" t="s">
        <v>4</v>
      </c>
      <c r="P435" s="3">
        <v>0.14000000000000001</v>
      </c>
      <c r="Q435" s="3" t="s">
        <v>1636</v>
      </c>
      <c r="R435" t="s">
        <v>24</v>
      </c>
      <c r="S435" t="s">
        <v>1086</v>
      </c>
      <c r="T435" t="s">
        <v>294</v>
      </c>
      <c r="U435" s="1">
        <v>0.05</v>
      </c>
      <c r="V435" t="s">
        <v>305</v>
      </c>
    </row>
    <row r="436" spans="1:22" x14ac:dyDescent="0.3">
      <c r="A436" t="s">
        <v>289</v>
      </c>
      <c r="B436" t="str">
        <f ca="1">OFFSET(Industries!C$1,MATCH(Table1[[#This Row],[Ticker]],Industries!$A$2:$A$150,0),0)</f>
        <v>Energy</v>
      </c>
      <c r="C436" t="str">
        <f ca="1">OFFSET(Industries!D$1,MATCH(Table1[[#This Row],[Ticker]],Industries!$A$2:$A$150,0),0)</f>
        <v>Energy</v>
      </c>
      <c r="D436" t="str">
        <f ca="1">OFFSET(Industries!E$1,MATCH(Table1[[#This Row],[Ticker]],Industries!$A$2:$A$150,0),0)</f>
        <v>Oil, Gas and Consumable Fuels</v>
      </c>
      <c r="E436" t="s">
        <v>290</v>
      </c>
      <c r="F436" t="str">
        <f ca="1">OFFSET(Industries!B$1,MATCH(Table1[[#This Row],[Ticker]],Industries!$A$2:$A$140,0),0)</f>
        <v>Ultra-Cap</v>
      </c>
      <c r="G436" t="str">
        <f ca="1">OFFSET(Industries!F$1,MATCH(Table1[[#This Row],[Ticker]],Industries!$A$2:$A$140,0),0)</f>
        <v>A-</v>
      </c>
      <c r="H436" t="s">
        <v>1434</v>
      </c>
      <c r="I436" t="s">
        <v>1434</v>
      </c>
      <c r="J436" s="2">
        <v>45379</v>
      </c>
      <c r="K436" t="s">
        <v>2</v>
      </c>
      <c r="L436" t="s">
        <v>1708</v>
      </c>
      <c r="M436" t="s">
        <v>1709</v>
      </c>
      <c r="N436" s="1"/>
      <c r="O436" t="s">
        <v>4</v>
      </c>
      <c r="P436" s="3">
        <v>0.14000000000000001</v>
      </c>
      <c r="Q436" s="3"/>
      <c r="R436" t="s">
        <v>28</v>
      </c>
      <c r="S436" t="s">
        <v>1087</v>
      </c>
      <c r="T436" t="s">
        <v>40</v>
      </c>
    </row>
    <row r="437" spans="1:22" x14ac:dyDescent="0.3">
      <c r="A437" t="s">
        <v>289</v>
      </c>
      <c r="B437" t="str">
        <f ca="1">OFFSET(Industries!C$1,MATCH(Table1[[#This Row],[Ticker]],Industries!$A$2:$A$150,0),0)</f>
        <v>Energy</v>
      </c>
      <c r="C437" t="str">
        <f ca="1">OFFSET(Industries!D$1,MATCH(Table1[[#This Row],[Ticker]],Industries!$A$2:$A$150,0),0)</f>
        <v>Energy</v>
      </c>
      <c r="D437" t="str">
        <f ca="1">OFFSET(Industries!E$1,MATCH(Table1[[#This Row],[Ticker]],Industries!$A$2:$A$150,0),0)</f>
        <v>Oil, Gas and Consumable Fuels</v>
      </c>
      <c r="E437" t="s">
        <v>290</v>
      </c>
      <c r="F437" t="str">
        <f ca="1">OFFSET(Industries!B$1,MATCH(Table1[[#This Row],[Ticker]],Industries!$A$2:$A$140,0),0)</f>
        <v>Ultra-Cap</v>
      </c>
      <c r="G437" t="str">
        <f ca="1">OFFSET(Industries!F$1,MATCH(Table1[[#This Row],[Ticker]],Industries!$A$2:$A$140,0),0)</f>
        <v>A-</v>
      </c>
      <c r="H437" t="s">
        <v>1434</v>
      </c>
      <c r="I437" t="s">
        <v>1434</v>
      </c>
      <c r="J437" s="2">
        <v>45379</v>
      </c>
      <c r="K437" t="s">
        <v>2</v>
      </c>
      <c r="L437" t="s">
        <v>1710</v>
      </c>
      <c r="M437" t="s">
        <v>1709</v>
      </c>
      <c r="N437" s="1">
        <f>Table1[[#This Row],[Consideration Weight]]</f>
        <v>0.46</v>
      </c>
      <c r="O437" t="s">
        <v>476</v>
      </c>
      <c r="P437" s="3">
        <v>0.46</v>
      </c>
      <c r="Q437" s="3" t="s">
        <v>1646</v>
      </c>
      <c r="R437" t="s">
        <v>35</v>
      </c>
      <c r="S437" t="s">
        <v>29</v>
      </c>
      <c r="T437" t="s">
        <v>30</v>
      </c>
      <c r="U437" s="1">
        <v>1</v>
      </c>
      <c r="V437" t="s">
        <v>232</v>
      </c>
    </row>
    <row r="438" spans="1:22" x14ac:dyDescent="0.3">
      <c r="A438" t="s">
        <v>289</v>
      </c>
      <c r="B438" t="str">
        <f ca="1">OFFSET(Industries!C$1,MATCH(Table1[[#This Row],[Ticker]],Industries!$A$2:$A$150,0),0)</f>
        <v>Energy</v>
      </c>
      <c r="C438" t="str">
        <f ca="1">OFFSET(Industries!D$1,MATCH(Table1[[#This Row],[Ticker]],Industries!$A$2:$A$150,0),0)</f>
        <v>Energy</v>
      </c>
      <c r="D438" t="str">
        <f ca="1">OFFSET(Industries!E$1,MATCH(Table1[[#This Row],[Ticker]],Industries!$A$2:$A$150,0),0)</f>
        <v>Oil, Gas and Consumable Fuels</v>
      </c>
      <c r="E438" t="s">
        <v>290</v>
      </c>
      <c r="F438" t="str">
        <f ca="1">OFFSET(Industries!B$1,MATCH(Table1[[#This Row],[Ticker]],Industries!$A$2:$A$140,0),0)</f>
        <v>Ultra-Cap</v>
      </c>
      <c r="G438" t="str">
        <f ca="1">OFFSET(Industries!F$1,MATCH(Table1[[#This Row],[Ticker]],Industries!$A$2:$A$140,0),0)</f>
        <v>A-</v>
      </c>
      <c r="H438" t="s">
        <v>1434</v>
      </c>
      <c r="I438" t="s">
        <v>1434</v>
      </c>
      <c r="J438" s="2">
        <v>45379</v>
      </c>
      <c r="K438" t="s">
        <v>2</v>
      </c>
      <c r="L438" t="s">
        <v>1710</v>
      </c>
      <c r="M438" t="s">
        <v>1709</v>
      </c>
      <c r="N438" s="1"/>
      <c r="O438" t="s">
        <v>476</v>
      </c>
      <c r="P438" s="3">
        <v>0.46</v>
      </c>
      <c r="Q438" s="3"/>
      <c r="R438" t="s">
        <v>28</v>
      </c>
      <c r="S438" t="s">
        <v>1119</v>
      </c>
      <c r="T438" t="s">
        <v>298</v>
      </c>
      <c r="V438" t="s">
        <v>306</v>
      </c>
    </row>
    <row r="439" spans="1:22" x14ac:dyDescent="0.3">
      <c r="A439" t="s">
        <v>289</v>
      </c>
      <c r="B439" t="str">
        <f ca="1">OFFSET(Industries!C$1,MATCH(Table1[[#This Row],[Ticker]],Industries!$A$2:$A$150,0),0)</f>
        <v>Energy</v>
      </c>
      <c r="C439" t="str">
        <f ca="1">OFFSET(Industries!D$1,MATCH(Table1[[#This Row],[Ticker]],Industries!$A$2:$A$150,0),0)</f>
        <v>Energy</v>
      </c>
      <c r="D439" t="str">
        <f ca="1">OFFSET(Industries!E$1,MATCH(Table1[[#This Row],[Ticker]],Industries!$A$2:$A$150,0),0)</f>
        <v>Oil, Gas and Consumable Fuels</v>
      </c>
      <c r="E439" t="s">
        <v>290</v>
      </c>
      <c r="F439" t="str">
        <f ca="1">OFFSET(Industries!B$1,MATCH(Table1[[#This Row],[Ticker]],Industries!$A$2:$A$140,0),0)</f>
        <v>Ultra-Cap</v>
      </c>
      <c r="G439" t="str">
        <f ca="1">OFFSET(Industries!F$1,MATCH(Table1[[#This Row],[Ticker]],Industries!$A$2:$A$140,0),0)</f>
        <v>A-</v>
      </c>
      <c r="H439" t="s">
        <v>1434</v>
      </c>
      <c r="I439" t="s">
        <v>1434</v>
      </c>
      <c r="J439" s="2">
        <v>45379</v>
      </c>
      <c r="K439" t="s">
        <v>2</v>
      </c>
      <c r="L439" t="s">
        <v>1710</v>
      </c>
      <c r="M439" t="s">
        <v>1709</v>
      </c>
      <c r="N439" s="1"/>
      <c r="O439" t="s">
        <v>476</v>
      </c>
      <c r="P439" s="3">
        <v>0.46</v>
      </c>
      <c r="Q439" s="3"/>
      <c r="R439" t="s">
        <v>28</v>
      </c>
      <c r="S439" t="s">
        <v>1095</v>
      </c>
      <c r="T439" t="s">
        <v>55</v>
      </c>
      <c r="V439" t="s">
        <v>307</v>
      </c>
    </row>
    <row r="440" spans="1:22" x14ac:dyDescent="0.3">
      <c r="A440" t="s">
        <v>289</v>
      </c>
      <c r="B440" t="str">
        <f ca="1">OFFSET(Industries!C$1,MATCH(Table1[[#This Row],[Ticker]],Industries!$A$2:$A$150,0),0)</f>
        <v>Energy</v>
      </c>
      <c r="C440" t="str">
        <f ca="1">OFFSET(Industries!D$1,MATCH(Table1[[#This Row],[Ticker]],Industries!$A$2:$A$150,0),0)</f>
        <v>Energy</v>
      </c>
      <c r="D440" t="str">
        <f ca="1">OFFSET(Industries!E$1,MATCH(Table1[[#This Row],[Ticker]],Industries!$A$2:$A$150,0),0)</f>
        <v>Oil, Gas and Consumable Fuels</v>
      </c>
      <c r="E440" t="s">
        <v>290</v>
      </c>
      <c r="F440" t="str">
        <f ca="1">OFFSET(Industries!B$1,MATCH(Table1[[#This Row],[Ticker]],Industries!$A$2:$A$140,0),0)</f>
        <v>Ultra-Cap</v>
      </c>
      <c r="G440" t="str">
        <f ca="1">OFFSET(Industries!F$1,MATCH(Table1[[#This Row],[Ticker]],Industries!$A$2:$A$140,0),0)</f>
        <v>A-</v>
      </c>
      <c r="H440" t="s">
        <v>1434</v>
      </c>
      <c r="I440" t="s">
        <v>1434</v>
      </c>
      <c r="J440" s="2">
        <v>45379</v>
      </c>
      <c r="K440" t="s">
        <v>2</v>
      </c>
      <c r="L440" t="s">
        <v>1710</v>
      </c>
      <c r="M440" t="s">
        <v>1711</v>
      </c>
      <c r="N440" s="1">
        <f>Table1[[#This Row],[Consideration Weight]]</f>
        <v>0.31</v>
      </c>
      <c r="O440" t="s">
        <v>194</v>
      </c>
      <c r="P440" s="3">
        <v>0.31</v>
      </c>
      <c r="Q440" s="3"/>
    </row>
    <row r="441" spans="1:22" x14ac:dyDescent="0.3">
      <c r="A441" t="s">
        <v>289</v>
      </c>
      <c r="B441" t="str">
        <f ca="1">OFFSET(Industries!C$1,MATCH(Table1[[#This Row],[Ticker]],Industries!$A$2:$A$150,0),0)</f>
        <v>Energy</v>
      </c>
      <c r="C441" t="str">
        <f ca="1">OFFSET(Industries!D$1,MATCH(Table1[[#This Row],[Ticker]],Industries!$A$2:$A$150,0),0)</f>
        <v>Energy</v>
      </c>
      <c r="D441" t="str">
        <f ca="1">OFFSET(Industries!E$1,MATCH(Table1[[#This Row],[Ticker]],Industries!$A$2:$A$150,0),0)</f>
        <v>Oil, Gas and Consumable Fuels</v>
      </c>
      <c r="E441" t="s">
        <v>290</v>
      </c>
      <c r="F441" t="str">
        <f ca="1">OFFSET(Industries!B$1,MATCH(Table1[[#This Row],[Ticker]],Industries!$A$2:$A$140,0),0)</f>
        <v>Ultra-Cap</v>
      </c>
      <c r="G441" t="str">
        <f ca="1">OFFSET(Industries!F$1,MATCH(Table1[[#This Row],[Ticker]],Industries!$A$2:$A$140,0),0)</f>
        <v>A-</v>
      </c>
      <c r="H441" t="s">
        <v>1434</v>
      </c>
      <c r="I441" t="s">
        <v>1434</v>
      </c>
      <c r="J441" s="2">
        <v>45379</v>
      </c>
      <c r="K441" t="s">
        <v>21</v>
      </c>
      <c r="L441" t="s">
        <v>3</v>
      </c>
      <c r="M441" t="s">
        <v>1711</v>
      </c>
      <c r="N441" s="1">
        <f>Table1[[#This Row],[Consideration Weight]]</f>
        <v>0.15</v>
      </c>
      <c r="O441" t="s">
        <v>3</v>
      </c>
      <c r="P441" s="3">
        <v>0.15</v>
      </c>
      <c r="Q441" s="3"/>
    </row>
    <row r="442" spans="1:22" x14ac:dyDescent="0.3">
      <c r="A442" t="s">
        <v>289</v>
      </c>
      <c r="B442" t="str">
        <f ca="1">OFFSET(Industries!C$1,MATCH(Table1[[#This Row],[Ticker]],Industries!$A$2:$A$150,0),0)</f>
        <v>Energy</v>
      </c>
      <c r="C442" t="str">
        <f ca="1">OFFSET(Industries!D$1,MATCH(Table1[[#This Row],[Ticker]],Industries!$A$2:$A$150,0),0)</f>
        <v>Energy</v>
      </c>
      <c r="D442" t="str">
        <f ca="1">OFFSET(Industries!E$1,MATCH(Table1[[#This Row],[Ticker]],Industries!$A$2:$A$150,0),0)</f>
        <v>Oil, Gas and Consumable Fuels</v>
      </c>
      <c r="E442" t="s">
        <v>290</v>
      </c>
      <c r="F442" t="str">
        <f ca="1">OFFSET(Industries!B$1,MATCH(Table1[[#This Row],[Ticker]],Industries!$A$2:$A$140,0),0)</f>
        <v>Ultra-Cap</v>
      </c>
      <c r="G442" t="str">
        <f ca="1">OFFSET(Industries!F$1,MATCH(Table1[[#This Row],[Ticker]],Industries!$A$2:$A$140,0),0)</f>
        <v>A-</v>
      </c>
      <c r="H442" t="s">
        <v>1434</v>
      </c>
      <c r="I442" t="s">
        <v>1434</v>
      </c>
      <c r="J442" s="2">
        <v>45378</v>
      </c>
      <c r="K442" t="s">
        <v>21</v>
      </c>
      <c r="L442" t="s">
        <v>1708</v>
      </c>
      <c r="M442" t="s">
        <v>1709</v>
      </c>
      <c r="N442" s="1">
        <f>Table1[[#This Row],[Consideration Weight]]</f>
        <v>0.14000000000000001</v>
      </c>
      <c r="O442" t="s">
        <v>4</v>
      </c>
      <c r="P442" s="3">
        <v>0.14000000000000001</v>
      </c>
      <c r="Q442" s="3" t="s">
        <v>1637</v>
      </c>
      <c r="R442" t="s">
        <v>25</v>
      </c>
      <c r="S442" t="s">
        <v>1086</v>
      </c>
      <c r="T442" t="s">
        <v>297</v>
      </c>
      <c r="U442" s="1">
        <v>0.3</v>
      </c>
    </row>
    <row r="443" spans="1:22" x14ac:dyDescent="0.3">
      <c r="A443" t="s">
        <v>289</v>
      </c>
      <c r="B443" t="str">
        <f ca="1">OFFSET(Industries!C$1,MATCH(Table1[[#This Row],[Ticker]],Industries!$A$2:$A$150,0),0)</f>
        <v>Energy</v>
      </c>
      <c r="C443" t="str">
        <f ca="1">OFFSET(Industries!D$1,MATCH(Table1[[#This Row],[Ticker]],Industries!$A$2:$A$150,0),0)</f>
        <v>Energy</v>
      </c>
      <c r="D443" t="str">
        <f ca="1">OFFSET(Industries!E$1,MATCH(Table1[[#This Row],[Ticker]],Industries!$A$2:$A$150,0),0)</f>
        <v>Oil, Gas and Consumable Fuels</v>
      </c>
      <c r="E443" t="s">
        <v>290</v>
      </c>
      <c r="F443" t="str">
        <f ca="1">OFFSET(Industries!B$1,MATCH(Table1[[#This Row],[Ticker]],Industries!$A$2:$A$140,0),0)</f>
        <v>Ultra-Cap</v>
      </c>
      <c r="G443" t="str">
        <f ca="1">OFFSET(Industries!F$1,MATCH(Table1[[#This Row],[Ticker]],Industries!$A$2:$A$140,0),0)</f>
        <v>A-</v>
      </c>
      <c r="H443" t="s">
        <v>1434</v>
      </c>
      <c r="I443" t="s">
        <v>1434</v>
      </c>
      <c r="J443" s="2">
        <v>45379</v>
      </c>
      <c r="K443" t="s">
        <v>21</v>
      </c>
      <c r="L443" t="s">
        <v>1708</v>
      </c>
      <c r="M443" t="s">
        <v>1709</v>
      </c>
      <c r="N443" s="1"/>
      <c r="O443" t="s">
        <v>4</v>
      </c>
      <c r="P443" s="3">
        <v>0.14000000000000001</v>
      </c>
      <c r="Q443" s="3" t="s">
        <v>1636</v>
      </c>
      <c r="R443" t="s">
        <v>1059</v>
      </c>
      <c r="S443" t="s">
        <v>1086</v>
      </c>
      <c r="T443" t="s">
        <v>291</v>
      </c>
      <c r="U443" s="1">
        <v>0.15</v>
      </c>
    </row>
    <row r="444" spans="1:22" x14ac:dyDescent="0.3">
      <c r="A444" t="s">
        <v>289</v>
      </c>
      <c r="B444" t="str">
        <f ca="1">OFFSET(Industries!C$1,MATCH(Table1[[#This Row],[Ticker]],Industries!$A$2:$A$150,0),0)</f>
        <v>Energy</v>
      </c>
      <c r="C444" t="str">
        <f ca="1">OFFSET(Industries!D$1,MATCH(Table1[[#This Row],[Ticker]],Industries!$A$2:$A$150,0),0)</f>
        <v>Energy</v>
      </c>
      <c r="D444" t="str">
        <f ca="1">OFFSET(Industries!E$1,MATCH(Table1[[#This Row],[Ticker]],Industries!$A$2:$A$150,0),0)</f>
        <v>Oil, Gas and Consumable Fuels</v>
      </c>
      <c r="E444" t="s">
        <v>290</v>
      </c>
      <c r="F444" t="str">
        <f ca="1">OFFSET(Industries!B$1,MATCH(Table1[[#This Row],[Ticker]],Industries!$A$2:$A$140,0),0)</f>
        <v>Ultra-Cap</v>
      </c>
      <c r="G444" t="str">
        <f ca="1">OFFSET(Industries!F$1,MATCH(Table1[[#This Row],[Ticker]],Industries!$A$2:$A$140,0),0)</f>
        <v>A-</v>
      </c>
      <c r="H444" t="s">
        <v>1434</v>
      </c>
      <c r="I444" t="s">
        <v>1434</v>
      </c>
      <c r="J444" s="2">
        <v>45379</v>
      </c>
      <c r="K444" t="s">
        <v>21</v>
      </c>
      <c r="L444" t="s">
        <v>1708</v>
      </c>
      <c r="M444" t="s">
        <v>1709</v>
      </c>
      <c r="N444" s="1"/>
      <c r="O444" t="s">
        <v>4</v>
      </c>
      <c r="P444" s="3">
        <v>0.14000000000000001</v>
      </c>
      <c r="Q444" s="3" t="s">
        <v>1636</v>
      </c>
      <c r="R444" t="s">
        <v>1059</v>
      </c>
      <c r="S444" t="s">
        <v>1119</v>
      </c>
      <c r="T444" t="s">
        <v>292</v>
      </c>
      <c r="U444" s="1">
        <v>0.15</v>
      </c>
    </row>
    <row r="445" spans="1:22" x14ac:dyDescent="0.3">
      <c r="A445" t="s">
        <v>289</v>
      </c>
      <c r="B445" t="str">
        <f ca="1">OFFSET(Industries!C$1,MATCH(Table1[[#This Row],[Ticker]],Industries!$A$2:$A$150,0),0)</f>
        <v>Energy</v>
      </c>
      <c r="C445" t="str">
        <f ca="1">OFFSET(Industries!D$1,MATCH(Table1[[#This Row],[Ticker]],Industries!$A$2:$A$150,0),0)</f>
        <v>Energy</v>
      </c>
      <c r="D445" t="str">
        <f ca="1">OFFSET(Industries!E$1,MATCH(Table1[[#This Row],[Ticker]],Industries!$A$2:$A$150,0),0)</f>
        <v>Oil, Gas and Consumable Fuels</v>
      </c>
      <c r="E445" t="s">
        <v>290</v>
      </c>
      <c r="F445" t="str">
        <f ca="1">OFFSET(Industries!B$1,MATCH(Table1[[#This Row],[Ticker]],Industries!$A$2:$A$140,0),0)</f>
        <v>Ultra-Cap</v>
      </c>
      <c r="G445" t="str">
        <f ca="1">OFFSET(Industries!F$1,MATCH(Table1[[#This Row],[Ticker]],Industries!$A$2:$A$140,0),0)</f>
        <v>A-</v>
      </c>
      <c r="H445" t="s">
        <v>1434</v>
      </c>
      <c r="I445" t="s">
        <v>1434</v>
      </c>
      <c r="J445" s="2">
        <v>45379</v>
      </c>
      <c r="K445" t="s">
        <v>21</v>
      </c>
      <c r="L445" t="s">
        <v>1708</v>
      </c>
      <c r="M445" t="s">
        <v>1709</v>
      </c>
      <c r="N445" s="1"/>
      <c r="O445" t="s">
        <v>4</v>
      </c>
      <c r="P445" s="3">
        <v>0.14000000000000001</v>
      </c>
      <c r="Q445" s="3" t="s">
        <v>1636</v>
      </c>
      <c r="R445" t="s">
        <v>62</v>
      </c>
      <c r="S445" t="s">
        <v>129</v>
      </c>
      <c r="T445" t="s">
        <v>117</v>
      </c>
      <c r="U445" s="1">
        <v>0.15</v>
      </c>
    </row>
    <row r="446" spans="1:22" x14ac:dyDescent="0.3">
      <c r="A446" t="s">
        <v>289</v>
      </c>
      <c r="B446" t="str">
        <f ca="1">OFFSET(Industries!C$1,MATCH(Table1[[#This Row],[Ticker]],Industries!$A$2:$A$150,0),0)</f>
        <v>Energy</v>
      </c>
      <c r="C446" t="str">
        <f ca="1">OFFSET(Industries!D$1,MATCH(Table1[[#This Row],[Ticker]],Industries!$A$2:$A$150,0),0)</f>
        <v>Energy</v>
      </c>
      <c r="D446" t="str">
        <f ca="1">OFFSET(Industries!E$1,MATCH(Table1[[#This Row],[Ticker]],Industries!$A$2:$A$150,0),0)</f>
        <v>Oil, Gas and Consumable Fuels</v>
      </c>
      <c r="E446" t="s">
        <v>290</v>
      </c>
      <c r="F446" t="str">
        <f ca="1">OFFSET(Industries!B$1,MATCH(Table1[[#This Row],[Ticker]],Industries!$A$2:$A$140,0),0)</f>
        <v>Ultra-Cap</v>
      </c>
      <c r="G446" t="str">
        <f ca="1">OFFSET(Industries!F$1,MATCH(Table1[[#This Row],[Ticker]],Industries!$A$2:$A$140,0),0)</f>
        <v>A-</v>
      </c>
      <c r="H446" t="s">
        <v>1434</v>
      </c>
      <c r="I446" t="s">
        <v>1434</v>
      </c>
      <c r="J446" s="2">
        <v>45379</v>
      </c>
      <c r="K446" t="s">
        <v>21</v>
      </c>
      <c r="L446" t="s">
        <v>1708</v>
      </c>
      <c r="M446" t="s">
        <v>1709</v>
      </c>
      <c r="N446" s="1"/>
      <c r="O446" t="s">
        <v>4</v>
      </c>
      <c r="P446" s="3">
        <v>0.14000000000000001</v>
      </c>
      <c r="Q446" s="3" t="s">
        <v>1637</v>
      </c>
      <c r="R446" t="s">
        <v>25</v>
      </c>
      <c r="S446" t="s">
        <v>814</v>
      </c>
      <c r="T446" t="s">
        <v>295</v>
      </c>
      <c r="U446" s="1">
        <v>7.4999999999999997E-2</v>
      </c>
    </row>
    <row r="447" spans="1:22" x14ac:dyDescent="0.3">
      <c r="A447" t="s">
        <v>289</v>
      </c>
      <c r="B447" t="str">
        <f ca="1">OFFSET(Industries!C$1,MATCH(Table1[[#This Row],[Ticker]],Industries!$A$2:$A$150,0),0)</f>
        <v>Energy</v>
      </c>
      <c r="C447" t="str">
        <f ca="1">OFFSET(Industries!D$1,MATCH(Table1[[#This Row],[Ticker]],Industries!$A$2:$A$150,0),0)</f>
        <v>Energy</v>
      </c>
      <c r="D447" t="str">
        <f ca="1">OFFSET(Industries!E$1,MATCH(Table1[[#This Row],[Ticker]],Industries!$A$2:$A$150,0),0)</f>
        <v>Oil, Gas and Consumable Fuels</v>
      </c>
      <c r="E447" t="s">
        <v>290</v>
      </c>
      <c r="F447" t="str">
        <f ca="1">OFFSET(Industries!B$1,MATCH(Table1[[#This Row],[Ticker]],Industries!$A$2:$A$140,0),0)</f>
        <v>Ultra-Cap</v>
      </c>
      <c r="G447" t="str">
        <f ca="1">OFFSET(Industries!F$1,MATCH(Table1[[#This Row],[Ticker]],Industries!$A$2:$A$140,0),0)</f>
        <v>A-</v>
      </c>
      <c r="H447" t="s">
        <v>1434</v>
      </c>
      <c r="I447" t="s">
        <v>1434</v>
      </c>
      <c r="J447" s="2">
        <v>45379</v>
      </c>
      <c r="K447" t="s">
        <v>21</v>
      </c>
      <c r="L447" t="s">
        <v>1708</v>
      </c>
      <c r="M447" t="s">
        <v>1709</v>
      </c>
      <c r="N447" s="1"/>
      <c r="O447" t="s">
        <v>4</v>
      </c>
      <c r="P447" s="3">
        <v>0.14000000000000001</v>
      </c>
      <c r="Q447" s="3" t="s">
        <v>1637</v>
      </c>
      <c r="R447" t="s">
        <v>26</v>
      </c>
      <c r="S447" t="s">
        <v>26</v>
      </c>
      <c r="T447" t="s">
        <v>296</v>
      </c>
      <c r="U447" s="1">
        <v>7.4999999999999997E-2</v>
      </c>
    </row>
    <row r="448" spans="1:22" x14ac:dyDescent="0.3">
      <c r="A448" t="s">
        <v>289</v>
      </c>
      <c r="B448" t="str">
        <f ca="1">OFFSET(Industries!C$1,MATCH(Table1[[#This Row],[Ticker]],Industries!$A$2:$A$150,0),0)</f>
        <v>Energy</v>
      </c>
      <c r="C448" t="str">
        <f ca="1">OFFSET(Industries!D$1,MATCH(Table1[[#This Row],[Ticker]],Industries!$A$2:$A$150,0),0)</f>
        <v>Energy</v>
      </c>
      <c r="D448" t="str">
        <f ca="1">OFFSET(Industries!E$1,MATCH(Table1[[#This Row],[Ticker]],Industries!$A$2:$A$150,0),0)</f>
        <v>Oil, Gas and Consumable Fuels</v>
      </c>
      <c r="E448" t="s">
        <v>290</v>
      </c>
      <c r="F448" t="str">
        <f ca="1">OFFSET(Industries!B$1,MATCH(Table1[[#This Row],[Ticker]],Industries!$A$2:$A$140,0),0)</f>
        <v>Ultra-Cap</v>
      </c>
      <c r="G448" t="str">
        <f ca="1">OFFSET(Industries!F$1,MATCH(Table1[[#This Row],[Ticker]],Industries!$A$2:$A$140,0),0)</f>
        <v>A-</v>
      </c>
      <c r="H448" t="s">
        <v>1434</v>
      </c>
      <c r="I448" t="s">
        <v>1434</v>
      </c>
      <c r="J448" s="2">
        <v>45379</v>
      </c>
      <c r="K448" t="s">
        <v>21</v>
      </c>
      <c r="L448" t="s">
        <v>1708</v>
      </c>
      <c r="M448" t="s">
        <v>1709</v>
      </c>
      <c r="N448" s="1"/>
      <c r="O448" t="s">
        <v>4</v>
      </c>
      <c r="P448" s="3">
        <v>0.14000000000000001</v>
      </c>
      <c r="Q448" s="3" t="s">
        <v>1646</v>
      </c>
      <c r="R448" t="s">
        <v>35</v>
      </c>
      <c r="S448" t="s">
        <v>29</v>
      </c>
      <c r="T448" t="s">
        <v>293</v>
      </c>
      <c r="U448" s="1">
        <v>0.05</v>
      </c>
    </row>
    <row r="449" spans="1:22" x14ac:dyDescent="0.3">
      <c r="A449" t="s">
        <v>289</v>
      </c>
      <c r="B449" t="str">
        <f ca="1">OFFSET(Industries!C$1,MATCH(Table1[[#This Row],[Ticker]],Industries!$A$2:$A$150,0),0)</f>
        <v>Energy</v>
      </c>
      <c r="C449" t="str">
        <f ca="1">OFFSET(Industries!D$1,MATCH(Table1[[#This Row],[Ticker]],Industries!$A$2:$A$150,0),0)</f>
        <v>Energy</v>
      </c>
      <c r="D449" t="str">
        <f ca="1">OFFSET(Industries!E$1,MATCH(Table1[[#This Row],[Ticker]],Industries!$A$2:$A$150,0),0)</f>
        <v>Oil, Gas and Consumable Fuels</v>
      </c>
      <c r="E449" t="s">
        <v>290</v>
      </c>
      <c r="F449" t="str">
        <f ca="1">OFFSET(Industries!B$1,MATCH(Table1[[#This Row],[Ticker]],Industries!$A$2:$A$140,0),0)</f>
        <v>Ultra-Cap</v>
      </c>
      <c r="G449" t="str">
        <f ca="1">OFFSET(Industries!F$1,MATCH(Table1[[#This Row],[Ticker]],Industries!$A$2:$A$140,0),0)</f>
        <v>A-</v>
      </c>
      <c r="H449" t="s">
        <v>1434</v>
      </c>
      <c r="I449" t="s">
        <v>1434</v>
      </c>
      <c r="J449" s="2">
        <v>45379</v>
      </c>
      <c r="K449" t="s">
        <v>21</v>
      </c>
      <c r="L449" t="s">
        <v>1708</v>
      </c>
      <c r="M449" t="s">
        <v>1709</v>
      </c>
      <c r="N449" s="1"/>
      <c r="O449" t="s">
        <v>4</v>
      </c>
      <c r="P449" s="3">
        <v>0.14000000000000001</v>
      </c>
      <c r="Q449" s="3" t="s">
        <v>1636</v>
      </c>
      <c r="R449" t="s">
        <v>24</v>
      </c>
      <c r="S449" t="s">
        <v>1086</v>
      </c>
      <c r="T449" t="s">
        <v>294</v>
      </c>
      <c r="U449" s="1">
        <v>0.05</v>
      </c>
    </row>
    <row r="450" spans="1:22" x14ac:dyDescent="0.3">
      <c r="A450" t="s">
        <v>289</v>
      </c>
      <c r="B450" t="str">
        <f ca="1">OFFSET(Industries!C$1,MATCH(Table1[[#This Row],[Ticker]],Industries!$A$2:$A$150,0),0)</f>
        <v>Energy</v>
      </c>
      <c r="C450" t="str">
        <f ca="1">OFFSET(Industries!D$1,MATCH(Table1[[#This Row],[Ticker]],Industries!$A$2:$A$150,0),0)</f>
        <v>Energy</v>
      </c>
      <c r="D450" t="str">
        <f ca="1">OFFSET(Industries!E$1,MATCH(Table1[[#This Row],[Ticker]],Industries!$A$2:$A$150,0),0)</f>
        <v>Oil, Gas and Consumable Fuels</v>
      </c>
      <c r="E450" t="s">
        <v>290</v>
      </c>
      <c r="F450" t="str">
        <f ca="1">OFFSET(Industries!B$1,MATCH(Table1[[#This Row],[Ticker]],Industries!$A$2:$A$140,0),0)</f>
        <v>Ultra-Cap</v>
      </c>
      <c r="G450" t="str">
        <f ca="1">OFFSET(Industries!F$1,MATCH(Table1[[#This Row],[Ticker]],Industries!$A$2:$A$140,0),0)</f>
        <v>A-</v>
      </c>
      <c r="H450" t="s">
        <v>1434</v>
      </c>
      <c r="I450" t="s">
        <v>1434</v>
      </c>
      <c r="J450" s="2">
        <v>45379</v>
      </c>
      <c r="K450" t="s">
        <v>21</v>
      </c>
      <c r="L450" t="s">
        <v>1708</v>
      </c>
      <c r="M450" t="s">
        <v>1709</v>
      </c>
      <c r="N450" s="1"/>
      <c r="O450" t="s">
        <v>4</v>
      </c>
      <c r="P450" s="3">
        <v>0.14000000000000001</v>
      </c>
      <c r="Q450" s="3"/>
      <c r="R450" t="s">
        <v>28</v>
      </c>
      <c r="S450" t="s">
        <v>1087</v>
      </c>
      <c r="T450" t="s">
        <v>40</v>
      </c>
    </row>
    <row r="451" spans="1:22" x14ac:dyDescent="0.3">
      <c r="A451" t="s">
        <v>289</v>
      </c>
      <c r="B451" t="str">
        <f ca="1">OFFSET(Industries!C$1,MATCH(Table1[[#This Row],[Ticker]],Industries!$A$2:$A$150,0),0)</f>
        <v>Energy</v>
      </c>
      <c r="C451" t="str">
        <f ca="1">OFFSET(Industries!D$1,MATCH(Table1[[#This Row],[Ticker]],Industries!$A$2:$A$150,0),0)</f>
        <v>Energy</v>
      </c>
      <c r="D451" t="str">
        <f ca="1">OFFSET(Industries!E$1,MATCH(Table1[[#This Row],[Ticker]],Industries!$A$2:$A$150,0),0)</f>
        <v>Oil, Gas and Consumable Fuels</v>
      </c>
      <c r="E451" t="s">
        <v>290</v>
      </c>
      <c r="F451" t="str">
        <f ca="1">OFFSET(Industries!B$1,MATCH(Table1[[#This Row],[Ticker]],Industries!$A$2:$A$140,0),0)</f>
        <v>Ultra-Cap</v>
      </c>
      <c r="G451" t="str">
        <f ca="1">OFFSET(Industries!F$1,MATCH(Table1[[#This Row],[Ticker]],Industries!$A$2:$A$140,0),0)</f>
        <v>A-</v>
      </c>
      <c r="H451" t="s">
        <v>1434</v>
      </c>
      <c r="I451" t="s">
        <v>1434</v>
      </c>
      <c r="J451" s="2">
        <v>45379</v>
      </c>
      <c r="K451" t="s">
        <v>21</v>
      </c>
      <c r="L451" t="s">
        <v>1710</v>
      </c>
      <c r="M451" t="s">
        <v>1709</v>
      </c>
      <c r="N451" s="1">
        <f>Table1[[#This Row],[Consideration Weight]]</f>
        <v>0.43</v>
      </c>
      <c r="O451" t="s">
        <v>476</v>
      </c>
      <c r="P451" s="3">
        <v>0.43</v>
      </c>
      <c r="Q451" s="3" t="s">
        <v>1646</v>
      </c>
      <c r="R451" t="s">
        <v>35</v>
      </c>
      <c r="S451" t="s">
        <v>29</v>
      </c>
      <c r="T451" t="s">
        <v>30</v>
      </c>
      <c r="U451" s="1">
        <v>1</v>
      </c>
    </row>
    <row r="452" spans="1:22" x14ac:dyDescent="0.3">
      <c r="A452" t="s">
        <v>289</v>
      </c>
      <c r="B452" t="str">
        <f ca="1">OFFSET(Industries!C$1,MATCH(Table1[[#This Row],[Ticker]],Industries!$A$2:$A$150,0),0)</f>
        <v>Energy</v>
      </c>
      <c r="C452" t="str">
        <f ca="1">OFFSET(Industries!D$1,MATCH(Table1[[#This Row],[Ticker]],Industries!$A$2:$A$150,0),0)</f>
        <v>Energy</v>
      </c>
      <c r="D452" t="str">
        <f ca="1">OFFSET(Industries!E$1,MATCH(Table1[[#This Row],[Ticker]],Industries!$A$2:$A$150,0),0)</f>
        <v>Oil, Gas and Consumable Fuels</v>
      </c>
      <c r="E452" t="s">
        <v>290</v>
      </c>
      <c r="F452" t="str">
        <f ca="1">OFFSET(Industries!B$1,MATCH(Table1[[#This Row],[Ticker]],Industries!$A$2:$A$140,0),0)</f>
        <v>Ultra-Cap</v>
      </c>
      <c r="G452" t="str">
        <f ca="1">OFFSET(Industries!F$1,MATCH(Table1[[#This Row],[Ticker]],Industries!$A$2:$A$140,0),0)</f>
        <v>A-</v>
      </c>
      <c r="H452" t="s">
        <v>1434</v>
      </c>
      <c r="I452" t="s">
        <v>1434</v>
      </c>
      <c r="J452" s="2">
        <v>45379</v>
      </c>
      <c r="K452" t="s">
        <v>21</v>
      </c>
      <c r="L452" t="s">
        <v>1710</v>
      </c>
      <c r="M452" t="s">
        <v>1709</v>
      </c>
      <c r="N452" s="1"/>
      <c r="O452" t="s">
        <v>476</v>
      </c>
      <c r="P452" s="3">
        <v>0.43</v>
      </c>
      <c r="Q452" s="3"/>
      <c r="R452" t="s">
        <v>28</v>
      </c>
      <c r="S452" t="s">
        <v>1119</v>
      </c>
      <c r="T452" t="s">
        <v>298</v>
      </c>
    </row>
    <row r="453" spans="1:22" x14ac:dyDescent="0.3">
      <c r="A453" t="s">
        <v>289</v>
      </c>
      <c r="B453" t="str">
        <f ca="1">OFFSET(Industries!C$1,MATCH(Table1[[#This Row],[Ticker]],Industries!$A$2:$A$150,0),0)</f>
        <v>Energy</v>
      </c>
      <c r="C453" t="str">
        <f ca="1">OFFSET(Industries!D$1,MATCH(Table1[[#This Row],[Ticker]],Industries!$A$2:$A$150,0),0)</f>
        <v>Energy</v>
      </c>
      <c r="D453" t="str">
        <f ca="1">OFFSET(Industries!E$1,MATCH(Table1[[#This Row],[Ticker]],Industries!$A$2:$A$150,0),0)</f>
        <v>Oil, Gas and Consumable Fuels</v>
      </c>
      <c r="E453" t="s">
        <v>290</v>
      </c>
      <c r="F453" t="str">
        <f ca="1">OFFSET(Industries!B$1,MATCH(Table1[[#This Row],[Ticker]],Industries!$A$2:$A$140,0),0)</f>
        <v>Ultra-Cap</v>
      </c>
      <c r="G453" t="str">
        <f ca="1">OFFSET(Industries!F$1,MATCH(Table1[[#This Row],[Ticker]],Industries!$A$2:$A$140,0),0)</f>
        <v>A-</v>
      </c>
      <c r="H453" t="s">
        <v>1434</v>
      </c>
      <c r="I453" t="s">
        <v>1434</v>
      </c>
      <c r="J453" s="2">
        <v>45379</v>
      </c>
      <c r="K453" t="s">
        <v>21</v>
      </c>
      <c r="L453" t="s">
        <v>1710</v>
      </c>
      <c r="M453" t="s">
        <v>1709</v>
      </c>
      <c r="N453" s="1"/>
      <c r="O453" t="s">
        <v>476</v>
      </c>
      <c r="P453" s="3">
        <v>0.43</v>
      </c>
      <c r="Q453" s="3"/>
      <c r="R453" t="s">
        <v>28</v>
      </c>
      <c r="S453" t="s">
        <v>1095</v>
      </c>
      <c r="T453" t="s">
        <v>55</v>
      </c>
    </row>
    <row r="454" spans="1:22" x14ac:dyDescent="0.3">
      <c r="A454" t="s">
        <v>289</v>
      </c>
      <c r="B454" t="str">
        <f ca="1">OFFSET(Industries!C$1,MATCH(Table1[[#This Row],[Ticker]],Industries!$A$2:$A$150,0),0)</f>
        <v>Energy</v>
      </c>
      <c r="C454" t="str">
        <f ca="1">OFFSET(Industries!D$1,MATCH(Table1[[#This Row],[Ticker]],Industries!$A$2:$A$150,0),0)</f>
        <v>Energy</v>
      </c>
      <c r="D454" t="str">
        <f ca="1">OFFSET(Industries!E$1,MATCH(Table1[[#This Row],[Ticker]],Industries!$A$2:$A$150,0),0)</f>
        <v>Oil, Gas and Consumable Fuels</v>
      </c>
      <c r="E454" t="s">
        <v>290</v>
      </c>
      <c r="F454" t="str">
        <f ca="1">OFFSET(Industries!B$1,MATCH(Table1[[#This Row],[Ticker]],Industries!$A$2:$A$140,0),0)</f>
        <v>Ultra-Cap</v>
      </c>
      <c r="G454" t="str">
        <f ca="1">OFFSET(Industries!F$1,MATCH(Table1[[#This Row],[Ticker]],Industries!$A$2:$A$140,0),0)</f>
        <v>A-</v>
      </c>
      <c r="H454" t="s">
        <v>1434</v>
      </c>
      <c r="I454" t="s">
        <v>1434</v>
      </c>
      <c r="J454" s="2">
        <v>45379</v>
      </c>
      <c r="K454" t="s">
        <v>21</v>
      </c>
      <c r="L454" t="s">
        <v>1710</v>
      </c>
      <c r="M454" t="s">
        <v>1711</v>
      </c>
      <c r="N454" s="1">
        <f>Table1[[#This Row],[Consideration Weight]]</f>
        <v>0.28000000000000003</v>
      </c>
      <c r="O454" t="s">
        <v>194</v>
      </c>
      <c r="P454" s="3">
        <v>0.28000000000000003</v>
      </c>
      <c r="Q454" s="3"/>
    </row>
    <row r="455" spans="1:22" x14ac:dyDescent="0.3">
      <c r="A455" t="s">
        <v>309</v>
      </c>
      <c r="B455" t="str">
        <f ca="1">OFFSET(Industries!C$1,MATCH(Table1[[#This Row],[Ticker]],Industries!$A$2:$A$150,0),0)</f>
        <v>Consumer Discretionary</v>
      </c>
      <c r="C455" t="str">
        <f ca="1">OFFSET(Industries!D$1,MATCH(Table1[[#This Row],[Ticker]],Industries!$A$2:$A$150,0),0)</f>
        <v>Consumer Services</v>
      </c>
      <c r="D455" t="str">
        <f ca="1">OFFSET(Industries!E$1,MATCH(Table1[[#This Row],[Ticker]],Industries!$A$2:$A$150,0),0)</f>
        <v>Hotels, Restaurants and Leisure</v>
      </c>
      <c r="E455" t="s">
        <v>310</v>
      </c>
      <c r="F455" t="str">
        <f ca="1">OFFSET(Industries!B$1,MATCH(Table1[[#This Row],[Ticker]],Industries!$A$2:$A$140,0),0)</f>
        <v>Large-Cap</v>
      </c>
      <c r="G455" t="str">
        <f ca="1">OFFSET(Industries!F$1,MATCH(Table1[[#This Row],[Ticker]],Industries!$A$2:$A$140,0),0)</f>
        <v>BB+</v>
      </c>
      <c r="H455" t="s">
        <v>1434</v>
      </c>
      <c r="I455" t="s">
        <v>1434</v>
      </c>
      <c r="J455" s="2">
        <v>45399</v>
      </c>
      <c r="K455" t="s">
        <v>2</v>
      </c>
      <c r="L455" t="s">
        <v>3</v>
      </c>
      <c r="M455" t="s">
        <v>1711</v>
      </c>
      <c r="N455" s="1">
        <f>Table1[[#This Row],[Consideration Weight]]</f>
        <v>8.2000000000000003E-2</v>
      </c>
      <c r="O455" t="s">
        <v>3</v>
      </c>
      <c r="P455" s="3">
        <v>8.2000000000000003E-2</v>
      </c>
      <c r="Q455" s="3"/>
    </row>
    <row r="456" spans="1:22" x14ac:dyDescent="0.3">
      <c r="A456" t="s">
        <v>309</v>
      </c>
      <c r="B456" t="str">
        <f ca="1">OFFSET(Industries!C$1,MATCH(Table1[[#This Row],[Ticker]],Industries!$A$2:$A$150,0),0)</f>
        <v>Consumer Discretionary</v>
      </c>
      <c r="C456" t="str">
        <f ca="1">OFFSET(Industries!D$1,MATCH(Table1[[#This Row],[Ticker]],Industries!$A$2:$A$150,0),0)</f>
        <v>Consumer Services</v>
      </c>
      <c r="D456" t="str">
        <f ca="1">OFFSET(Industries!E$1,MATCH(Table1[[#This Row],[Ticker]],Industries!$A$2:$A$150,0),0)</f>
        <v>Hotels, Restaurants and Leisure</v>
      </c>
      <c r="E456" t="s">
        <v>310</v>
      </c>
      <c r="F456" t="str">
        <f ca="1">OFFSET(Industries!B$1,MATCH(Table1[[#This Row],[Ticker]],Industries!$A$2:$A$140,0),0)</f>
        <v>Large-Cap</v>
      </c>
      <c r="G456" t="str">
        <f ca="1">OFFSET(Industries!F$1,MATCH(Table1[[#This Row],[Ticker]],Industries!$A$2:$A$140,0),0)</f>
        <v>BB+</v>
      </c>
      <c r="H456" t="s">
        <v>1434</v>
      </c>
      <c r="I456" t="s">
        <v>1434</v>
      </c>
      <c r="J456" s="2">
        <v>45399</v>
      </c>
      <c r="K456" t="s">
        <v>2</v>
      </c>
      <c r="L456" t="s">
        <v>1708</v>
      </c>
      <c r="M456" t="s">
        <v>1709</v>
      </c>
      <c r="N456" s="1">
        <f>Table1[[#This Row],[Consideration Weight]]</f>
        <v>0.16400000000000001</v>
      </c>
      <c r="O456" t="s">
        <v>4</v>
      </c>
      <c r="P456" s="3">
        <v>0.16400000000000001</v>
      </c>
      <c r="Q456" s="3" t="s">
        <v>1636</v>
      </c>
      <c r="R456" t="s">
        <v>24</v>
      </c>
      <c r="S456" t="s">
        <v>1089</v>
      </c>
      <c r="T456" t="s">
        <v>50</v>
      </c>
      <c r="U456" s="1">
        <v>0.65</v>
      </c>
      <c r="V456" s="1" t="s">
        <v>319</v>
      </c>
    </row>
    <row r="457" spans="1:22" x14ac:dyDescent="0.3">
      <c r="A457" t="s">
        <v>309</v>
      </c>
      <c r="B457" t="str">
        <f ca="1">OFFSET(Industries!C$1,MATCH(Table1[[#This Row],[Ticker]],Industries!$A$2:$A$150,0),0)</f>
        <v>Consumer Discretionary</v>
      </c>
      <c r="C457" t="str">
        <f ca="1">OFFSET(Industries!D$1,MATCH(Table1[[#This Row],[Ticker]],Industries!$A$2:$A$150,0),0)</f>
        <v>Consumer Services</v>
      </c>
      <c r="D457" t="str">
        <f ca="1">OFFSET(Industries!E$1,MATCH(Table1[[#This Row],[Ticker]],Industries!$A$2:$A$150,0),0)</f>
        <v>Hotels, Restaurants and Leisure</v>
      </c>
      <c r="E457" t="s">
        <v>310</v>
      </c>
      <c r="F457" t="str">
        <f ca="1">OFFSET(Industries!B$1,MATCH(Table1[[#This Row],[Ticker]],Industries!$A$2:$A$140,0),0)</f>
        <v>Large-Cap</v>
      </c>
      <c r="G457" t="str">
        <f ca="1">OFFSET(Industries!F$1,MATCH(Table1[[#This Row],[Ticker]],Industries!$A$2:$A$140,0),0)</f>
        <v>BB+</v>
      </c>
      <c r="H457" t="s">
        <v>1434</v>
      </c>
      <c r="I457" t="s">
        <v>1434</v>
      </c>
      <c r="J457" s="2">
        <v>45399</v>
      </c>
      <c r="K457" t="s">
        <v>2</v>
      </c>
      <c r="L457" t="s">
        <v>1708</v>
      </c>
      <c r="M457" t="s">
        <v>1709</v>
      </c>
      <c r="N457" s="1"/>
      <c r="O457" t="s">
        <v>4</v>
      </c>
      <c r="P457" s="3">
        <v>0.16400000000000001</v>
      </c>
      <c r="Q457" s="3" t="s">
        <v>1636</v>
      </c>
      <c r="R457" t="s">
        <v>24</v>
      </c>
      <c r="S457" t="s">
        <v>1105</v>
      </c>
      <c r="T457" t="s">
        <v>311</v>
      </c>
      <c r="U457" s="1">
        <v>0.06</v>
      </c>
      <c r="V457" t="s">
        <v>320</v>
      </c>
    </row>
    <row r="458" spans="1:22" x14ac:dyDescent="0.3">
      <c r="A458" t="s">
        <v>309</v>
      </c>
      <c r="B458" t="str">
        <f ca="1">OFFSET(Industries!C$1,MATCH(Table1[[#This Row],[Ticker]],Industries!$A$2:$A$150,0),0)</f>
        <v>Consumer Discretionary</v>
      </c>
      <c r="C458" t="str">
        <f ca="1">OFFSET(Industries!D$1,MATCH(Table1[[#This Row],[Ticker]],Industries!$A$2:$A$150,0),0)</f>
        <v>Consumer Services</v>
      </c>
      <c r="D458" t="str">
        <f ca="1">OFFSET(Industries!E$1,MATCH(Table1[[#This Row],[Ticker]],Industries!$A$2:$A$150,0),0)</f>
        <v>Hotels, Restaurants and Leisure</v>
      </c>
      <c r="E458" t="s">
        <v>310</v>
      </c>
      <c r="F458" t="str">
        <f ca="1">OFFSET(Industries!B$1,MATCH(Table1[[#This Row],[Ticker]],Industries!$A$2:$A$140,0),0)</f>
        <v>Large-Cap</v>
      </c>
      <c r="G458" t="str">
        <f ca="1">OFFSET(Industries!F$1,MATCH(Table1[[#This Row],[Ticker]],Industries!$A$2:$A$140,0),0)</f>
        <v>BB+</v>
      </c>
      <c r="H458" t="s">
        <v>1434</v>
      </c>
      <c r="I458" t="s">
        <v>1434</v>
      </c>
      <c r="J458" s="2">
        <v>45399</v>
      </c>
      <c r="K458" t="s">
        <v>2</v>
      </c>
      <c r="L458" t="s">
        <v>1708</v>
      </c>
      <c r="M458" t="s">
        <v>1709</v>
      </c>
      <c r="N458" s="1"/>
      <c r="O458" t="s">
        <v>4</v>
      </c>
      <c r="P458" s="3">
        <v>0.16400000000000001</v>
      </c>
      <c r="Q458" s="3" t="s">
        <v>1636</v>
      </c>
      <c r="R458" t="s">
        <v>24</v>
      </c>
      <c r="S458" t="s">
        <v>1086</v>
      </c>
      <c r="T458" t="s">
        <v>312</v>
      </c>
      <c r="U458" s="1">
        <v>0.06</v>
      </c>
      <c r="V458" t="s">
        <v>321</v>
      </c>
    </row>
    <row r="459" spans="1:22" x14ac:dyDescent="0.3">
      <c r="A459" t="s">
        <v>309</v>
      </c>
      <c r="B459" t="str">
        <f ca="1">OFFSET(Industries!C$1,MATCH(Table1[[#This Row],[Ticker]],Industries!$A$2:$A$150,0),0)</f>
        <v>Consumer Discretionary</v>
      </c>
      <c r="C459" t="str">
        <f ca="1">OFFSET(Industries!D$1,MATCH(Table1[[#This Row],[Ticker]],Industries!$A$2:$A$150,0),0)</f>
        <v>Consumer Services</v>
      </c>
      <c r="D459" t="str">
        <f ca="1">OFFSET(Industries!E$1,MATCH(Table1[[#This Row],[Ticker]],Industries!$A$2:$A$150,0),0)</f>
        <v>Hotels, Restaurants and Leisure</v>
      </c>
      <c r="E459" t="s">
        <v>310</v>
      </c>
      <c r="F459" t="str">
        <f ca="1">OFFSET(Industries!B$1,MATCH(Table1[[#This Row],[Ticker]],Industries!$A$2:$A$140,0),0)</f>
        <v>Large-Cap</v>
      </c>
      <c r="G459" t="str">
        <f ca="1">OFFSET(Industries!F$1,MATCH(Table1[[#This Row],[Ticker]],Industries!$A$2:$A$140,0),0)</f>
        <v>BB+</v>
      </c>
      <c r="H459" t="s">
        <v>1434</v>
      </c>
      <c r="I459" t="s">
        <v>1434</v>
      </c>
      <c r="J459" s="2">
        <v>45399</v>
      </c>
      <c r="K459" t="s">
        <v>2</v>
      </c>
      <c r="L459" t="s">
        <v>1708</v>
      </c>
      <c r="M459" t="s">
        <v>1709</v>
      </c>
      <c r="N459" s="1"/>
      <c r="O459" t="s">
        <v>4</v>
      </c>
      <c r="P459" s="3">
        <v>0.16400000000000001</v>
      </c>
      <c r="Q459" s="3" t="s">
        <v>1637</v>
      </c>
      <c r="R459" t="s">
        <v>25</v>
      </c>
      <c r="S459" t="s">
        <v>1130</v>
      </c>
      <c r="T459" t="s">
        <v>313</v>
      </c>
      <c r="U459" s="1">
        <v>0.06</v>
      </c>
      <c r="V459" t="s">
        <v>322</v>
      </c>
    </row>
    <row r="460" spans="1:22" x14ac:dyDescent="0.3">
      <c r="A460" t="s">
        <v>309</v>
      </c>
      <c r="B460" t="str">
        <f ca="1">OFFSET(Industries!C$1,MATCH(Table1[[#This Row],[Ticker]],Industries!$A$2:$A$150,0),0)</f>
        <v>Consumer Discretionary</v>
      </c>
      <c r="C460" t="str">
        <f ca="1">OFFSET(Industries!D$1,MATCH(Table1[[#This Row],[Ticker]],Industries!$A$2:$A$150,0),0)</f>
        <v>Consumer Services</v>
      </c>
      <c r="D460" t="str">
        <f ca="1">OFFSET(Industries!E$1,MATCH(Table1[[#This Row],[Ticker]],Industries!$A$2:$A$150,0),0)</f>
        <v>Hotels, Restaurants and Leisure</v>
      </c>
      <c r="E460" t="s">
        <v>310</v>
      </c>
      <c r="F460" t="str">
        <f ca="1">OFFSET(Industries!B$1,MATCH(Table1[[#This Row],[Ticker]],Industries!$A$2:$A$140,0),0)</f>
        <v>Large-Cap</v>
      </c>
      <c r="G460" t="str">
        <f ca="1">OFFSET(Industries!F$1,MATCH(Table1[[#This Row],[Ticker]],Industries!$A$2:$A$140,0),0)</f>
        <v>BB+</v>
      </c>
      <c r="H460" t="s">
        <v>1434</v>
      </c>
      <c r="I460" t="s">
        <v>1434</v>
      </c>
      <c r="J460" s="2">
        <v>45399</v>
      </c>
      <c r="K460" t="s">
        <v>2</v>
      </c>
      <c r="L460" t="s">
        <v>1708</v>
      </c>
      <c r="M460" t="s">
        <v>1709</v>
      </c>
      <c r="N460" s="1"/>
      <c r="O460" t="s">
        <v>4</v>
      </c>
      <c r="P460" s="3">
        <v>0.16400000000000001</v>
      </c>
      <c r="Q460" s="3" t="s">
        <v>1637</v>
      </c>
      <c r="R460" t="s">
        <v>26</v>
      </c>
      <c r="S460" t="s">
        <v>26</v>
      </c>
      <c r="T460" t="s">
        <v>314</v>
      </c>
      <c r="U460" s="1">
        <v>0.06</v>
      </c>
      <c r="V460" t="s">
        <v>323</v>
      </c>
    </row>
    <row r="461" spans="1:22" x14ac:dyDescent="0.3">
      <c r="A461" t="s">
        <v>309</v>
      </c>
      <c r="B461" t="str">
        <f ca="1">OFFSET(Industries!C$1,MATCH(Table1[[#This Row],[Ticker]],Industries!$A$2:$A$150,0),0)</f>
        <v>Consumer Discretionary</v>
      </c>
      <c r="C461" t="str">
        <f ca="1">OFFSET(Industries!D$1,MATCH(Table1[[#This Row],[Ticker]],Industries!$A$2:$A$150,0),0)</f>
        <v>Consumer Services</v>
      </c>
      <c r="D461" t="str">
        <f ca="1">OFFSET(Industries!E$1,MATCH(Table1[[#This Row],[Ticker]],Industries!$A$2:$A$150,0),0)</f>
        <v>Hotels, Restaurants and Leisure</v>
      </c>
      <c r="E461" t="s">
        <v>310</v>
      </c>
      <c r="F461" t="str">
        <f ca="1">OFFSET(Industries!B$1,MATCH(Table1[[#This Row],[Ticker]],Industries!$A$2:$A$140,0),0)</f>
        <v>Large-Cap</v>
      </c>
      <c r="G461" t="str">
        <f ca="1">OFFSET(Industries!F$1,MATCH(Table1[[#This Row],[Ticker]],Industries!$A$2:$A$140,0),0)</f>
        <v>BB+</v>
      </c>
      <c r="H461" t="s">
        <v>1434</v>
      </c>
      <c r="I461" t="s">
        <v>1434</v>
      </c>
      <c r="J461" s="2">
        <v>45399</v>
      </c>
      <c r="K461" t="s">
        <v>2</v>
      </c>
      <c r="L461" t="s">
        <v>1708</v>
      </c>
      <c r="M461" t="s">
        <v>1709</v>
      </c>
      <c r="N461" s="1"/>
      <c r="O461" t="s">
        <v>4</v>
      </c>
      <c r="P461" s="3">
        <v>0.16400000000000001</v>
      </c>
      <c r="Q461" s="3" t="s">
        <v>1637</v>
      </c>
      <c r="R461" t="s">
        <v>26</v>
      </c>
      <c r="S461" t="s">
        <v>26</v>
      </c>
      <c r="T461" t="s">
        <v>315</v>
      </c>
      <c r="U461" s="1">
        <v>0.06</v>
      </c>
      <c r="V461" t="s">
        <v>324</v>
      </c>
    </row>
    <row r="462" spans="1:22" x14ac:dyDescent="0.3">
      <c r="A462" t="s">
        <v>309</v>
      </c>
      <c r="B462" t="str">
        <f ca="1">OFFSET(Industries!C$1,MATCH(Table1[[#This Row],[Ticker]],Industries!$A$2:$A$150,0),0)</f>
        <v>Consumer Discretionary</v>
      </c>
      <c r="C462" t="str">
        <f ca="1">OFFSET(Industries!D$1,MATCH(Table1[[#This Row],[Ticker]],Industries!$A$2:$A$150,0),0)</f>
        <v>Consumer Services</v>
      </c>
      <c r="D462" t="str">
        <f ca="1">OFFSET(Industries!E$1,MATCH(Table1[[#This Row],[Ticker]],Industries!$A$2:$A$150,0),0)</f>
        <v>Hotels, Restaurants and Leisure</v>
      </c>
      <c r="E462" t="s">
        <v>310</v>
      </c>
      <c r="F462" t="str">
        <f ca="1">OFFSET(Industries!B$1,MATCH(Table1[[#This Row],[Ticker]],Industries!$A$2:$A$140,0),0)</f>
        <v>Large-Cap</v>
      </c>
      <c r="G462" t="str">
        <f ca="1">OFFSET(Industries!F$1,MATCH(Table1[[#This Row],[Ticker]],Industries!$A$2:$A$140,0),0)</f>
        <v>BB+</v>
      </c>
      <c r="H462" t="s">
        <v>1434</v>
      </c>
      <c r="I462" t="s">
        <v>1434</v>
      </c>
      <c r="J462" s="2">
        <v>45399</v>
      </c>
      <c r="K462" t="s">
        <v>2</v>
      </c>
      <c r="L462" t="s">
        <v>1708</v>
      </c>
      <c r="M462" t="s">
        <v>1709</v>
      </c>
      <c r="N462" s="1"/>
      <c r="O462" t="s">
        <v>4</v>
      </c>
      <c r="P462" s="3">
        <v>0.16400000000000001</v>
      </c>
      <c r="Q462" s="3" t="s">
        <v>1637</v>
      </c>
      <c r="R462" t="s">
        <v>26</v>
      </c>
      <c r="S462" t="s">
        <v>26</v>
      </c>
      <c r="T462" t="s">
        <v>316</v>
      </c>
      <c r="U462" s="1">
        <v>0.05</v>
      </c>
      <c r="V462" t="s">
        <v>325</v>
      </c>
    </row>
    <row r="463" spans="1:22" x14ac:dyDescent="0.3">
      <c r="A463" t="s">
        <v>309</v>
      </c>
      <c r="B463" t="str">
        <f ca="1">OFFSET(Industries!C$1,MATCH(Table1[[#This Row],[Ticker]],Industries!$A$2:$A$150,0),0)</f>
        <v>Consumer Discretionary</v>
      </c>
      <c r="C463" t="str">
        <f ca="1">OFFSET(Industries!D$1,MATCH(Table1[[#This Row],[Ticker]],Industries!$A$2:$A$150,0),0)</f>
        <v>Consumer Services</v>
      </c>
      <c r="D463" t="str">
        <f ca="1">OFFSET(Industries!E$1,MATCH(Table1[[#This Row],[Ticker]],Industries!$A$2:$A$150,0),0)</f>
        <v>Hotels, Restaurants and Leisure</v>
      </c>
      <c r="E463" t="s">
        <v>310</v>
      </c>
      <c r="F463" t="str">
        <f ca="1">OFFSET(Industries!B$1,MATCH(Table1[[#This Row],[Ticker]],Industries!$A$2:$A$140,0),0)</f>
        <v>Large-Cap</v>
      </c>
      <c r="G463" t="str">
        <f ca="1">OFFSET(Industries!F$1,MATCH(Table1[[#This Row],[Ticker]],Industries!$A$2:$A$140,0),0)</f>
        <v>BB+</v>
      </c>
      <c r="H463" t="s">
        <v>1434</v>
      </c>
      <c r="I463" t="s">
        <v>1434</v>
      </c>
      <c r="J463" s="2">
        <v>45399</v>
      </c>
      <c r="K463" t="s">
        <v>2</v>
      </c>
      <c r="L463" t="s">
        <v>1710</v>
      </c>
      <c r="M463" t="s">
        <v>1709</v>
      </c>
      <c r="N463" s="1">
        <f>Table1[[#This Row],[Consideration Weight]]</f>
        <v>0.45200000000000001</v>
      </c>
      <c r="O463" t="s">
        <v>476</v>
      </c>
      <c r="P463" s="3">
        <v>0.45200000000000001</v>
      </c>
      <c r="Q463" s="3" t="s">
        <v>1636</v>
      </c>
      <c r="R463" t="s">
        <v>24</v>
      </c>
      <c r="S463" t="s">
        <v>1104</v>
      </c>
      <c r="T463" t="s">
        <v>317</v>
      </c>
      <c r="U463" s="1">
        <v>0.3</v>
      </c>
      <c r="V463" t="s">
        <v>328</v>
      </c>
    </row>
    <row r="464" spans="1:22" x14ac:dyDescent="0.3">
      <c r="A464" t="s">
        <v>309</v>
      </c>
      <c r="B464" t="str">
        <f ca="1">OFFSET(Industries!C$1,MATCH(Table1[[#This Row],[Ticker]],Industries!$A$2:$A$150,0),0)</f>
        <v>Consumer Discretionary</v>
      </c>
      <c r="C464" t="str">
        <f ca="1">OFFSET(Industries!D$1,MATCH(Table1[[#This Row],[Ticker]],Industries!$A$2:$A$150,0),0)</f>
        <v>Consumer Services</v>
      </c>
      <c r="D464" t="str">
        <f ca="1">OFFSET(Industries!E$1,MATCH(Table1[[#This Row],[Ticker]],Industries!$A$2:$A$150,0),0)</f>
        <v>Hotels, Restaurants and Leisure</v>
      </c>
      <c r="E464" t="s">
        <v>310</v>
      </c>
      <c r="F464" t="str">
        <f ca="1">OFFSET(Industries!B$1,MATCH(Table1[[#This Row],[Ticker]],Industries!$A$2:$A$140,0),0)</f>
        <v>Large-Cap</v>
      </c>
      <c r="G464" t="str">
        <f ca="1">OFFSET(Industries!F$1,MATCH(Table1[[#This Row],[Ticker]],Industries!$A$2:$A$140,0),0)</f>
        <v>BB+</v>
      </c>
      <c r="H464" t="s">
        <v>1434</v>
      </c>
      <c r="I464" t="s">
        <v>1434</v>
      </c>
      <c r="J464" s="2">
        <v>45399</v>
      </c>
      <c r="K464" t="s">
        <v>2</v>
      </c>
      <c r="L464" t="s">
        <v>1710</v>
      </c>
      <c r="M464" t="s">
        <v>1709</v>
      </c>
      <c r="N464" s="1"/>
      <c r="O464" t="s">
        <v>476</v>
      </c>
      <c r="P464" s="3">
        <v>0.45200000000000001</v>
      </c>
      <c r="Q464" s="3" t="s">
        <v>1636</v>
      </c>
      <c r="R464" t="s">
        <v>24</v>
      </c>
      <c r="S464" t="s">
        <v>1089</v>
      </c>
      <c r="T464" t="s">
        <v>50</v>
      </c>
      <c r="U464" s="1">
        <v>0.3</v>
      </c>
      <c r="V464" t="s">
        <v>326</v>
      </c>
    </row>
    <row r="465" spans="1:22" x14ac:dyDescent="0.3">
      <c r="A465" t="s">
        <v>309</v>
      </c>
      <c r="B465" t="str">
        <f ca="1">OFFSET(Industries!C$1,MATCH(Table1[[#This Row],[Ticker]],Industries!$A$2:$A$150,0),0)</f>
        <v>Consumer Discretionary</v>
      </c>
      <c r="C465" t="str">
        <f ca="1">OFFSET(Industries!D$1,MATCH(Table1[[#This Row],[Ticker]],Industries!$A$2:$A$150,0),0)</f>
        <v>Consumer Services</v>
      </c>
      <c r="D465" t="str">
        <f ca="1">OFFSET(Industries!E$1,MATCH(Table1[[#This Row],[Ticker]],Industries!$A$2:$A$150,0),0)</f>
        <v>Hotels, Restaurants and Leisure</v>
      </c>
      <c r="E465" t="s">
        <v>310</v>
      </c>
      <c r="F465" t="str">
        <f ca="1">OFFSET(Industries!B$1,MATCH(Table1[[#This Row],[Ticker]],Industries!$A$2:$A$140,0),0)</f>
        <v>Large-Cap</v>
      </c>
      <c r="G465" t="str">
        <f ca="1">OFFSET(Industries!F$1,MATCH(Table1[[#This Row],[Ticker]],Industries!$A$2:$A$140,0),0)</f>
        <v>BB+</v>
      </c>
      <c r="H465" t="s">
        <v>1434</v>
      </c>
      <c r="I465" t="s">
        <v>1434</v>
      </c>
      <c r="J465" s="2">
        <v>45399</v>
      </c>
      <c r="K465" t="s">
        <v>2</v>
      </c>
      <c r="L465" t="s">
        <v>1710</v>
      </c>
      <c r="M465" t="s">
        <v>1709</v>
      </c>
      <c r="N465" s="1"/>
      <c r="O465" t="s">
        <v>476</v>
      </c>
      <c r="P465" s="3">
        <v>0.45200000000000001</v>
      </c>
      <c r="Q465" s="3" t="s">
        <v>1636</v>
      </c>
      <c r="R465" t="s">
        <v>1059</v>
      </c>
      <c r="S465" t="s">
        <v>1101</v>
      </c>
      <c r="T465" t="s">
        <v>515</v>
      </c>
      <c r="U465" s="1">
        <v>0.3</v>
      </c>
      <c r="V465" t="s">
        <v>231</v>
      </c>
    </row>
    <row r="466" spans="1:22" x14ac:dyDescent="0.3">
      <c r="A466" t="s">
        <v>309</v>
      </c>
      <c r="B466" t="str">
        <f ca="1">OFFSET(Industries!C$1,MATCH(Table1[[#This Row],[Ticker]],Industries!$A$2:$A$150,0),0)</f>
        <v>Consumer Discretionary</v>
      </c>
      <c r="C466" t="str">
        <f ca="1">OFFSET(Industries!D$1,MATCH(Table1[[#This Row],[Ticker]],Industries!$A$2:$A$150,0),0)</f>
        <v>Consumer Services</v>
      </c>
      <c r="D466" t="str">
        <f ca="1">OFFSET(Industries!E$1,MATCH(Table1[[#This Row],[Ticker]],Industries!$A$2:$A$150,0),0)</f>
        <v>Hotels, Restaurants and Leisure</v>
      </c>
      <c r="E466" t="s">
        <v>310</v>
      </c>
      <c r="F466" t="str">
        <f ca="1">OFFSET(Industries!B$1,MATCH(Table1[[#This Row],[Ticker]],Industries!$A$2:$A$140,0),0)</f>
        <v>Large-Cap</v>
      </c>
      <c r="G466" t="str">
        <f ca="1">OFFSET(Industries!F$1,MATCH(Table1[[#This Row],[Ticker]],Industries!$A$2:$A$140,0),0)</f>
        <v>BB+</v>
      </c>
      <c r="H466" t="s">
        <v>1434</v>
      </c>
      <c r="I466" t="s">
        <v>1434</v>
      </c>
      <c r="J466" s="2">
        <v>45399</v>
      </c>
      <c r="K466" t="s">
        <v>2</v>
      </c>
      <c r="L466" t="s">
        <v>1710</v>
      </c>
      <c r="M466" t="s">
        <v>1709</v>
      </c>
      <c r="N466" s="1"/>
      <c r="O466" t="s">
        <v>476</v>
      </c>
      <c r="P466" s="3">
        <v>0.45200000000000001</v>
      </c>
      <c r="Q466" s="3" t="s">
        <v>1637</v>
      </c>
      <c r="R466" t="s">
        <v>26</v>
      </c>
      <c r="S466" t="s">
        <v>26</v>
      </c>
      <c r="T466" t="s">
        <v>318</v>
      </c>
      <c r="U466" s="1">
        <v>0.1</v>
      </c>
      <c r="V466" t="s">
        <v>327</v>
      </c>
    </row>
    <row r="467" spans="1:22" x14ac:dyDescent="0.3">
      <c r="A467" t="s">
        <v>309</v>
      </c>
      <c r="B467" t="str">
        <f ca="1">OFFSET(Industries!C$1,MATCH(Table1[[#This Row],[Ticker]],Industries!$A$2:$A$150,0),0)</f>
        <v>Consumer Discretionary</v>
      </c>
      <c r="C467" t="str">
        <f ca="1">OFFSET(Industries!D$1,MATCH(Table1[[#This Row],[Ticker]],Industries!$A$2:$A$150,0),0)</f>
        <v>Consumer Services</v>
      </c>
      <c r="D467" t="str">
        <f ca="1">OFFSET(Industries!E$1,MATCH(Table1[[#This Row],[Ticker]],Industries!$A$2:$A$150,0),0)</f>
        <v>Hotels, Restaurants and Leisure</v>
      </c>
      <c r="E467" t="s">
        <v>310</v>
      </c>
      <c r="F467" t="str">
        <f ca="1">OFFSET(Industries!B$1,MATCH(Table1[[#This Row],[Ticker]],Industries!$A$2:$A$140,0),0)</f>
        <v>Large-Cap</v>
      </c>
      <c r="G467" t="str">
        <f ca="1">OFFSET(Industries!F$1,MATCH(Table1[[#This Row],[Ticker]],Industries!$A$2:$A$140,0),0)</f>
        <v>BB+</v>
      </c>
      <c r="H467" t="s">
        <v>1434</v>
      </c>
      <c r="I467" t="s">
        <v>1434</v>
      </c>
      <c r="J467" s="2">
        <v>45399</v>
      </c>
      <c r="K467" t="s">
        <v>2</v>
      </c>
      <c r="L467" t="s">
        <v>1710</v>
      </c>
      <c r="M467" t="s">
        <v>1711</v>
      </c>
      <c r="N467" s="1">
        <f>Table1[[#This Row],[Consideration Weight]]</f>
        <v>0.30199999999999999</v>
      </c>
      <c r="O467" t="s">
        <v>194</v>
      </c>
      <c r="P467" s="3">
        <v>0.30199999999999999</v>
      </c>
      <c r="Q467" s="3"/>
    </row>
    <row r="468" spans="1:22" x14ac:dyDescent="0.3">
      <c r="A468" t="s">
        <v>309</v>
      </c>
      <c r="B468" t="str">
        <f ca="1">OFFSET(Industries!C$1,MATCH(Table1[[#This Row],[Ticker]],Industries!$A$2:$A$150,0),0)</f>
        <v>Consumer Discretionary</v>
      </c>
      <c r="C468" t="str">
        <f ca="1">OFFSET(Industries!D$1,MATCH(Table1[[#This Row],[Ticker]],Industries!$A$2:$A$150,0),0)</f>
        <v>Consumer Services</v>
      </c>
      <c r="D468" t="str">
        <f ca="1">OFFSET(Industries!E$1,MATCH(Table1[[#This Row],[Ticker]],Industries!$A$2:$A$150,0),0)</f>
        <v>Hotels, Restaurants and Leisure</v>
      </c>
      <c r="E468" t="s">
        <v>310</v>
      </c>
      <c r="F468" t="str">
        <f ca="1">OFFSET(Industries!B$1,MATCH(Table1[[#This Row],[Ticker]],Industries!$A$2:$A$140,0),0)</f>
        <v>Large-Cap</v>
      </c>
      <c r="G468" t="str">
        <f ca="1">OFFSET(Industries!F$1,MATCH(Table1[[#This Row],[Ticker]],Industries!$A$2:$A$140,0),0)</f>
        <v>BB+</v>
      </c>
      <c r="H468" t="s">
        <v>1434</v>
      </c>
      <c r="I468" t="s">
        <v>1434</v>
      </c>
      <c r="J468" s="2">
        <v>45399</v>
      </c>
      <c r="K468" t="s">
        <v>21</v>
      </c>
      <c r="L468" t="s">
        <v>3</v>
      </c>
      <c r="M468" t="s">
        <v>1711</v>
      </c>
      <c r="N468" s="1">
        <f>Table1[[#This Row],[Consideration Weight]]</f>
        <v>0.17199999999999999</v>
      </c>
      <c r="O468" t="s">
        <v>3</v>
      </c>
      <c r="P468" s="3">
        <v>0.17199999999999999</v>
      </c>
      <c r="Q468" s="3"/>
    </row>
    <row r="469" spans="1:22" x14ac:dyDescent="0.3">
      <c r="A469" t="s">
        <v>309</v>
      </c>
      <c r="B469" t="str">
        <f ca="1">OFFSET(Industries!C$1,MATCH(Table1[[#This Row],[Ticker]],Industries!$A$2:$A$150,0),0)</f>
        <v>Consumer Discretionary</v>
      </c>
      <c r="C469" t="str">
        <f ca="1">OFFSET(Industries!D$1,MATCH(Table1[[#This Row],[Ticker]],Industries!$A$2:$A$150,0),0)</f>
        <v>Consumer Services</v>
      </c>
      <c r="D469" t="str">
        <f ca="1">OFFSET(Industries!E$1,MATCH(Table1[[#This Row],[Ticker]],Industries!$A$2:$A$150,0),0)</f>
        <v>Hotels, Restaurants and Leisure</v>
      </c>
      <c r="E469" t="s">
        <v>310</v>
      </c>
      <c r="F469" t="str">
        <f ca="1">OFFSET(Industries!B$1,MATCH(Table1[[#This Row],[Ticker]],Industries!$A$2:$A$140,0),0)</f>
        <v>Large-Cap</v>
      </c>
      <c r="G469" t="str">
        <f ca="1">OFFSET(Industries!F$1,MATCH(Table1[[#This Row],[Ticker]],Industries!$A$2:$A$140,0),0)</f>
        <v>BB+</v>
      </c>
      <c r="H469" t="s">
        <v>1434</v>
      </c>
      <c r="I469" t="s">
        <v>1434</v>
      </c>
      <c r="J469" s="2">
        <v>45399</v>
      </c>
      <c r="K469" t="s">
        <v>21</v>
      </c>
      <c r="L469" t="s">
        <v>1708</v>
      </c>
      <c r="M469" t="s">
        <v>1709</v>
      </c>
      <c r="N469" s="1">
        <f>Table1[[#This Row],[Consideration Weight]]</f>
        <v>0.20300000000000001</v>
      </c>
      <c r="O469" t="s">
        <v>4</v>
      </c>
      <c r="P469" s="3">
        <v>0.20300000000000001</v>
      </c>
      <c r="Q469" s="3" t="s">
        <v>1636</v>
      </c>
      <c r="R469" t="s">
        <v>24</v>
      </c>
      <c r="S469" t="s">
        <v>1089</v>
      </c>
      <c r="T469" t="s">
        <v>50</v>
      </c>
      <c r="U469" s="1">
        <v>0.33</v>
      </c>
      <c r="V469" t="s">
        <v>329</v>
      </c>
    </row>
    <row r="470" spans="1:22" x14ac:dyDescent="0.3">
      <c r="A470" t="s">
        <v>309</v>
      </c>
      <c r="B470" t="str">
        <f ca="1">OFFSET(Industries!C$1,MATCH(Table1[[#This Row],[Ticker]],Industries!$A$2:$A$150,0),0)</f>
        <v>Consumer Discretionary</v>
      </c>
      <c r="C470" t="str">
        <f ca="1">OFFSET(Industries!D$1,MATCH(Table1[[#This Row],[Ticker]],Industries!$A$2:$A$150,0),0)</f>
        <v>Consumer Services</v>
      </c>
      <c r="D470" t="str">
        <f ca="1">OFFSET(Industries!E$1,MATCH(Table1[[#This Row],[Ticker]],Industries!$A$2:$A$150,0),0)</f>
        <v>Hotels, Restaurants and Leisure</v>
      </c>
      <c r="E470" t="s">
        <v>310</v>
      </c>
      <c r="F470" t="str">
        <f ca="1">OFFSET(Industries!B$1,MATCH(Table1[[#This Row],[Ticker]],Industries!$A$2:$A$140,0),0)</f>
        <v>Large-Cap</v>
      </c>
      <c r="G470" t="str">
        <f ca="1">OFFSET(Industries!F$1,MATCH(Table1[[#This Row],[Ticker]],Industries!$A$2:$A$140,0),0)</f>
        <v>BB+</v>
      </c>
      <c r="H470" t="s">
        <v>1434</v>
      </c>
      <c r="I470" t="s">
        <v>1434</v>
      </c>
      <c r="J470" s="2">
        <v>45399</v>
      </c>
      <c r="K470" t="s">
        <v>21</v>
      </c>
      <c r="L470" t="s">
        <v>1708</v>
      </c>
      <c r="M470" t="s">
        <v>1709</v>
      </c>
      <c r="N470" s="1"/>
      <c r="O470" t="s">
        <v>4</v>
      </c>
      <c r="P470" s="3">
        <v>0.20300000000000001</v>
      </c>
      <c r="Q470" s="3" t="s">
        <v>1637</v>
      </c>
      <c r="R470" t="s">
        <v>332</v>
      </c>
      <c r="S470" t="s">
        <v>380</v>
      </c>
      <c r="T470" t="s">
        <v>380</v>
      </c>
      <c r="U470" s="1">
        <v>0.33</v>
      </c>
    </row>
    <row r="471" spans="1:22" x14ac:dyDescent="0.3">
      <c r="A471" t="s">
        <v>309</v>
      </c>
      <c r="B471" t="str">
        <f ca="1">OFFSET(Industries!C$1,MATCH(Table1[[#This Row],[Ticker]],Industries!$A$2:$A$150,0),0)</f>
        <v>Consumer Discretionary</v>
      </c>
      <c r="C471" t="str">
        <f ca="1">OFFSET(Industries!D$1,MATCH(Table1[[#This Row],[Ticker]],Industries!$A$2:$A$150,0),0)</f>
        <v>Consumer Services</v>
      </c>
      <c r="D471" t="str">
        <f ca="1">OFFSET(Industries!E$1,MATCH(Table1[[#This Row],[Ticker]],Industries!$A$2:$A$150,0),0)</f>
        <v>Hotels, Restaurants and Leisure</v>
      </c>
      <c r="E471" t="s">
        <v>310</v>
      </c>
      <c r="F471" t="str">
        <f ca="1">OFFSET(Industries!B$1,MATCH(Table1[[#This Row],[Ticker]],Industries!$A$2:$A$140,0),0)</f>
        <v>Large-Cap</v>
      </c>
      <c r="G471" t="str">
        <f ca="1">OFFSET(Industries!F$1,MATCH(Table1[[#This Row],[Ticker]],Industries!$A$2:$A$140,0),0)</f>
        <v>BB+</v>
      </c>
      <c r="H471" t="s">
        <v>1434</v>
      </c>
      <c r="I471" t="s">
        <v>1434</v>
      </c>
      <c r="J471" s="2">
        <v>45399</v>
      </c>
      <c r="K471" t="s">
        <v>21</v>
      </c>
      <c r="L471" t="s">
        <v>1708</v>
      </c>
      <c r="M471" t="s">
        <v>1709</v>
      </c>
      <c r="N471" s="1"/>
      <c r="O471" t="s">
        <v>4</v>
      </c>
      <c r="P471" s="3">
        <v>0.20300000000000001</v>
      </c>
      <c r="Q471" s="3" t="s">
        <v>1636</v>
      </c>
      <c r="R471" t="s">
        <v>24</v>
      </c>
      <c r="S471" t="s">
        <v>1105</v>
      </c>
      <c r="T471" t="s">
        <v>311</v>
      </c>
      <c r="U471" s="1">
        <v>0.04</v>
      </c>
      <c r="V471" t="s">
        <v>330</v>
      </c>
    </row>
    <row r="472" spans="1:22" x14ac:dyDescent="0.3">
      <c r="A472" t="s">
        <v>309</v>
      </c>
      <c r="B472" t="str">
        <f ca="1">OFFSET(Industries!C$1,MATCH(Table1[[#This Row],[Ticker]],Industries!$A$2:$A$150,0),0)</f>
        <v>Consumer Discretionary</v>
      </c>
      <c r="C472" t="str">
        <f ca="1">OFFSET(Industries!D$1,MATCH(Table1[[#This Row],[Ticker]],Industries!$A$2:$A$150,0),0)</f>
        <v>Consumer Services</v>
      </c>
      <c r="D472" t="str">
        <f ca="1">OFFSET(Industries!E$1,MATCH(Table1[[#This Row],[Ticker]],Industries!$A$2:$A$150,0),0)</f>
        <v>Hotels, Restaurants and Leisure</v>
      </c>
      <c r="E472" t="s">
        <v>310</v>
      </c>
      <c r="F472" t="str">
        <f ca="1">OFFSET(Industries!B$1,MATCH(Table1[[#This Row],[Ticker]],Industries!$A$2:$A$140,0),0)</f>
        <v>Large-Cap</v>
      </c>
      <c r="G472" t="str">
        <f ca="1">OFFSET(Industries!F$1,MATCH(Table1[[#This Row],[Ticker]],Industries!$A$2:$A$140,0),0)</f>
        <v>BB+</v>
      </c>
      <c r="H472" t="s">
        <v>1434</v>
      </c>
      <c r="I472" t="s">
        <v>1434</v>
      </c>
      <c r="J472" s="2">
        <v>45399</v>
      </c>
      <c r="K472" t="s">
        <v>21</v>
      </c>
      <c r="L472" t="s">
        <v>1708</v>
      </c>
      <c r="M472" t="s">
        <v>1709</v>
      </c>
      <c r="N472" s="1"/>
      <c r="O472" t="s">
        <v>4</v>
      </c>
      <c r="P472" s="3">
        <v>0.20300000000000001</v>
      </c>
      <c r="Q472" s="3" t="s">
        <v>1636</v>
      </c>
      <c r="R472" t="s">
        <v>24</v>
      </c>
      <c r="S472" t="s">
        <v>1086</v>
      </c>
      <c r="T472" t="s">
        <v>312</v>
      </c>
      <c r="U472" s="1">
        <v>0.04</v>
      </c>
      <c r="V472" t="s">
        <v>330</v>
      </c>
    </row>
    <row r="473" spans="1:22" x14ac:dyDescent="0.3">
      <c r="A473" t="s">
        <v>309</v>
      </c>
      <c r="B473" t="str">
        <f ca="1">OFFSET(Industries!C$1,MATCH(Table1[[#This Row],[Ticker]],Industries!$A$2:$A$150,0),0)</f>
        <v>Consumer Discretionary</v>
      </c>
      <c r="C473" t="str">
        <f ca="1">OFFSET(Industries!D$1,MATCH(Table1[[#This Row],[Ticker]],Industries!$A$2:$A$150,0),0)</f>
        <v>Consumer Services</v>
      </c>
      <c r="D473" t="str">
        <f ca="1">OFFSET(Industries!E$1,MATCH(Table1[[#This Row],[Ticker]],Industries!$A$2:$A$150,0),0)</f>
        <v>Hotels, Restaurants and Leisure</v>
      </c>
      <c r="E473" t="s">
        <v>310</v>
      </c>
      <c r="F473" t="str">
        <f ca="1">OFFSET(Industries!B$1,MATCH(Table1[[#This Row],[Ticker]],Industries!$A$2:$A$140,0),0)</f>
        <v>Large-Cap</v>
      </c>
      <c r="G473" t="str">
        <f ca="1">OFFSET(Industries!F$1,MATCH(Table1[[#This Row],[Ticker]],Industries!$A$2:$A$140,0),0)</f>
        <v>BB+</v>
      </c>
      <c r="H473" t="s">
        <v>1434</v>
      </c>
      <c r="I473" t="s">
        <v>1434</v>
      </c>
      <c r="J473" s="2">
        <v>45399</v>
      </c>
      <c r="K473" t="s">
        <v>21</v>
      </c>
      <c r="L473" t="s">
        <v>1708</v>
      </c>
      <c r="M473" t="s">
        <v>1709</v>
      </c>
      <c r="N473" s="1"/>
      <c r="O473" t="s">
        <v>4</v>
      </c>
      <c r="P473" s="3">
        <v>0.20300000000000001</v>
      </c>
      <c r="Q473" s="3" t="s">
        <v>1637</v>
      </c>
      <c r="R473" t="s">
        <v>25</v>
      </c>
      <c r="S473" t="s">
        <v>1130</v>
      </c>
      <c r="T473" t="s">
        <v>313</v>
      </c>
      <c r="U473" s="1">
        <v>0.04</v>
      </c>
      <c r="V473" t="s">
        <v>330</v>
      </c>
    </row>
    <row r="474" spans="1:22" x14ac:dyDescent="0.3">
      <c r="A474" t="s">
        <v>309</v>
      </c>
      <c r="B474" t="str">
        <f ca="1">OFFSET(Industries!C$1,MATCH(Table1[[#This Row],[Ticker]],Industries!$A$2:$A$150,0),0)</f>
        <v>Consumer Discretionary</v>
      </c>
      <c r="C474" t="str">
        <f ca="1">OFFSET(Industries!D$1,MATCH(Table1[[#This Row],[Ticker]],Industries!$A$2:$A$150,0),0)</f>
        <v>Consumer Services</v>
      </c>
      <c r="D474" t="str">
        <f ca="1">OFFSET(Industries!E$1,MATCH(Table1[[#This Row],[Ticker]],Industries!$A$2:$A$150,0),0)</f>
        <v>Hotels, Restaurants and Leisure</v>
      </c>
      <c r="E474" t="s">
        <v>310</v>
      </c>
      <c r="F474" t="str">
        <f ca="1">OFFSET(Industries!B$1,MATCH(Table1[[#This Row],[Ticker]],Industries!$A$2:$A$140,0),0)</f>
        <v>Large-Cap</v>
      </c>
      <c r="G474" t="str">
        <f ca="1">OFFSET(Industries!F$1,MATCH(Table1[[#This Row],[Ticker]],Industries!$A$2:$A$140,0),0)</f>
        <v>BB+</v>
      </c>
      <c r="H474" t="s">
        <v>1434</v>
      </c>
      <c r="I474" t="s">
        <v>1434</v>
      </c>
      <c r="J474" s="2">
        <v>45399</v>
      </c>
      <c r="K474" t="s">
        <v>21</v>
      </c>
      <c r="L474" t="s">
        <v>1708</v>
      </c>
      <c r="M474" t="s">
        <v>1709</v>
      </c>
      <c r="N474" s="1"/>
      <c r="O474" t="s">
        <v>4</v>
      </c>
      <c r="P474" s="3">
        <v>0.20300000000000001</v>
      </c>
      <c r="Q474" s="3" t="s">
        <v>1637</v>
      </c>
      <c r="R474" t="s">
        <v>26</v>
      </c>
      <c r="S474" t="s">
        <v>26</v>
      </c>
      <c r="T474" t="s">
        <v>314</v>
      </c>
      <c r="U474" s="1">
        <v>0.04</v>
      </c>
      <c r="V474" t="s">
        <v>330</v>
      </c>
    </row>
    <row r="475" spans="1:22" x14ac:dyDescent="0.3">
      <c r="A475" t="s">
        <v>309</v>
      </c>
      <c r="B475" t="str">
        <f ca="1">OFFSET(Industries!C$1,MATCH(Table1[[#This Row],[Ticker]],Industries!$A$2:$A$150,0),0)</f>
        <v>Consumer Discretionary</v>
      </c>
      <c r="C475" t="str">
        <f ca="1">OFFSET(Industries!D$1,MATCH(Table1[[#This Row],[Ticker]],Industries!$A$2:$A$150,0),0)</f>
        <v>Consumer Services</v>
      </c>
      <c r="D475" t="str">
        <f ca="1">OFFSET(Industries!E$1,MATCH(Table1[[#This Row],[Ticker]],Industries!$A$2:$A$150,0),0)</f>
        <v>Hotels, Restaurants and Leisure</v>
      </c>
      <c r="E475" t="s">
        <v>310</v>
      </c>
      <c r="F475" t="str">
        <f ca="1">OFFSET(Industries!B$1,MATCH(Table1[[#This Row],[Ticker]],Industries!$A$2:$A$140,0),0)</f>
        <v>Large-Cap</v>
      </c>
      <c r="G475" t="str">
        <f ca="1">OFFSET(Industries!F$1,MATCH(Table1[[#This Row],[Ticker]],Industries!$A$2:$A$140,0),0)</f>
        <v>BB+</v>
      </c>
      <c r="H475" t="s">
        <v>1434</v>
      </c>
      <c r="I475" t="s">
        <v>1434</v>
      </c>
      <c r="J475" s="2">
        <v>45399</v>
      </c>
      <c r="K475" t="s">
        <v>21</v>
      </c>
      <c r="L475" t="s">
        <v>1708</v>
      </c>
      <c r="M475" t="s">
        <v>1709</v>
      </c>
      <c r="N475" s="1"/>
      <c r="O475" t="s">
        <v>4</v>
      </c>
      <c r="P475" s="3">
        <v>0.20300000000000001</v>
      </c>
      <c r="Q475" s="3" t="s">
        <v>1637</v>
      </c>
      <c r="R475" t="s">
        <v>26</v>
      </c>
      <c r="S475" t="s">
        <v>26</v>
      </c>
      <c r="T475" t="s">
        <v>315</v>
      </c>
      <c r="U475" s="1">
        <v>0.04</v>
      </c>
      <c r="V475" t="s">
        <v>330</v>
      </c>
    </row>
    <row r="476" spans="1:22" x14ac:dyDescent="0.3">
      <c r="A476" t="s">
        <v>309</v>
      </c>
      <c r="B476" t="str">
        <f ca="1">OFFSET(Industries!C$1,MATCH(Table1[[#This Row],[Ticker]],Industries!$A$2:$A$150,0),0)</f>
        <v>Consumer Discretionary</v>
      </c>
      <c r="C476" t="str">
        <f ca="1">OFFSET(Industries!D$1,MATCH(Table1[[#This Row],[Ticker]],Industries!$A$2:$A$150,0),0)</f>
        <v>Consumer Services</v>
      </c>
      <c r="D476" t="str">
        <f ca="1">OFFSET(Industries!E$1,MATCH(Table1[[#This Row],[Ticker]],Industries!$A$2:$A$150,0),0)</f>
        <v>Hotels, Restaurants and Leisure</v>
      </c>
      <c r="E476" t="s">
        <v>310</v>
      </c>
      <c r="F476" t="str">
        <f ca="1">OFFSET(Industries!B$1,MATCH(Table1[[#This Row],[Ticker]],Industries!$A$2:$A$140,0),0)</f>
        <v>Large-Cap</v>
      </c>
      <c r="G476" t="str">
        <f ca="1">OFFSET(Industries!F$1,MATCH(Table1[[#This Row],[Ticker]],Industries!$A$2:$A$140,0),0)</f>
        <v>BB+</v>
      </c>
      <c r="H476" t="s">
        <v>1434</v>
      </c>
      <c r="I476" t="s">
        <v>1434</v>
      </c>
      <c r="J476" s="2">
        <v>45399</v>
      </c>
      <c r="K476" t="s">
        <v>21</v>
      </c>
      <c r="L476" t="s">
        <v>1708</v>
      </c>
      <c r="M476" t="s">
        <v>1709</v>
      </c>
      <c r="N476" s="1"/>
      <c r="O476" t="s">
        <v>4</v>
      </c>
      <c r="P476" s="3">
        <v>0.20300000000000001</v>
      </c>
      <c r="Q476" s="3" t="s">
        <v>1637</v>
      </c>
      <c r="R476" t="s">
        <v>26</v>
      </c>
      <c r="S476" t="s">
        <v>26</v>
      </c>
      <c r="T476" t="s">
        <v>316</v>
      </c>
      <c r="U476" s="1">
        <v>0.03</v>
      </c>
      <c r="V476" t="s">
        <v>330</v>
      </c>
    </row>
    <row r="477" spans="1:22" x14ac:dyDescent="0.3">
      <c r="A477" t="s">
        <v>309</v>
      </c>
      <c r="B477" t="str">
        <f ca="1">OFFSET(Industries!C$1,MATCH(Table1[[#This Row],[Ticker]],Industries!$A$2:$A$150,0),0)</f>
        <v>Consumer Discretionary</v>
      </c>
      <c r="C477" t="str">
        <f ca="1">OFFSET(Industries!D$1,MATCH(Table1[[#This Row],[Ticker]],Industries!$A$2:$A$150,0),0)</f>
        <v>Consumer Services</v>
      </c>
      <c r="D477" t="str">
        <f ca="1">OFFSET(Industries!E$1,MATCH(Table1[[#This Row],[Ticker]],Industries!$A$2:$A$150,0),0)</f>
        <v>Hotels, Restaurants and Leisure</v>
      </c>
      <c r="E477" t="s">
        <v>310</v>
      </c>
      <c r="F477" t="str">
        <f ca="1">OFFSET(Industries!B$1,MATCH(Table1[[#This Row],[Ticker]],Industries!$A$2:$A$140,0),0)</f>
        <v>Large-Cap</v>
      </c>
      <c r="G477" t="str">
        <f ca="1">OFFSET(Industries!F$1,MATCH(Table1[[#This Row],[Ticker]],Industries!$A$2:$A$140,0),0)</f>
        <v>BB+</v>
      </c>
      <c r="H477" t="s">
        <v>1434</v>
      </c>
      <c r="I477" t="s">
        <v>1434</v>
      </c>
      <c r="J477" s="2">
        <v>45399</v>
      </c>
      <c r="K477" t="s">
        <v>21</v>
      </c>
      <c r="L477" t="s">
        <v>1708</v>
      </c>
      <c r="M477" t="s">
        <v>1709</v>
      </c>
      <c r="N477" s="1"/>
      <c r="O477" t="s">
        <v>4</v>
      </c>
      <c r="P477" s="3">
        <v>0.20300000000000001</v>
      </c>
      <c r="Q477" s="3" t="s">
        <v>1636</v>
      </c>
      <c r="R477" t="s">
        <v>24</v>
      </c>
      <c r="S477" t="s">
        <v>90</v>
      </c>
      <c r="T477" t="s">
        <v>331</v>
      </c>
      <c r="U477" s="1">
        <v>0.11</v>
      </c>
      <c r="V477" t="s">
        <v>333</v>
      </c>
    </row>
    <row r="478" spans="1:22" x14ac:dyDescent="0.3">
      <c r="A478" t="s">
        <v>309</v>
      </c>
      <c r="B478" t="str">
        <f ca="1">OFFSET(Industries!C$1,MATCH(Table1[[#This Row],[Ticker]],Industries!$A$2:$A$150,0),0)</f>
        <v>Consumer Discretionary</v>
      </c>
      <c r="C478" t="str">
        <f ca="1">OFFSET(Industries!D$1,MATCH(Table1[[#This Row],[Ticker]],Industries!$A$2:$A$150,0),0)</f>
        <v>Consumer Services</v>
      </c>
      <c r="D478" t="str">
        <f ca="1">OFFSET(Industries!E$1,MATCH(Table1[[#This Row],[Ticker]],Industries!$A$2:$A$150,0),0)</f>
        <v>Hotels, Restaurants and Leisure</v>
      </c>
      <c r="E478" t="s">
        <v>310</v>
      </c>
      <c r="F478" t="str">
        <f ca="1">OFFSET(Industries!B$1,MATCH(Table1[[#This Row],[Ticker]],Industries!$A$2:$A$140,0),0)</f>
        <v>Large-Cap</v>
      </c>
      <c r="G478" t="str">
        <f ca="1">OFFSET(Industries!F$1,MATCH(Table1[[#This Row],[Ticker]],Industries!$A$2:$A$140,0),0)</f>
        <v>BB+</v>
      </c>
      <c r="H478" t="s">
        <v>1434</v>
      </c>
      <c r="I478" t="s">
        <v>1434</v>
      </c>
      <c r="J478" s="2">
        <v>45399</v>
      </c>
      <c r="K478" t="s">
        <v>21</v>
      </c>
      <c r="L478" t="s">
        <v>1710</v>
      </c>
      <c r="M478" t="s">
        <v>1709</v>
      </c>
      <c r="N478" s="1">
        <f>Table1[[#This Row],[Consideration Weight]]</f>
        <v>0.375</v>
      </c>
      <c r="O478" t="s">
        <v>476</v>
      </c>
      <c r="P478" s="3">
        <v>0.375</v>
      </c>
      <c r="Q478" s="3" t="s">
        <v>1636</v>
      </c>
      <c r="R478" t="s">
        <v>24</v>
      </c>
      <c r="S478" t="s">
        <v>1104</v>
      </c>
      <c r="T478" t="s">
        <v>317</v>
      </c>
      <c r="U478" s="1">
        <v>0.3</v>
      </c>
    </row>
    <row r="479" spans="1:22" x14ac:dyDescent="0.3">
      <c r="A479" t="s">
        <v>309</v>
      </c>
      <c r="B479" t="str">
        <f ca="1">OFFSET(Industries!C$1,MATCH(Table1[[#This Row],[Ticker]],Industries!$A$2:$A$150,0),0)</f>
        <v>Consumer Discretionary</v>
      </c>
      <c r="C479" t="str">
        <f ca="1">OFFSET(Industries!D$1,MATCH(Table1[[#This Row],[Ticker]],Industries!$A$2:$A$150,0),0)</f>
        <v>Consumer Services</v>
      </c>
      <c r="D479" t="str">
        <f ca="1">OFFSET(Industries!E$1,MATCH(Table1[[#This Row],[Ticker]],Industries!$A$2:$A$150,0),0)</f>
        <v>Hotels, Restaurants and Leisure</v>
      </c>
      <c r="E479" t="s">
        <v>310</v>
      </c>
      <c r="F479" t="str">
        <f ca="1">OFFSET(Industries!B$1,MATCH(Table1[[#This Row],[Ticker]],Industries!$A$2:$A$140,0),0)</f>
        <v>Large-Cap</v>
      </c>
      <c r="G479" t="str">
        <f ca="1">OFFSET(Industries!F$1,MATCH(Table1[[#This Row],[Ticker]],Industries!$A$2:$A$140,0),0)</f>
        <v>BB+</v>
      </c>
      <c r="H479" t="s">
        <v>1434</v>
      </c>
      <c r="I479" t="s">
        <v>1434</v>
      </c>
      <c r="J479" s="2">
        <v>45399</v>
      </c>
      <c r="K479" t="s">
        <v>21</v>
      </c>
      <c r="L479" t="s">
        <v>1710</v>
      </c>
      <c r="M479" t="s">
        <v>1709</v>
      </c>
      <c r="N479" s="1"/>
      <c r="O479" t="s">
        <v>476</v>
      </c>
      <c r="P479" s="3">
        <v>0.375</v>
      </c>
      <c r="Q479" s="3" t="s">
        <v>1636</v>
      </c>
      <c r="R479" t="s">
        <v>24</v>
      </c>
      <c r="S479" t="s">
        <v>1089</v>
      </c>
      <c r="T479" t="s">
        <v>50</v>
      </c>
      <c r="U479" s="1">
        <v>0.3</v>
      </c>
    </row>
    <row r="480" spans="1:22" x14ac:dyDescent="0.3">
      <c r="A480" t="s">
        <v>309</v>
      </c>
      <c r="B480" t="str">
        <f ca="1">OFFSET(Industries!C$1,MATCH(Table1[[#This Row],[Ticker]],Industries!$A$2:$A$150,0),0)</f>
        <v>Consumer Discretionary</v>
      </c>
      <c r="C480" t="str">
        <f ca="1">OFFSET(Industries!D$1,MATCH(Table1[[#This Row],[Ticker]],Industries!$A$2:$A$150,0),0)</f>
        <v>Consumer Services</v>
      </c>
      <c r="D480" t="str">
        <f ca="1">OFFSET(Industries!E$1,MATCH(Table1[[#This Row],[Ticker]],Industries!$A$2:$A$150,0),0)</f>
        <v>Hotels, Restaurants and Leisure</v>
      </c>
      <c r="E480" t="s">
        <v>310</v>
      </c>
      <c r="F480" t="str">
        <f ca="1">OFFSET(Industries!B$1,MATCH(Table1[[#This Row],[Ticker]],Industries!$A$2:$A$140,0),0)</f>
        <v>Large-Cap</v>
      </c>
      <c r="G480" t="str">
        <f ca="1">OFFSET(Industries!F$1,MATCH(Table1[[#This Row],[Ticker]],Industries!$A$2:$A$140,0),0)</f>
        <v>BB+</v>
      </c>
      <c r="H480" t="s">
        <v>1434</v>
      </c>
      <c r="I480" t="s">
        <v>1434</v>
      </c>
      <c r="J480" s="2">
        <v>45399</v>
      </c>
      <c r="K480" t="s">
        <v>21</v>
      </c>
      <c r="L480" t="s">
        <v>1710</v>
      </c>
      <c r="M480" t="s">
        <v>1709</v>
      </c>
      <c r="N480" s="1"/>
      <c r="O480" t="s">
        <v>476</v>
      </c>
      <c r="P480" s="3">
        <v>0.375</v>
      </c>
      <c r="Q480" s="3" t="s">
        <v>1636</v>
      </c>
      <c r="R480" t="s">
        <v>1059</v>
      </c>
      <c r="S480" t="s">
        <v>1101</v>
      </c>
      <c r="T480" t="s">
        <v>515</v>
      </c>
      <c r="U480" s="1">
        <v>0.3</v>
      </c>
    </row>
    <row r="481" spans="1:22" x14ac:dyDescent="0.3">
      <c r="A481" t="s">
        <v>309</v>
      </c>
      <c r="B481" t="str">
        <f ca="1">OFFSET(Industries!C$1,MATCH(Table1[[#This Row],[Ticker]],Industries!$A$2:$A$150,0),0)</f>
        <v>Consumer Discretionary</v>
      </c>
      <c r="C481" t="str">
        <f ca="1">OFFSET(Industries!D$1,MATCH(Table1[[#This Row],[Ticker]],Industries!$A$2:$A$150,0),0)</f>
        <v>Consumer Services</v>
      </c>
      <c r="D481" t="str">
        <f ca="1">OFFSET(Industries!E$1,MATCH(Table1[[#This Row],[Ticker]],Industries!$A$2:$A$150,0),0)</f>
        <v>Hotels, Restaurants and Leisure</v>
      </c>
      <c r="E481" t="s">
        <v>310</v>
      </c>
      <c r="F481" t="str">
        <f ca="1">OFFSET(Industries!B$1,MATCH(Table1[[#This Row],[Ticker]],Industries!$A$2:$A$140,0),0)</f>
        <v>Large-Cap</v>
      </c>
      <c r="G481" t="str">
        <f ca="1">OFFSET(Industries!F$1,MATCH(Table1[[#This Row],[Ticker]],Industries!$A$2:$A$140,0),0)</f>
        <v>BB+</v>
      </c>
      <c r="H481" t="s">
        <v>1434</v>
      </c>
      <c r="I481" t="s">
        <v>1434</v>
      </c>
      <c r="J481" s="2">
        <v>45399</v>
      </c>
      <c r="K481" t="s">
        <v>21</v>
      </c>
      <c r="L481" t="s">
        <v>1710</v>
      </c>
      <c r="M481" t="s">
        <v>1709</v>
      </c>
      <c r="N481" s="1"/>
      <c r="O481" t="s">
        <v>476</v>
      </c>
      <c r="P481" s="3">
        <v>0.375</v>
      </c>
      <c r="Q481" s="3" t="s">
        <v>1637</v>
      </c>
      <c r="R481" t="s">
        <v>26</v>
      </c>
      <c r="S481" t="s">
        <v>26</v>
      </c>
      <c r="T481" t="s">
        <v>318</v>
      </c>
      <c r="U481" s="1">
        <v>0.1</v>
      </c>
    </row>
    <row r="482" spans="1:22" x14ac:dyDescent="0.3">
      <c r="A482" t="s">
        <v>309</v>
      </c>
      <c r="B482" t="str">
        <f ca="1">OFFSET(Industries!C$1,MATCH(Table1[[#This Row],[Ticker]],Industries!$A$2:$A$150,0),0)</f>
        <v>Consumer Discretionary</v>
      </c>
      <c r="C482" t="str">
        <f ca="1">OFFSET(Industries!D$1,MATCH(Table1[[#This Row],[Ticker]],Industries!$A$2:$A$150,0),0)</f>
        <v>Consumer Services</v>
      </c>
      <c r="D482" t="str">
        <f ca="1">OFFSET(Industries!E$1,MATCH(Table1[[#This Row],[Ticker]],Industries!$A$2:$A$150,0),0)</f>
        <v>Hotels, Restaurants and Leisure</v>
      </c>
      <c r="E482" t="s">
        <v>310</v>
      </c>
      <c r="F482" t="str">
        <f ca="1">OFFSET(Industries!B$1,MATCH(Table1[[#This Row],[Ticker]],Industries!$A$2:$A$140,0),0)</f>
        <v>Large-Cap</v>
      </c>
      <c r="G482" t="str">
        <f ca="1">OFFSET(Industries!F$1,MATCH(Table1[[#This Row],[Ticker]],Industries!$A$2:$A$140,0),0)</f>
        <v>BB+</v>
      </c>
      <c r="H482" t="s">
        <v>1434</v>
      </c>
      <c r="I482" t="s">
        <v>1434</v>
      </c>
      <c r="J482" s="2">
        <v>45399</v>
      </c>
      <c r="K482" t="s">
        <v>21</v>
      </c>
      <c r="L482" t="s">
        <v>1710</v>
      </c>
      <c r="M482" t="s">
        <v>1711</v>
      </c>
      <c r="N482" s="1">
        <f>Table1[[#This Row],[Consideration Weight]]</f>
        <v>0.25</v>
      </c>
      <c r="O482" t="s">
        <v>194</v>
      </c>
      <c r="P482" s="3">
        <v>0.25</v>
      </c>
      <c r="Q482" s="3"/>
    </row>
    <row r="483" spans="1:22" x14ac:dyDescent="0.3">
      <c r="A483" t="s">
        <v>334</v>
      </c>
      <c r="B483" t="str">
        <f ca="1">OFFSET(Industries!C$1,MATCH(Table1[[#This Row],[Ticker]],Industries!$A$2:$A$150,0),0)</f>
        <v>Industrials</v>
      </c>
      <c r="C483" t="str">
        <f ca="1">OFFSET(Industries!D$1,MATCH(Table1[[#This Row],[Ticker]],Industries!$A$2:$A$150,0),0)</f>
        <v>Capital Goods</v>
      </c>
      <c r="D483" t="str">
        <f ca="1">OFFSET(Industries!E$1,MATCH(Table1[[#This Row],[Ticker]],Industries!$A$2:$A$150,0),0)</f>
        <v>Aerospace and Defense</v>
      </c>
      <c r="E483" t="s">
        <v>158</v>
      </c>
      <c r="F483" t="str">
        <f ca="1">OFFSET(Industries!B$1,MATCH(Table1[[#This Row],[Ticker]],Industries!$A$2:$A$140,0),0)</f>
        <v>Mega-Cap</v>
      </c>
      <c r="G483" t="str">
        <f ca="1">OFFSET(Industries!F$1,MATCH(Table1[[#This Row],[Ticker]],Industries!$A$2:$A$140,0),0)</f>
        <v>BBB+</v>
      </c>
      <c r="H483" t="s">
        <v>1434</v>
      </c>
      <c r="I483" t="s">
        <v>1434</v>
      </c>
      <c r="J483" s="2">
        <v>45365</v>
      </c>
      <c r="K483" t="s">
        <v>2</v>
      </c>
      <c r="L483" t="s">
        <v>3</v>
      </c>
      <c r="M483" t="s">
        <v>1711</v>
      </c>
      <c r="N483" s="1">
        <f>Table1[[#This Row],[Consideration Weight]]</f>
        <v>0.12</v>
      </c>
      <c r="O483" t="s">
        <v>3</v>
      </c>
      <c r="P483" s="3">
        <v>0.12</v>
      </c>
      <c r="Q483" s="3"/>
    </row>
    <row r="484" spans="1:22" x14ac:dyDescent="0.3">
      <c r="A484" t="s">
        <v>334</v>
      </c>
      <c r="B484" t="str">
        <f ca="1">OFFSET(Industries!C$1,MATCH(Table1[[#This Row],[Ticker]],Industries!$A$2:$A$150,0),0)</f>
        <v>Industrials</v>
      </c>
      <c r="C484" t="str">
        <f ca="1">OFFSET(Industries!D$1,MATCH(Table1[[#This Row],[Ticker]],Industries!$A$2:$A$150,0),0)</f>
        <v>Capital Goods</v>
      </c>
      <c r="D484" t="str">
        <f ca="1">OFFSET(Industries!E$1,MATCH(Table1[[#This Row],[Ticker]],Industries!$A$2:$A$150,0),0)</f>
        <v>Aerospace and Defense</v>
      </c>
      <c r="E484" t="s">
        <v>158</v>
      </c>
      <c r="F484" t="str">
        <f ca="1">OFFSET(Industries!B$1,MATCH(Table1[[#This Row],[Ticker]],Industries!$A$2:$A$140,0),0)</f>
        <v>Mega-Cap</v>
      </c>
      <c r="G484" t="str">
        <f ca="1">OFFSET(Industries!F$1,MATCH(Table1[[#This Row],[Ticker]],Industries!$A$2:$A$140,0),0)</f>
        <v>BBB+</v>
      </c>
      <c r="H484" t="s">
        <v>1434</v>
      </c>
      <c r="I484" t="s">
        <v>1434</v>
      </c>
      <c r="J484" s="2">
        <v>45365</v>
      </c>
      <c r="K484" t="s">
        <v>2</v>
      </c>
      <c r="L484" t="s">
        <v>1708</v>
      </c>
      <c r="M484" t="s">
        <v>1709</v>
      </c>
      <c r="N484" s="1">
        <f>Table1[[#This Row],[Consideration Weight]]</f>
        <v>0.18</v>
      </c>
      <c r="O484" t="s">
        <v>4</v>
      </c>
      <c r="P484" s="3">
        <v>0.18</v>
      </c>
      <c r="Q484" s="3" t="s">
        <v>1636</v>
      </c>
      <c r="R484" t="s">
        <v>24</v>
      </c>
      <c r="S484" t="s">
        <v>851</v>
      </c>
      <c r="T484" t="s">
        <v>166</v>
      </c>
      <c r="U484" s="1">
        <v>0.4</v>
      </c>
      <c r="V484" t="s">
        <v>340</v>
      </c>
    </row>
    <row r="485" spans="1:22" x14ac:dyDescent="0.3">
      <c r="A485" t="s">
        <v>334</v>
      </c>
      <c r="B485" t="str">
        <f ca="1">OFFSET(Industries!C$1,MATCH(Table1[[#This Row],[Ticker]],Industries!$A$2:$A$150,0),0)</f>
        <v>Industrials</v>
      </c>
      <c r="C485" t="str">
        <f ca="1">OFFSET(Industries!D$1,MATCH(Table1[[#This Row],[Ticker]],Industries!$A$2:$A$150,0),0)</f>
        <v>Capital Goods</v>
      </c>
      <c r="D485" t="str">
        <f ca="1">OFFSET(Industries!E$1,MATCH(Table1[[#This Row],[Ticker]],Industries!$A$2:$A$150,0),0)</f>
        <v>Aerospace and Defense</v>
      </c>
      <c r="E485" t="s">
        <v>158</v>
      </c>
      <c r="F485" t="str">
        <f ca="1">OFFSET(Industries!B$1,MATCH(Table1[[#This Row],[Ticker]],Industries!$A$2:$A$140,0),0)</f>
        <v>Mega-Cap</v>
      </c>
      <c r="G485" t="str">
        <f ca="1">OFFSET(Industries!F$1,MATCH(Table1[[#This Row],[Ticker]],Industries!$A$2:$A$140,0),0)</f>
        <v>BBB+</v>
      </c>
      <c r="H485" t="s">
        <v>1434</v>
      </c>
      <c r="I485" t="s">
        <v>1434</v>
      </c>
      <c r="J485" s="2">
        <v>45365</v>
      </c>
      <c r="K485" t="s">
        <v>2</v>
      </c>
      <c r="L485" t="s">
        <v>1708</v>
      </c>
      <c r="M485" t="s">
        <v>1709</v>
      </c>
      <c r="N485" s="1"/>
      <c r="O485" t="s">
        <v>4</v>
      </c>
      <c r="P485" s="3">
        <v>0.18</v>
      </c>
      <c r="Q485" s="3" t="s">
        <v>1636</v>
      </c>
      <c r="R485" t="s">
        <v>62</v>
      </c>
      <c r="S485" t="s">
        <v>129</v>
      </c>
      <c r="T485" t="s">
        <v>117</v>
      </c>
      <c r="U485" s="1">
        <v>0.4</v>
      </c>
      <c r="V485" t="s">
        <v>336</v>
      </c>
    </row>
    <row r="486" spans="1:22" x14ac:dyDescent="0.3">
      <c r="A486" t="s">
        <v>334</v>
      </c>
      <c r="B486" t="str">
        <f ca="1">OFFSET(Industries!C$1,MATCH(Table1[[#This Row],[Ticker]],Industries!$A$2:$A$150,0),0)</f>
        <v>Industrials</v>
      </c>
      <c r="C486" t="str">
        <f ca="1">OFFSET(Industries!D$1,MATCH(Table1[[#This Row],[Ticker]],Industries!$A$2:$A$150,0),0)</f>
        <v>Capital Goods</v>
      </c>
      <c r="D486" t="str">
        <f ca="1">OFFSET(Industries!E$1,MATCH(Table1[[#This Row],[Ticker]],Industries!$A$2:$A$150,0),0)</f>
        <v>Aerospace and Defense</v>
      </c>
      <c r="E486" t="s">
        <v>158</v>
      </c>
      <c r="F486" t="str">
        <f ca="1">OFFSET(Industries!B$1,MATCH(Table1[[#This Row],[Ticker]],Industries!$A$2:$A$140,0),0)</f>
        <v>Mega-Cap</v>
      </c>
      <c r="G486" t="str">
        <f ca="1">OFFSET(Industries!F$1,MATCH(Table1[[#This Row],[Ticker]],Industries!$A$2:$A$140,0),0)</f>
        <v>BBB+</v>
      </c>
      <c r="H486" t="s">
        <v>1434</v>
      </c>
      <c r="I486" t="s">
        <v>1434</v>
      </c>
      <c r="J486" s="2">
        <v>45365</v>
      </c>
      <c r="K486" t="s">
        <v>2</v>
      </c>
      <c r="L486" t="s">
        <v>1708</v>
      </c>
      <c r="M486" t="s">
        <v>1709</v>
      </c>
      <c r="N486" s="1"/>
      <c r="O486" t="s">
        <v>4</v>
      </c>
      <c r="P486" s="3">
        <v>0.18</v>
      </c>
      <c r="Q486" s="3" t="s">
        <v>1636</v>
      </c>
      <c r="R486" t="s">
        <v>23</v>
      </c>
      <c r="S486" t="s">
        <v>1083</v>
      </c>
      <c r="T486" t="s">
        <v>226</v>
      </c>
      <c r="U486" s="1">
        <v>0.2</v>
      </c>
      <c r="V486" t="s">
        <v>335</v>
      </c>
    </row>
    <row r="487" spans="1:22" x14ac:dyDescent="0.3">
      <c r="A487" t="s">
        <v>334</v>
      </c>
      <c r="B487" t="str">
        <f ca="1">OFFSET(Industries!C$1,MATCH(Table1[[#This Row],[Ticker]],Industries!$A$2:$A$150,0),0)</f>
        <v>Industrials</v>
      </c>
      <c r="C487" t="str">
        <f ca="1">OFFSET(Industries!D$1,MATCH(Table1[[#This Row],[Ticker]],Industries!$A$2:$A$150,0),0)</f>
        <v>Capital Goods</v>
      </c>
      <c r="D487" t="str">
        <f ca="1">OFFSET(Industries!E$1,MATCH(Table1[[#This Row],[Ticker]],Industries!$A$2:$A$150,0),0)</f>
        <v>Aerospace and Defense</v>
      </c>
      <c r="E487" t="s">
        <v>158</v>
      </c>
      <c r="F487" t="str">
        <f ca="1">OFFSET(Industries!B$1,MATCH(Table1[[#This Row],[Ticker]],Industries!$A$2:$A$140,0),0)</f>
        <v>Mega-Cap</v>
      </c>
      <c r="G487" t="str">
        <f ca="1">OFFSET(Industries!F$1,MATCH(Table1[[#This Row],[Ticker]],Industries!$A$2:$A$140,0),0)</f>
        <v>BBB+</v>
      </c>
      <c r="H487" t="s">
        <v>1434</v>
      </c>
      <c r="I487" t="s">
        <v>1434</v>
      </c>
      <c r="J487" s="2">
        <v>45365</v>
      </c>
      <c r="K487" t="s">
        <v>2</v>
      </c>
      <c r="L487" t="s">
        <v>1708</v>
      </c>
      <c r="M487" t="s">
        <v>1709</v>
      </c>
      <c r="N487" s="1"/>
      <c r="O487" t="s">
        <v>4</v>
      </c>
      <c r="P487" s="3">
        <v>0.18</v>
      </c>
      <c r="Q487" s="3"/>
      <c r="R487" t="s">
        <v>28</v>
      </c>
      <c r="S487" t="s">
        <v>1120</v>
      </c>
      <c r="T487" t="s">
        <v>337</v>
      </c>
      <c r="V487" t="s">
        <v>338</v>
      </c>
    </row>
    <row r="488" spans="1:22" x14ac:dyDescent="0.3">
      <c r="A488" t="s">
        <v>334</v>
      </c>
      <c r="B488" t="str">
        <f ca="1">OFFSET(Industries!C$1,MATCH(Table1[[#This Row],[Ticker]],Industries!$A$2:$A$150,0),0)</f>
        <v>Industrials</v>
      </c>
      <c r="C488" t="str">
        <f ca="1">OFFSET(Industries!D$1,MATCH(Table1[[#This Row],[Ticker]],Industries!$A$2:$A$150,0),0)</f>
        <v>Capital Goods</v>
      </c>
      <c r="D488" t="str">
        <f ca="1">OFFSET(Industries!E$1,MATCH(Table1[[#This Row],[Ticker]],Industries!$A$2:$A$150,0),0)</f>
        <v>Aerospace and Defense</v>
      </c>
      <c r="E488" t="s">
        <v>158</v>
      </c>
      <c r="F488" t="str">
        <f ca="1">OFFSET(Industries!B$1,MATCH(Table1[[#This Row],[Ticker]],Industries!$A$2:$A$140,0),0)</f>
        <v>Mega-Cap</v>
      </c>
      <c r="G488" t="str">
        <f ca="1">OFFSET(Industries!F$1,MATCH(Table1[[#This Row],[Ticker]],Industries!$A$2:$A$140,0),0)</f>
        <v>BBB+</v>
      </c>
      <c r="H488" t="s">
        <v>1434</v>
      </c>
      <c r="I488" t="s">
        <v>1434</v>
      </c>
      <c r="J488" s="2">
        <v>45365</v>
      </c>
      <c r="K488" t="s">
        <v>2</v>
      </c>
      <c r="L488" t="s">
        <v>1710</v>
      </c>
      <c r="M488" t="s">
        <v>1709</v>
      </c>
      <c r="N488" s="1">
        <f>Table1[[#This Row],[Consideration Weight]]</f>
        <v>0.7</v>
      </c>
      <c r="O488" t="s">
        <v>476</v>
      </c>
      <c r="P488" s="3">
        <v>0.7</v>
      </c>
      <c r="Q488" s="3" t="s">
        <v>1636</v>
      </c>
      <c r="R488" t="s">
        <v>24</v>
      </c>
      <c r="S488" t="s">
        <v>1089</v>
      </c>
      <c r="T488" t="s">
        <v>50</v>
      </c>
      <c r="U488" s="1">
        <v>0.5</v>
      </c>
      <c r="V488" t="s">
        <v>1765</v>
      </c>
    </row>
    <row r="489" spans="1:22" x14ac:dyDescent="0.3">
      <c r="A489" t="s">
        <v>334</v>
      </c>
      <c r="B489" t="str">
        <f ca="1">OFFSET(Industries!C$1,MATCH(Table1[[#This Row],[Ticker]],Industries!$A$2:$A$150,0),0)</f>
        <v>Industrials</v>
      </c>
      <c r="C489" t="str">
        <f ca="1">OFFSET(Industries!D$1,MATCH(Table1[[#This Row],[Ticker]],Industries!$A$2:$A$150,0),0)</f>
        <v>Capital Goods</v>
      </c>
      <c r="D489" t="str">
        <f ca="1">OFFSET(Industries!E$1,MATCH(Table1[[#This Row],[Ticker]],Industries!$A$2:$A$150,0),0)</f>
        <v>Aerospace and Defense</v>
      </c>
      <c r="E489" t="s">
        <v>158</v>
      </c>
      <c r="F489" t="str">
        <f ca="1">OFFSET(Industries!B$1,MATCH(Table1[[#This Row],[Ticker]],Industries!$A$2:$A$140,0),0)</f>
        <v>Mega-Cap</v>
      </c>
      <c r="G489" t="str">
        <f ca="1">OFFSET(Industries!F$1,MATCH(Table1[[#This Row],[Ticker]],Industries!$A$2:$A$140,0),0)</f>
        <v>BBB+</v>
      </c>
      <c r="H489" t="s">
        <v>1434</v>
      </c>
      <c r="I489" t="s">
        <v>1434</v>
      </c>
      <c r="J489" s="2">
        <v>45365</v>
      </c>
      <c r="K489" t="s">
        <v>2</v>
      </c>
      <c r="L489" t="s">
        <v>1710</v>
      </c>
      <c r="M489" t="s">
        <v>1709</v>
      </c>
      <c r="N489" s="1"/>
      <c r="O489" t="s">
        <v>476</v>
      </c>
      <c r="P489" s="3">
        <v>0.7</v>
      </c>
      <c r="Q489" s="3" t="s">
        <v>1636</v>
      </c>
      <c r="R489" t="s">
        <v>62</v>
      </c>
      <c r="S489" t="s">
        <v>129</v>
      </c>
      <c r="T489" t="s">
        <v>117</v>
      </c>
      <c r="U489" s="1">
        <v>0.5</v>
      </c>
      <c r="V489" t="s">
        <v>1766</v>
      </c>
    </row>
    <row r="490" spans="1:22" x14ac:dyDescent="0.3">
      <c r="A490" t="s">
        <v>334</v>
      </c>
      <c r="B490" t="str">
        <f ca="1">OFFSET(Industries!C$1,MATCH(Table1[[#This Row],[Ticker]],Industries!$A$2:$A$150,0),0)</f>
        <v>Industrials</v>
      </c>
      <c r="C490" t="str">
        <f ca="1">OFFSET(Industries!D$1,MATCH(Table1[[#This Row],[Ticker]],Industries!$A$2:$A$150,0),0)</f>
        <v>Capital Goods</v>
      </c>
      <c r="D490" t="str">
        <f ca="1">OFFSET(Industries!E$1,MATCH(Table1[[#This Row],[Ticker]],Industries!$A$2:$A$150,0),0)</f>
        <v>Aerospace and Defense</v>
      </c>
      <c r="E490" t="s">
        <v>158</v>
      </c>
      <c r="F490" t="str">
        <f ca="1">OFFSET(Industries!B$1,MATCH(Table1[[#This Row],[Ticker]],Industries!$A$2:$A$140,0),0)</f>
        <v>Mega-Cap</v>
      </c>
      <c r="G490" t="str">
        <f ca="1">OFFSET(Industries!F$1,MATCH(Table1[[#This Row],[Ticker]],Industries!$A$2:$A$140,0),0)</f>
        <v>BBB+</v>
      </c>
      <c r="H490" t="s">
        <v>1434</v>
      </c>
      <c r="I490" t="s">
        <v>1434</v>
      </c>
      <c r="J490" s="2">
        <v>45365</v>
      </c>
      <c r="K490" t="s">
        <v>2</v>
      </c>
      <c r="L490" t="s">
        <v>1710</v>
      </c>
      <c r="M490" t="s">
        <v>1709</v>
      </c>
      <c r="N490" s="1"/>
      <c r="O490" t="s">
        <v>476</v>
      </c>
      <c r="P490" s="3">
        <v>0.7</v>
      </c>
      <c r="Q490" s="3"/>
      <c r="R490" t="s">
        <v>28</v>
      </c>
      <c r="S490" t="s">
        <v>1085</v>
      </c>
      <c r="T490" t="s">
        <v>30</v>
      </c>
      <c r="V490" t="s">
        <v>339</v>
      </c>
    </row>
    <row r="491" spans="1:22" x14ac:dyDescent="0.3">
      <c r="A491" t="s">
        <v>334</v>
      </c>
      <c r="B491" t="str">
        <f ca="1">OFFSET(Industries!C$1,MATCH(Table1[[#This Row],[Ticker]],Industries!$A$2:$A$150,0),0)</f>
        <v>Industrials</v>
      </c>
      <c r="C491" t="str">
        <f ca="1">OFFSET(Industries!D$1,MATCH(Table1[[#This Row],[Ticker]],Industries!$A$2:$A$150,0),0)</f>
        <v>Capital Goods</v>
      </c>
      <c r="D491" t="str">
        <f ca="1">OFFSET(Industries!E$1,MATCH(Table1[[#This Row],[Ticker]],Industries!$A$2:$A$150,0),0)</f>
        <v>Aerospace and Defense</v>
      </c>
      <c r="E491" t="s">
        <v>158</v>
      </c>
      <c r="F491" t="str">
        <f ca="1">OFFSET(Industries!B$1,MATCH(Table1[[#This Row],[Ticker]],Industries!$A$2:$A$140,0),0)</f>
        <v>Mega-Cap</v>
      </c>
      <c r="G491" t="str">
        <f ca="1">OFFSET(Industries!F$1,MATCH(Table1[[#This Row],[Ticker]],Industries!$A$2:$A$140,0),0)</f>
        <v>BBB+</v>
      </c>
      <c r="H491" t="s">
        <v>1434</v>
      </c>
      <c r="I491" t="s">
        <v>1434</v>
      </c>
      <c r="J491" s="2">
        <v>45365</v>
      </c>
      <c r="K491" t="s">
        <v>21</v>
      </c>
      <c r="L491" t="s">
        <v>3</v>
      </c>
      <c r="M491" t="s">
        <v>1711</v>
      </c>
      <c r="N491" s="1">
        <f>Table1[[#This Row],[Consideration Weight]]</f>
        <v>0.17</v>
      </c>
      <c r="O491" t="s">
        <v>3</v>
      </c>
      <c r="P491" s="3">
        <v>0.17</v>
      </c>
      <c r="Q491" s="3"/>
    </row>
    <row r="492" spans="1:22" x14ac:dyDescent="0.3">
      <c r="A492" t="s">
        <v>334</v>
      </c>
      <c r="B492" t="str">
        <f ca="1">OFFSET(Industries!C$1,MATCH(Table1[[#This Row],[Ticker]],Industries!$A$2:$A$150,0),0)</f>
        <v>Industrials</v>
      </c>
      <c r="C492" t="str">
        <f ca="1">OFFSET(Industries!D$1,MATCH(Table1[[#This Row],[Ticker]],Industries!$A$2:$A$150,0),0)</f>
        <v>Capital Goods</v>
      </c>
      <c r="D492" t="str">
        <f ca="1">OFFSET(Industries!E$1,MATCH(Table1[[#This Row],[Ticker]],Industries!$A$2:$A$150,0),0)</f>
        <v>Aerospace and Defense</v>
      </c>
      <c r="E492" t="s">
        <v>158</v>
      </c>
      <c r="F492" t="str">
        <f ca="1">OFFSET(Industries!B$1,MATCH(Table1[[#This Row],[Ticker]],Industries!$A$2:$A$140,0),0)</f>
        <v>Mega-Cap</v>
      </c>
      <c r="G492" t="str">
        <f ca="1">OFFSET(Industries!F$1,MATCH(Table1[[#This Row],[Ticker]],Industries!$A$2:$A$140,0),0)</f>
        <v>BBB+</v>
      </c>
      <c r="H492" t="s">
        <v>1434</v>
      </c>
      <c r="I492" t="s">
        <v>1434</v>
      </c>
      <c r="J492" s="2">
        <v>45365</v>
      </c>
      <c r="K492" t="s">
        <v>21</v>
      </c>
      <c r="L492" t="s">
        <v>1708</v>
      </c>
      <c r="M492" t="s">
        <v>1709</v>
      </c>
      <c r="N492" s="1">
        <f>Table1[[#This Row],[Consideration Weight]]</f>
        <v>0.23</v>
      </c>
      <c r="O492" t="s">
        <v>4</v>
      </c>
      <c r="P492" s="3">
        <v>0.23</v>
      </c>
      <c r="Q492" s="3" t="s">
        <v>1636</v>
      </c>
      <c r="R492" t="s">
        <v>24</v>
      </c>
      <c r="S492" t="s">
        <v>851</v>
      </c>
      <c r="T492" t="s">
        <v>166</v>
      </c>
      <c r="U492" s="1">
        <v>0.4</v>
      </c>
      <c r="V492" t="s">
        <v>341</v>
      </c>
    </row>
    <row r="493" spans="1:22" x14ac:dyDescent="0.3">
      <c r="A493" t="s">
        <v>334</v>
      </c>
      <c r="B493" t="str">
        <f ca="1">OFFSET(Industries!C$1,MATCH(Table1[[#This Row],[Ticker]],Industries!$A$2:$A$150,0),0)</f>
        <v>Industrials</v>
      </c>
      <c r="C493" t="str">
        <f ca="1">OFFSET(Industries!D$1,MATCH(Table1[[#This Row],[Ticker]],Industries!$A$2:$A$150,0),0)</f>
        <v>Capital Goods</v>
      </c>
      <c r="D493" t="str">
        <f ca="1">OFFSET(Industries!E$1,MATCH(Table1[[#This Row],[Ticker]],Industries!$A$2:$A$150,0),0)</f>
        <v>Aerospace and Defense</v>
      </c>
      <c r="E493" t="s">
        <v>158</v>
      </c>
      <c r="F493" t="str">
        <f ca="1">OFFSET(Industries!B$1,MATCH(Table1[[#This Row],[Ticker]],Industries!$A$2:$A$140,0),0)</f>
        <v>Mega-Cap</v>
      </c>
      <c r="G493" t="str">
        <f ca="1">OFFSET(Industries!F$1,MATCH(Table1[[#This Row],[Ticker]],Industries!$A$2:$A$140,0),0)</f>
        <v>BBB+</v>
      </c>
      <c r="H493" t="s">
        <v>1434</v>
      </c>
      <c r="I493" t="s">
        <v>1434</v>
      </c>
      <c r="J493" s="2">
        <v>45365</v>
      </c>
      <c r="K493" t="s">
        <v>21</v>
      </c>
      <c r="L493" t="s">
        <v>1708</v>
      </c>
      <c r="M493" t="s">
        <v>1709</v>
      </c>
      <c r="N493" s="1"/>
      <c r="O493" t="s">
        <v>4</v>
      </c>
      <c r="P493" s="3">
        <v>0.23</v>
      </c>
      <c r="Q493" s="3" t="s">
        <v>1636</v>
      </c>
      <c r="R493" t="s">
        <v>62</v>
      </c>
      <c r="S493" t="s">
        <v>129</v>
      </c>
      <c r="T493" t="s">
        <v>117</v>
      </c>
      <c r="U493" s="1">
        <v>0.4</v>
      </c>
      <c r="V493" t="s">
        <v>341</v>
      </c>
    </row>
    <row r="494" spans="1:22" x14ac:dyDescent="0.3">
      <c r="A494" t="s">
        <v>334</v>
      </c>
      <c r="B494" t="str">
        <f ca="1">OFFSET(Industries!C$1,MATCH(Table1[[#This Row],[Ticker]],Industries!$A$2:$A$150,0),0)</f>
        <v>Industrials</v>
      </c>
      <c r="C494" t="str">
        <f ca="1">OFFSET(Industries!D$1,MATCH(Table1[[#This Row],[Ticker]],Industries!$A$2:$A$150,0),0)</f>
        <v>Capital Goods</v>
      </c>
      <c r="D494" t="str">
        <f ca="1">OFFSET(Industries!E$1,MATCH(Table1[[#This Row],[Ticker]],Industries!$A$2:$A$150,0),0)</f>
        <v>Aerospace and Defense</v>
      </c>
      <c r="E494" t="s">
        <v>158</v>
      </c>
      <c r="F494" t="str">
        <f ca="1">OFFSET(Industries!B$1,MATCH(Table1[[#This Row],[Ticker]],Industries!$A$2:$A$140,0),0)</f>
        <v>Mega-Cap</v>
      </c>
      <c r="G494" t="str">
        <f ca="1">OFFSET(Industries!F$1,MATCH(Table1[[#This Row],[Ticker]],Industries!$A$2:$A$140,0),0)</f>
        <v>BBB+</v>
      </c>
      <c r="H494" t="s">
        <v>1434</v>
      </c>
      <c r="I494" t="s">
        <v>1434</v>
      </c>
      <c r="J494" s="2">
        <v>45365</v>
      </c>
      <c r="K494" t="s">
        <v>21</v>
      </c>
      <c r="L494" t="s">
        <v>1708</v>
      </c>
      <c r="M494" t="s">
        <v>1709</v>
      </c>
      <c r="N494" s="1"/>
      <c r="O494" t="s">
        <v>4</v>
      </c>
      <c r="P494" s="3">
        <v>0.23</v>
      </c>
      <c r="Q494" s="3" t="s">
        <v>1636</v>
      </c>
      <c r="R494" t="s">
        <v>23</v>
      </c>
      <c r="S494" t="s">
        <v>1083</v>
      </c>
      <c r="T494" t="s">
        <v>226</v>
      </c>
      <c r="U494" s="1">
        <v>0.2</v>
      </c>
      <c r="V494" t="s">
        <v>341</v>
      </c>
    </row>
    <row r="495" spans="1:22" x14ac:dyDescent="0.3">
      <c r="A495" t="s">
        <v>334</v>
      </c>
      <c r="B495" t="str">
        <f ca="1">OFFSET(Industries!C$1,MATCH(Table1[[#This Row],[Ticker]],Industries!$A$2:$A$150,0),0)</f>
        <v>Industrials</v>
      </c>
      <c r="C495" t="str">
        <f ca="1">OFFSET(Industries!D$1,MATCH(Table1[[#This Row],[Ticker]],Industries!$A$2:$A$150,0),0)</f>
        <v>Capital Goods</v>
      </c>
      <c r="D495" t="str">
        <f ca="1">OFFSET(Industries!E$1,MATCH(Table1[[#This Row],[Ticker]],Industries!$A$2:$A$150,0),0)</f>
        <v>Aerospace and Defense</v>
      </c>
      <c r="E495" t="s">
        <v>158</v>
      </c>
      <c r="F495" t="str">
        <f ca="1">OFFSET(Industries!B$1,MATCH(Table1[[#This Row],[Ticker]],Industries!$A$2:$A$140,0),0)</f>
        <v>Mega-Cap</v>
      </c>
      <c r="G495" t="str">
        <f ca="1">OFFSET(Industries!F$1,MATCH(Table1[[#This Row],[Ticker]],Industries!$A$2:$A$140,0),0)</f>
        <v>BBB+</v>
      </c>
      <c r="H495" t="s">
        <v>1434</v>
      </c>
      <c r="I495" t="s">
        <v>1434</v>
      </c>
      <c r="J495" s="2">
        <v>45365</v>
      </c>
      <c r="K495" t="s">
        <v>21</v>
      </c>
      <c r="L495" t="s">
        <v>1708</v>
      </c>
      <c r="M495" t="s">
        <v>1709</v>
      </c>
      <c r="N495" s="1"/>
      <c r="O495" t="s">
        <v>4</v>
      </c>
      <c r="P495" s="3">
        <v>0.23</v>
      </c>
      <c r="Q495" s="3"/>
      <c r="R495" t="s">
        <v>28</v>
      </c>
      <c r="S495" t="s">
        <v>1120</v>
      </c>
      <c r="T495" t="s">
        <v>337</v>
      </c>
    </row>
    <row r="496" spans="1:22" x14ac:dyDescent="0.3">
      <c r="A496" t="s">
        <v>334</v>
      </c>
      <c r="B496" t="str">
        <f ca="1">OFFSET(Industries!C$1,MATCH(Table1[[#This Row],[Ticker]],Industries!$A$2:$A$150,0),0)</f>
        <v>Industrials</v>
      </c>
      <c r="C496" t="str">
        <f ca="1">OFFSET(Industries!D$1,MATCH(Table1[[#This Row],[Ticker]],Industries!$A$2:$A$150,0),0)</f>
        <v>Capital Goods</v>
      </c>
      <c r="D496" t="str">
        <f ca="1">OFFSET(Industries!E$1,MATCH(Table1[[#This Row],[Ticker]],Industries!$A$2:$A$150,0),0)</f>
        <v>Aerospace and Defense</v>
      </c>
      <c r="E496" t="s">
        <v>158</v>
      </c>
      <c r="F496" t="str">
        <f ca="1">OFFSET(Industries!B$1,MATCH(Table1[[#This Row],[Ticker]],Industries!$A$2:$A$140,0),0)</f>
        <v>Mega-Cap</v>
      </c>
      <c r="G496" t="str">
        <f ca="1">OFFSET(Industries!F$1,MATCH(Table1[[#This Row],[Ticker]],Industries!$A$2:$A$140,0),0)</f>
        <v>BBB+</v>
      </c>
      <c r="H496" t="s">
        <v>1434</v>
      </c>
      <c r="I496" t="s">
        <v>1434</v>
      </c>
      <c r="J496" s="2">
        <v>45365</v>
      </c>
      <c r="K496" t="s">
        <v>21</v>
      </c>
      <c r="L496" t="s">
        <v>1710</v>
      </c>
      <c r="M496" t="s">
        <v>1709</v>
      </c>
      <c r="N496" s="1">
        <f>Table1[[#This Row],[Consideration Weight]]</f>
        <v>0.3</v>
      </c>
      <c r="O496" t="s">
        <v>476</v>
      </c>
      <c r="P496" s="3">
        <v>0.3</v>
      </c>
      <c r="Q496" s="3" t="s">
        <v>1636</v>
      </c>
      <c r="R496" t="s">
        <v>24</v>
      </c>
      <c r="S496" t="s">
        <v>1089</v>
      </c>
      <c r="T496" t="s">
        <v>50</v>
      </c>
      <c r="U496" s="1">
        <v>0.5</v>
      </c>
    </row>
    <row r="497" spans="1:22" x14ac:dyDescent="0.3">
      <c r="A497" t="s">
        <v>334</v>
      </c>
      <c r="B497" t="str">
        <f ca="1">OFFSET(Industries!C$1,MATCH(Table1[[#This Row],[Ticker]],Industries!$A$2:$A$150,0),0)</f>
        <v>Industrials</v>
      </c>
      <c r="C497" t="str">
        <f ca="1">OFFSET(Industries!D$1,MATCH(Table1[[#This Row],[Ticker]],Industries!$A$2:$A$150,0),0)</f>
        <v>Capital Goods</v>
      </c>
      <c r="D497" t="str">
        <f ca="1">OFFSET(Industries!E$1,MATCH(Table1[[#This Row],[Ticker]],Industries!$A$2:$A$150,0),0)</f>
        <v>Aerospace and Defense</v>
      </c>
      <c r="E497" t="s">
        <v>158</v>
      </c>
      <c r="F497" t="str">
        <f ca="1">OFFSET(Industries!B$1,MATCH(Table1[[#This Row],[Ticker]],Industries!$A$2:$A$140,0),0)</f>
        <v>Mega-Cap</v>
      </c>
      <c r="G497" t="str">
        <f ca="1">OFFSET(Industries!F$1,MATCH(Table1[[#This Row],[Ticker]],Industries!$A$2:$A$140,0),0)</f>
        <v>BBB+</v>
      </c>
      <c r="H497" t="s">
        <v>1434</v>
      </c>
      <c r="I497" t="s">
        <v>1434</v>
      </c>
      <c r="J497" s="2">
        <v>45365</v>
      </c>
      <c r="K497" t="s">
        <v>21</v>
      </c>
      <c r="L497" t="s">
        <v>1710</v>
      </c>
      <c r="M497" t="s">
        <v>1709</v>
      </c>
      <c r="N497" s="1"/>
      <c r="O497" t="s">
        <v>476</v>
      </c>
      <c r="P497" s="3">
        <v>0.3</v>
      </c>
      <c r="Q497" s="3" t="s">
        <v>1636</v>
      </c>
      <c r="R497" t="s">
        <v>62</v>
      </c>
      <c r="S497" t="s">
        <v>129</v>
      </c>
      <c r="T497" t="s">
        <v>117</v>
      </c>
      <c r="U497" s="1">
        <v>0.5</v>
      </c>
    </row>
    <row r="498" spans="1:22" x14ac:dyDescent="0.3">
      <c r="A498" t="s">
        <v>334</v>
      </c>
      <c r="B498" t="str">
        <f ca="1">OFFSET(Industries!C$1,MATCH(Table1[[#This Row],[Ticker]],Industries!$A$2:$A$150,0),0)</f>
        <v>Industrials</v>
      </c>
      <c r="C498" t="str">
        <f ca="1">OFFSET(Industries!D$1,MATCH(Table1[[#This Row],[Ticker]],Industries!$A$2:$A$150,0),0)</f>
        <v>Capital Goods</v>
      </c>
      <c r="D498" t="str">
        <f ca="1">OFFSET(Industries!E$1,MATCH(Table1[[#This Row],[Ticker]],Industries!$A$2:$A$150,0),0)</f>
        <v>Aerospace and Defense</v>
      </c>
      <c r="E498" t="s">
        <v>158</v>
      </c>
      <c r="F498" t="str">
        <f ca="1">OFFSET(Industries!B$1,MATCH(Table1[[#This Row],[Ticker]],Industries!$A$2:$A$140,0),0)</f>
        <v>Mega-Cap</v>
      </c>
      <c r="G498" t="str">
        <f ca="1">OFFSET(Industries!F$1,MATCH(Table1[[#This Row],[Ticker]],Industries!$A$2:$A$140,0),0)</f>
        <v>BBB+</v>
      </c>
      <c r="H498" t="s">
        <v>1434</v>
      </c>
      <c r="I498" t="s">
        <v>1434</v>
      </c>
      <c r="J498" s="2">
        <v>45365</v>
      </c>
      <c r="K498" t="s">
        <v>21</v>
      </c>
      <c r="L498" t="s">
        <v>1710</v>
      </c>
      <c r="M498" t="s">
        <v>1709</v>
      </c>
      <c r="N498" s="1"/>
      <c r="O498" t="s">
        <v>476</v>
      </c>
      <c r="P498" s="3">
        <v>0.3</v>
      </c>
      <c r="Q498" s="3"/>
      <c r="R498" t="s">
        <v>28</v>
      </c>
      <c r="S498" t="s">
        <v>1085</v>
      </c>
      <c r="T498" t="s">
        <v>30</v>
      </c>
    </row>
    <row r="499" spans="1:22" x14ac:dyDescent="0.3">
      <c r="A499" t="s">
        <v>334</v>
      </c>
      <c r="B499" t="str">
        <f ca="1">OFFSET(Industries!C$1,MATCH(Table1[[#This Row],[Ticker]],Industries!$A$2:$A$150,0),0)</f>
        <v>Industrials</v>
      </c>
      <c r="C499" t="str">
        <f ca="1">OFFSET(Industries!D$1,MATCH(Table1[[#This Row],[Ticker]],Industries!$A$2:$A$150,0),0)</f>
        <v>Capital Goods</v>
      </c>
      <c r="D499" t="str">
        <f ca="1">OFFSET(Industries!E$1,MATCH(Table1[[#This Row],[Ticker]],Industries!$A$2:$A$150,0),0)</f>
        <v>Aerospace and Defense</v>
      </c>
      <c r="E499" t="s">
        <v>158</v>
      </c>
      <c r="F499" t="str">
        <f ca="1">OFFSET(Industries!B$1,MATCH(Table1[[#This Row],[Ticker]],Industries!$A$2:$A$140,0),0)</f>
        <v>Mega-Cap</v>
      </c>
      <c r="G499" t="str">
        <f ca="1">OFFSET(Industries!F$1,MATCH(Table1[[#This Row],[Ticker]],Industries!$A$2:$A$140,0),0)</f>
        <v>BBB+</v>
      </c>
      <c r="H499" t="s">
        <v>1434</v>
      </c>
      <c r="I499" t="s">
        <v>1434</v>
      </c>
      <c r="J499" s="2">
        <v>45365</v>
      </c>
      <c r="K499" t="s">
        <v>21</v>
      </c>
      <c r="L499" t="s">
        <v>1710</v>
      </c>
      <c r="M499" t="s">
        <v>1711</v>
      </c>
      <c r="N499" s="1">
        <f>Table1[[#This Row],[Consideration Weight]]</f>
        <v>0.18</v>
      </c>
      <c r="O499" t="s">
        <v>87</v>
      </c>
      <c r="P499" s="3">
        <v>0.18</v>
      </c>
      <c r="Q499" s="3"/>
    </row>
    <row r="500" spans="1:22" x14ac:dyDescent="0.3">
      <c r="A500" t="s">
        <v>334</v>
      </c>
      <c r="B500" t="str">
        <f ca="1">OFFSET(Industries!C$1,MATCH(Table1[[#This Row],[Ticker]],Industries!$A$2:$A$150,0),0)</f>
        <v>Industrials</v>
      </c>
      <c r="C500" t="str">
        <f ca="1">OFFSET(Industries!D$1,MATCH(Table1[[#This Row],[Ticker]],Industries!$A$2:$A$150,0),0)</f>
        <v>Capital Goods</v>
      </c>
      <c r="D500" t="str">
        <f ca="1">OFFSET(Industries!E$1,MATCH(Table1[[#This Row],[Ticker]],Industries!$A$2:$A$150,0),0)</f>
        <v>Aerospace and Defense</v>
      </c>
      <c r="E500" t="s">
        <v>158</v>
      </c>
      <c r="F500" t="str">
        <f ca="1">OFFSET(Industries!B$1,MATCH(Table1[[#This Row],[Ticker]],Industries!$A$2:$A$140,0),0)</f>
        <v>Mega-Cap</v>
      </c>
      <c r="G500" t="str">
        <f ca="1">OFFSET(Industries!F$1,MATCH(Table1[[#This Row],[Ticker]],Industries!$A$2:$A$140,0),0)</f>
        <v>BBB+</v>
      </c>
      <c r="H500" t="s">
        <v>1434</v>
      </c>
      <c r="I500" t="s">
        <v>1434</v>
      </c>
      <c r="J500" s="2">
        <v>45365</v>
      </c>
      <c r="K500" t="s">
        <v>21</v>
      </c>
      <c r="L500" t="s">
        <v>1710</v>
      </c>
      <c r="M500" t="s">
        <v>1711</v>
      </c>
      <c r="N500" s="1">
        <f>Table1[[#This Row],[Consideration Weight]]</f>
        <v>0.12</v>
      </c>
      <c r="O500" t="s">
        <v>194</v>
      </c>
      <c r="P500" s="3">
        <v>0.12</v>
      </c>
      <c r="Q500" s="3"/>
    </row>
    <row r="501" spans="1:22" x14ac:dyDescent="0.3">
      <c r="A501" t="s">
        <v>342</v>
      </c>
      <c r="B501" t="str">
        <f ca="1">OFFSET(Industries!C$1,MATCH(Table1[[#This Row],[Ticker]],Industries!$A$2:$A$150,0),0)</f>
        <v>Health Care</v>
      </c>
      <c r="C501" t="str">
        <f ca="1">OFFSET(Industries!D$1,MATCH(Table1[[#This Row],[Ticker]],Industries!$A$2:$A$150,0),0)</f>
        <v>Pharmaceuticals, Biotechnology and Life Sciences</v>
      </c>
      <c r="D501" t="str">
        <f ca="1">OFFSET(Industries!E$1,MATCH(Table1[[#This Row],[Ticker]],Industries!$A$2:$A$150,0),0)</f>
        <v>Biotechnology</v>
      </c>
      <c r="E501" t="s">
        <v>49</v>
      </c>
      <c r="F501" t="str">
        <f ca="1">OFFSET(Industries!B$1,MATCH(Table1[[#This Row],[Ticker]],Industries!$A$2:$A$140,0),0)</f>
        <v>Ultra-Cap</v>
      </c>
      <c r="G501" t="str">
        <f ca="1">OFFSET(Industries!F$1,MATCH(Table1[[#This Row],[Ticker]],Industries!$A$2:$A$140,0),0)</f>
        <v>BBB+</v>
      </c>
      <c r="H501" t="s">
        <v>1434</v>
      </c>
      <c r="I501" t="s">
        <v>1434</v>
      </c>
      <c r="J501" s="2">
        <v>45379</v>
      </c>
      <c r="K501" t="s">
        <v>2</v>
      </c>
      <c r="L501" t="s">
        <v>3</v>
      </c>
      <c r="M501" t="s">
        <v>1711</v>
      </c>
      <c r="N501" s="1">
        <f>Table1[[#This Row],[Consideration Weight]]</f>
        <v>0.09</v>
      </c>
      <c r="O501" t="s">
        <v>3</v>
      </c>
      <c r="P501" s="3">
        <v>0.09</v>
      </c>
      <c r="Q501" s="3"/>
    </row>
    <row r="502" spans="1:22" x14ac:dyDescent="0.3">
      <c r="A502" t="s">
        <v>342</v>
      </c>
      <c r="B502" t="str">
        <f ca="1">OFFSET(Industries!C$1,MATCH(Table1[[#This Row],[Ticker]],Industries!$A$2:$A$150,0),0)</f>
        <v>Health Care</v>
      </c>
      <c r="C502" t="str">
        <f ca="1">OFFSET(Industries!D$1,MATCH(Table1[[#This Row],[Ticker]],Industries!$A$2:$A$150,0),0)</f>
        <v>Pharmaceuticals, Biotechnology and Life Sciences</v>
      </c>
      <c r="D502" t="str">
        <f ca="1">OFFSET(Industries!E$1,MATCH(Table1[[#This Row],[Ticker]],Industries!$A$2:$A$150,0),0)</f>
        <v>Biotechnology</v>
      </c>
      <c r="E502" t="s">
        <v>49</v>
      </c>
      <c r="F502" t="str">
        <f ca="1">OFFSET(Industries!B$1,MATCH(Table1[[#This Row],[Ticker]],Industries!$A$2:$A$140,0),0)</f>
        <v>Ultra-Cap</v>
      </c>
      <c r="G502" t="str">
        <f ca="1">OFFSET(Industries!F$1,MATCH(Table1[[#This Row],[Ticker]],Industries!$A$2:$A$140,0),0)</f>
        <v>BBB+</v>
      </c>
      <c r="H502" t="s">
        <v>1434</v>
      </c>
      <c r="I502" t="s">
        <v>1434</v>
      </c>
      <c r="J502" s="2">
        <v>45379</v>
      </c>
      <c r="K502" t="s">
        <v>2</v>
      </c>
      <c r="L502" t="s">
        <v>1708</v>
      </c>
      <c r="M502" t="s">
        <v>1709</v>
      </c>
      <c r="N502" s="1">
        <f>Table1[[#This Row],[Consideration Weight]]</f>
        <v>0.14000000000000001</v>
      </c>
      <c r="O502" t="s">
        <v>4</v>
      </c>
      <c r="P502" s="3">
        <v>0.14000000000000001</v>
      </c>
      <c r="Q502" s="3" t="s">
        <v>1636</v>
      </c>
      <c r="R502" t="s">
        <v>23</v>
      </c>
      <c r="S502" t="s">
        <v>1083</v>
      </c>
      <c r="T502" t="s">
        <v>7</v>
      </c>
      <c r="U502" s="1">
        <v>0.3</v>
      </c>
      <c r="V502" t="s">
        <v>343</v>
      </c>
    </row>
    <row r="503" spans="1:22" x14ac:dyDescent="0.3">
      <c r="A503" t="s">
        <v>342</v>
      </c>
      <c r="B503" t="str">
        <f ca="1">OFFSET(Industries!C$1,MATCH(Table1[[#This Row],[Ticker]],Industries!$A$2:$A$150,0),0)</f>
        <v>Health Care</v>
      </c>
      <c r="C503" t="str">
        <f ca="1">OFFSET(Industries!D$1,MATCH(Table1[[#This Row],[Ticker]],Industries!$A$2:$A$150,0),0)</f>
        <v>Pharmaceuticals, Biotechnology and Life Sciences</v>
      </c>
      <c r="D503" t="str">
        <f ca="1">OFFSET(Industries!E$1,MATCH(Table1[[#This Row],[Ticker]],Industries!$A$2:$A$150,0),0)</f>
        <v>Biotechnology</v>
      </c>
      <c r="E503" t="s">
        <v>49</v>
      </c>
      <c r="F503" t="str">
        <f ca="1">OFFSET(Industries!B$1,MATCH(Table1[[#This Row],[Ticker]],Industries!$A$2:$A$140,0),0)</f>
        <v>Ultra-Cap</v>
      </c>
      <c r="G503" t="str">
        <f ca="1">OFFSET(Industries!F$1,MATCH(Table1[[#This Row],[Ticker]],Industries!$A$2:$A$140,0),0)</f>
        <v>BBB+</v>
      </c>
      <c r="H503" t="s">
        <v>1434</v>
      </c>
      <c r="I503" t="s">
        <v>1434</v>
      </c>
      <c r="J503" s="2">
        <v>45379</v>
      </c>
      <c r="K503" t="s">
        <v>2</v>
      </c>
      <c r="L503" t="s">
        <v>1708</v>
      </c>
      <c r="M503" t="s">
        <v>1709</v>
      </c>
      <c r="N503" s="1"/>
      <c r="O503" t="s">
        <v>4</v>
      </c>
      <c r="P503" s="3">
        <v>0.14000000000000001</v>
      </c>
      <c r="Q503" s="3" t="s">
        <v>1637</v>
      </c>
      <c r="R503" t="s">
        <v>25</v>
      </c>
      <c r="S503" t="s">
        <v>344</v>
      </c>
      <c r="T503" t="s">
        <v>344</v>
      </c>
      <c r="U503" s="1">
        <v>0.25</v>
      </c>
      <c r="V503" t="s">
        <v>345</v>
      </c>
    </row>
    <row r="504" spans="1:22" x14ac:dyDescent="0.3">
      <c r="A504" t="s">
        <v>342</v>
      </c>
      <c r="B504" t="str">
        <f ca="1">OFFSET(Industries!C$1,MATCH(Table1[[#This Row],[Ticker]],Industries!$A$2:$A$150,0),0)</f>
        <v>Health Care</v>
      </c>
      <c r="C504" t="str">
        <f ca="1">OFFSET(Industries!D$1,MATCH(Table1[[#This Row],[Ticker]],Industries!$A$2:$A$150,0),0)</f>
        <v>Pharmaceuticals, Biotechnology and Life Sciences</v>
      </c>
      <c r="D504" t="str">
        <f ca="1">OFFSET(Industries!E$1,MATCH(Table1[[#This Row],[Ticker]],Industries!$A$2:$A$150,0),0)</f>
        <v>Biotechnology</v>
      </c>
      <c r="E504" t="s">
        <v>49</v>
      </c>
      <c r="F504" t="str">
        <f ca="1">OFFSET(Industries!B$1,MATCH(Table1[[#This Row],[Ticker]],Industries!$A$2:$A$140,0),0)</f>
        <v>Ultra-Cap</v>
      </c>
      <c r="G504" t="str">
        <f ca="1">OFFSET(Industries!F$1,MATCH(Table1[[#This Row],[Ticker]],Industries!$A$2:$A$140,0),0)</f>
        <v>BBB+</v>
      </c>
      <c r="H504" t="s">
        <v>1434</v>
      </c>
      <c r="I504" t="s">
        <v>1434</v>
      </c>
      <c r="J504" s="2">
        <v>45379</v>
      </c>
      <c r="K504" t="s">
        <v>2</v>
      </c>
      <c r="L504" t="s">
        <v>1708</v>
      </c>
      <c r="M504" t="s">
        <v>1709</v>
      </c>
      <c r="N504" s="1"/>
      <c r="O504" t="s">
        <v>4</v>
      </c>
      <c r="P504" s="3">
        <v>0.14000000000000001</v>
      </c>
      <c r="Q504" s="3" t="s">
        <v>1636</v>
      </c>
      <c r="R504" t="s">
        <v>24</v>
      </c>
      <c r="S504" t="s">
        <v>90</v>
      </c>
      <c r="T504" t="s">
        <v>8</v>
      </c>
      <c r="U504" s="1">
        <v>0.2</v>
      </c>
      <c r="V504" t="s">
        <v>346</v>
      </c>
    </row>
    <row r="505" spans="1:22" x14ac:dyDescent="0.3">
      <c r="A505" t="s">
        <v>342</v>
      </c>
      <c r="B505" t="str">
        <f ca="1">OFFSET(Industries!C$1,MATCH(Table1[[#This Row],[Ticker]],Industries!$A$2:$A$150,0),0)</f>
        <v>Health Care</v>
      </c>
      <c r="C505" t="str">
        <f ca="1">OFFSET(Industries!D$1,MATCH(Table1[[#This Row],[Ticker]],Industries!$A$2:$A$150,0),0)</f>
        <v>Pharmaceuticals, Biotechnology and Life Sciences</v>
      </c>
      <c r="D505" t="str">
        <f ca="1">OFFSET(Industries!E$1,MATCH(Table1[[#This Row],[Ticker]],Industries!$A$2:$A$150,0),0)</f>
        <v>Biotechnology</v>
      </c>
      <c r="E505" t="s">
        <v>49</v>
      </c>
      <c r="F505" t="str">
        <f ca="1">OFFSET(Industries!B$1,MATCH(Table1[[#This Row],[Ticker]],Industries!$A$2:$A$140,0),0)</f>
        <v>Ultra-Cap</v>
      </c>
      <c r="G505" t="str">
        <f ca="1">OFFSET(Industries!F$1,MATCH(Table1[[#This Row],[Ticker]],Industries!$A$2:$A$140,0),0)</f>
        <v>BBB+</v>
      </c>
      <c r="H505" t="s">
        <v>1434</v>
      </c>
      <c r="I505" t="s">
        <v>1434</v>
      </c>
      <c r="J505" s="2">
        <v>45379</v>
      </c>
      <c r="K505" t="s">
        <v>2</v>
      </c>
      <c r="L505" t="s">
        <v>1708</v>
      </c>
      <c r="M505" t="s">
        <v>1709</v>
      </c>
      <c r="N505" s="1"/>
      <c r="O505" t="s">
        <v>4</v>
      </c>
      <c r="P505" s="3">
        <v>0.14000000000000001</v>
      </c>
      <c r="Q505" s="3" t="s">
        <v>1637</v>
      </c>
      <c r="R505" t="s">
        <v>25</v>
      </c>
      <c r="S505" t="s">
        <v>1086</v>
      </c>
      <c r="T505" t="s">
        <v>347</v>
      </c>
      <c r="U505" s="1">
        <v>0.15</v>
      </c>
      <c r="V505" t="s">
        <v>348</v>
      </c>
    </row>
    <row r="506" spans="1:22" x14ac:dyDescent="0.3">
      <c r="A506" t="s">
        <v>342</v>
      </c>
      <c r="B506" t="str">
        <f ca="1">OFFSET(Industries!C$1,MATCH(Table1[[#This Row],[Ticker]],Industries!$A$2:$A$150,0),0)</f>
        <v>Health Care</v>
      </c>
      <c r="C506" t="str">
        <f ca="1">OFFSET(Industries!D$1,MATCH(Table1[[#This Row],[Ticker]],Industries!$A$2:$A$150,0),0)</f>
        <v>Pharmaceuticals, Biotechnology and Life Sciences</v>
      </c>
      <c r="D506" t="str">
        <f ca="1">OFFSET(Industries!E$1,MATCH(Table1[[#This Row],[Ticker]],Industries!$A$2:$A$150,0),0)</f>
        <v>Biotechnology</v>
      </c>
      <c r="E506" t="s">
        <v>49</v>
      </c>
      <c r="F506" t="str">
        <f ca="1">OFFSET(Industries!B$1,MATCH(Table1[[#This Row],[Ticker]],Industries!$A$2:$A$140,0),0)</f>
        <v>Ultra-Cap</v>
      </c>
      <c r="G506" t="str">
        <f ca="1">OFFSET(Industries!F$1,MATCH(Table1[[#This Row],[Ticker]],Industries!$A$2:$A$140,0),0)</f>
        <v>BBB+</v>
      </c>
      <c r="H506" t="s">
        <v>1434</v>
      </c>
      <c r="I506" t="s">
        <v>1434</v>
      </c>
      <c r="J506" s="2">
        <v>45379</v>
      </c>
      <c r="K506" t="s">
        <v>2</v>
      </c>
      <c r="L506" t="s">
        <v>1708</v>
      </c>
      <c r="M506" t="s">
        <v>1709</v>
      </c>
      <c r="N506" s="1"/>
      <c r="O506" t="s">
        <v>4</v>
      </c>
      <c r="P506" s="3">
        <v>0.14000000000000001</v>
      </c>
      <c r="Q506" s="3" t="s">
        <v>1637</v>
      </c>
      <c r="R506" t="s">
        <v>26</v>
      </c>
      <c r="S506" t="s">
        <v>26</v>
      </c>
      <c r="T506" t="s">
        <v>349</v>
      </c>
      <c r="U506" s="1">
        <v>0.1</v>
      </c>
      <c r="V506" t="s">
        <v>350</v>
      </c>
    </row>
    <row r="507" spans="1:22" x14ac:dyDescent="0.3">
      <c r="A507" t="s">
        <v>342</v>
      </c>
      <c r="B507" t="str">
        <f ca="1">OFFSET(Industries!C$1,MATCH(Table1[[#This Row],[Ticker]],Industries!$A$2:$A$150,0),0)</f>
        <v>Health Care</v>
      </c>
      <c r="C507" t="str">
        <f ca="1">OFFSET(Industries!D$1,MATCH(Table1[[#This Row],[Ticker]],Industries!$A$2:$A$150,0),0)</f>
        <v>Pharmaceuticals, Biotechnology and Life Sciences</v>
      </c>
      <c r="D507" t="str">
        <f ca="1">OFFSET(Industries!E$1,MATCH(Table1[[#This Row],[Ticker]],Industries!$A$2:$A$150,0),0)</f>
        <v>Biotechnology</v>
      </c>
      <c r="E507" t="s">
        <v>49</v>
      </c>
      <c r="F507" t="str">
        <f ca="1">OFFSET(Industries!B$1,MATCH(Table1[[#This Row],[Ticker]],Industries!$A$2:$A$140,0),0)</f>
        <v>Ultra-Cap</v>
      </c>
      <c r="G507" t="str">
        <f ca="1">OFFSET(Industries!F$1,MATCH(Table1[[#This Row],[Ticker]],Industries!$A$2:$A$140,0),0)</f>
        <v>BBB+</v>
      </c>
      <c r="H507" t="s">
        <v>1434</v>
      </c>
      <c r="I507" t="s">
        <v>1434</v>
      </c>
      <c r="J507" s="2">
        <v>45379</v>
      </c>
      <c r="K507" t="s">
        <v>2</v>
      </c>
      <c r="L507" t="s">
        <v>1710</v>
      </c>
      <c r="M507" t="s">
        <v>1709</v>
      </c>
      <c r="N507" s="1">
        <f>Table1[[#This Row],[Consideration Weight]]</f>
        <v>0.38500000000000001</v>
      </c>
      <c r="O507" t="s">
        <v>476</v>
      </c>
      <c r="P507" s="3">
        <v>0.38500000000000001</v>
      </c>
      <c r="Q507" s="3" t="s">
        <v>1646</v>
      </c>
      <c r="R507" t="s">
        <v>35</v>
      </c>
      <c r="S507" t="s">
        <v>29</v>
      </c>
      <c r="T507" t="s">
        <v>30</v>
      </c>
      <c r="U507" s="1">
        <v>0.5</v>
      </c>
      <c r="V507" t="s">
        <v>351</v>
      </c>
    </row>
    <row r="508" spans="1:22" x14ac:dyDescent="0.3">
      <c r="A508" t="s">
        <v>342</v>
      </c>
      <c r="B508" t="str">
        <f ca="1">OFFSET(Industries!C$1,MATCH(Table1[[#This Row],[Ticker]],Industries!$A$2:$A$150,0),0)</f>
        <v>Health Care</v>
      </c>
      <c r="C508" t="str">
        <f ca="1">OFFSET(Industries!D$1,MATCH(Table1[[#This Row],[Ticker]],Industries!$A$2:$A$150,0),0)</f>
        <v>Pharmaceuticals, Biotechnology and Life Sciences</v>
      </c>
      <c r="D508" t="str">
        <f ca="1">OFFSET(Industries!E$1,MATCH(Table1[[#This Row],[Ticker]],Industries!$A$2:$A$150,0),0)</f>
        <v>Biotechnology</v>
      </c>
      <c r="E508" t="s">
        <v>49</v>
      </c>
      <c r="F508" t="str">
        <f ca="1">OFFSET(Industries!B$1,MATCH(Table1[[#This Row],[Ticker]],Industries!$A$2:$A$140,0),0)</f>
        <v>Ultra-Cap</v>
      </c>
      <c r="G508" t="str">
        <f ca="1">OFFSET(Industries!F$1,MATCH(Table1[[#This Row],[Ticker]],Industries!$A$2:$A$140,0),0)</f>
        <v>BBB+</v>
      </c>
      <c r="H508" t="s">
        <v>1434</v>
      </c>
      <c r="I508" t="s">
        <v>1434</v>
      </c>
      <c r="J508" s="2">
        <v>45379</v>
      </c>
      <c r="K508" t="s">
        <v>2</v>
      </c>
      <c r="L508" t="s">
        <v>1710</v>
      </c>
      <c r="M508" t="s">
        <v>1709</v>
      </c>
      <c r="N508" s="1"/>
      <c r="O508" t="s">
        <v>476</v>
      </c>
      <c r="P508" s="3">
        <v>0.38500000000000001</v>
      </c>
      <c r="Q508" s="3" t="s">
        <v>1636</v>
      </c>
      <c r="R508" t="s">
        <v>23</v>
      </c>
      <c r="S508" t="s">
        <v>1083</v>
      </c>
      <c r="T508" t="s">
        <v>37</v>
      </c>
      <c r="U508" s="1">
        <v>0.5</v>
      </c>
    </row>
    <row r="509" spans="1:22" x14ac:dyDescent="0.3">
      <c r="A509" t="s">
        <v>342</v>
      </c>
      <c r="B509" t="str">
        <f ca="1">OFFSET(Industries!C$1,MATCH(Table1[[#This Row],[Ticker]],Industries!$A$2:$A$150,0),0)</f>
        <v>Health Care</v>
      </c>
      <c r="C509" t="str">
        <f ca="1">OFFSET(Industries!D$1,MATCH(Table1[[#This Row],[Ticker]],Industries!$A$2:$A$150,0),0)</f>
        <v>Pharmaceuticals, Biotechnology and Life Sciences</v>
      </c>
      <c r="D509" t="str">
        <f ca="1">OFFSET(Industries!E$1,MATCH(Table1[[#This Row],[Ticker]],Industries!$A$2:$A$150,0),0)</f>
        <v>Biotechnology</v>
      </c>
      <c r="E509" t="s">
        <v>49</v>
      </c>
      <c r="F509" t="str">
        <f ca="1">OFFSET(Industries!B$1,MATCH(Table1[[#This Row],[Ticker]],Industries!$A$2:$A$140,0),0)</f>
        <v>Ultra-Cap</v>
      </c>
      <c r="G509" t="str">
        <f ca="1">OFFSET(Industries!F$1,MATCH(Table1[[#This Row],[Ticker]],Industries!$A$2:$A$140,0),0)</f>
        <v>BBB+</v>
      </c>
      <c r="H509" t="s">
        <v>1434</v>
      </c>
      <c r="I509" t="s">
        <v>1434</v>
      </c>
      <c r="J509" s="2">
        <v>45379</v>
      </c>
      <c r="K509" t="s">
        <v>2</v>
      </c>
      <c r="L509" t="s">
        <v>1710</v>
      </c>
      <c r="M509" t="s">
        <v>1709</v>
      </c>
      <c r="N509" s="1"/>
      <c r="O509" t="s">
        <v>476</v>
      </c>
      <c r="P509" s="3">
        <v>0.38500000000000001</v>
      </c>
      <c r="Q509" s="3"/>
      <c r="R509" t="s">
        <v>28</v>
      </c>
      <c r="S509" t="s">
        <v>1095</v>
      </c>
      <c r="T509" t="s">
        <v>55</v>
      </c>
      <c r="V509" t="s">
        <v>352</v>
      </c>
    </row>
    <row r="510" spans="1:22" x14ac:dyDescent="0.3">
      <c r="A510" t="s">
        <v>342</v>
      </c>
      <c r="B510" t="str">
        <f ca="1">OFFSET(Industries!C$1,MATCH(Table1[[#This Row],[Ticker]],Industries!$A$2:$A$150,0),0)</f>
        <v>Health Care</v>
      </c>
      <c r="C510" t="str">
        <f ca="1">OFFSET(Industries!D$1,MATCH(Table1[[#This Row],[Ticker]],Industries!$A$2:$A$150,0),0)</f>
        <v>Pharmaceuticals, Biotechnology and Life Sciences</v>
      </c>
      <c r="D510" t="str">
        <f ca="1">OFFSET(Industries!E$1,MATCH(Table1[[#This Row],[Ticker]],Industries!$A$2:$A$150,0),0)</f>
        <v>Biotechnology</v>
      </c>
      <c r="E510" t="s">
        <v>49</v>
      </c>
      <c r="F510" t="str">
        <f ca="1">OFFSET(Industries!B$1,MATCH(Table1[[#This Row],[Ticker]],Industries!$A$2:$A$140,0),0)</f>
        <v>Ultra-Cap</v>
      </c>
      <c r="G510" t="str">
        <f ca="1">OFFSET(Industries!F$1,MATCH(Table1[[#This Row],[Ticker]],Industries!$A$2:$A$140,0),0)</f>
        <v>BBB+</v>
      </c>
      <c r="H510" t="s">
        <v>1434</v>
      </c>
      <c r="I510" t="s">
        <v>1434</v>
      </c>
      <c r="J510" s="2">
        <v>45379</v>
      </c>
      <c r="K510" t="s">
        <v>2</v>
      </c>
      <c r="L510" t="s">
        <v>1710</v>
      </c>
      <c r="M510" t="s">
        <v>1711</v>
      </c>
      <c r="N510" s="1">
        <f>Table1[[#This Row],[Consideration Weight]]</f>
        <v>0.1925</v>
      </c>
      <c r="O510" t="s">
        <v>194</v>
      </c>
      <c r="P510" s="3">
        <f>0.25*0.77</f>
        <v>0.1925</v>
      </c>
      <c r="Q510" s="3"/>
    </row>
    <row r="511" spans="1:22" x14ac:dyDescent="0.3">
      <c r="A511" t="s">
        <v>342</v>
      </c>
      <c r="B511" t="str">
        <f ca="1">OFFSET(Industries!C$1,MATCH(Table1[[#This Row],[Ticker]],Industries!$A$2:$A$150,0),0)</f>
        <v>Health Care</v>
      </c>
      <c r="C511" t="str">
        <f ca="1">OFFSET(Industries!D$1,MATCH(Table1[[#This Row],[Ticker]],Industries!$A$2:$A$150,0),0)</f>
        <v>Pharmaceuticals, Biotechnology and Life Sciences</v>
      </c>
      <c r="D511" t="str">
        <f ca="1">OFFSET(Industries!E$1,MATCH(Table1[[#This Row],[Ticker]],Industries!$A$2:$A$150,0),0)</f>
        <v>Biotechnology</v>
      </c>
      <c r="E511" t="s">
        <v>49</v>
      </c>
      <c r="F511" t="str">
        <f ca="1">OFFSET(Industries!B$1,MATCH(Table1[[#This Row],[Ticker]],Industries!$A$2:$A$140,0),0)</f>
        <v>Ultra-Cap</v>
      </c>
      <c r="G511" t="str">
        <f ca="1">OFFSET(Industries!F$1,MATCH(Table1[[#This Row],[Ticker]],Industries!$A$2:$A$140,0),0)</f>
        <v>BBB+</v>
      </c>
      <c r="H511" t="s">
        <v>1434</v>
      </c>
      <c r="I511" t="s">
        <v>1434</v>
      </c>
      <c r="J511" s="2">
        <v>45379</v>
      </c>
      <c r="K511" t="s">
        <v>2</v>
      </c>
      <c r="L511" t="s">
        <v>1710</v>
      </c>
      <c r="M511" t="s">
        <v>1711</v>
      </c>
      <c r="N511" s="1">
        <f>Table1[[#This Row],[Consideration Weight]]</f>
        <v>0.1925</v>
      </c>
      <c r="O511" t="s">
        <v>87</v>
      </c>
      <c r="P511" s="3">
        <f>0.25*0.77</f>
        <v>0.1925</v>
      </c>
      <c r="Q511" s="3"/>
    </row>
    <row r="512" spans="1:22" x14ac:dyDescent="0.3">
      <c r="A512" t="s">
        <v>342</v>
      </c>
      <c r="B512" t="str">
        <f ca="1">OFFSET(Industries!C$1,MATCH(Table1[[#This Row],[Ticker]],Industries!$A$2:$A$150,0),0)</f>
        <v>Health Care</v>
      </c>
      <c r="C512" t="str">
        <f ca="1">OFFSET(Industries!D$1,MATCH(Table1[[#This Row],[Ticker]],Industries!$A$2:$A$150,0),0)</f>
        <v>Pharmaceuticals, Biotechnology and Life Sciences</v>
      </c>
      <c r="D512" t="str">
        <f ca="1">OFFSET(Industries!E$1,MATCH(Table1[[#This Row],[Ticker]],Industries!$A$2:$A$150,0),0)</f>
        <v>Biotechnology</v>
      </c>
      <c r="E512" t="s">
        <v>49</v>
      </c>
      <c r="F512" t="str">
        <f ca="1">OFFSET(Industries!B$1,MATCH(Table1[[#This Row],[Ticker]],Industries!$A$2:$A$140,0),0)</f>
        <v>Ultra-Cap</v>
      </c>
      <c r="G512" t="str">
        <f ca="1">OFFSET(Industries!F$1,MATCH(Table1[[#This Row],[Ticker]],Industries!$A$2:$A$140,0),0)</f>
        <v>BBB+</v>
      </c>
      <c r="H512" t="s">
        <v>1434</v>
      </c>
      <c r="I512" t="s">
        <v>1434</v>
      </c>
      <c r="J512" s="2">
        <v>45379</v>
      </c>
      <c r="K512" t="s">
        <v>21</v>
      </c>
      <c r="L512" t="s">
        <v>3</v>
      </c>
      <c r="M512" t="s">
        <v>1711</v>
      </c>
      <c r="N512" s="1">
        <f>Table1[[#This Row],[Consideration Weight]]</f>
        <v>0.16</v>
      </c>
      <c r="O512" t="s">
        <v>3</v>
      </c>
      <c r="P512" s="3">
        <v>0.16</v>
      </c>
      <c r="Q512" s="3"/>
    </row>
    <row r="513" spans="1:22" x14ac:dyDescent="0.3">
      <c r="A513" t="s">
        <v>342</v>
      </c>
      <c r="B513" t="str">
        <f ca="1">OFFSET(Industries!C$1,MATCH(Table1[[#This Row],[Ticker]],Industries!$A$2:$A$150,0),0)</f>
        <v>Health Care</v>
      </c>
      <c r="C513" t="str">
        <f ca="1">OFFSET(Industries!D$1,MATCH(Table1[[#This Row],[Ticker]],Industries!$A$2:$A$150,0),0)</f>
        <v>Pharmaceuticals, Biotechnology and Life Sciences</v>
      </c>
      <c r="D513" t="str">
        <f ca="1">OFFSET(Industries!E$1,MATCH(Table1[[#This Row],[Ticker]],Industries!$A$2:$A$150,0),0)</f>
        <v>Biotechnology</v>
      </c>
      <c r="E513" t="s">
        <v>49</v>
      </c>
      <c r="F513" t="str">
        <f ca="1">OFFSET(Industries!B$1,MATCH(Table1[[#This Row],[Ticker]],Industries!$A$2:$A$140,0),0)</f>
        <v>Ultra-Cap</v>
      </c>
      <c r="G513" t="str">
        <f ca="1">OFFSET(Industries!F$1,MATCH(Table1[[#This Row],[Ticker]],Industries!$A$2:$A$140,0),0)</f>
        <v>BBB+</v>
      </c>
      <c r="H513" t="s">
        <v>1434</v>
      </c>
      <c r="I513" t="s">
        <v>1434</v>
      </c>
      <c r="J513" s="2">
        <v>45379</v>
      </c>
      <c r="K513" t="s">
        <v>21</v>
      </c>
      <c r="L513" t="s">
        <v>1708</v>
      </c>
      <c r="M513" t="s">
        <v>1709</v>
      </c>
      <c r="N513" s="1">
        <f>Table1[[#This Row],[Consideration Weight]]</f>
        <v>0.16</v>
      </c>
      <c r="O513" t="s">
        <v>4</v>
      </c>
      <c r="P513" s="3">
        <v>0.16</v>
      </c>
      <c r="Q513" s="3" t="s">
        <v>1636</v>
      </c>
      <c r="R513" t="s">
        <v>23</v>
      </c>
      <c r="S513" t="s">
        <v>1083</v>
      </c>
      <c r="T513" t="s">
        <v>7</v>
      </c>
      <c r="U513" s="1">
        <v>0.3</v>
      </c>
    </row>
    <row r="514" spans="1:22" x14ac:dyDescent="0.3">
      <c r="A514" t="s">
        <v>342</v>
      </c>
      <c r="B514" t="str">
        <f ca="1">OFFSET(Industries!C$1,MATCH(Table1[[#This Row],[Ticker]],Industries!$A$2:$A$150,0),0)</f>
        <v>Health Care</v>
      </c>
      <c r="C514" t="str">
        <f ca="1">OFFSET(Industries!D$1,MATCH(Table1[[#This Row],[Ticker]],Industries!$A$2:$A$150,0),0)</f>
        <v>Pharmaceuticals, Biotechnology and Life Sciences</v>
      </c>
      <c r="D514" t="str">
        <f ca="1">OFFSET(Industries!E$1,MATCH(Table1[[#This Row],[Ticker]],Industries!$A$2:$A$150,0),0)</f>
        <v>Biotechnology</v>
      </c>
      <c r="E514" t="s">
        <v>49</v>
      </c>
      <c r="F514" t="str">
        <f ca="1">OFFSET(Industries!B$1,MATCH(Table1[[#This Row],[Ticker]],Industries!$A$2:$A$140,0),0)</f>
        <v>Ultra-Cap</v>
      </c>
      <c r="G514" t="str">
        <f ca="1">OFFSET(Industries!F$1,MATCH(Table1[[#This Row],[Ticker]],Industries!$A$2:$A$140,0),0)</f>
        <v>BBB+</v>
      </c>
      <c r="H514" t="s">
        <v>1434</v>
      </c>
      <c r="I514" t="s">
        <v>1434</v>
      </c>
      <c r="J514" s="2">
        <v>45379</v>
      </c>
      <c r="K514" t="s">
        <v>21</v>
      </c>
      <c r="L514" t="s">
        <v>1708</v>
      </c>
      <c r="M514" t="s">
        <v>1709</v>
      </c>
      <c r="N514" s="1"/>
      <c r="O514" t="s">
        <v>4</v>
      </c>
      <c r="P514" s="3">
        <v>0.16</v>
      </c>
      <c r="Q514" s="3" t="s">
        <v>1637</v>
      </c>
      <c r="R514" t="s">
        <v>25</v>
      </c>
      <c r="S514" t="s">
        <v>344</v>
      </c>
      <c r="T514" t="s">
        <v>344</v>
      </c>
      <c r="U514" s="1">
        <v>0.25</v>
      </c>
    </row>
    <row r="515" spans="1:22" x14ac:dyDescent="0.3">
      <c r="A515" t="s">
        <v>342</v>
      </c>
      <c r="B515" t="str">
        <f ca="1">OFFSET(Industries!C$1,MATCH(Table1[[#This Row],[Ticker]],Industries!$A$2:$A$150,0),0)</f>
        <v>Health Care</v>
      </c>
      <c r="C515" t="str">
        <f ca="1">OFFSET(Industries!D$1,MATCH(Table1[[#This Row],[Ticker]],Industries!$A$2:$A$150,0),0)</f>
        <v>Pharmaceuticals, Biotechnology and Life Sciences</v>
      </c>
      <c r="D515" t="str">
        <f ca="1">OFFSET(Industries!E$1,MATCH(Table1[[#This Row],[Ticker]],Industries!$A$2:$A$150,0),0)</f>
        <v>Biotechnology</v>
      </c>
      <c r="E515" t="s">
        <v>49</v>
      </c>
      <c r="F515" t="str">
        <f ca="1">OFFSET(Industries!B$1,MATCH(Table1[[#This Row],[Ticker]],Industries!$A$2:$A$140,0),0)</f>
        <v>Ultra-Cap</v>
      </c>
      <c r="G515" t="str">
        <f ca="1">OFFSET(Industries!F$1,MATCH(Table1[[#This Row],[Ticker]],Industries!$A$2:$A$140,0),0)</f>
        <v>BBB+</v>
      </c>
      <c r="H515" t="s">
        <v>1434</v>
      </c>
      <c r="I515" t="s">
        <v>1434</v>
      </c>
      <c r="J515" s="2">
        <v>45379</v>
      </c>
      <c r="K515" t="s">
        <v>21</v>
      </c>
      <c r="L515" t="s">
        <v>1708</v>
      </c>
      <c r="M515" t="s">
        <v>1709</v>
      </c>
      <c r="N515" s="1"/>
      <c r="O515" t="s">
        <v>4</v>
      </c>
      <c r="P515" s="3">
        <v>0.16</v>
      </c>
      <c r="Q515" s="3" t="s">
        <v>1636</v>
      </c>
      <c r="R515" t="s">
        <v>24</v>
      </c>
      <c r="S515" t="s">
        <v>90</v>
      </c>
      <c r="T515" t="s">
        <v>8</v>
      </c>
      <c r="U515" s="1">
        <v>0.2</v>
      </c>
    </row>
    <row r="516" spans="1:22" x14ac:dyDescent="0.3">
      <c r="A516" t="s">
        <v>342</v>
      </c>
      <c r="B516" t="str">
        <f ca="1">OFFSET(Industries!C$1,MATCH(Table1[[#This Row],[Ticker]],Industries!$A$2:$A$150,0),0)</f>
        <v>Health Care</v>
      </c>
      <c r="C516" t="str">
        <f ca="1">OFFSET(Industries!D$1,MATCH(Table1[[#This Row],[Ticker]],Industries!$A$2:$A$150,0),0)</f>
        <v>Pharmaceuticals, Biotechnology and Life Sciences</v>
      </c>
      <c r="D516" t="str">
        <f ca="1">OFFSET(Industries!E$1,MATCH(Table1[[#This Row],[Ticker]],Industries!$A$2:$A$150,0),0)</f>
        <v>Biotechnology</v>
      </c>
      <c r="E516" t="s">
        <v>49</v>
      </c>
      <c r="F516" t="str">
        <f ca="1">OFFSET(Industries!B$1,MATCH(Table1[[#This Row],[Ticker]],Industries!$A$2:$A$140,0),0)</f>
        <v>Ultra-Cap</v>
      </c>
      <c r="G516" t="str">
        <f ca="1">OFFSET(Industries!F$1,MATCH(Table1[[#This Row],[Ticker]],Industries!$A$2:$A$140,0),0)</f>
        <v>BBB+</v>
      </c>
      <c r="H516" t="s">
        <v>1434</v>
      </c>
      <c r="I516" t="s">
        <v>1434</v>
      </c>
      <c r="J516" s="2">
        <v>45379</v>
      </c>
      <c r="K516" t="s">
        <v>21</v>
      </c>
      <c r="L516" t="s">
        <v>1708</v>
      </c>
      <c r="M516" t="s">
        <v>1709</v>
      </c>
      <c r="N516" s="1"/>
      <c r="O516" t="s">
        <v>4</v>
      </c>
      <c r="P516" s="3">
        <v>0.16</v>
      </c>
      <c r="Q516" s="3" t="s">
        <v>1637</v>
      </c>
      <c r="R516" t="s">
        <v>25</v>
      </c>
      <c r="S516" t="s">
        <v>1086</v>
      </c>
      <c r="T516" t="s">
        <v>347</v>
      </c>
      <c r="U516" s="1">
        <v>0.15</v>
      </c>
    </row>
    <row r="517" spans="1:22" x14ac:dyDescent="0.3">
      <c r="A517" t="s">
        <v>342</v>
      </c>
      <c r="B517" t="str">
        <f ca="1">OFFSET(Industries!C$1,MATCH(Table1[[#This Row],[Ticker]],Industries!$A$2:$A$150,0),0)</f>
        <v>Health Care</v>
      </c>
      <c r="C517" t="str">
        <f ca="1">OFFSET(Industries!D$1,MATCH(Table1[[#This Row],[Ticker]],Industries!$A$2:$A$150,0),0)</f>
        <v>Pharmaceuticals, Biotechnology and Life Sciences</v>
      </c>
      <c r="D517" t="str">
        <f ca="1">OFFSET(Industries!E$1,MATCH(Table1[[#This Row],[Ticker]],Industries!$A$2:$A$150,0),0)</f>
        <v>Biotechnology</v>
      </c>
      <c r="E517" t="s">
        <v>49</v>
      </c>
      <c r="F517" t="str">
        <f ca="1">OFFSET(Industries!B$1,MATCH(Table1[[#This Row],[Ticker]],Industries!$A$2:$A$140,0),0)</f>
        <v>Ultra-Cap</v>
      </c>
      <c r="G517" t="str">
        <f ca="1">OFFSET(Industries!F$1,MATCH(Table1[[#This Row],[Ticker]],Industries!$A$2:$A$140,0),0)</f>
        <v>BBB+</v>
      </c>
      <c r="H517" t="s">
        <v>1434</v>
      </c>
      <c r="I517" t="s">
        <v>1434</v>
      </c>
      <c r="J517" s="2">
        <v>45379</v>
      </c>
      <c r="K517" t="s">
        <v>21</v>
      </c>
      <c r="L517" t="s">
        <v>1708</v>
      </c>
      <c r="M517" t="s">
        <v>1709</v>
      </c>
      <c r="N517" s="1"/>
      <c r="O517" t="s">
        <v>4</v>
      </c>
      <c r="P517" s="3">
        <v>0.16</v>
      </c>
      <c r="Q517" s="3" t="s">
        <v>1637</v>
      </c>
      <c r="R517" t="s">
        <v>25</v>
      </c>
      <c r="S517" t="s">
        <v>26</v>
      </c>
      <c r="T517" t="s">
        <v>349</v>
      </c>
      <c r="U517" s="1">
        <v>0.1</v>
      </c>
    </row>
    <row r="518" spans="1:22" x14ac:dyDescent="0.3">
      <c r="A518" t="s">
        <v>342</v>
      </c>
      <c r="B518" t="str">
        <f ca="1">OFFSET(Industries!C$1,MATCH(Table1[[#This Row],[Ticker]],Industries!$A$2:$A$150,0),0)</f>
        <v>Health Care</v>
      </c>
      <c r="C518" t="str">
        <f ca="1">OFFSET(Industries!D$1,MATCH(Table1[[#This Row],[Ticker]],Industries!$A$2:$A$150,0),0)</f>
        <v>Pharmaceuticals, Biotechnology and Life Sciences</v>
      </c>
      <c r="D518" t="str">
        <f ca="1">OFFSET(Industries!E$1,MATCH(Table1[[#This Row],[Ticker]],Industries!$A$2:$A$150,0),0)</f>
        <v>Biotechnology</v>
      </c>
      <c r="E518" t="s">
        <v>49</v>
      </c>
      <c r="F518" t="str">
        <f ca="1">OFFSET(Industries!B$1,MATCH(Table1[[#This Row],[Ticker]],Industries!$A$2:$A$140,0),0)</f>
        <v>Ultra-Cap</v>
      </c>
      <c r="G518" t="str">
        <f ca="1">OFFSET(Industries!F$1,MATCH(Table1[[#This Row],[Ticker]],Industries!$A$2:$A$140,0),0)</f>
        <v>BBB+</v>
      </c>
      <c r="H518" t="s">
        <v>1434</v>
      </c>
      <c r="I518" t="s">
        <v>1434</v>
      </c>
      <c r="J518" s="2">
        <v>45379</v>
      </c>
      <c r="K518" t="s">
        <v>21</v>
      </c>
      <c r="L518" t="s">
        <v>1708</v>
      </c>
      <c r="M518" t="s">
        <v>1709</v>
      </c>
      <c r="N518" s="1"/>
      <c r="O518" t="s">
        <v>4</v>
      </c>
      <c r="P518" s="3">
        <v>0.16</v>
      </c>
      <c r="Q518" s="3"/>
      <c r="R518" t="s">
        <v>28</v>
      </c>
      <c r="S518" t="s">
        <v>1087</v>
      </c>
      <c r="T518" t="s">
        <v>40</v>
      </c>
    </row>
    <row r="519" spans="1:22" x14ac:dyDescent="0.3">
      <c r="A519" t="s">
        <v>342</v>
      </c>
      <c r="B519" t="str">
        <f ca="1">OFFSET(Industries!C$1,MATCH(Table1[[#This Row],[Ticker]],Industries!$A$2:$A$150,0),0)</f>
        <v>Health Care</v>
      </c>
      <c r="C519" t="str">
        <f ca="1">OFFSET(Industries!D$1,MATCH(Table1[[#This Row],[Ticker]],Industries!$A$2:$A$150,0),0)</f>
        <v>Pharmaceuticals, Biotechnology and Life Sciences</v>
      </c>
      <c r="D519" t="str">
        <f ca="1">OFFSET(Industries!E$1,MATCH(Table1[[#This Row],[Ticker]],Industries!$A$2:$A$150,0),0)</f>
        <v>Biotechnology</v>
      </c>
      <c r="E519" t="s">
        <v>49</v>
      </c>
      <c r="F519" t="str">
        <f ca="1">OFFSET(Industries!B$1,MATCH(Table1[[#This Row],[Ticker]],Industries!$A$2:$A$140,0),0)</f>
        <v>Ultra-Cap</v>
      </c>
      <c r="G519" t="str">
        <f ca="1">OFFSET(Industries!F$1,MATCH(Table1[[#This Row],[Ticker]],Industries!$A$2:$A$140,0),0)</f>
        <v>BBB+</v>
      </c>
      <c r="H519" t="s">
        <v>1434</v>
      </c>
      <c r="I519" t="s">
        <v>1434</v>
      </c>
      <c r="J519" s="2">
        <v>45379</v>
      </c>
      <c r="K519" t="s">
        <v>21</v>
      </c>
      <c r="L519" t="s">
        <v>1710</v>
      </c>
      <c r="M519" t="s">
        <v>1709</v>
      </c>
      <c r="N519" s="1">
        <f>Table1[[#This Row],[Consideration Weight]]</f>
        <v>0.34</v>
      </c>
      <c r="O519" t="s">
        <v>476</v>
      </c>
      <c r="P519" s="3">
        <f>0.68*0.5</f>
        <v>0.34</v>
      </c>
      <c r="Q519" s="3" t="s">
        <v>1646</v>
      </c>
      <c r="R519" t="s">
        <v>35</v>
      </c>
      <c r="S519" t="s">
        <v>29</v>
      </c>
      <c r="T519" t="s">
        <v>30</v>
      </c>
      <c r="U519" s="1">
        <v>0.5</v>
      </c>
    </row>
    <row r="520" spans="1:22" x14ac:dyDescent="0.3">
      <c r="A520" t="s">
        <v>342</v>
      </c>
      <c r="B520" t="str">
        <f ca="1">OFFSET(Industries!C$1,MATCH(Table1[[#This Row],[Ticker]],Industries!$A$2:$A$150,0),0)</f>
        <v>Health Care</v>
      </c>
      <c r="C520" t="str">
        <f ca="1">OFFSET(Industries!D$1,MATCH(Table1[[#This Row],[Ticker]],Industries!$A$2:$A$150,0),0)</f>
        <v>Pharmaceuticals, Biotechnology and Life Sciences</v>
      </c>
      <c r="D520" t="str">
        <f ca="1">OFFSET(Industries!E$1,MATCH(Table1[[#This Row],[Ticker]],Industries!$A$2:$A$150,0),0)</f>
        <v>Biotechnology</v>
      </c>
      <c r="E520" t="s">
        <v>49</v>
      </c>
      <c r="F520" t="str">
        <f ca="1">OFFSET(Industries!B$1,MATCH(Table1[[#This Row],[Ticker]],Industries!$A$2:$A$140,0),0)</f>
        <v>Ultra-Cap</v>
      </c>
      <c r="G520" t="str">
        <f ca="1">OFFSET(Industries!F$1,MATCH(Table1[[#This Row],[Ticker]],Industries!$A$2:$A$140,0),0)</f>
        <v>BBB+</v>
      </c>
      <c r="H520" t="s">
        <v>1434</v>
      </c>
      <c r="I520" t="s">
        <v>1434</v>
      </c>
      <c r="J520" s="2">
        <v>45379</v>
      </c>
      <c r="K520" t="s">
        <v>21</v>
      </c>
      <c r="L520" t="s">
        <v>1710</v>
      </c>
      <c r="M520" t="s">
        <v>1709</v>
      </c>
      <c r="N520" s="1"/>
      <c r="O520" t="s">
        <v>476</v>
      </c>
      <c r="P520" s="3">
        <f t="shared" ref="P520:P521" si="7">0.68*0.5</f>
        <v>0.34</v>
      </c>
      <c r="Q520" s="3" t="s">
        <v>1636</v>
      </c>
      <c r="R520" t="s">
        <v>23</v>
      </c>
      <c r="S520" t="s">
        <v>1083</v>
      </c>
      <c r="T520" t="s">
        <v>37</v>
      </c>
      <c r="U520" s="1">
        <v>0.5</v>
      </c>
    </row>
    <row r="521" spans="1:22" x14ac:dyDescent="0.3">
      <c r="A521" t="s">
        <v>342</v>
      </c>
      <c r="B521" t="str">
        <f ca="1">OFFSET(Industries!C$1,MATCH(Table1[[#This Row],[Ticker]],Industries!$A$2:$A$150,0),0)</f>
        <v>Health Care</v>
      </c>
      <c r="C521" t="str">
        <f ca="1">OFFSET(Industries!D$1,MATCH(Table1[[#This Row],[Ticker]],Industries!$A$2:$A$150,0),0)</f>
        <v>Pharmaceuticals, Biotechnology and Life Sciences</v>
      </c>
      <c r="D521" t="str">
        <f ca="1">OFFSET(Industries!E$1,MATCH(Table1[[#This Row],[Ticker]],Industries!$A$2:$A$150,0),0)</f>
        <v>Biotechnology</v>
      </c>
      <c r="E521" t="s">
        <v>49</v>
      </c>
      <c r="F521" t="str">
        <f ca="1">OFFSET(Industries!B$1,MATCH(Table1[[#This Row],[Ticker]],Industries!$A$2:$A$140,0),0)</f>
        <v>Ultra-Cap</v>
      </c>
      <c r="G521" t="str">
        <f ca="1">OFFSET(Industries!F$1,MATCH(Table1[[#This Row],[Ticker]],Industries!$A$2:$A$140,0),0)</f>
        <v>BBB+</v>
      </c>
      <c r="H521" t="s">
        <v>1434</v>
      </c>
      <c r="I521" t="s">
        <v>1434</v>
      </c>
      <c r="J521" s="2">
        <v>45379</v>
      </c>
      <c r="K521" t="s">
        <v>21</v>
      </c>
      <c r="L521" t="s">
        <v>1710</v>
      </c>
      <c r="M521" t="s">
        <v>1709</v>
      </c>
      <c r="N521" s="1"/>
      <c r="O521" t="s">
        <v>476</v>
      </c>
      <c r="P521" s="3">
        <f t="shared" si="7"/>
        <v>0.34</v>
      </c>
      <c r="Q521" s="3"/>
      <c r="R521" t="s">
        <v>28</v>
      </c>
      <c r="S521" t="s">
        <v>1095</v>
      </c>
      <c r="T521" t="s">
        <v>55</v>
      </c>
    </row>
    <row r="522" spans="1:22" x14ac:dyDescent="0.3">
      <c r="A522" t="s">
        <v>342</v>
      </c>
      <c r="B522" t="str">
        <f ca="1">OFFSET(Industries!C$1,MATCH(Table1[[#This Row],[Ticker]],Industries!$A$2:$A$150,0),0)</f>
        <v>Health Care</v>
      </c>
      <c r="C522" t="str">
        <f ca="1">OFFSET(Industries!D$1,MATCH(Table1[[#This Row],[Ticker]],Industries!$A$2:$A$150,0),0)</f>
        <v>Pharmaceuticals, Biotechnology and Life Sciences</v>
      </c>
      <c r="D522" t="str">
        <f ca="1">OFFSET(Industries!E$1,MATCH(Table1[[#This Row],[Ticker]],Industries!$A$2:$A$150,0),0)</f>
        <v>Biotechnology</v>
      </c>
      <c r="E522" t="s">
        <v>49</v>
      </c>
      <c r="F522" t="str">
        <f ca="1">OFFSET(Industries!B$1,MATCH(Table1[[#This Row],[Ticker]],Industries!$A$2:$A$140,0),0)</f>
        <v>Ultra-Cap</v>
      </c>
      <c r="G522" t="str">
        <f ca="1">OFFSET(Industries!F$1,MATCH(Table1[[#This Row],[Ticker]],Industries!$A$2:$A$140,0),0)</f>
        <v>BBB+</v>
      </c>
      <c r="H522" t="s">
        <v>1434</v>
      </c>
      <c r="I522" t="s">
        <v>1434</v>
      </c>
      <c r="J522" s="2">
        <v>45379</v>
      </c>
      <c r="K522" t="s">
        <v>21</v>
      </c>
      <c r="L522" t="s">
        <v>1710</v>
      </c>
      <c r="M522" t="s">
        <v>1711</v>
      </c>
      <c r="N522" s="1">
        <f>Table1[[#This Row],[Consideration Weight]]</f>
        <v>0.17</v>
      </c>
      <c r="O522" t="s">
        <v>194</v>
      </c>
      <c r="P522" s="3">
        <f>0.68*0.25</f>
        <v>0.17</v>
      </c>
      <c r="Q522" s="3"/>
    </row>
    <row r="523" spans="1:22" x14ac:dyDescent="0.3">
      <c r="A523" t="s">
        <v>342</v>
      </c>
      <c r="B523" t="str">
        <f ca="1">OFFSET(Industries!C$1,MATCH(Table1[[#This Row],[Ticker]],Industries!$A$2:$A$150,0),0)</f>
        <v>Health Care</v>
      </c>
      <c r="C523" t="str">
        <f ca="1">OFFSET(Industries!D$1,MATCH(Table1[[#This Row],[Ticker]],Industries!$A$2:$A$150,0),0)</f>
        <v>Pharmaceuticals, Biotechnology and Life Sciences</v>
      </c>
      <c r="D523" t="str">
        <f ca="1">OFFSET(Industries!E$1,MATCH(Table1[[#This Row],[Ticker]],Industries!$A$2:$A$150,0),0)</f>
        <v>Biotechnology</v>
      </c>
      <c r="E523" t="s">
        <v>49</v>
      </c>
      <c r="F523" t="str">
        <f ca="1">OFFSET(Industries!B$1,MATCH(Table1[[#This Row],[Ticker]],Industries!$A$2:$A$140,0),0)</f>
        <v>Ultra-Cap</v>
      </c>
      <c r="G523" t="str">
        <f ca="1">OFFSET(Industries!F$1,MATCH(Table1[[#This Row],[Ticker]],Industries!$A$2:$A$140,0),0)</f>
        <v>BBB+</v>
      </c>
      <c r="H523" t="s">
        <v>1434</v>
      </c>
      <c r="I523" t="s">
        <v>1434</v>
      </c>
      <c r="J523" s="2">
        <v>45379</v>
      </c>
      <c r="K523" t="s">
        <v>21</v>
      </c>
      <c r="L523" t="s">
        <v>1710</v>
      </c>
      <c r="M523" t="s">
        <v>1711</v>
      </c>
      <c r="N523" s="1">
        <f>Table1[[#This Row],[Consideration Weight]]</f>
        <v>0.17</v>
      </c>
      <c r="O523" t="s">
        <v>87</v>
      </c>
      <c r="P523" s="3">
        <f>0.68*0.25</f>
        <v>0.17</v>
      </c>
      <c r="Q523" s="3"/>
    </row>
    <row r="524" spans="1:22" x14ac:dyDescent="0.3">
      <c r="A524" t="s">
        <v>353</v>
      </c>
      <c r="B524" t="str">
        <f ca="1">OFFSET(Industries!C$1,MATCH(Table1[[#This Row],[Ticker]],Industries!$A$2:$A$150,0),0)</f>
        <v>Information Technology</v>
      </c>
      <c r="C524" t="str">
        <f ca="1">OFFSET(Industries!D$1,MATCH(Table1[[#This Row],[Ticker]],Industries!$A$2:$A$150,0),0)</f>
        <v>Semiconductors</v>
      </c>
      <c r="D524" t="str">
        <f ca="1">OFFSET(Industries!E$1,MATCH(Table1[[#This Row],[Ticker]],Industries!$A$2:$A$150,0),0)</f>
        <v>Semiconductors</v>
      </c>
      <c r="E524" t="s">
        <v>158</v>
      </c>
      <c r="F524" t="str">
        <f ca="1">OFFSET(Industries!B$1,MATCH(Table1[[#This Row],[Ticker]],Industries!$A$2:$A$140,0),0)</f>
        <v>Mega-Cap</v>
      </c>
      <c r="G524" t="str">
        <f ca="1">OFFSET(Industries!F$1,MATCH(Table1[[#This Row],[Ticker]],Industries!$A$2:$A$140,0),0)</f>
        <v>A</v>
      </c>
      <c r="H524" t="s">
        <v>1434</v>
      </c>
      <c r="I524" t="s">
        <v>1434</v>
      </c>
      <c r="J524" s="2">
        <v>45315</v>
      </c>
      <c r="K524" t="s">
        <v>2</v>
      </c>
      <c r="L524" t="s">
        <v>3</v>
      </c>
      <c r="M524" t="s">
        <v>1711</v>
      </c>
      <c r="N524" s="1">
        <f>Table1[[#This Row],[Consideration Weight]]</f>
        <v>0.04</v>
      </c>
      <c r="O524" t="s">
        <v>3</v>
      </c>
      <c r="P524" s="3">
        <v>0.04</v>
      </c>
      <c r="Q524" s="3"/>
    </row>
    <row r="525" spans="1:22" x14ac:dyDescent="0.3">
      <c r="A525" t="s">
        <v>353</v>
      </c>
      <c r="B525" t="str">
        <f ca="1">OFFSET(Industries!C$1,MATCH(Table1[[#This Row],[Ticker]],Industries!$A$2:$A$150,0),0)</f>
        <v>Information Technology</v>
      </c>
      <c r="C525" t="str">
        <f ca="1">OFFSET(Industries!D$1,MATCH(Table1[[#This Row],[Ticker]],Industries!$A$2:$A$150,0),0)</f>
        <v>Semiconductors</v>
      </c>
      <c r="D525" t="str">
        <f ca="1">OFFSET(Industries!E$1,MATCH(Table1[[#This Row],[Ticker]],Industries!$A$2:$A$150,0),0)</f>
        <v>Semiconductors</v>
      </c>
      <c r="E525" t="s">
        <v>158</v>
      </c>
      <c r="F525" t="str">
        <f ca="1">OFFSET(Industries!B$1,MATCH(Table1[[#This Row],[Ticker]],Industries!$A$2:$A$140,0),0)</f>
        <v>Mega-Cap</v>
      </c>
      <c r="G525" t="str">
        <f ca="1">OFFSET(Industries!F$1,MATCH(Table1[[#This Row],[Ticker]],Industries!$A$2:$A$140,0),0)</f>
        <v>A</v>
      </c>
      <c r="H525" t="s">
        <v>1434</v>
      </c>
      <c r="I525" t="s">
        <v>1434</v>
      </c>
      <c r="J525" s="2">
        <v>45315</v>
      </c>
      <c r="K525" t="s">
        <v>2</v>
      </c>
      <c r="L525" t="s">
        <v>1708</v>
      </c>
      <c r="M525" t="s">
        <v>1709</v>
      </c>
      <c r="N525" s="1">
        <f>Table1[[#This Row],[Consideration Weight]]</f>
        <v>7.0000000000000007E-2</v>
      </c>
      <c r="O525" t="s">
        <v>4</v>
      </c>
      <c r="P525" s="3">
        <v>7.0000000000000007E-2</v>
      </c>
      <c r="Q525" s="3" t="s">
        <v>1637</v>
      </c>
      <c r="R525" t="s">
        <v>25</v>
      </c>
      <c r="S525" t="s">
        <v>1086</v>
      </c>
      <c r="T525" t="s">
        <v>354</v>
      </c>
      <c r="U525" s="1">
        <v>0.3</v>
      </c>
      <c r="V525" t="s">
        <v>364</v>
      </c>
    </row>
    <row r="526" spans="1:22" x14ac:dyDescent="0.3">
      <c r="A526" t="s">
        <v>353</v>
      </c>
      <c r="B526" t="str">
        <f ca="1">OFFSET(Industries!C$1,MATCH(Table1[[#This Row],[Ticker]],Industries!$A$2:$A$150,0),0)</f>
        <v>Information Technology</v>
      </c>
      <c r="C526" t="str">
        <f ca="1">OFFSET(Industries!D$1,MATCH(Table1[[#This Row],[Ticker]],Industries!$A$2:$A$150,0),0)</f>
        <v>Semiconductors</v>
      </c>
      <c r="D526" t="str">
        <f ca="1">OFFSET(Industries!E$1,MATCH(Table1[[#This Row],[Ticker]],Industries!$A$2:$A$150,0),0)</f>
        <v>Semiconductors</v>
      </c>
      <c r="E526" t="s">
        <v>158</v>
      </c>
      <c r="F526" t="str">
        <f ca="1">OFFSET(Industries!B$1,MATCH(Table1[[#This Row],[Ticker]],Industries!$A$2:$A$140,0),0)</f>
        <v>Mega-Cap</v>
      </c>
      <c r="G526" t="str">
        <f ca="1">OFFSET(Industries!F$1,MATCH(Table1[[#This Row],[Ticker]],Industries!$A$2:$A$140,0),0)</f>
        <v>A</v>
      </c>
      <c r="H526" t="s">
        <v>1434</v>
      </c>
      <c r="I526" t="s">
        <v>1434</v>
      </c>
      <c r="J526" s="2">
        <v>45315</v>
      </c>
      <c r="K526" t="s">
        <v>2</v>
      </c>
      <c r="L526" t="s">
        <v>1708</v>
      </c>
      <c r="M526" t="s">
        <v>1709</v>
      </c>
      <c r="N526" s="1"/>
      <c r="O526" t="s">
        <v>4</v>
      </c>
      <c r="P526" s="3">
        <v>7.0000000000000007E-2</v>
      </c>
      <c r="Q526" s="3" t="s">
        <v>1637</v>
      </c>
      <c r="R526" t="s">
        <v>25</v>
      </c>
      <c r="S526" t="s">
        <v>1086</v>
      </c>
      <c r="T526" t="s">
        <v>355</v>
      </c>
      <c r="U526" s="1">
        <v>0.1</v>
      </c>
      <c r="V526" t="s">
        <v>365</v>
      </c>
    </row>
    <row r="527" spans="1:22" x14ac:dyDescent="0.3">
      <c r="A527" t="s">
        <v>353</v>
      </c>
      <c r="B527" t="str">
        <f ca="1">OFFSET(Industries!C$1,MATCH(Table1[[#This Row],[Ticker]],Industries!$A$2:$A$150,0),0)</f>
        <v>Information Technology</v>
      </c>
      <c r="C527" t="str">
        <f ca="1">OFFSET(Industries!D$1,MATCH(Table1[[#This Row],[Ticker]],Industries!$A$2:$A$150,0),0)</f>
        <v>Semiconductors</v>
      </c>
      <c r="D527" t="str">
        <f ca="1">OFFSET(Industries!E$1,MATCH(Table1[[#This Row],[Ticker]],Industries!$A$2:$A$150,0),0)</f>
        <v>Semiconductors</v>
      </c>
      <c r="E527" t="s">
        <v>158</v>
      </c>
      <c r="F527" t="str">
        <f ca="1">OFFSET(Industries!B$1,MATCH(Table1[[#This Row],[Ticker]],Industries!$A$2:$A$140,0),0)</f>
        <v>Mega-Cap</v>
      </c>
      <c r="G527" t="str">
        <f ca="1">OFFSET(Industries!F$1,MATCH(Table1[[#This Row],[Ticker]],Industries!$A$2:$A$140,0),0)</f>
        <v>A</v>
      </c>
      <c r="H527" t="s">
        <v>1434</v>
      </c>
      <c r="I527" t="s">
        <v>1434</v>
      </c>
      <c r="J527" s="2">
        <v>45315</v>
      </c>
      <c r="K527" t="s">
        <v>2</v>
      </c>
      <c r="L527" t="s">
        <v>1708</v>
      </c>
      <c r="M527" t="s">
        <v>1709</v>
      </c>
      <c r="N527" s="1"/>
      <c r="O527" t="s">
        <v>4</v>
      </c>
      <c r="P527" s="3">
        <v>7.0000000000000007E-2</v>
      </c>
      <c r="Q527" s="3" t="s">
        <v>1636</v>
      </c>
      <c r="R527" t="s">
        <v>23</v>
      </c>
      <c r="S527" t="s">
        <v>137</v>
      </c>
      <c r="T527" t="s">
        <v>356</v>
      </c>
      <c r="U527" s="1">
        <v>0.1</v>
      </c>
      <c r="V527" t="s">
        <v>362</v>
      </c>
    </row>
    <row r="528" spans="1:22" x14ac:dyDescent="0.3">
      <c r="A528" t="s">
        <v>353</v>
      </c>
      <c r="B528" t="str">
        <f ca="1">OFFSET(Industries!C$1,MATCH(Table1[[#This Row],[Ticker]],Industries!$A$2:$A$150,0),0)</f>
        <v>Information Technology</v>
      </c>
      <c r="C528" t="str">
        <f ca="1">OFFSET(Industries!D$1,MATCH(Table1[[#This Row],[Ticker]],Industries!$A$2:$A$150,0),0)</f>
        <v>Semiconductors</v>
      </c>
      <c r="D528" t="str">
        <f ca="1">OFFSET(Industries!E$1,MATCH(Table1[[#This Row],[Ticker]],Industries!$A$2:$A$150,0),0)</f>
        <v>Semiconductors</v>
      </c>
      <c r="E528" t="s">
        <v>158</v>
      </c>
      <c r="F528" t="str">
        <f ca="1">OFFSET(Industries!B$1,MATCH(Table1[[#This Row],[Ticker]],Industries!$A$2:$A$140,0),0)</f>
        <v>Mega-Cap</v>
      </c>
      <c r="G528" t="str">
        <f ca="1">OFFSET(Industries!F$1,MATCH(Table1[[#This Row],[Ticker]],Industries!$A$2:$A$140,0),0)</f>
        <v>A</v>
      </c>
      <c r="H528" t="s">
        <v>1434</v>
      </c>
      <c r="I528" t="s">
        <v>1434</v>
      </c>
      <c r="J528" s="2">
        <v>45315</v>
      </c>
      <c r="K528" t="s">
        <v>2</v>
      </c>
      <c r="L528" t="s">
        <v>1708</v>
      </c>
      <c r="M528" t="s">
        <v>1709</v>
      </c>
      <c r="N528" s="1"/>
      <c r="O528" t="s">
        <v>4</v>
      </c>
      <c r="P528" s="3">
        <v>7.0000000000000007E-2</v>
      </c>
      <c r="Q528" s="3" t="s">
        <v>1636</v>
      </c>
      <c r="R528" t="s">
        <v>24</v>
      </c>
      <c r="S528" t="s">
        <v>1105</v>
      </c>
      <c r="T528" t="s">
        <v>357</v>
      </c>
      <c r="U528" s="1">
        <v>0.1</v>
      </c>
      <c r="V528" t="s">
        <v>366</v>
      </c>
    </row>
    <row r="529" spans="1:22" x14ac:dyDescent="0.3">
      <c r="A529" t="s">
        <v>353</v>
      </c>
      <c r="B529" t="str">
        <f ca="1">OFFSET(Industries!C$1,MATCH(Table1[[#This Row],[Ticker]],Industries!$A$2:$A$150,0),0)</f>
        <v>Information Technology</v>
      </c>
      <c r="C529" t="str">
        <f ca="1">OFFSET(Industries!D$1,MATCH(Table1[[#This Row],[Ticker]],Industries!$A$2:$A$150,0),0)</f>
        <v>Semiconductors</v>
      </c>
      <c r="D529" t="str">
        <f ca="1">OFFSET(Industries!E$1,MATCH(Table1[[#This Row],[Ticker]],Industries!$A$2:$A$150,0),0)</f>
        <v>Semiconductors</v>
      </c>
      <c r="E529" t="s">
        <v>158</v>
      </c>
      <c r="F529" t="str">
        <f ca="1">OFFSET(Industries!B$1,MATCH(Table1[[#This Row],[Ticker]],Industries!$A$2:$A$140,0),0)</f>
        <v>Mega-Cap</v>
      </c>
      <c r="G529" t="str">
        <f ca="1">OFFSET(Industries!F$1,MATCH(Table1[[#This Row],[Ticker]],Industries!$A$2:$A$140,0),0)</f>
        <v>A</v>
      </c>
      <c r="H529" t="s">
        <v>1434</v>
      </c>
      <c r="I529" t="s">
        <v>1434</v>
      </c>
      <c r="J529" s="2">
        <v>45315</v>
      </c>
      <c r="K529" t="s">
        <v>2</v>
      </c>
      <c r="L529" t="s">
        <v>1708</v>
      </c>
      <c r="M529" t="s">
        <v>1709</v>
      </c>
      <c r="N529" s="1"/>
      <c r="O529" t="s">
        <v>4</v>
      </c>
      <c r="P529" s="3">
        <v>7.0000000000000007E-2</v>
      </c>
      <c r="Q529" s="3" t="s">
        <v>1636</v>
      </c>
      <c r="R529" t="s">
        <v>24</v>
      </c>
      <c r="S529" t="s">
        <v>509</v>
      </c>
      <c r="T529" t="s">
        <v>363</v>
      </c>
      <c r="U529" s="1">
        <v>0.1</v>
      </c>
      <c r="V529" t="s">
        <v>374</v>
      </c>
    </row>
    <row r="530" spans="1:22" x14ac:dyDescent="0.3">
      <c r="A530" t="s">
        <v>353</v>
      </c>
      <c r="B530" t="str">
        <f ca="1">OFFSET(Industries!C$1,MATCH(Table1[[#This Row],[Ticker]],Industries!$A$2:$A$150,0),0)</f>
        <v>Information Technology</v>
      </c>
      <c r="C530" t="str">
        <f ca="1">OFFSET(Industries!D$1,MATCH(Table1[[#This Row],[Ticker]],Industries!$A$2:$A$150,0),0)</f>
        <v>Semiconductors</v>
      </c>
      <c r="D530" t="str">
        <f ca="1">OFFSET(Industries!E$1,MATCH(Table1[[#This Row],[Ticker]],Industries!$A$2:$A$150,0),0)</f>
        <v>Semiconductors</v>
      </c>
      <c r="E530" t="s">
        <v>158</v>
      </c>
      <c r="F530" t="str">
        <f ca="1">OFFSET(Industries!B$1,MATCH(Table1[[#This Row],[Ticker]],Industries!$A$2:$A$140,0),0)</f>
        <v>Mega-Cap</v>
      </c>
      <c r="G530" t="str">
        <f ca="1">OFFSET(Industries!F$1,MATCH(Table1[[#This Row],[Ticker]],Industries!$A$2:$A$140,0),0)</f>
        <v>A</v>
      </c>
      <c r="H530" t="s">
        <v>1434</v>
      </c>
      <c r="I530" t="s">
        <v>1434</v>
      </c>
      <c r="J530" s="2">
        <v>45315</v>
      </c>
      <c r="K530" t="s">
        <v>2</v>
      </c>
      <c r="L530" t="s">
        <v>1708</v>
      </c>
      <c r="M530" t="s">
        <v>1709</v>
      </c>
      <c r="N530" s="1"/>
      <c r="O530" t="s">
        <v>4</v>
      </c>
      <c r="P530" s="3">
        <v>7.0000000000000007E-2</v>
      </c>
      <c r="Q530" s="3" t="s">
        <v>1646</v>
      </c>
      <c r="R530" t="s">
        <v>35</v>
      </c>
      <c r="S530" t="s">
        <v>29</v>
      </c>
      <c r="T530" t="s">
        <v>29</v>
      </c>
      <c r="U530" s="1">
        <v>0.08</v>
      </c>
      <c r="V530" t="s">
        <v>367</v>
      </c>
    </row>
    <row r="531" spans="1:22" x14ac:dyDescent="0.3">
      <c r="A531" t="s">
        <v>353</v>
      </c>
      <c r="B531" t="str">
        <f ca="1">OFFSET(Industries!C$1,MATCH(Table1[[#This Row],[Ticker]],Industries!$A$2:$A$150,0),0)</f>
        <v>Information Technology</v>
      </c>
      <c r="C531" t="str">
        <f ca="1">OFFSET(Industries!D$1,MATCH(Table1[[#This Row],[Ticker]],Industries!$A$2:$A$150,0),0)</f>
        <v>Semiconductors</v>
      </c>
      <c r="D531" t="str">
        <f ca="1">OFFSET(Industries!E$1,MATCH(Table1[[#This Row],[Ticker]],Industries!$A$2:$A$150,0),0)</f>
        <v>Semiconductors</v>
      </c>
      <c r="E531" t="s">
        <v>158</v>
      </c>
      <c r="F531" t="str">
        <f ca="1">OFFSET(Industries!B$1,MATCH(Table1[[#This Row],[Ticker]],Industries!$A$2:$A$140,0),0)</f>
        <v>Mega-Cap</v>
      </c>
      <c r="G531" t="str">
        <f ca="1">OFFSET(Industries!F$1,MATCH(Table1[[#This Row],[Ticker]],Industries!$A$2:$A$140,0),0)</f>
        <v>A</v>
      </c>
      <c r="H531" t="s">
        <v>1434</v>
      </c>
      <c r="I531" t="s">
        <v>1434</v>
      </c>
      <c r="J531" s="2">
        <v>45315</v>
      </c>
      <c r="K531" t="s">
        <v>2</v>
      </c>
      <c r="L531" t="s">
        <v>1708</v>
      </c>
      <c r="M531" t="s">
        <v>1709</v>
      </c>
      <c r="N531" s="1"/>
      <c r="O531" t="s">
        <v>4</v>
      </c>
      <c r="P531" s="3">
        <v>7.0000000000000007E-2</v>
      </c>
      <c r="Q531" s="3" t="s">
        <v>1637</v>
      </c>
      <c r="R531" t="s">
        <v>25</v>
      </c>
      <c r="S531" t="s">
        <v>814</v>
      </c>
      <c r="T531" t="s">
        <v>368</v>
      </c>
      <c r="U531" s="1">
        <v>7.4999999999999997E-2</v>
      </c>
    </row>
    <row r="532" spans="1:22" x14ac:dyDescent="0.3">
      <c r="A532" t="s">
        <v>353</v>
      </c>
      <c r="B532" t="str">
        <f ca="1">OFFSET(Industries!C$1,MATCH(Table1[[#This Row],[Ticker]],Industries!$A$2:$A$150,0),0)</f>
        <v>Information Technology</v>
      </c>
      <c r="C532" t="str">
        <f ca="1">OFFSET(Industries!D$1,MATCH(Table1[[#This Row],[Ticker]],Industries!$A$2:$A$150,0),0)</f>
        <v>Semiconductors</v>
      </c>
      <c r="D532" t="str">
        <f ca="1">OFFSET(Industries!E$1,MATCH(Table1[[#This Row],[Ticker]],Industries!$A$2:$A$150,0),0)</f>
        <v>Semiconductors</v>
      </c>
      <c r="E532" t="s">
        <v>158</v>
      </c>
      <c r="F532" t="str">
        <f ca="1">OFFSET(Industries!B$1,MATCH(Table1[[#This Row],[Ticker]],Industries!$A$2:$A$140,0),0)</f>
        <v>Mega-Cap</v>
      </c>
      <c r="G532" t="str">
        <f ca="1">OFFSET(Industries!F$1,MATCH(Table1[[#This Row],[Ticker]],Industries!$A$2:$A$140,0),0)</f>
        <v>A</v>
      </c>
      <c r="H532" t="s">
        <v>1434</v>
      </c>
      <c r="I532" t="s">
        <v>1434</v>
      </c>
      <c r="J532" s="2">
        <v>45315</v>
      </c>
      <c r="K532" t="s">
        <v>2</v>
      </c>
      <c r="L532" t="s">
        <v>1708</v>
      </c>
      <c r="M532" t="s">
        <v>1709</v>
      </c>
      <c r="N532" s="1"/>
      <c r="O532" t="s">
        <v>4</v>
      </c>
      <c r="P532" s="3">
        <v>7.0000000000000007E-2</v>
      </c>
      <c r="Q532" s="3" t="s">
        <v>1637</v>
      </c>
      <c r="R532" t="s">
        <v>25</v>
      </c>
      <c r="S532" t="s">
        <v>1130</v>
      </c>
      <c r="T532" t="s">
        <v>358</v>
      </c>
      <c r="U532" s="1">
        <v>0.05</v>
      </c>
      <c r="V532" t="s">
        <v>376</v>
      </c>
    </row>
    <row r="533" spans="1:22" x14ac:dyDescent="0.3">
      <c r="A533" t="s">
        <v>353</v>
      </c>
      <c r="B533" t="str">
        <f ca="1">OFFSET(Industries!C$1,MATCH(Table1[[#This Row],[Ticker]],Industries!$A$2:$A$150,0),0)</f>
        <v>Information Technology</v>
      </c>
      <c r="C533" t="str">
        <f ca="1">OFFSET(Industries!D$1,MATCH(Table1[[#This Row],[Ticker]],Industries!$A$2:$A$150,0),0)</f>
        <v>Semiconductors</v>
      </c>
      <c r="D533" t="str">
        <f ca="1">OFFSET(Industries!E$1,MATCH(Table1[[#This Row],[Ticker]],Industries!$A$2:$A$150,0),0)</f>
        <v>Semiconductors</v>
      </c>
      <c r="E533" t="s">
        <v>158</v>
      </c>
      <c r="F533" t="str">
        <f ca="1">OFFSET(Industries!B$1,MATCH(Table1[[#This Row],[Ticker]],Industries!$A$2:$A$140,0),0)</f>
        <v>Mega-Cap</v>
      </c>
      <c r="G533" t="str">
        <f ca="1">OFFSET(Industries!F$1,MATCH(Table1[[#This Row],[Ticker]],Industries!$A$2:$A$140,0),0)</f>
        <v>A</v>
      </c>
      <c r="H533" t="s">
        <v>1434</v>
      </c>
      <c r="I533" t="s">
        <v>1434</v>
      </c>
      <c r="J533" s="2">
        <v>45315</v>
      </c>
      <c r="K533" t="s">
        <v>2</v>
      </c>
      <c r="L533" t="s">
        <v>1708</v>
      </c>
      <c r="M533" t="s">
        <v>1709</v>
      </c>
      <c r="N533" s="1"/>
      <c r="O533" t="s">
        <v>4</v>
      </c>
      <c r="P533" s="3">
        <v>7.0000000000000007E-2</v>
      </c>
      <c r="Q533" s="3" t="s">
        <v>1637</v>
      </c>
      <c r="R533" t="s">
        <v>26</v>
      </c>
      <c r="S533" t="s">
        <v>26</v>
      </c>
      <c r="T533" t="s">
        <v>359</v>
      </c>
      <c r="U533" s="1">
        <v>0.05</v>
      </c>
      <c r="V533" t="s">
        <v>375</v>
      </c>
    </row>
    <row r="534" spans="1:22" x14ac:dyDescent="0.3">
      <c r="A534" t="s">
        <v>353</v>
      </c>
      <c r="B534" t="str">
        <f ca="1">OFFSET(Industries!C$1,MATCH(Table1[[#This Row],[Ticker]],Industries!$A$2:$A$150,0),0)</f>
        <v>Information Technology</v>
      </c>
      <c r="C534" t="str">
        <f ca="1">OFFSET(Industries!D$1,MATCH(Table1[[#This Row],[Ticker]],Industries!$A$2:$A$150,0),0)</f>
        <v>Semiconductors</v>
      </c>
      <c r="D534" t="str">
        <f ca="1">OFFSET(Industries!E$1,MATCH(Table1[[#This Row],[Ticker]],Industries!$A$2:$A$150,0),0)</f>
        <v>Semiconductors</v>
      </c>
      <c r="E534" t="s">
        <v>158</v>
      </c>
      <c r="F534" t="str">
        <f ca="1">OFFSET(Industries!B$1,MATCH(Table1[[#This Row],[Ticker]],Industries!$A$2:$A$140,0),0)</f>
        <v>Mega-Cap</v>
      </c>
      <c r="G534" t="str">
        <f ca="1">OFFSET(Industries!F$1,MATCH(Table1[[#This Row],[Ticker]],Industries!$A$2:$A$140,0),0)</f>
        <v>A</v>
      </c>
      <c r="H534" t="s">
        <v>1434</v>
      </c>
      <c r="I534" t="s">
        <v>1434</v>
      </c>
      <c r="J534" s="2">
        <v>45315</v>
      </c>
      <c r="K534" t="s">
        <v>2</v>
      </c>
      <c r="L534" t="s">
        <v>1708</v>
      </c>
      <c r="M534" t="s">
        <v>1709</v>
      </c>
      <c r="N534" s="1"/>
      <c r="O534" t="s">
        <v>4</v>
      </c>
      <c r="P534" s="3">
        <v>7.0000000000000007E-2</v>
      </c>
      <c r="Q534" s="3" t="s">
        <v>1637</v>
      </c>
      <c r="R534" t="s">
        <v>26</v>
      </c>
      <c r="S534" t="s">
        <v>26</v>
      </c>
      <c r="T534" t="s">
        <v>360</v>
      </c>
      <c r="U534" s="1">
        <v>2.5000000000000001E-2</v>
      </c>
      <c r="V534" t="s">
        <v>369</v>
      </c>
    </row>
    <row r="535" spans="1:22" x14ac:dyDescent="0.3">
      <c r="A535" t="s">
        <v>353</v>
      </c>
      <c r="B535" t="str">
        <f ca="1">OFFSET(Industries!C$1,MATCH(Table1[[#This Row],[Ticker]],Industries!$A$2:$A$150,0),0)</f>
        <v>Information Technology</v>
      </c>
      <c r="C535" t="str">
        <f ca="1">OFFSET(Industries!D$1,MATCH(Table1[[#This Row],[Ticker]],Industries!$A$2:$A$150,0),0)</f>
        <v>Semiconductors</v>
      </c>
      <c r="D535" t="str">
        <f ca="1">OFFSET(Industries!E$1,MATCH(Table1[[#This Row],[Ticker]],Industries!$A$2:$A$150,0),0)</f>
        <v>Semiconductors</v>
      </c>
      <c r="E535" t="s">
        <v>158</v>
      </c>
      <c r="F535" t="str">
        <f ca="1">OFFSET(Industries!B$1,MATCH(Table1[[#This Row],[Ticker]],Industries!$A$2:$A$140,0),0)</f>
        <v>Mega-Cap</v>
      </c>
      <c r="G535" t="str">
        <f ca="1">OFFSET(Industries!F$1,MATCH(Table1[[#This Row],[Ticker]],Industries!$A$2:$A$140,0),0)</f>
        <v>A</v>
      </c>
      <c r="H535" t="s">
        <v>1434</v>
      </c>
      <c r="I535" t="s">
        <v>1434</v>
      </c>
      <c r="J535" s="2">
        <v>45315</v>
      </c>
      <c r="K535" t="s">
        <v>2</v>
      </c>
      <c r="L535" t="s">
        <v>1708</v>
      </c>
      <c r="M535" t="s">
        <v>1709</v>
      </c>
      <c r="N535" s="1"/>
      <c r="O535" t="s">
        <v>4</v>
      </c>
      <c r="P535" s="3">
        <v>7.0000000000000007E-2</v>
      </c>
      <c r="Q535" s="3" t="s">
        <v>1636</v>
      </c>
      <c r="R535" t="s">
        <v>23</v>
      </c>
      <c r="S535" t="s">
        <v>1083</v>
      </c>
      <c r="T535" t="s">
        <v>361</v>
      </c>
      <c r="U535" s="1">
        <v>0.02</v>
      </c>
    </row>
    <row r="536" spans="1:22" x14ac:dyDescent="0.3">
      <c r="A536" t="s">
        <v>353</v>
      </c>
      <c r="B536" t="str">
        <f ca="1">OFFSET(Industries!C$1,MATCH(Table1[[#This Row],[Ticker]],Industries!$A$2:$A$150,0),0)</f>
        <v>Information Technology</v>
      </c>
      <c r="C536" t="str">
        <f ca="1">OFFSET(Industries!D$1,MATCH(Table1[[#This Row],[Ticker]],Industries!$A$2:$A$150,0),0)</f>
        <v>Semiconductors</v>
      </c>
      <c r="D536" t="str">
        <f ca="1">OFFSET(Industries!E$1,MATCH(Table1[[#This Row],[Ticker]],Industries!$A$2:$A$150,0),0)</f>
        <v>Semiconductors</v>
      </c>
      <c r="E536" t="s">
        <v>158</v>
      </c>
      <c r="F536" t="str">
        <f ca="1">OFFSET(Industries!B$1,MATCH(Table1[[#This Row],[Ticker]],Industries!$A$2:$A$140,0),0)</f>
        <v>Mega-Cap</v>
      </c>
      <c r="G536" t="str">
        <f ca="1">OFFSET(Industries!F$1,MATCH(Table1[[#This Row],[Ticker]],Industries!$A$2:$A$140,0),0)</f>
        <v>A</v>
      </c>
      <c r="H536" t="s">
        <v>1434</v>
      </c>
      <c r="I536" t="s">
        <v>1434</v>
      </c>
      <c r="J536" s="2">
        <v>45315</v>
      </c>
      <c r="K536" t="s">
        <v>2</v>
      </c>
      <c r="L536" t="s">
        <v>1708</v>
      </c>
      <c r="M536" t="s">
        <v>1709</v>
      </c>
      <c r="N536" s="1"/>
      <c r="O536" t="s">
        <v>4</v>
      </c>
      <c r="P536" s="3">
        <v>7.0000000000000007E-2</v>
      </c>
      <c r="Q536" s="3"/>
      <c r="R536" t="s">
        <v>28</v>
      </c>
      <c r="S536" t="s">
        <v>1089</v>
      </c>
      <c r="T536" t="s">
        <v>50</v>
      </c>
      <c r="V536" t="s">
        <v>370</v>
      </c>
    </row>
    <row r="537" spans="1:22" x14ac:dyDescent="0.3">
      <c r="A537" t="s">
        <v>353</v>
      </c>
      <c r="B537" t="str">
        <f ca="1">OFFSET(Industries!C$1,MATCH(Table1[[#This Row],[Ticker]],Industries!$A$2:$A$150,0),0)</f>
        <v>Information Technology</v>
      </c>
      <c r="C537" t="str">
        <f ca="1">OFFSET(Industries!D$1,MATCH(Table1[[#This Row],[Ticker]],Industries!$A$2:$A$150,0),0)</f>
        <v>Semiconductors</v>
      </c>
      <c r="D537" t="str">
        <f ca="1">OFFSET(Industries!E$1,MATCH(Table1[[#This Row],[Ticker]],Industries!$A$2:$A$150,0),0)</f>
        <v>Semiconductors</v>
      </c>
      <c r="E537" t="s">
        <v>158</v>
      </c>
      <c r="F537" t="str">
        <f ca="1">OFFSET(Industries!B$1,MATCH(Table1[[#This Row],[Ticker]],Industries!$A$2:$A$140,0),0)</f>
        <v>Mega-Cap</v>
      </c>
      <c r="G537" t="str">
        <f ca="1">OFFSET(Industries!F$1,MATCH(Table1[[#This Row],[Ticker]],Industries!$A$2:$A$140,0),0)</f>
        <v>A</v>
      </c>
      <c r="H537" t="s">
        <v>1434</v>
      </c>
      <c r="I537" t="s">
        <v>1434</v>
      </c>
      <c r="J537" s="2">
        <v>45315</v>
      </c>
      <c r="K537" t="s">
        <v>2</v>
      </c>
      <c r="L537" t="s">
        <v>1708</v>
      </c>
      <c r="M537" t="s">
        <v>1709</v>
      </c>
      <c r="N537" s="1"/>
      <c r="O537" t="s">
        <v>4</v>
      </c>
      <c r="P537" s="3">
        <v>7.0000000000000007E-2</v>
      </c>
      <c r="Q537" s="3"/>
      <c r="R537" t="s">
        <v>28</v>
      </c>
      <c r="S537" t="s">
        <v>1087</v>
      </c>
      <c r="T537" t="s">
        <v>40</v>
      </c>
      <c r="V537" s="1"/>
    </row>
    <row r="538" spans="1:22" x14ac:dyDescent="0.3">
      <c r="A538" t="s">
        <v>353</v>
      </c>
      <c r="B538" t="str">
        <f ca="1">OFFSET(Industries!C$1,MATCH(Table1[[#This Row],[Ticker]],Industries!$A$2:$A$150,0),0)</f>
        <v>Information Technology</v>
      </c>
      <c r="C538" t="str">
        <f ca="1">OFFSET(Industries!D$1,MATCH(Table1[[#This Row],[Ticker]],Industries!$A$2:$A$150,0),0)</f>
        <v>Semiconductors</v>
      </c>
      <c r="D538" t="str">
        <f ca="1">OFFSET(Industries!E$1,MATCH(Table1[[#This Row],[Ticker]],Industries!$A$2:$A$150,0),0)</f>
        <v>Semiconductors</v>
      </c>
      <c r="E538" t="s">
        <v>158</v>
      </c>
      <c r="F538" t="str">
        <f ca="1">OFFSET(Industries!B$1,MATCH(Table1[[#This Row],[Ticker]],Industries!$A$2:$A$140,0),0)</f>
        <v>Mega-Cap</v>
      </c>
      <c r="G538" t="str">
        <f ca="1">OFFSET(Industries!F$1,MATCH(Table1[[#This Row],[Ticker]],Industries!$A$2:$A$140,0),0)</f>
        <v>A</v>
      </c>
      <c r="H538" t="s">
        <v>1434</v>
      </c>
      <c r="I538" t="s">
        <v>1434</v>
      </c>
      <c r="J538" s="2">
        <v>45315</v>
      </c>
      <c r="K538" t="s">
        <v>2</v>
      </c>
      <c r="L538" t="s">
        <v>1710</v>
      </c>
      <c r="M538" t="s">
        <v>1709</v>
      </c>
      <c r="N538" s="1">
        <f>Table1[[#This Row],[Consideration Weight]]</f>
        <v>0.67</v>
      </c>
      <c r="O538" t="s">
        <v>476</v>
      </c>
      <c r="P538" s="3">
        <v>0.67</v>
      </c>
      <c r="Q538" s="3" t="s">
        <v>1646</v>
      </c>
      <c r="R538" t="s">
        <v>35</v>
      </c>
      <c r="S538" t="s">
        <v>29</v>
      </c>
      <c r="T538" t="s">
        <v>30</v>
      </c>
      <c r="U538" s="1">
        <v>0.5</v>
      </c>
      <c r="V538" t="s">
        <v>367</v>
      </c>
    </row>
    <row r="539" spans="1:22" x14ac:dyDescent="0.3">
      <c r="A539" t="s">
        <v>353</v>
      </c>
      <c r="B539" t="str">
        <f ca="1">OFFSET(Industries!C$1,MATCH(Table1[[#This Row],[Ticker]],Industries!$A$2:$A$150,0),0)</f>
        <v>Information Technology</v>
      </c>
      <c r="C539" t="str">
        <f ca="1">OFFSET(Industries!D$1,MATCH(Table1[[#This Row],[Ticker]],Industries!$A$2:$A$150,0),0)</f>
        <v>Semiconductors</v>
      </c>
      <c r="D539" t="str">
        <f ca="1">OFFSET(Industries!E$1,MATCH(Table1[[#This Row],[Ticker]],Industries!$A$2:$A$150,0),0)</f>
        <v>Semiconductors</v>
      </c>
      <c r="E539" t="s">
        <v>158</v>
      </c>
      <c r="F539" t="str">
        <f ca="1">OFFSET(Industries!B$1,MATCH(Table1[[#This Row],[Ticker]],Industries!$A$2:$A$140,0),0)</f>
        <v>Mega-Cap</v>
      </c>
      <c r="G539" t="str">
        <f ca="1">OFFSET(Industries!F$1,MATCH(Table1[[#This Row],[Ticker]],Industries!$A$2:$A$140,0),0)</f>
        <v>A</v>
      </c>
      <c r="H539" t="s">
        <v>1434</v>
      </c>
      <c r="I539" t="s">
        <v>1434</v>
      </c>
      <c r="J539" s="2">
        <v>45315</v>
      </c>
      <c r="K539" t="s">
        <v>2</v>
      </c>
      <c r="L539" t="s">
        <v>1710</v>
      </c>
      <c r="M539" t="s">
        <v>1709</v>
      </c>
      <c r="N539" s="1"/>
      <c r="O539" t="s">
        <v>476</v>
      </c>
      <c r="P539" s="3">
        <v>0.67</v>
      </c>
      <c r="Q539" s="3" t="s">
        <v>1636</v>
      </c>
      <c r="R539" t="s">
        <v>24</v>
      </c>
      <c r="S539" t="s">
        <v>509</v>
      </c>
      <c r="T539" t="s">
        <v>371</v>
      </c>
      <c r="U539" s="1">
        <v>0.5</v>
      </c>
    </row>
    <row r="540" spans="1:22" x14ac:dyDescent="0.3">
      <c r="A540" t="s">
        <v>353</v>
      </c>
      <c r="B540" t="str">
        <f ca="1">OFFSET(Industries!C$1,MATCH(Table1[[#This Row],[Ticker]],Industries!$A$2:$A$150,0),0)</f>
        <v>Information Technology</v>
      </c>
      <c r="C540" t="str">
        <f ca="1">OFFSET(Industries!D$1,MATCH(Table1[[#This Row],[Ticker]],Industries!$A$2:$A$150,0),0)</f>
        <v>Semiconductors</v>
      </c>
      <c r="D540" t="str">
        <f ca="1">OFFSET(Industries!E$1,MATCH(Table1[[#This Row],[Ticker]],Industries!$A$2:$A$150,0),0)</f>
        <v>Semiconductors</v>
      </c>
      <c r="E540" t="s">
        <v>158</v>
      </c>
      <c r="F540" t="str">
        <f ca="1">OFFSET(Industries!B$1,MATCH(Table1[[#This Row],[Ticker]],Industries!$A$2:$A$140,0),0)</f>
        <v>Mega-Cap</v>
      </c>
      <c r="G540" t="str">
        <f ca="1">OFFSET(Industries!F$1,MATCH(Table1[[#This Row],[Ticker]],Industries!$A$2:$A$140,0),0)</f>
        <v>A</v>
      </c>
      <c r="H540" t="s">
        <v>1434</v>
      </c>
      <c r="I540" t="s">
        <v>1434</v>
      </c>
      <c r="J540" s="2">
        <v>45315</v>
      </c>
      <c r="K540" t="s">
        <v>2</v>
      </c>
      <c r="L540" t="s">
        <v>1710</v>
      </c>
      <c r="M540" t="s">
        <v>1711</v>
      </c>
      <c r="N540" s="1">
        <f>Table1[[#This Row],[Consideration Weight]]</f>
        <v>0.22</v>
      </c>
      <c r="O540" t="s">
        <v>194</v>
      </c>
      <c r="P540" s="3">
        <v>0.22</v>
      </c>
      <c r="Q540" s="3"/>
    </row>
    <row r="541" spans="1:22" x14ac:dyDescent="0.3">
      <c r="A541" t="s">
        <v>353</v>
      </c>
      <c r="B541" t="str">
        <f ca="1">OFFSET(Industries!C$1,MATCH(Table1[[#This Row],[Ticker]],Industries!$A$2:$A$150,0),0)</f>
        <v>Information Technology</v>
      </c>
      <c r="C541" t="str">
        <f ca="1">OFFSET(Industries!D$1,MATCH(Table1[[#This Row],[Ticker]],Industries!$A$2:$A$150,0),0)</f>
        <v>Semiconductors</v>
      </c>
      <c r="D541" t="str">
        <f ca="1">OFFSET(Industries!E$1,MATCH(Table1[[#This Row],[Ticker]],Industries!$A$2:$A$150,0),0)</f>
        <v>Semiconductors</v>
      </c>
      <c r="E541" t="s">
        <v>158</v>
      </c>
      <c r="F541" t="str">
        <f ca="1">OFFSET(Industries!B$1,MATCH(Table1[[#This Row],[Ticker]],Industries!$A$2:$A$140,0),0)</f>
        <v>Mega-Cap</v>
      </c>
      <c r="G541" t="str">
        <f ca="1">OFFSET(Industries!F$1,MATCH(Table1[[#This Row],[Ticker]],Industries!$A$2:$A$140,0),0)</f>
        <v>A</v>
      </c>
      <c r="H541" t="s">
        <v>1434</v>
      </c>
      <c r="I541" t="s">
        <v>1434</v>
      </c>
      <c r="J541" s="2">
        <v>45315</v>
      </c>
      <c r="K541" t="s">
        <v>21</v>
      </c>
      <c r="L541" t="s">
        <v>3</v>
      </c>
      <c r="M541" t="s">
        <v>1711</v>
      </c>
      <c r="N541" s="1">
        <f>Table1[[#This Row],[Consideration Weight]]</f>
        <v>0.1185951582635054</v>
      </c>
      <c r="O541" t="s">
        <v>3</v>
      </c>
      <c r="P541" s="3">
        <v>0.1185951582635054</v>
      </c>
      <c r="Q541" s="3"/>
    </row>
    <row r="542" spans="1:22" x14ac:dyDescent="0.3">
      <c r="A542" t="s">
        <v>353</v>
      </c>
      <c r="B542" t="str">
        <f ca="1">OFFSET(Industries!C$1,MATCH(Table1[[#This Row],[Ticker]],Industries!$A$2:$A$150,0),0)</f>
        <v>Information Technology</v>
      </c>
      <c r="C542" t="str">
        <f ca="1">OFFSET(Industries!D$1,MATCH(Table1[[#This Row],[Ticker]],Industries!$A$2:$A$150,0),0)</f>
        <v>Semiconductors</v>
      </c>
      <c r="D542" t="str">
        <f ca="1">OFFSET(Industries!E$1,MATCH(Table1[[#This Row],[Ticker]],Industries!$A$2:$A$150,0),0)</f>
        <v>Semiconductors</v>
      </c>
      <c r="E542" t="s">
        <v>158</v>
      </c>
      <c r="F542" t="str">
        <f ca="1">OFFSET(Industries!B$1,MATCH(Table1[[#This Row],[Ticker]],Industries!$A$2:$A$140,0),0)</f>
        <v>Mega-Cap</v>
      </c>
      <c r="G542" t="str">
        <f ca="1">OFFSET(Industries!F$1,MATCH(Table1[[#This Row],[Ticker]],Industries!$A$2:$A$140,0),0)</f>
        <v>A</v>
      </c>
      <c r="H542" t="s">
        <v>1434</v>
      </c>
      <c r="I542" t="s">
        <v>1434</v>
      </c>
      <c r="J542" s="2">
        <v>45315</v>
      </c>
      <c r="K542" t="s">
        <v>21</v>
      </c>
      <c r="L542" t="s">
        <v>1708</v>
      </c>
      <c r="M542" t="s">
        <v>1709</v>
      </c>
      <c r="N542" s="1">
        <f>Table1[[#This Row],[Consideration Weight]]</f>
        <v>0.14995107541417829</v>
      </c>
      <c r="O542" t="s">
        <v>4</v>
      </c>
      <c r="P542" s="3">
        <v>0.14995107541417829</v>
      </c>
      <c r="Q542" s="3" t="s">
        <v>1637</v>
      </c>
      <c r="R542" t="s">
        <v>25</v>
      </c>
      <c r="S542" t="s">
        <v>1086</v>
      </c>
      <c r="T542" t="s">
        <v>354</v>
      </c>
      <c r="U542" s="1">
        <v>0.3</v>
      </c>
      <c r="V542" t="s">
        <v>372</v>
      </c>
    </row>
    <row r="543" spans="1:22" x14ac:dyDescent="0.3">
      <c r="A543" t="s">
        <v>353</v>
      </c>
      <c r="B543" t="str">
        <f ca="1">OFFSET(Industries!C$1,MATCH(Table1[[#This Row],[Ticker]],Industries!$A$2:$A$150,0),0)</f>
        <v>Information Technology</v>
      </c>
      <c r="C543" t="str">
        <f ca="1">OFFSET(Industries!D$1,MATCH(Table1[[#This Row],[Ticker]],Industries!$A$2:$A$150,0),0)</f>
        <v>Semiconductors</v>
      </c>
      <c r="D543" t="str">
        <f ca="1">OFFSET(Industries!E$1,MATCH(Table1[[#This Row],[Ticker]],Industries!$A$2:$A$150,0),0)</f>
        <v>Semiconductors</v>
      </c>
      <c r="E543" t="s">
        <v>158</v>
      </c>
      <c r="F543" t="str">
        <f ca="1">OFFSET(Industries!B$1,MATCH(Table1[[#This Row],[Ticker]],Industries!$A$2:$A$140,0),0)</f>
        <v>Mega-Cap</v>
      </c>
      <c r="G543" t="str">
        <f ca="1">OFFSET(Industries!F$1,MATCH(Table1[[#This Row],[Ticker]],Industries!$A$2:$A$140,0),0)</f>
        <v>A</v>
      </c>
      <c r="H543" t="s">
        <v>1434</v>
      </c>
      <c r="I543" t="s">
        <v>1434</v>
      </c>
      <c r="J543" s="2">
        <v>45315</v>
      </c>
      <c r="K543" t="s">
        <v>21</v>
      </c>
      <c r="L543" t="s">
        <v>1708</v>
      </c>
      <c r="M543" t="s">
        <v>1709</v>
      </c>
      <c r="N543" s="1"/>
      <c r="O543" t="s">
        <v>4</v>
      </c>
      <c r="P543" s="3">
        <v>0.14995107541417829</v>
      </c>
      <c r="Q543" s="3" t="s">
        <v>1637</v>
      </c>
      <c r="R543" t="s">
        <v>25</v>
      </c>
      <c r="S543" t="s">
        <v>1086</v>
      </c>
      <c r="T543" t="s">
        <v>355</v>
      </c>
      <c r="U543" s="1">
        <v>0.113</v>
      </c>
      <c r="V543" t="s">
        <v>372</v>
      </c>
    </row>
    <row r="544" spans="1:22" x14ac:dyDescent="0.3">
      <c r="A544" t="s">
        <v>353</v>
      </c>
      <c r="B544" t="str">
        <f ca="1">OFFSET(Industries!C$1,MATCH(Table1[[#This Row],[Ticker]],Industries!$A$2:$A$150,0),0)</f>
        <v>Information Technology</v>
      </c>
      <c r="C544" t="str">
        <f ca="1">OFFSET(Industries!D$1,MATCH(Table1[[#This Row],[Ticker]],Industries!$A$2:$A$150,0),0)</f>
        <v>Semiconductors</v>
      </c>
      <c r="D544" t="str">
        <f ca="1">OFFSET(Industries!E$1,MATCH(Table1[[#This Row],[Ticker]],Industries!$A$2:$A$150,0),0)</f>
        <v>Semiconductors</v>
      </c>
      <c r="E544" t="s">
        <v>158</v>
      </c>
      <c r="F544" t="str">
        <f ca="1">OFFSET(Industries!B$1,MATCH(Table1[[#This Row],[Ticker]],Industries!$A$2:$A$140,0),0)</f>
        <v>Mega-Cap</v>
      </c>
      <c r="G544" t="str">
        <f ca="1">OFFSET(Industries!F$1,MATCH(Table1[[#This Row],[Ticker]],Industries!$A$2:$A$140,0),0)</f>
        <v>A</v>
      </c>
      <c r="H544" t="s">
        <v>1434</v>
      </c>
      <c r="I544" t="s">
        <v>1434</v>
      </c>
      <c r="J544" s="2">
        <v>45315</v>
      </c>
      <c r="K544" t="s">
        <v>21</v>
      </c>
      <c r="L544" t="s">
        <v>1708</v>
      </c>
      <c r="M544" t="s">
        <v>1709</v>
      </c>
      <c r="N544" s="1"/>
      <c r="O544" t="s">
        <v>4</v>
      </c>
      <c r="P544" s="3">
        <v>0.14995107541417829</v>
      </c>
      <c r="Q544" s="3" t="s">
        <v>1636</v>
      </c>
      <c r="R544" t="s">
        <v>24</v>
      </c>
      <c r="S544" t="s">
        <v>1105</v>
      </c>
      <c r="T544" t="s">
        <v>357</v>
      </c>
      <c r="U544" s="1">
        <v>0.1</v>
      </c>
    </row>
    <row r="545" spans="1:22" x14ac:dyDescent="0.3">
      <c r="A545" t="s">
        <v>353</v>
      </c>
      <c r="B545" t="str">
        <f ca="1">OFFSET(Industries!C$1,MATCH(Table1[[#This Row],[Ticker]],Industries!$A$2:$A$150,0),0)</f>
        <v>Information Technology</v>
      </c>
      <c r="C545" t="str">
        <f ca="1">OFFSET(Industries!D$1,MATCH(Table1[[#This Row],[Ticker]],Industries!$A$2:$A$150,0),0)</f>
        <v>Semiconductors</v>
      </c>
      <c r="D545" t="str">
        <f ca="1">OFFSET(Industries!E$1,MATCH(Table1[[#This Row],[Ticker]],Industries!$A$2:$A$150,0),0)</f>
        <v>Semiconductors</v>
      </c>
      <c r="E545" t="s">
        <v>158</v>
      </c>
      <c r="F545" t="str">
        <f ca="1">OFFSET(Industries!B$1,MATCH(Table1[[#This Row],[Ticker]],Industries!$A$2:$A$140,0),0)</f>
        <v>Mega-Cap</v>
      </c>
      <c r="G545" t="str">
        <f ca="1">OFFSET(Industries!F$1,MATCH(Table1[[#This Row],[Ticker]],Industries!$A$2:$A$140,0),0)</f>
        <v>A</v>
      </c>
      <c r="H545" t="s">
        <v>1434</v>
      </c>
      <c r="I545" t="s">
        <v>1434</v>
      </c>
      <c r="J545" s="2">
        <v>45315</v>
      </c>
      <c r="K545" t="s">
        <v>21</v>
      </c>
      <c r="L545" t="s">
        <v>1708</v>
      </c>
      <c r="M545" t="s">
        <v>1709</v>
      </c>
      <c r="N545" s="1"/>
      <c r="O545" t="s">
        <v>4</v>
      </c>
      <c r="P545" s="3">
        <v>0.14995107541417829</v>
      </c>
      <c r="Q545" s="3" t="s">
        <v>1636</v>
      </c>
      <c r="R545" t="s">
        <v>24</v>
      </c>
      <c r="S545" t="s">
        <v>509</v>
      </c>
      <c r="T545" t="s">
        <v>363</v>
      </c>
      <c r="U545" s="1">
        <v>0.1</v>
      </c>
    </row>
    <row r="546" spans="1:22" x14ac:dyDescent="0.3">
      <c r="A546" t="s">
        <v>353</v>
      </c>
      <c r="B546" t="str">
        <f ca="1">OFFSET(Industries!C$1,MATCH(Table1[[#This Row],[Ticker]],Industries!$A$2:$A$150,0),0)</f>
        <v>Information Technology</v>
      </c>
      <c r="C546" t="str">
        <f ca="1">OFFSET(Industries!D$1,MATCH(Table1[[#This Row],[Ticker]],Industries!$A$2:$A$150,0),0)</f>
        <v>Semiconductors</v>
      </c>
      <c r="D546" t="str">
        <f ca="1">OFFSET(Industries!E$1,MATCH(Table1[[#This Row],[Ticker]],Industries!$A$2:$A$150,0),0)</f>
        <v>Semiconductors</v>
      </c>
      <c r="E546" t="s">
        <v>158</v>
      </c>
      <c r="F546" t="str">
        <f ca="1">OFFSET(Industries!B$1,MATCH(Table1[[#This Row],[Ticker]],Industries!$A$2:$A$140,0),0)</f>
        <v>Mega-Cap</v>
      </c>
      <c r="G546" t="str">
        <f ca="1">OFFSET(Industries!F$1,MATCH(Table1[[#This Row],[Ticker]],Industries!$A$2:$A$140,0),0)</f>
        <v>A</v>
      </c>
      <c r="H546" t="s">
        <v>1434</v>
      </c>
      <c r="I546" t="s">
        <v>1434</v>
      </c>
      <c r="J546" s="2">
        <v>45315</v>
      </c>
      <c r="K546" t="s">
        <v>21</v>
      </c>
      <c r="L546" t="s">
        <v>1708</v>
      </c>
      <c r="M546" t="s">
        <v>1709</v>
      </c>
      <c r="N546" s="1"/>
      <c r="O546" t="s">
        <v>4</v>
      </c>
      <c r="P546" s="3">
        <v>0.14995107541417829</v>
      </c>
      <c r="Q546" s="3" t="s">
        <v>1636</v>
      </c>
      <c r="R546" t="s">
        <v>23</v>
      </c>
      <c r="S546" t="s">
        <v>137</v>
      </c>
      <c r="T546" t="s">
        <v>356</v>
      </c>
      <c r="U546" s="1">
        <v>9.2999999999999999E-2</v>
      </c>
    </row>
    <row r="547" spans="1:22" x14ac:dyDescent="0.3">
      <c r="A547" t="s">
        <v>353</v>
      </c>
      <c r="B547" t="str">
        <f ca="1">OFFSET(Industries!C$1,MATCH(Table1[[#This Row],[Ticker]],Industries!$A$2:$A$150,0),0)</f>
        <v>Information Technology</v>
      </c>
      <c r="C547" t="str">
        <f ca="1">OFFSET(Industries!D$1,MATCH(Table1[[#This Row],[Ticker]],Industries!$A$2:$A$150,0),0)</f>
        <v>Semiconductors</v>
      </c>
      <c r="D547" t="str">
        <f ca="1">OFFSET(Industries!E$1,MATCH(Table1[[#This Row],[Ticker]],Industries!$A$2:$A$150,0),0)</f>
        <v>Semiconductors</v>
      </c>
      <c r="E547" t="s">
        <v>158</v>
      </c>
      <c r="F547" t="str">
        <f ca="1">OFFSET(Industries!B$1,MATCH(Table1[[#This Row],[Ticker]],Industries!$A$2:$A$140,0),0)</f>
        <v>Mega-Cap</v>
      </c>
      <c r="G547" t="str">
        <f ca="1">OFFSET(Industries!F$1,MATCH(Table1[[#This Row],[Ticker]],Industries!$A$2:$A$140,0),0)</f>
        <v>A</v>
      </c>
      <c r="H547" t="s">
        <v>1434</v>
      </c>
      <c r="I547" t="s">
        <v>1434</v>
      </c>
      <c r="J547" s="2">
        <v>45315</v>
      </c>
      <c r="K547" t="s">
        <v>21</v>
      </c>
      <c r="L547" t="s">
        <v>1708</v>
      </c>
      <c r="M547" t="s">
        <v>1709</v>
      </c>
      <c r="N547" s="1"/>
      <c r="O547" t="s">
        <v>4</v>
      </c>
      <c r="P547" s="3">
        <v>0.14995107541417829</v>
      </c>
      <c r="Q547" s="3" t="s">
        <v>1646</v>
      </c>
      <c r="R547" t="s">
        <v>35</v>
      </c>
      <c r="S547" t="s">
        <v>29</v>
      </c>
      <c r="T547" t="s">
        <v>29</v>
      </c>
      <c r="U547" s="1">
        <v>0.08</v>
      </c>
    </row>
    <row r="548" spans="1:22" x14ac:dyDescent="0.3">
      <c r="A548" t="s">
        <v>353</v>
      </c>
      <c r="B548" t="str">
        <f ca="1">OFFSET(Industries!C$1,MATCH(Table1[[#This Row],[Ticker]],Industries!$A$2:$A$150,0),0)</f>
        <v>Information Technology</v>
      </c>
      <c r="C548" t="str">
        <f ca="1">OFFSET(Industries!D$1,MATCH(Table1[[#This Row],[Ticker]],Industries!$A$2:$A$150,0),0)</f>
        <v>Semiconductors</v>
      </c>
      <c r="D548" t="str">
        <f ca="1">OFFSET(Industries!E$1,MATCH(Table1[[#This Row],[Ticker]],Industries!$A$2:$A$150,0),0)</f>
        <v>Semiconductors</v>
      </c>
      <c r="E548" t="s">
        <v>158</v>
      </c>
      <c r="F548" t="str">
        <f ca="1">OFFSET(Industries!B$1,MATCH(Table1[[#This Row],[Ticker]],Industries!$A$2:$A$140,0),0)</f>
        <v>Mega-Cap</v>
      </c>
      <c r="G548" t="str">
        <f ca="1">OFFSET(Industries!F$1,MATCH(Table1[[#This Row],[Ticker]],Industries!$A$2:$A$140,0),0)</f>
        <v>A</v>
      </c>
      <c r="H548" t="s">
        <v>1434</v>
      </c>
      <c r="I548" t="s">
        <v>1434</v>
      </c>
      <c r="J548" s="2">
        <v>45315</v>
      </c>
      <c r="K548" t="s">
        <v>21</v>
      </c>
      <c r="L548" t="s">
        <v>1708</v>
      </c>
      <c r="M548" t="s">
        <v>1709</v>
      </c>
      <c r="N548" s="1"/>
      <c r="O548" t="s">
        <v>4</v>
      </c>
      <c r="P548" s="3">
        <v>0.14995107541417829</v>
      </c>
      <c r="Q548" s="3" t="s">
        <v>1637</v>
      </c>
      <c r="R548" t="s">
        <v>25</v>
      </c>
      <c r="S548" t="s">
        <v>814</v>
      </c>
      <c r="T548" t="s">
        <v>368</v>
      </c>
      <c r="U548" s="1">
        <v>7.4999999999999997E-2</v>
      </c>
    </row>
    <row r="549" spans="1:22" x14ac:dyDescent="0.3">
      <c r="A549" t="s">
        <v>353</v>
      </c>
      <c r="B549" t="str">
        <f ca="1">OFFSET(Industries!C$1,MATCH(Table1[[#This Row],[Ticker]],Industries!$A$2:$A$150,0),0)</f>
        <v>Information Technology</v>
      </c>
      <c r="C549" t="str">
        <f ca="1">OFFSET(Industries!D$1,MATCH(Table1[[#This Row],[Ticker]],Industries!$A$2:$A$150,0),0)</f>
        <v>Semiconductors</v>
      </c>
      <c r="D549" t="str">
        <f ca="1">OFFSET(Industries!E$1,MATCH(Table1[[#This Row],[Ticker]],Industries!$A$2:$A$150,0),0)</f>
        <v>Semiconductors</v>
      </c>
      <c r="E549" t="s">
        <v>158</v>
      </c>
      <c r="F549" t="str">
        <f ca="1">OFFSET(Industries!B$1,MATCH(Table1[[#This Row],[Ticker]],Industries!$A$2:$A$140,0),0)</f>
        <v>Mega-Cap</v>
      </c>
      <c r="G549" t="str">
        <f ca="1">OFFSET(Industries!F$1,MATCH(Table1[[#This Row],[Ticker]],Industries!$A$2:$A$140,0),0)</f>
        <v>A</v>
      </c>
      <c r="H549" t="s">
        <v>1434</v>
      </c>
      <c r="I549" t="s">
        <v>1434</v>
      </c>
      <c r="J549" s="2">
        <v>45315</v>
      </c>
      <c r="K549" t="s">
        <v>21</v>
      </c>
      <c r="L549" t="s">
        <v>1708</v>
      </c>
      <c r="M549" t="s">
        <v>1709</v>
      </c>
      <c r="N549" s="1"/>
      <c r="O549" t="s">
        <v>4</v>
      </c>
      <c r="P549" s="3">
        <v>0.14995107541417829</v>
      </c>
      <c r="Q549" s="3" t="s">
        <v>1637</v>
      </c>
      <c r="R549" t="s">
        <v>26</v>
      </c>
      <c r="S549" t="s">
        <v>1086</v>
      </c>
      <c r="T549" t="s">
        <v>359</v>
      </c>
      <c r="U549" s="1">
        <v>0.05</v>
      </c>
    </row>
    <row r="550" spans="1:22" x14ac:dyDescent="0.3">
      <c r="A550" t="s">
        <v>353</v>
      </c>
      <c r="B550" t="str">
        <f ca="1">OFFSET(Industries!C$1,MATCH(Table1[[#This Row],[Ticker]],Industries!$A$2:$A$150,0),0)</f>
        <v>Information Technology</v>
      </c>
      <c r="C550" t="str">
        <f ca="1">OFFSET(Industries!D$1,MATCH(Table1[[#This Row],[Ticker]],Industries!$A$2:$A$150,0),0)</f>
        <v>Semiconductors</v>
      </c>
      <c r="D550" t="str">
        <f ca="1">OFFSET(Industries!E$1,MATCH(Table1[[#This Row],[Ticker]],Industries!$A$2:$A$150,0),0)</f>
        <v>Semiconductors</v>
      </c>
      <c r="E550" t="s">
        <v>158</v>
      </c>
      <c r="F550" t="str">
        <f ca="1">OFFSET(Industries!B$1,MATCH(Table1[[#This Row],[Ticker]],Industries!$A$2:$A$140,0),0)</f>
        <v>Mega-Cap</v>
      </c>
      <c r="G550" t="str">
        <f ca="1">OFFSET(Industries!F$1,MATCH(Table1[[#This Row],[Ticker]],Industries!$A$2:$A$140,0),0)</f>
        <v>A</v>
      </c>
      <c r="H550" t="s">
        <v>1434</v>
      </c>
      <c r="I550" t="s">
        <v>1434</v>
      </c>
      <c r="J550" s="2">
        <v>45315</v>
      </c>
      <c r="K550" t="s">
        <v>21</v>
      </c>
      <c r="L550" t="s">
        <v>1708</v>
      </c>
      <c r="M550" t="s">
        <v>1709</v>
      </c>
      <c r="N550" s="1"/>
      <c r="O550" t="s">
        <v>4</v>
      </c>
      <c r="P550" s="3">
        <v>0.14995107541417829</v>
      </c>
      <c r="Q550" s="3" t="s">
        <v>1637</v>
      </c>
      <c r="R550" t="s">
        <v>25</v>
      </c>
      <c r="S550" t="s">
        <v>1130</v>
      </c>
      <c r="T550" t="s">
        <v>358</v>
      </c>
      <c r="U550" s="1">
        <v>3.7999999999999999E-2</v>
      </c>
      <c r="V550" t="s">
        <v>373</v>
      </c>
    </row>
    <row r="551" spans="1:22" x14ac:dyDescent="0.3">
      <c r="A551" t="s">
        <v>353</v>
      </c>
      <c r="B551" t="str">
        <f ca="1">OFFSET(Industries!C$1,MATCH(Table1[[#This Row],[Ticker]],Industries!$A$2:$A$150,0),0)</f>
        <v>Information Technology</v>
      </c>
      <c r="C551" t="str">
        <f ca="1">OFFSET(Industries!D$1,MATCH(Table1[[#This Row],[Ticker]],Industries!$A$2:$A$150,0),0)</f>
        <v>Semiconductors</v>
      </c>
      <c r="D551" t="str">
        <f ca="1">OFFSET(Industries!E$1,MATCH(Table1[[#This Row],[Ticker]],Industries!$A$2:$A$150,0),0)</f>
        <v>Semiconductors</v>
      </c>
      <c r="E551" t="s">
        <v>158</v>
      </c>
      <c r="F551" t="str">
        <f ca="1">OFFSET(Industries!B$1,MATCH(Table1[[#This Row],[Ticker]],Industries!$A$2:$A$140,0),0)</f>
        <v>Mega-Cap</v>
      </c>
      <c r="G551" t="str">
        <f ca="1">OFFSET(Industries!F$1,MATCH(Table1[[#This Row],[Ticker]],Industries!$A$2:$A$140,0),0)</f>
        <v>A</v>
      </c>
      <c r="H551" t="s">
        <v>1434</v>
      </c>
      <c r="I551" t="s">
        <v>1434</v>
      </c>
      <c r="J551" s="2">
        <v>45315</v>
      </c>
      <c r="K551" t="s">
        <v>21</v>
      </c>
      <c r="L551" t="s">
        <v>1708</v>
      </c>
      <c r="M551" t="s">
        <v>1709</v>
      </c>
      <c r="N551" s="1"/>
      <c r="O551" t="s">
        <v>4</v>
      </c>
      <c r="P551" s="3">
        <v>0.14995107541417829</v>
      </c>
      <c r="Q551" s="3" t="s">
        <v>1637</v>
      </c>
      <c r="R551" t="s">
        <v>26</v>
      </c>
      <c r="S551" t="s">
        <v>26</v>
      </c>
      <c r="T551" t="s">
        <v>360</v>
      </c>
      <c r="U551" s="1">
        <v>2.5000000000000001E-2</v>
      </c>
    </row>
    <row r="552" spans="1:22" x14ac:dyDescent="0.3">
      <c r="A552" t="s">
        <v>353</v>
      </c>
      <c r="B552" t="str">
        <f ca="1">OFFSET(Industries!C$1,MATCH(Table1[[#This Row],[Ticker]],Industries!$A$2:$A$150,0),0)</f>
        <v>Information Technology</v>
      </c>
      <c r="C552" t="str">
        <f ca="1">OFFSET(Industries!D$1,MATCH(Table1[[#This Row],[Ticker]],Industries!$A$2:$A$150,0),0)</f>
        <v>Semiconductors</v>
      </c>
      <c r="D552" t="str">
        <f ca="1">OFFSET(Industries!E$1,MATCH(Table1[[#This Row],[Ticker]],Industries!$A$2:$A$150,0),0)</f>
        <v>Semiconductors</v>
      </c>
      <c r="E552" t="s">
        <v>158</v>
      </c>
      <c r="F552" t="str">
        <f ca="1">OFFSET(Industries!B$1,MATCH(Table1[[#This Row],[Ticker]],Industries!$A$2:$A$140,0),0)</f>
        <v>Mega-Cap</v>
      </c>
      <c r="G552" t="str">
        <f ca="1">OFFSET(Industries!F$1,MATCH(Table1[[#This Row],[Ticker]],Industries!$A$2:$A$140,0),0)</f>
        <v>A</v>
      </c>
      <c r="H552" t="s">
        <v>1434</v>
      </c>
      <c r="I552" t="s">
        <v>1434</v>
      </c>
      <c r="J552" s="2">
        <v>45315</v>
      </c>
      <c r="K552" t="s">
        <v>21</v>
      </c>
      <c r="L552" t="s">
        <v>1708</v>
      </c>
      <c r="M552" t="s">
        <v>1709</v>
      </c>
      <c r="N552" s="1"/>
      <c r="O552" t="s">
        <v>4</v>
      </c>
      <c r="P552" s="3">
        <v>0.14995107541417829</v>
      </c>
      <c r="Q552" s="3" t="s">
        <v>1636</v>
      </c>
      <c r="R552" t="s">
        <v>23</v>
      </c>
      <c r="S552" t="s">
        <v>1083</v>
      </c>
      <c r="T552" t="s">
        <v>361</v>
      </c>
      <c r="U552" s="1">
        <v>2.8000000000000001E-2</v>
      </c>
    </row>
    <row r="553" spans="1:22" x14ac:dyDescent="0.3">
      <c r="A553" t="s">
        <v>353</v>
      </c>
      <c r="B553" t="str">
        <f ca="1">OFFSET(Industries!C$1,MATCH(Table1[[#This Row],[Ticker]],Industries!$A$2:$A$150,0),0)</f>
        <v>Information Technology</v>
      </c>
      <c r="C553" t="str">
        <f ca="1">OFFSET(Industries!D$1,MATCH(Table1[[#This Row],[Ticker]],Industries!$A$2:$A$150,0),0)</f>
        <v>Semiconductors</v>
      </c>
      <c r="D553" t="str">
        <f ca="1">OFFSET(Industries!E$1,MATCH(Table1[[#This Row],[Ticker]],Industries!$A$2:$A$150,0),0)</f>
        <v>Semiconductors</v>
      </c>
      <c r="E553" t="s">
        <v>158</v>
      </c>
      <c r="F553" t="str">
        <f ca="1">OFFSET(Industries!B$1,MATCH(Table1[[#This Row],[Ticker]],Industries!$A$2:$A$140,0),0)</f>
        <v>Mega-Cap</v>
      </c>
      <c r="G553" t="str">
        <f ca="1">OFFSET(Industries!F$1,MATCH(Table1[[#This Row],[Ticker]],Industries!$A$2:$A$140,0),0)</f>
        <v>A</v>
      </c>
      <c r="H553" t="s">
        <v>1434</v>
      </c>
      <c r="I553" t="s">
        <v>1434</v>
      </c>
      <c r="J553" s="2">
        <v>45315</v>
      </c>
      <c r="K553" t="s">
        <v>21</v>
      </c>
      <c r="L553" t="s">
        <v>1708</v>
      </c>
      <c r="M553" t="s">
        <v>1709</v>
      </c>
      <c r="N553" s="1"/>
      <c r="O553" t="s">
        <v>4</v>
      </c>
      <c r="P553" s="3">
        <v>0.14995107541417829</v>
      </c>
      <c r="Q553" s="3"/>
      <c r="R553" t="s">
        <v>28</v>
      </c>
      <c r="S553" t="s">
        <v>1089</v>
      </c>
      <c r="T553" t="s">
        <v>50</v>
      </c>
    </row>
    <row r="554" spans="1:22" x14ac:dyDescent="0.3">
      <c r="A554" t="s">
        <v>353</v>
      </c>
      <c r="B554" t="str">
        <f ca="1">OFFSET(Industries!C$1,MATCH(Table1[[#This Row],[Ticker]],Industries!$A$2:$A$150,0),0)</f>
        <v>Information Technology</v>
      </c>
      <c r="C554" t="str">
        <f ca="1">OFFSET(Industries!D$1,MATCH(Table1[[#This Row],[Ticker]],Industries!$A$2:$A$150,0),0)</f>
        <v>Semiconductors</v>
      </c>
      <c r="D554" t="str">
        <f ca="1">OFFSET(Industries!E$1,MATCH(Table1[[#This Row],[Ticker]],Industries!$A$2:$A$150,0),0)</f>
        <v>Semiconductors</v>
      </c>
      <c r="E554" t="s">
        <v>158</v>
      </c>
      <c r="F554" t="str">
        <f ca="1">OFFSET(Industries!B$1,MATCH(Table1[[#This Row],[Ticker]],Industries!$A$2:$A$140,0),0)</f>
        <v>Mega-Cap</v>
      </c>
      <c r="G554" t="str">
        <f ca="1">OFFSET(Industries!F$1,MATCH(Table1[[#This Row],[Ticker]],Industries!$A$2:$A$140,0),0)</f>
        <v>A</v>
      </c>
      <c r="H554" t="s">
        <v>1434</v>
      </c>
      <c r="I554" t="s">
        <v>1434</v>
      </c>
      <c r="J554" s="2">
        <v>45315</v>
      </c>
      <c r="K554" t="s">
        <v>21</v>
      </c>
      <c r="L554" t="s">
        <v>1708</v>
      </c>
      <c r="M554" t="s">
        <v>1709</v>
      </c>
      <c r="N554" s="1"/>
      <c r="O554" t="s">
        <v>4</v>
      </c>
      <c r="P554" s="3">
        <v>0.14995107541417829</v>
      </c>
      <c r="Q554" s="3"/>
      <c r="R554" t="s">
        <v>28</v>
      </c>
      <c r="S554" t="s">
        <v>1087</v>
      </c>
      <c r="T554" t="s">
        <v>40</v>
      </c>
    </row>
    <row r="555" spans="1:22" x14ac:dyDescent="0.3">
      <c r="A555" t="s">
        <v>353</v>
      </c>
      <c r="B555" t="str">
        <f ca="1">OFFSET(Industries!C$1,MATCH(Table1[[#This Row],[Ticker]],Industries!$A$2:$A$150,0),0)</f>
        <v>Information Technology</v>
      </c>
      <c r="C555" t="str">
        <f ca="1">OFFSET(Industries!D$1,MATCH(Table1[[#This Row],[Ticker]],Industries!$A$2:$A$150,0),0)</f>
        <v>Semiconductors</v>
      </c>
      <c r="D555" t="str">
        <f ca="1">OFFSET(Industries!E$1,MATCH(Table1[[#This Row],[Ticker]],Industries!$A$2:$A$150,0),0)</f>
        <v>Semiconductors</v>
      </c>
      <c r="E555" t="s">
        <v>158</v>
      </c>
      <c r="F555" t="str">
        <f ca="1">OFFSET(Industries!B$1,MATCH(Table1[[#This Row],[Ticker]],Industries!$A$2:$A$140,0),0)</f>
        <v>Mega-Cap</v>
      </c>
      <c r="G555" t="str">
        <f ca="1">OFFSET(Industries!F$1,MATCH(Table1[[#This Row],[Ticker]],Industries!$A$2:$A$140,0),0)</f>
        <v>A</v>
      </c>
      <c r="H555" t="s">
        <v>1434</v>
      </c>
      <c r="I555" t="s">
        <v>1434</v>
      </c>
      <c r="J555" s="2">
        <v>45315</v>
      </c>
      <c r="K555" t="s">
        <v>21</v>
      </c>
      <c r="L555" t="s">
        <v>1710</v>
      </c>
      <c r="M555" t="s">
        <v>1709</v>
      </c>
      <c r="N555" s="1">
        <f>Table1[[#This Row],[Consideration Weight]]</f>
        <v>0.3657268831611582</v>
      </c>
      <c r="O555" t="s">
        <v>476</v>
      </c>
      <c r="P555" s="3">
        <v>0.3657268831611582</v>
      </c>
      <c r="Q555" s="3" t="s">
        <v>1646</v>
      </c>
      <c r="R555" t="s">
        <v>35</v>
      </c>
      <c r="S555" t="s">
        <v>29</v>
      </c>
      <c r="T555" t="s">
        <v>30</v>
      </c>
      <c r="U555" s="1">
        <v>0.5</v>
      </c>
    </row>
    <row r="556" spans="1:22" x14ac:dyDescent="0.3">
      <c r="A556" t="s">
        <v>353</v>
      </c>
      <c r="B556" t="str">
        <f ca="1">OFFSET(Industries!C$1,MATCH(Table1[[#This Row],[Ticker]],Industries!$A$2:$A$150,0),0)</f>
        <v>Information Technology</v>
      </c>
      <c r="C556" t="str">
        <f ca="1">OFFSET(Industries!D$1,MATCH(Table1[[#This Row],[Ticker]],Industries!$A$2:$A$150,0),0)</f>
        <v>Semiconductors</v>
      </c>
      <c r="D556" t="str">
        <f ca="1">OFFSET(Industries!E$1,MATCH(Table1[[#This Row],[Ticker]],Industries!$A$2:$A$150,0),0)</f>
        <v>Semiconductors</v>
      </c>
      <c r="E556" t="s">
        <v>158</v>
      </c>
      <c r="F556" t="str">
        <f ca="1">OFFSET(Industries!B$1,MATCH(Table1[[#This Row],[Ticker]],Industries!$A$2:$A$140,0),0)</f>
        <v>Mega-Cap</v>
      </c>
      <c r="G556" t="str">
        <f ca="1">OFFSET(Industries!F$1,MATCH(Table1[[#This Row],[Ticker]],Industries!$A$2:$A$140,0),0)</f>
        <v>A</v>
      </c>
      <c r="H556" t="s">
        <v>1434</v>
      </c>
      <c r="I556" t="s">
        <v>1434</v>
      </c>
      <c r="J556" s="2">
        <v>45315</v>
      </c>
      <c r="K556" t="s">
        <v>21</v>
      </c>
      <c r="L556" t="s">
        <v>1710</v>
      </c>
      <c r="M556" t="s">
        <v>1709</v>
      </c>
      <c r="N556" s="1"/>
      <c r="O556" t="s">
        <v>476</v>
      </c>
      <c r="P556" s="3">
        <v>0.3657268831611582</v>
      </c>
      <c r="Q556" s="3" t="s">
        <v>1636</v>
      </c>
      <c r="R556" t="s">
        <v>24</v>
      </c>
      <c r="S556" t="s">
        <v>509</v>
      </c>
      <c r="T556" t="s">
        <v>371</v>
      </c>
      <c r="U556" s="1">
        <v>0.5</v>
      </c>
    </row>
    <row r="557" spans="1:22" x14ac:dyDescent="0.3">
      <c r="A557" t="s">
        <v>353</v>
      </c>
      <c r="B557" t="str">
        <f ca="1">OFFSET(Industries!C$1,MATCH(Table1[[#This Row],[Ticker]],Industries!$A$2:$A$150,0),0)</f>
        <v>Information Technology</v>
      </c>
      <c r="C557" t="str">
        <f ca="1">OFFSET(Industries!D$1,MATCH(Table1[[#This Row],[Ticker]],Industries!$A$2:$A$150,0),0)</f>
        <v>Semiconductors</v>
      </c>
      <c r="D557" t="str">
        <f ca="1">OFFSET(Industries!E$1,MATCH(Table1[[#This Row],[Ticker]],Industries!$A$2:$A$150,0),0)</f>
        <v>Semiconductors</v>
      </c>
      <c r="E557" t="s">
        <v>158</v>
      </c>
      <c r="F557" t="str">
        <f ca="1">OFFSET(Industries!B$1,MATCH(Table1[[#This Row],[Ticker]],Industries!$A$2:$A$140,0),0)</f>
        <v>Mega-Cap</v>
      </c>
      <c r="G557" t="str">
        <f ca="1">OFFSET(Industries!F$1,MATCH(Table1[[#This Row],[Ticker]],Industries!$A$2:$A$140,0),0)</f>
        <v>A</v>
      </c>
      <c r="H557" t="s">
        <v>1434</v>
      </c>
      <c r="I557" t="s">
        <v>1434</v>
      </c>
      <c r="J557" s="2">
        <v>45315</v>
      </c>
      <c r="K557" t="s">
        <v>21</v>
      </c>
      <c r="L557" t="s">
        <v>1710</v>
      </c>
      <c r="M557" t="s">
        <v>1711</v>
      </c>
      <c r="N557" s="1">
        <f>Table1[[#This Row],[Consideration Weight]]</f>
        <v>0.3657268831611582</v>
      </c>
      <c r="O557" t="s">
        <v>194</v>
      </c>
      <c r="P557" s="3">
        <v>0.3657268831611582</v>
      </c>
      <c r="Q557" s="3"/>
    </row>
    <row r="558" spans="1:22" x14ac:dyDescent="0.3">
      <c r="A558" t="s">
        <v>377</v>
      </c>
      <c r="B558" t="str">
        <f ca="1">OFFSET(Industries!C$1,MATCH(Table1[[#This Row],[Ticker]],Industries!$A$2:$A$150,0),0)</f>
        <v>Energy</v>
      </c>
      <c r="C558" t="str">
        <f ca="1">OFFSET(Industries!D$1,MATCH(Table1[[#This Row],[Ticker]],Industries!$A$2:$A$150,0),0)</f>
        <v>Energy</v>
      </c>
      <c r="D558" t="str">
        <f ca="1">OFFSET(Industries!E$1,MATCH(Table1[[#This Row],[Ticker]],Industries!$A$2:$A$150,0),0)</f>
        <v>Oil, Gas and Consumable Fuels</v>
      </c>
      <c r="E558" t="s">
        <v>290</v>
      </c>
      <c r="F558" t="str">
        <f ca="1">OFFSET(Industries!B$1,MATCH(Table1[[#This Row],[Ticker]],Industries!$A$2:$A$140,0),0)</f>
        <v>Mega-Cap</v>
      </c>
      <c r="G558" t="str">
        <f ca="1">OFFSET(Industries!F$1,MATCH(Table1[[#This Row],[Ticker]],Industries!$A$2:$A$140,0),0)</f>
        <v>AA-</v>
      </c>
      <c r="H558" t="s">
        <v>1434</v>
      </c>
      <c r="I558" t="s">
        <v>1434</v>
      </c>
      <c r="J558" s="2">
        <v>45393</v>
      </c>
      <c r="K558" t="s">
        <v>2</v>
      </c>
      <c r="L558" t="s">
        <v>3</v>
      </c>
      <c r="M558" t="s">
        <v>1711</v>
      </c>
      <c r="N558" s="1">
        <f>Table1[[#This Row],[Consideration Weight]]</f>
        <v>0.06</v>
      </c>
      <c r="O558" t="s">
        <v>3</v>
      </c>
      <c r="P558" s="3">
        <v>0.06</v>
      </c>
      <c r="Q558" s="3"/>
    </row>
    <row r="559" spans="1:22" x14ac:dyDescent="0.3">
      <c r="A559" t="s">
        <v>377</v>
      </c>
      <c r="B559" t="str">
        <f ca="1">OFFSET(Industries!C$1,MATCH(Table1[[#This Row],[Ticker]],Industries!$A$2:$A$150,0),0)</f>
        <v>Energy</v>
      </c>
      <c r="C559" t="str">
        <f ca="1">OFFSET(Industries!D$1,MATCH(Table1[[#This Row],[Ticker]],Industries!$A$2:$A$150,0),0)</f>
        <v>Energy</v>
      </c>
      <c r="D559" t="str">
        <f ca="1">OFFSET(Industries!E$1,MATCH(Table1[[#This Row],[Ticker]],Industries!$A$2:$A$150,0),0)</f>
        <v>Oil, Gas and Consumable Fuels</v>
      </c>
      <c r="E559" t="s">
        <v>290</v>
      </c>
      <c r="F559" t="str">
        <f ca="1">OFFSET(Industries!B$1,MATCH(Table1[[#This Row],[Ticker]],Industries!$A$2:$A$140,0),0)</f>
        <v>Mega-Cap</v>
      </c>
      <c r="G559" t="str">
        <f ca="1">OFFSET(Industries!F$1,MATCH(Table1[[#This Row],[Ticker]],Industries!$A$2:$A$140,0),0)</f>
        <v>AA-</v>
      </c>
      <c r="H559" t="s">
        <v>1434</v>
      </c>
      <c r="I559" t="s">
        <v>1434</v>
      </c>
      <c r="J559" s="2">
        <v>45393</v>
      </c>
      <c r="K559" t="s">
        <v>2</v>
      </c>
      <c r="L559" t="s">
        <v>1708</v>
      </c>
      <c r="M559" t="s">
        <v>1709</v>
      </c>
      <c r="N559" s="1">
        <f>Table1[[#This Row],[Consideration Weight]]</f>
        <v>0.16</v>
      </c>
      <c r="O559" t="s">
        <v>4</v>
      </c>
      <c r="P559" s="3">
        <v>0.16</v>
      </c>
      <c r="Q559" s="3" t="s">
        <v>1636</v>
      </c>
      <c r="R559" t="s">
        <v>24</v>
      </c>
      <c r="S559" t="s">
        <v>1098</v>
      </c>
      <c r="T559" t="s">
        <v>378</v>
      </c>
      <c r="V559" t="s">
        <v>379</v>
      </c>
    </row>
    <row r="560" spans="1:22" x14ac:dyDescent="0.3">
      <c r="A560" t="s">
        <v>377</v>
      </c>
      <c r="B560" t="str">
        <f ca="1">OFFSET(Industries!C$1,MATCH(Table1[[#This Row],[Ticker]],Industries!$A$2:$A$150,0),0)</f>
        <v>Energy</v>
      </c>
      <c r="C560" t="str">
        <f ca="1">OFFSET(Industries!D$1,MATCH(Table1[[#This Row],[Ticker]],Industries!$A$2:$A$150,0),0)</f>
        <v>Energy</v>
      </c>
      <c r="D560" t="str">
        <f ca="1">OFFSET(Industries!E$1,MATCH(Table1[[#This Row],[Ticker]],Industries!$A$2:$A$150,0),0)</f>
        <v>Oil, Gas and Consumable Fuels</v>
      </c>
      <c r="E560" t="s">
        <v>290</v>
      </c>
      <c r="F560" t="str">
        <f ca="1">OFFSET(Industries!B$1,MATCH(Table1[[#This Row],[Ticker]],Industries!$A$2:$A$140,0),0)</f>
        <v>Mega-Cap</v>
      </c>
      <c r="G560" t="str">
        <f ca="1">OFFSET(Industries!F$1,MATCH(Table1[[#This Row],[Ticker]],Industries!$A$2:$A$140,0),0)</f>
        <v>AA-</v>
      </c>
      <c r="H560" t="s">
        <v>1434</v>
      </c>
      <c r="I560" t="s">
        <v>1434</v>
      </c>
      <c r="J560" s="2">
        <v>45393</v>
      </c>
      <c r="K560" t="s">
        <v>2</v>
      </c>
      <c r="L560" t="s">
        <v>1708</v>
      </c>
      <c r="M560" t="s">
        <v>1709</v>
      </c>
      <c r="N560" s="1"/>
      <c r="O560" t="s">
        <v>4</v>
      </c>
      <c r="P560" s="3">
        <v>0.16</v>
      </c>
      <c r="Q560" s="3" t="s">
        <v>1637</v>
      </c>
      <c r="R560" t="s">
        <v>25</v>
      </c>
      <c r="S560" t="s">
        <v>380</v>
      </c>
      <c r="T560" t="s">
        <v>380</v>
      </c>
      <c r="V560" t="s">
        <v>1121</v>
      </c>
    </row>
    <row r="561" spans="1:22" x14ac:dyDescent="0.3">
      <c r="A561" t="s">
        <v>377</v>
      </c>
      <c r="B561" t="str">
        <f ca="1">OFFSET(Industries!C$1,MATCH(Table1[[#This Row],[Ticker]],Industries!$A$2:$A$150,0),0)</f>
        <v>Energy</v>
      </c>
      <c r="C561" t="str">
        <f ca="1">OFFSET(Industries!D$1,MATCH(Table1[[#This Row],[Ticker]],Industries!$A$2:$A$150,0),0)</f>
        <v>Energy</v>
      </c>
      <c r="D561" t="str">
        <f ca="1">OFFSET(Industries!E$1,MATCH(Table1[[#This Row],[Ticker]],Industries!$A$2:$A$150,0),0)</f>
        <v>Oil, Gas and Consumable Fuels</v>
      </c>
      <c r="E561" t="s">
        <v>290</v>
      </c>
      <c r="F561" t="str">
        <f ca="1">OFFSET(Industries!B$1,MATCH(Table1[[#This Row],[Ticker]],Industries!$A$2:$A$140,0),0)</f>
        <v>Mega-Cap</v>
      </c>
      <c r="G561" t="str">
        <f ca="1">OFFSET(Industries!F$1,MATCH(Table1[[#This Row],[Ticker]],Industries!$A$2:$A$140,0),0)</f>
        <v>AA-</v>
      </c>
      <c r="H561" t="s">
        <v>1434</v>
      </c>
      <c r="I561" t="s">
        <v>1434</v>
      </c>
      <c r="J561" s="2">
        <v>45393</v>
      </c>
      <c r="K561" t="s">
        <v>2</v>
      </c>
      <c r="L561" t="s">
        <v>1710</v>
      </c>
      <c r="M561" t="s">
        <v>1709</v>
      </c>
      <c r="N561" s="1">
        <f>Table1[[#This Row],[Consideration Weight]]</f>
        <v>0.78</v>
      </c>
      <c r="O561" t="s">
        <v>476</v>
      </c>
      <c r="P561" s="3">
        <v>0.78</v>
      </c>
      <c r="Q561" s="3" t="s">
        <v>1637</v>
      </c>
      <c r="R561" t="s">
        <v>25</v>
      </c>
      <c r="S561" t="s">
        <v>380</v>
      </c>
      <c r="T561" t="s">
        <v>380</v>
      </c>
      <c r="U561" s="1">
        <v>1</v>
      </c>
      <c r="V561" t="s">
        <v>381</v>
      </c>
    </row>
    <row r="562" spans="1:22" x14ac:dyDescent="0.3">
      <c r="A562" t="s">
        <v>377</v>
      </c>
      <c r="B562" t="str">
        <f ca="1">OFFSET(Industries!C$1,MATCH(Table1[[#This Row],[Ticker]],Industries!$A$2:$A$150,0),0)</f>
        <v>Energy</v>
      </c>
      <c r="C562" t="str">
        <f ca="1">OFFSET(Industries!D$1,MATCH(Table1[[#This Row],[Ticker]],Industries!$A$2:$A$150,0),0)</f>
        <v>Energy</v>
      </c>
      <c r="D562" t="str">
        <f ca="1">OFFSET(Industries!E$1,MATCH(Table1[[#This Row],[Ticker]],Industries!$A$2:$A$150,0),0)</f>
        <v>Oil, Gas and Consumable Fuels</v>
      </c>
      <c r="E562" t="s">
        <v>290</v>
      </c>
      <c r="F562" t="str">
        <f ca="1">OFFSET(Industries!B$1,MATCH(Table1[[#This Row],[Ticker]],Industries!$A$2:$A$140,0),0)</f>
        <v>Mega-Cap</v>
      </c>
      <c r="G562" t="str">
        <f ca="1">OFFSET(Industries!F$1,MATCH(Table1[[#This Row],[Ticker]],Industries!$A$2:$A$140,0),0)</f>
        <v>AA-</v>
      </c>
      <c r="H562" t="s">
        <v>1434</v>
      </c>
      <c r="I562" t="s">
        <v>1434</v>
      </c>
      <c r="J562" s="2">
        <v>45393</v>
      </c>
      <c r="K562" t="s">
        <v>21</v>
      </c>
      <c r="L562" t="s">
        <v>3</v>
      </c>
      <c r="M562" t="s">
        <v>1711</v>
      </c>
      <c r="N562" s="1">
        <f>Table1[[#This Row],[Consideration Weight]]</f>
        <v>7.0000000000000007E-2</v>
      </c>
      <c r="O562" t="s">
        <v>3</v>
      </c>
      <c r="P562" s="3">
        <v>7.0000000000000007E-2</v>
      </c>
      <c r="Q562" s="3"/>
    </row>
    <row r="563" spans="1:22" x14ac:dyDescent="0.3">
      <c r="A563" t="s">
        <v>377</v>
      </c>
      <c r="B563" t="str">
        <f ca="1">OFFSET(Industries!C$1,MATCH(Table1[[#This Row],[Ticker]],Industries!$A$2:$A$150,0),0)</f>
        <v>Energy</v>
      </c>
      <c r="C563" t="str">
        <f ca="1">OFFSET(Industries!D$1,MATCH(Table1[[#This Row],[Ticker]],Industries!$A$2:$A$150,0),0)</f>
        <v>Energy</v>
      </c>
      <c r="D563" t="str">
        <f ca="1">OFFSET(Industries!E$1,MATCH(Table1[[#This Row],[Ticker]],Industries!$A$2:$A$150,0),0)</f>
        <v>Oil, Gas and Consumable Fuels</v>
      </c>
      <c r="E563" t="s">
        <v>290</v>
      </c>
      <c r="F563" t="str">
        <f ca="1">OFFSET(Industries!B$1,MATCH(Table1[[#This Row],[Ticker]],Industries!$A$2:$A$140,0),0)</f>
        <v>Mega-Cap</v>
      </c>
      <c r="G563" t="str">
        <f ca="1">OFFSET(Industries!F$1,MATCH(Table1[[#This Row],[Ticker]],Industries!$A$2:$A$140,0),0)</f>
        <v>AA-</v>
      </c>
      <c r="H563" t="s">
        <v>1434</v>
      </c>
      <c r="I563" t="s">
        <v>1434</v>
      </c>
      <c r="J563" s="2">
        <v>45393</v>
      </c>
      <c r="K563" t="s">
        <v>21</v>
      </c>
      <c r="L563" t="s">
        <v>1708</v>
      </c>
      <c r="M563" t="s">
        <v>1709</v>
      </c>
      <c r="N563" s="1">
        <f>Table1[[#This Row],[Consideration Weight]]</f>
        <v>0.19</v>
      </c>
      <c r="O563" t="s">
        <v>4</v>
      </c>
      <c r="P563" s="3">
        <v>0.19</v>
      </c>
      <c r="Q563" s="3" t="s">
        <v>1636</v>
      </c>
      <c r="R563" t="s">
        <v>24</v>
      </c>
      <c r="S563" t="s">
        <v>1098</v>
      </c>
      <c r="T563" t="s">
        <v>378</v>
      </c>
    </row>
    <row r="564" spans="1:22" x14ac:dyDescent="0.3">
      <c r="A564" t="s">
        <v>377</v>
      </c>
      <c r="B564" t="str">
        <f ca="1">OFFSET(Industries!C$1,MATCH(Table1[[#This Row],[Ticker]],Industries!$A$2:$A$150,0),0)</f>
        <v>Energy</v>
      </c>
      <c r="C564" t="str">
        <f ca="1">OFFSET(Industries!D$1,MATCH(Table1[[#This Row],[Ticker]],Industries!$A$2:$A$150,0),0)</f>
        <v>Energy</v>
      </c>
      <c r="D564" t="str">
        <f ca="1">OFFSET(Industries!E$1,MATCH(Table1[[#This Row],[Ticker]],Industries!$A$2:$A$150,0),0)</f>
        <v>Oil, Gas and Consumable Fuels</v>
      </c>
      <c r="E564" t="s">
        <v>290</v>
      </c>
      <c r="F564" t="str">
        <f ca="1">OFFSET(Industries!B$1,MATCH(Table1[[#This Row],[Ticker]],Industries!$A$2:$A$140,0),0)</f>
        <v>Mega-Cap</v>
      </c>
      <c r="G564" t="str">
        <f ca="1">OFFSET(Industries!F$1,MATCH(Table1[[#This Row],[Ticker]],Industries!$A$2:$A$140,0),0)</f>
        <v>AA-</v>
      </c>
      <c r="H564" t="s">
        <v>1434</v>
      </c>
      <c r="I564" t="s">
        <v>1434</v>
      </c>
      <c r="J564" s="2">
        <v>45393</v>
      </c>
      <c r="K564" t="s">
        <v>21</v>
      </c>
      <c r="L564" t="s">
        <v>1708</v>
      </c>
      <c r="M564" t="s">
        <v>1709</v>
      </c>
      <c r="N564" s="1"/>
      <c r="O564" t="s">
        <v>4</v>
      </c>
      <c r="P564" s="3">
        <v>0.19</v>
      </c>
      <c r="Q564" s="3" t="s">
        <v>1637</v>
      </c>
      <c r="R564" t="s">
        <v>25</v>
      </c>
      <c r="S564" t="s">
        <v>380</v>
      </c>
      <c r="T564" t="s">
        <v>380</v>
      </c>
    </row>
    <row r="565" spans="1:22" x14ac:dyDescent="0.3">
      <c r="A565" t="s">
        <v>377</v>
      </c>
      <c r="B565" t="str">
        <f ca="1">OFFSET(Industries!C$1,MATCH(Table1[[#This Row],[Ticker]],Industries!$A$2:$A$150,0),0)</f>
        <v>Energy</v>
      </c>
      <c r="C565" t="str">
        <f ca="1">OFFSET(Industries!D$1,MATCH(Table1[[#This Row],[Ticker]],Industries!$A$2:$A$150,0),0)</f>
        <v>Energy</v>
      </c>
      <c r="D565" t="str">
        <f ca="1">OFFSET(Industries!E$1,MATCH(Table1[[#This Row],[Ticker]],Industries!$A$2:$A$150,0),0)</f>
        <v>Oil, Gas and Consumable Fuels</v>
      </c>
      <c r="E565" t="s">
        <v>290</v>
      </c>
      <c r="F565" t="str">
        <f ca="1">OFFSET(Industries!B$1,MATCH(Table1[[#This Row],[Ticker]],Industries!$A$2:$A$140,0),0)</f>
        <v>Mega-Cap</v>
      </c>
      <c r="G565" t="str">
        <f ca="1">OFFSET(Industries!F$1,MATCH(Table1[[#This Row],[Ticker]],Industries!$A$2:$A$140,0),0)</f>
        <v>AA-</v>
      </c>
      <c r="H565" t="s">
        <v>1434</v>
      </c>
      <c r="I565" t="s">
        <v>1434</v>
      </c>
      <c r="J565" s="2">
        <v>45393</v>
      </c>
      <c r="K565" t="s">
        <v>21</v>
      </c>
      <c r="L565" t="s">
        <v>1710</v>
      </c>
      <c r="M565" t="s">
        <v>1709</v>
      </c>
      <c r="N565" s="1">
        <f>Table1[[#This Row],[Consideration Weight]]</f>
        <v>0.74</v>
      </c>
      <c r="O565" t="s">
        <v>476</v>
      </c>
      <c r="P565" s="3">
        <v>0.74</v>
      </c>
      <c r="Q565" s="3" t="s">
        <v>1637</v>
      </c>
      <c r="R565" t="s">
        <v>25</v>
      </c>
      <c r="S565" t="s">
        <v>380</v>
      </c>
      <c r="T565" t="s">
        <v>380</v>
      </c>
      <c r="U565" s="1">
        <v>1</v>
      </c>
    </row>
    <row r="566" spans="1:22" x14ac:dyDescent="0.3">
      <c r="A566" t="s">
        <v>382</v>
      </c>
      <c r="B566" t="str">
        <f ca="1">OFFSET(Industries!C$1,MATCH(Table1[[#This Row],[Ticker]],Industries!$A$2:$A$150,0),0)</f>
        <v>Information Technology</v>
      </c>
      <c r="C566" t="str">
        <f ca="1">OFFSET(Industries!D$1,MATCH(Table1[[#This Row],[Ticker]],Industries!$A$2:$A$150,0),0)</f>
        <v>Semiconductors</v>
      </c>
      <c r="D566" t="str">
        <f ca="1">OFFSET(Industries!E$1,MATCH(Table1[[#This Row],[Ticker]],Industries!$A$2:$A$150,0),0)</f>
        <v>Semiconductors</v>
      </c>
      <c r="E566" t="s">
        <v>34</v>
      </c>
      <c r="F566" t="str">
        <f ca="1">OFFSET(Industries!B$1,MATCH(Table1[[#This Row],[Ticker]],Industries!$A$2:$A$140,0),0)</f>
        <v>Mega-Cap</v>
      </c>
      <c r="G566" t="str">
        <f ca="1">OFFSET(Industries!F$1,MATCH(Table1[[#This Row],[Ticker]],Industries!$A$2:$A$140,0),0)</f>
        <v>BBB-</v>
      </c>
      <c r="H566" t="s">
        <v>1434</v>
      </c>
      <c r="I566" t="s">
        <v>1434</v>
      </c>
      <c r="J566" s="2">
        <v>45259</v>
      </c>
      <c r="K566" t="s">
        <v>2</v>
      </c>
      <c r="L566" t="s">
        <v>3</v>
      </c>
      <c r="M566" t="s">
        <v>1711</v>
      </c>
      <c r="N566" s="1">
        <f>Table1[[#This Row],[Consideration Weight]]</f>
        <v>0.05</v>
      </c>
      <c r="O566" t="s">
        <v>3</v>
      </c>
      <c r="P566" s="3">
        <v>0.05</v>
      </c>
      <c r="Q566" s="3"/>
    </row>
    <row r="567" spans="1:22" x14ac:dyDescent="0.3">
      <c r="A567" t="s">
        <v>382</v>
      </c>
      <c r="B567" t="str">
        <f ca="1">OFFSET(Industries!C$1,MATCH(Table1[[#This Row],[Ticker]],Industries!$A$2:$A$150,0),0)</f>
        <v>Information Technology</v>
      </c>
      <c r="C567" t="str">
        <f ca="1">OFFSET(Industries!D$1,MATCH(Table1[[#This Row],[Ticker]],Industries!$A$2:$A$150,0),0)</f>
        <v>Semiconductors</v>
      </c>
      <c r="D567" t="str">
        <f ca="1">OFFSET(Industries!E$1,MATCH(Table1[[#This Row],[Ticker]],Industries!$A$2:$A$150,0),0)</f>
        <v>Semiconductors</v>
      </c>
      <c r="E567" t="s">
        <v>34</v>
      </c>
      <c r="F567" t="str">
        <f ca="1">OFFSET(Industries!B$1,MATCH(Table1[[#This Row],[Ticker]],Industries!$A$2:$A$140,0),0)</f>
        <v>Mega-Cap</v>
      </c>
      <c r="G567" t="str">
        <f ca="1">OFFSET(Industries!F$1,MATCH(Table1[[#This Row],[Ticker]],Industries!$A$2:$A$140,0),0)</f>
        <v>BBB-</v>
      </c>
      <c r="H567" t="s">
        <v>1434</v>
      </c>
      <c r="I567" t="s">
        <v>1434</v>
      </c>
      <c r="J567" s="2">
        <v>45259</v>
      </c>
      <c r="K567" t="s">
        <v>2</v>
      </c>
      <c r="L567" t="s">
        <v>1708</v>
      </c>
      <c r="M567" t="s">
        <v>1709</v>
      </c>
      <c r="N567" s="1">
        <f>Table1[[#This Row],[Consideration Weight]]</f>
        <v>0.11</v>
      </c>
      <c r="O567" t="s">
        <v>4</v>
      </c>
      <c r="P567" s="3">
        <v>0.11</v>
      </c>
      <c r="Q567" s="3" t="s">
        <v>1636</v>
      </c>
      <c r="R567" t="s">
        <v>24</v>
      </c>
      <c r="S567" t="s">
        <v>1098</v>
      </c>
      <c r="T567" t="s">
        <v>107</v>
      </c>
      <c r="U567" s="1">
        <v>0.25</v>
      </c>
      <c r="V567" t="s">
        <v>1122</v>
      </c>
    </row>
    <row r="568" spans="1:22" x14ac:dyDescent="0.3">
      <c r="A568" t="s">
        <v>382</v>
      </c>
      <c r="B568" t="str">
        <f ca="1">OFFSET(Industries!C$1,MATCH(Table1[[#This Row],[Ticker]],Industries!$A$2:$A$150,0),0)</f>
        <v>Information Technology</v>
      </c>
      <c r="C568" t="str">
        <f ca="1">OFFSET(Industries!D$1,MATCH(Table1[[#This Row],[Ticker]],Industries!$A$2:$A$150,0),0)</f>
        <v>Semiconductors</v>
      </c>
      <c r="D568" t="str">
        <f ca="1">OFFSET(Industries!E$1,MATCH(Table1[[#This Row],[Ticker]],Industries!$A$2:$A$150,0),0)</f>
        <v>Semiconductors</v>
      </c>
      <c r="E568" t="s">
        <v>34</v>
      </c>
      <c r="F568" t="str">
        <f ca="1">OFFSET(Industries!B$1,MATCH(Table1[[#This Row],[Ticker]],Industries!$A$2:$A$140,0),0)</f>
        <v>Mega-Cap</v>
      </c>
      <c r="G568" t="str">
        <f ca="1">OFFSET(Industries!F$1,MATCH(Table1[[#This Row],[Ticker]],Industries!$A$2:$A$140,0),0)</f>
        <v>BBB-</v>
      </c>
      <c r="H568" t="s">
        <v>1434</v>
      </c>
      <c r="I568" t="s">
        <v>1434</v>
      </c>
      <c r="J568" s="2">
        <v>45259</v>
      </c>
      <c r="K568" t="s">
        <v>2</v>
      </c>
      <c r="L568" t="s">
        <v>1708</v>
      </c>
      <c r="M568" t="s">
        <v>1709</v>
      </c>
      <c r="N568" s="1"/>
      <c r="O568" t="s">
        <v>4</v>
      </c>
      <c r="P568" s="3">
        <v>0.11</v>
      </c>
      <c r="Q568" s="3" t="s">
        <v>1636</v>
      </c>
      <c r="R568" t="s">
        <v>24</v>
      </c>
      <c r="S568" t="s">
        <v>509</v>
      </c>
      <c r="T568" t="s">
        <v>38</v>
      </c>
      <c r="U568" s="1">
        <v>0.25</v>
      </c>
    </row>
    <row r="569" spans="1:22" x14ac:dyDescent="0.3">
      <c r="A569" t="s">
        <v>382</v>
      </c>
      <c r="B569" t="str">
        <f ca="1">OFFSET(Industries!C$1,MATCH(Table1[[#This Row],[Ticker]],Industries!$A$2:$A$150,0),0)</f>
        <v>Information Technology</v>
      </c>
      <c r="C569" t="str">
        <f ca="1">OFFSET(Industries!D$1,MATCH(Table1[[#This Row],[Ticker]],Industries!$A$2:$A$150,0),0)</f>
        <v>Semiconductors</v>
      </c>
      <c r="D569" t="str">
        <f ca="1">OFFSET(Industries!E$1,MATCH(Table1[[#This Row],[Ticker]],Industries!$A$2:$A$150,0),0)</f>
        <v>Semiconductors</v>
      </c>
      <c r="E569" t="s">
        <v>34</v>
      </c>
      <c r="F569" t="str">
        <f ca="1">OFFSET(Industries!B$1,MATCH(Table1[[#This Row],[Ticker]],Industries!$A$2:$A$140,0),0)</f>
        <v>Mega-Cap</v>
      </c>
      <c r="G569" t="str">
        <f ca="1">OFFSET(Industries!F$1,MATCH(Table1[[#This Row],[Ticker]],Industries!$A$2:$A$140,0),0)</f>
        <v>BBB-</v>
      </c>
      <c r="H569" t="s">
        <v>1434</v>
      </c>
      <c r="I569" t="s">
        <v>1434</v>
      </c>
      <c r="J569" s="2">
        <v>45259</v>
      </c>
      <c r="K569" t="s">
        <v>2</v>
      </c>
      <c r="L569" t="s">
        <v>1708</v>
      </c>
      <c r="M569" t="s">
        <v>1709</v>
      </c>
      <c r="N569" s="1"/>
      <c r="O569" t="s">
        <v>4</v>
      </c>
      <c r="P569" s="3">
        <v>0.11</v>
      </c>
      <c r="Q569" s="3" t="s">
        <v>1637</v>
      </c>
      <c r="R569" t="s">
        <v>25</v>
      </c>
      <c r="S569" t="s">
        <v>1086</v>
      </c>
      <c r="T569" t="s">
        <v>383</v>
      </c>
      <c r="U569" s="1">
        <v>0.1</v>
      </c>
      <c r="V569" t="s">
        <v>384</v>
      </c>
    </row>
    <row r="570" spans="1:22" x14ac:dyDescent="0.3">
      <c r="A570" t="s">
        <v>382</v>
      </c>
      <c r="B570" t="str">
        <f ca="1">OFFSET(Industries!C$1,MATCH(Table1[[#This Row],[Ticker]],Industries!$A$2:$A$150,0),0)</f>
        <v>Information Technology</v>
      </c>
      <c r="C570" t="str">
        <f ca="1">OFFSET(Industries!D$1,MATCH(Table1[[#This Row],[Ticker]],Industries!$A$2:$A$150,0),0)</f>
        <v>Semiconductors</v>
      </c>
      <c r="D570" t="str">
        <f ca="1">OFFSET(Industries!E$1,MATCH(Table1[[#This Row],[Ticker]],Industries!$A$2:$A$150,0),0)</f>
        <v>Semiconductors</v>
      </c>
      <c r="E570" t="s">
        <v>34</v>
      </c>
      <c r="F570" t="str">
        <f ca="1">OFFSET(Industries!B$1,MATCH(Table1[[#This Row],[Ticker]],Industries!$A$2:$A$140,0),0)</f>
        <v>Mega-Cap</v>
      </c>
      <c r="G570" t="str">
        <f ca="1">OFFSET(Industries!F$1,MATCH(Table1[[#This Row],[Ticker]],Industries!$A$2:$A$140,0),0)</f>
        <v>BBB-</v>
      </c>
      <c r="H570" t="s">
        <v>1434</v>
      </c>
      <c r="I570" t="s">
        <v>1434</v>
      </c>
      <c r="J570" s="2">
        <v>45259</v>
      </c>
      <c r="K570" t="s">
        <v>2</v>
      </c>
      <c r="L570" t="s">
        <v>1708</v>
      </c>
      <c r="M570" t="s">
        <v>1709</v>
      </c>
      <c r="N570" s="1"/>
      <c r="O570" t="s">
        <v>4</v>
      </c>
      <c r="P570" s="3">
        <v>0.11</v>
      </c>
      <c r="Q570" s="3" t="s">
        <v>1637</v>
      </c>
      <c r="R570" t="s">
        <v>24</v>
      </c>
      <c r="S570" t="s">
        <v>1086</v>
      </c>
      <c r="T570" t="s">
        <v>385</v>
      </c>
      <c r="U570" s="1">
        <v>0.1</v>
      </c>
      <c r="V570" t="s">
        <v>1664</v>
      </c>
    </row>
    <row r="571" spans="1:22" x14ac:dyDescent="0.3">
      <c r="A571" t="s">
        <v>382</v>
      </c>
      <c r="B571" t="str">
        <f ca="1">OFFSET(Industries!C$1,MATCH(Table1[[#This Row],[Ticker]],Industries!$A$2:$A$150,0),0)</f>
        <v>Information Technology</v>
      </c>
      <c r="C571" t="str">
        <f ca="1">OFFSET(Industries!D$1,MATCH(Table1[[#This Row],[Ticker]],Industries!$A$2:$A$150,0),0)</f>
        <v>Semiconductors</v>
      </c>
      <c r="D571" t="str">
        <f ca="1">OFFSET(Industries!E$1,MATCH(Table1[[#This Row],[Ticker]],Industries!$A$2:$A$150,0),0)</f>
        <v>Semiconductors</v>
      </c>
      <c r="E571" t="s">
        <v>34</v>
      </c>
      <c r="F571" t="str">
        <f ca="1">OFFSET(Industries!B$1,MATCH(Table1[[#This Row],[Ticker]],Industries!$A$2:$A$140,0),0)</f>
        <v>Mega-Cap</v>
      </c>
      <c r="G571" t="str">
        <f ca="1">OFFSET(Industries!F$1,MATCH(Table1[[#This Row],[Ticker]],Industries!$A$2:$A$140,0),0)</f>
        <v>BBB-</v>
      </c>
      <c r="H571" t="s">
        <v>1434</v>
      </c>
      <c r="I571" t="s">
        <v>1434</v>
      </c>
      <c r="J571" s="2">
        <v>45259</v>
      </c>
      <c r="K571" t="s">
        <v>2</v>
      </c>
      <c r="L571" t="s">
        <v>1708</v>
      </c>
      <c r="M571" t="s">
        <v>1709</v>
      </c>
      <c r="N571" s="1"/>
      <c r="O571" t="s">
        <v>4</v>
      </c>
      <c r="P571" s="3">
        <v>0.11</v>
      </c>
      <c r="Q571" s="3" t="s">
        <v>1637</v>
      </c>
      <c r="R571" t="s">
        <v>25</v>
      </c>
      <c r="S571" t="s">
        <v>1130</v>
      </c>
      <c r="T571" t="s">
        <v>386</v>
      </c>
      <c r="U571" s="1">
        <v>0.1</v>
      </c>
      <c r="V571" t="s">
        <v>387</v>
      </c>
    </row>
    <row r="572" spans="1:22" x14ac:dyDescent="0.3">
      <c r="A572" t="s">
        <v>382</v>
      </c>
      <c r="B572" t="str">
        <f ca="1">OFFSET(Industries!C$1,MATCH(Table1[[#This Row],[Ticker]],Industries!$A$2:$A$150,0),0)</f>
        <v>Information Technology</v>
      </c>
      <c r="C572" t="str">
        <f ca="1">OFFSET(Industries!D$1,MATCH(Table1[[#This Row],[Ticker]],Industries!$A$2:$A$150,0),0)</f>
        <v>Semiconductors</v>
      </c>
      <c r="D572" t="str">
        <f ca="1">OFFSET(Industries!E$1,MATCH(Table1[[#This Row],[Ticker]],Industries!$A$2:$A$150,0),0)</f>
        <v>Semiconductors</v>
      </c>
      <c r="E572" t="s">
        <v>34</v>
      </c>
      <c r="F572" t="str">
        <f ca="1">OFFSET(Industries!B$1,MATCH(Table1[[#This Row],[Ticker]],Industries!$A$2:$A$140,0),0)</f>
        <v>Mega-Cap</v>
      </c>
      <c r="G572" t="str">
        <f ca="1">OFFSET(Industries!F$1,MATCH(Table1[[#This Row],[Ticker]],Industries!$A$2:$A$140,0),0)</f>
        <v>BBB-</v>
      </c>
      <c r="H572" t="s">
        <v>1434</v>
      </c>
      <c r="I572" t="s">
        <v>1434</v>
      </c>
      <c r="J572" s="2">
        <v>45259</v>
      </c>
      <c r="K572" t="s">
        <v>2</v>
      </c>
      <c r="L572" t="s">
        <v>1708</v>
      </c>
      <c r="M572" t="s">
        <v>1709</v>
      </c>
      <c r="N572" s="1"/>
      <c r="O572" t="s">
        <v>4</v>
      </c>
      <c r="P572" s="3">
        <v>0.11</v>
      </c>
      <c r="Q572" s="3" t="s">
        <v>1637</v>
      </c>
      <c r="R572" t="s">
        <v>25</v>
      </c>
      <c r="S572" t="s">
        <v>1086</v>
      </c>
      <c r="T572" t="s">
        <v>388</v>
      </c>
      <c r="U572" s="1">
        <v>0.1</v>
      </c>
      <c r="V572" t="s">
        <v>1665</v>
      </c>
    </row>
    <row r="573" spans="1:22" x14ac:dyDescent="0.3">
      <c r="A573" t="s">
        <v>382</v>
      </c>
      <c r="B573" t="str">
        <f ca="1">OFFSET(Industries!C$1,MATCH(Table1[[#This Row],[Ticker]],Industries!$A$2:$A$150,0),0)</f>
        <v>Information Technology</v>
      </c>
      <c r="C573" t="str">
        <f ca="1">OFFSET(Industries!D$1,MATCH(Table1[[#This Row],[Ticker]],Industries!$A$2:$A$150,0),0)</f>
        <v>Semiconductors</v>
      </c>
      <c r="D573" t="str">
        <f ca="1">OFFSET(Industries!E$1,MATCH(Table1[[#This Row],[Ticker]],Industries!$A$2:$A$150,0),0)</f>
        <v>Semiconductors</v>
      </c>
      <c r="E573" t="s">
        <v>34</v>
      </c>
      <c r="F573" t="str">
        <f ca="1">OFFSET(Industries!B$1,MATCH(Table1[[#This Row],[Ticker]],Industries!$A$2:$A$140,0),0)</f>
        <v>Mega-Cap</v>
      </c>
      <c r="G573" t="str">
        <f ca="1">OFFSET(Industries!F$1,MATCH(Table1[[#This Row],[Ticker]],Industries!$A$2:$A$140,0),0)</f>
        <v>BBB-</v>
      </c>
      <c r="H573" t="s">
        <v>1434</v>
      </c>
      <c r="I573" t="s">
        <v>1434</v>
      </c>
      <c r="J573" s="2">
        <v>45259</v>
      </c>
      <c r="K573" t="s">
        <v>2</v>
      </c>
      <c r="L573" t="s">
        <v>1708</v>
      </c>
      <c r="M573" t="s">
        <v>1709</v>
      </c>
      <c r="N573" s="1"/>
      <c r="O573" t="s">
        <v>4</v>
      </c>
      <c r="P573" s="3">
        <v>0.11</v>
      </c>
      <c r="Q573" s="3" t="s">
        <v>1637</v>
      </c>
      <c r="R573" t="s">
        <v>26</v>
      </c>
      <c r="S573" t="s">
        <v>26</v>
      </c>
      <c r="T573" t="s">
        <v>26</v>
      </c>
      <c r="U573" s="1">
        <v>0.1</v>
      </c>
      <c r="V573" t="s">
        <v>389</v>
      </c>
    </row>
    <row r="574" spans="1:22" x14ac:dyDescent="0.3">
      <c r="A574" t="s">
        <v>382</v>
      </c>
      <c r="B574" t="str">
        <f ca="1">OFFSET(Industries!C$1,MATCH(Table1[[#This Row],[Ticker]],Industries!$A$2:$A$150,0),0)</f>
        <v>Information Technology</v>
      </c>
      <c r="C574" t="str">
        <f ca="1">OFFSET(Industries!D$1,MATCH(Table1[[#This Row],[Ticker]],Industries!$A$2:$A$150,0),0)</f>
        <v>Semiconductors</v>
      </c>
      <c r="D574" t="str">
        <f ca="1">OFFSET(Industries!E$1,MATCH(Table1[[#This Row],[Ticker]],Industries!$A$2:$A$150,0),0)</f>
        <v>Semiconductors</v>
      </c>
      <c r="E574" t="s">
        <v>34</v>
      </c>
      <c r="F574" t="str">
        <f ca="1">OFFSET(Industries!B$1,MATCH(Table1[[#This Row],[Ticker]],Industries!$A$2:$A$140,0),0)</f>
        <v>Mega-Cap</v>
      </c>
      <c r="G574" t="str">
        <f ca="1">OFFSET(Industries!F$1,MATCH(Table1[[#This Row],[Ticker]],Industries!$A$2:$A$140,0),0)</f>
        <v>BBB-</v>
      </c>
      <c r="H574" t="s">
        <v>1434</v>
      </c>
      <c r="I574" t="s">
        <v>1434</v>
      </c>
      <c r="J574" s="2">
        <v>45259</v>
      </c>
      <c r="K574" t="s">
        <v>2</v>
      </c>
      <c r="L574" t="s">
        <v>1708</v>
      </c>
      <c r="M574" t="s">
        <v>1709</v>
      </c>
      <c r="N574" s="1"/>
      <c r="O574" t="s">
        <v>4</v>
      </c>
      <c r="P574" s="3">
        <v>0.11</v>
      </c>
      <c r="Q574" s="3"/>
      <c r="R574" t="s">
        <v>28</v>
      </c>
      <c r="S574" t="s">
        <v>1087</v>
      </c>
      <c r="T574" t="s">
        <v>40</v>
      </c>
    </row>
    <row r="575" spans="1:22" x14ac:dyDescent="0.3">
      <c r="A575" t="s">
        <v>382</v>
      </c>
      <c r="B575" t="str">
        <f ca="1">OFFSET(Industries!C$1,MATCH(Table1[[#This Row],[Ticker]],Industries!$A$2:$A$150,0),0)</f>
        <v>Information Technology</v>
      </c>
      <c r="C575" t="str">
        <f ca="1">OFFSET(Industries!D$1,MATCH(Table1[[#This Row],[Ticker]],Industries!$A$2:$A$150,0),0)</f>
        <v>Semiconductors</v>
      </c>
      <c r="D575" t="str">
        <f ca="1">OFFSET(Industries!E$1,MATCH(Table1[[#This Row],[Ticker]],Industries!$A$2:$A$150,0),0)</f>
        <v>Semiconductors</v>
      </c>
      <c r="E575" t="s">
        <v>34</v>
      </c>
      <c r="F575" t="str">
        <f ca="1">OFFSET(Industries!B$1,MATCH(Table1[[#This Row],[Ticker]],Industries!$A$2:$A$140,0),0)</f>
        <v>Mega-Cap</v>
      </c>
      <c r="G575" t="str">
        <f ca="1">OFFSET(Industries!F$1,MATCH(Table1[[#This Row],[Ticker]],Industries!$A$2:$A$140,0),0)</f>
        <v>BBB-</v>
      </c>
      <c r="H575" t="s">
        <v>1434</v>
      </c>
      <c r="I575" t="s">
        <v>1434</v>
      </c>
      <c r="J575" s="2">
        <v>45259</v>
      </c>
      <c r="K575" t="s">
        <v>2</v>
      </c>
      <c r="L575" t="s">
        <v>1708</v>
      </c>
      <c r="M575" t="s">
        <v>1709</v>
      </c>
      <c r="N575" s="1"/>
      <c r="O575" t="s">
        <v>4</v>
      </c>
      <c r="P575" s="3">
        <v>0.11</v>
      </c>
      <c r="Q575" s="3"/>
      <c r="R575" t="s">
        <v>28</v>
      </c>
      <c r="S575" t="s">
        <v>1123</v>
      </c>
      <c r="T575" t="s">
        <v>107</v>
      </c>
      <c r="V575" t="s">
        <v>390</v>
      </c>
    </row>
    <row r="576" spans="1:22" x14ac:dyDescent="0.3">
      <c r="A576" t="s">
        <v>382</v>
      </c>
      <c r="B576" t="str">
        <f ca="1">OFFSET(Industries!C$1,MATCH(Table1[[#This Row],[Ticker]],Industries!$A$2:$A$150,0),0)</f>
        <v>Information Technology</v>
      </c>
      <c r="C576" t="str">
        <f ca="1">OFFSET(Industries!D$1,MATCH(Table1[[#This Row],[Ticker]],Industries!$A$2:$A$150,0),0)</f>
        <v>Semiconductors</v>
      </c>
      <c r="D576" t="str">
        <f ca="1">OFFSET(Industries!E$1,MATCH(Table1[[#This Row],[Ticker]],Industries!$A$2:$A$150,0),0)</f>
        <v>Semiconductors</v>
      </c>
      <c r="E576" t="s">
        <v>34</v>
      </c>
      <c r="F576" t="str">
        <f ca="1">OFFSET(Industries!B$1,MATCH(Table1[[#This Row],[Ticker]],Industries!$A$2:$A$140,0),0)</f>
        <v>Mega-Cap</v>
      </c>
      <c r="G576" t="str">
        <f ca="1">OFFSET(Industries!F$1,MATCH(Table1[[#This Row],[Ticker]],Industries!$A$2:$A$140,0),0)</f>
        <v>BBB-</v>
      </c>
      <c r="H576" t="s">
        <v>1434</v>
      </c>
      <c r="I576" t="s">
        <v>1434</v>
      </c>
      <c r="J576" s="2">
        <v>45259</v>
      </c>
      <c r="K576" t="s">
        <v>2</v>
      </c>
      <c r="L576" t="s">
        <v>1708</v>
      </c>
      <c r="M576" t="s">
        <v>1709</v>
      </c>
      <c r="N576" s="1"/>
      <c r="O576" t="s">
        <v>4</v>
      </c>
      <c r="P576" s="3">
        <v>0.11</v>
      </c>
      <c r="Q576" s="3"/>
      <c r="R576" t="s">
        <v>28</v>
      </c>
      <c r="S576" t="s">
        <v>1124</v>
      </c>
      <c r="T576" t="s">
        <v>38</v>
      </c>
      <c r="V576" t="s">
        <v>390</v>
      </c>
    </row>
    <row r="577" spans="1:22" x14ac:dyDescent="0.3">
      <c r="A577" t="s">
        <v>382</v>
      </c>
      <c r="B577" t="str">
        <f ca="1">OFFSET(Industries!C$1,MATCH(Table1[[#This Row],[Ticker]],Industries!$A$2:$A$150,0),0)</f>
        <v>Information Technology</v>
      </c>
      <c r="C577" t="str">
        <f ca="1">OFFSET(Industries!D$1,MATCH(Table1[[#This Row],[Ticker]],Industries!$A$2:$A$150,0),0)</f>
        <v>Semiconductors</v>
      </c>
      <c r="D577" t="str">
        <f ca="1">OFFSET(Industries!E$1,MATCH(Table1[[#This Row],[Ticker]],Industries!$A$2:$A$150,0),0)</f>
        <v>Semiconductors</v>
      </c>
      <c r="E577" t="s">
        <v>34</v>
      </c>
      <c r="F577" t="str">
        <f ca="1">OFFSET(Industries!B$1,MATCH(Table1[[#This Row],[Ticker]],Industries!$A$2:$A$140,0),0)</f>
        <v>Mega-Cap</v>
      </c>
      <c r="G577" t="str">
        <f ca="1">OFFSET(Industries!F$1,MATCH(Table1[[#This Row],[Ticker]],Industries!$A$2:$A$140,0),0)</f>
        <v>BBB-</v>
      </c>
      <c r="H577" t="s">
        <v>1434</v>
      </c>
      <c r="I577" t="s">
        <v>1434</v>
      </c>
      <c r="J577" s="2">
        <v>45259</v>
      </c>
      <c r="K577" t="s">
        <v>2</v>
      </c>
      <c r="L577" t="s">
        <v>1710</v>
      </c>
      <c r="M577" t="s">
        <v>1709</v>
      </c>
      <c r="N577" s="1">
        <f>Table1[[#This Row],[Consideration Weight]]</f>
        <v>0.54600000000000004</v>
      </c>
      <c r="O577" t="s">
        <v>476</v>
      </c>
      <c r="P577" s="3">
        <f>0.84*0.65</f>
        <v>0.54600000000000004</v>
      </c>
      <c r="Q577" s="3" t="s">
        <v>1646</v>
      </c>
      <c r="R577" t="s">
        <v>35</v>
      </c>
      <c r="S577" t="s">
        <v>29</v>
      </c>
      <c r="T577" t="s">
        <v>391</v>
      </c>
      <c r="U577" s="1">
        <v>0.5</v>
      </c>
      <c r="V577" t="s">
        <v>392</v>
      </c>
    </row>
    <row r="578" spans="1:22" x14ac:dyDescent="0.3">
      <c r="A578" t="s">
        <v>382</v>
      </c>
      <c r="B578" t="str">
        <f ca="1">OFFSET(Industries!C$1,MATCH(Table1[[#This Row],[Ticker]],Industries!$A$2:$A$150,0),0)</f>
        <v>Information Technology</v>
      </c>
      <c r="C578" t="str">
        <f ca="1">OFFSET(Industries!D$1,MATCH(Table1[[#This Row],[Ticker]],Industries!$A$2:$A$150,0),0)</f>
        <v>Semiconductors</v>
      </c>
      <c r="D578" t="str">
        <f ca="1">OFFSET(Industries!E$1,MATCH(Table1[[#This Row],[Ticker]],Industries!$A$2:$A$150,0),0)</f>
        <v>Semiconductors</v>
      </c>
      <c r="E578" t="s">
        <v>34</v>
      </c>
      <c r="F578" t="str">
        <f ca="1">OFFSET(Industries!B$1,MATCH(Table1[[#This Row],[Ticker]],Industries!$A$2:$A$140,0),0)</f>
        <v>Mega-Cap</v>
      </c>
      <c r="G578" t="str">
        <f ca="1">OFFSET(Industries!F$1,MATCH(Table1[[#This Row],[Ticker]],Industries!$A$2:$A$140,0),0)</f>
        <v>BBB-</v>
      </c>
      <c r="H578" t="s">
        <v>1434</v>
      </c>
      <c r="I578" t="s">
        <v>1434</v>
      </c>
      <c r="J578" s="2">
        <v>45259</v>
      </c>
      <c r="K578" t="s">
        <v>2</v>
      </c>
      <c r="L578" t="s">
        <v>1710</v>
      </c>
      <c r="M578" t="s">
        <v>1709</v>
      </c>
      <c r="N578" s="1"/>
      <c r="O578" t="s">
        <v>476</v>
      </c>
      <c r="P578" s="3">
        <f>0.84*0.65</f>
        <v>0.54600000000000004</v>
      </c>
      <c r="Q578" s="3" t="s">
        <v>1636</v>
      </c>
      <c r="R578" t="s">
        <v>25</v>
      </c>
      <c r="S578" t="s">
        <v>1083</v>
      </c>
      <c r="T578" t="s">
        <v>399</v>
      </c>
      <c r="U578" s="1">
        <v>0.25</v>
      </c>
      <c r="V578" t="s">
        <v>394</v>
      </c>
    </row>
    <row r="579" spans="1:22" x14ac:dyDescent="0.3">
      <c r="A579" t="s">
        <v>382</v>
      </c>
      <c r="B579" t="str">
        <f ca="1">OFFSET(Industries!C$1,MATCH(Table1[[#This Row],[Ticker]],Industries!$A$2:$A$150,0),0)</f>
        <v>Information Technology</v>
      </c>
      <c r="C579" t="str">
        <f ca="1">OFFSET(Industries!D$1,MATCH(Table1[[#This Row],[Ticker]],Industries!$A$2:$A$150,0),0)</f>
        <v>Semiconductors</v>
      </c>
      <c r="D579" t="str">
        <f ca="1">OFFSET(Industries!E$1,MATCH(Table1[[#This Row],[Ticker]],Industries!$A$2:$A$150,0),0)</f>
        <v>Semiconductors</v>
      </c>
      <c r="E579" t="s">
        <v>34</v>
      </c>
      <c r="F579" t="str">
        <f ca="1">OFFSET(Industries!B$1,MATCH(Table1[[#This Row],[Ticker]],Industries!$A$2:$A$140,0),0)</f>
        <v>Mega-Cap</v>
      </c>
      <c r="G579" t="str">
        <f ca="1">OFFSET(Industries!F$1,MATCH(Table1[[#This Row],[Ticker]],Industries!$A$2:$A$140,0),0)</f>
        <v>BBB-</v>
      </c>
      <c r="H579" t="s">
        <v>1434</v>
      </c>
      <c r="I579" t="s">
        <v>1434</v>
      </c>
      <c r="J579" s="2">
        <v>45259</v>
      </c>
      <c r="K579" t="s">
        <v>2</v>
      </c>
      <c r="L579" t="s">
        <v>1710</v>
      </c>
      <c r="M579" t="s">
        <v>1709</v>
      </c>
      <c r="N579" s="1"/>
      <c r="O579" t="s">
        <v>476</v>
      </c>
      <c r="P579" s="3">
        <f>0.84*0.65</f>
        <v>0.54600000000000004</v>
      </c>
      <c r="Q579" s="3" t="s">
        <v>1636</v>
      </c>
      <c r="R579" t="s">
        <v>25</v>
      </c>
      <c r="S579" t="s">
        <v>1090</v>
      </c>
      <c r="T579" t="s">
        <v>395</v>
      </c>
      <c r="U579" s="1">
        <v>0.25</v>
      </c>
      <c r="V579" t="s">
        <v>394</v>
      </c>
    </row>
    <row r="580" spans="1:22" x14ac:dyDescent="0.3">
      <c r="A580" t="s">
        <v>382</v>
      </c>
      <c r="B580" t="str">
        <f ca="1">OFFSET(Industries!C$1,MATCH(Table1[[#This Row],[Ticker]],Industries!$A$2:$A$150,0),0)</f>
        <v>Information Technology</v>
      </c>
      <c r="C580" t="str">
        <f ca="1">OFFSET(Industries!D$1,MATCH(Table1[[#This Row],[Ticker]],Industries!$A$2:$A$150,0),0)</f>
        <v>Semiconductors</v>
      </c>
      <c r="D580" t="str">
        <f ca="1">OFFSET(Industries!E$1,MATCH(Table1[[#This Row],[Ticker]],Industries!$A$2:$A$150,0),0)</f>
        <v>Semiconductors</v>
      </c>
      <c r="E580" t="s">
        <v>34</v>
      </c>
      <c r="F580" t="str">
        <f ca="1">OFFSET(Industries!B$1,MATCH(Table1[[#This Row],[Ticker]],Industries!$A$2:$A$140,0),0)</f>
        <v>Mega-Cap</v>
      </c>
      <c r="G580" t="str">
        <f ca="1">OFFSET(Industries!F$1,MATCH(Table1[[#This Row],[Ticker]],Industries!$A$2:$A$140,0),0)</f>
        <v>BBB-</v>
      </c>
      <c r="H580" t="s">
        <v>1434</v>
      </c>
      <c r="I580" t="s">
        <v>1434</v>
      </c>
      <c r="J580" s="2">
        <v>45259</v>
      </c>
      <c r="K580" t="s">
        <v>2</v>
      </c>
      <c r="L580" t="s">
        <v>1710</v>
      </c>
      <c r="M580" t="s">
        <v>1709</v>
      </c>
      <c r="N580" s="1"/>
      <c r="O580" t="s">
        <v>476</v>
      </c>
      <c r="P580" s="3">
        <f>0.84*0.65</f>
        <v>0.54600000000000004</v>
      </c>
      <c r="Q580" s="3"/>
      <c r="R580" t="s">
        <v>28</v>
      </c>
      <c r="S580" t="s">
        <v>1125</v>
      </c>
      <c r="T580" t="s">
        <v>396</v>
      </c>
      <c r="V580" t="s">
        <v>398</v>
      </c>
    </row>
    <row r="581" spans="1:22" x14ac:dyDescent="0.3">
      <c r="A581" t="s">
        <v>382</v>
      </c>
      <c r="B581" t="str">
        <f ca="1">OFFSET(Industries!C$1,MATCH(Table1[[#This Row],[Ticker]],Industries!$A$2:$A$150,0),0)</f>
        <v>Information Technology</v>
      </c>
      <c r="C581" t="str">
        <f ca="1">OFFSET(Industries!D$1,MATCH(Table1[[#This Row],[Ticker]],Industries!$A$2:$A$150,0),0)</f>
        <v>Semiconductors</v>
      </c>
      <c r="D581" t="str">
        <f ca="1">OFFSET(Industries!E$1,MATCH(Table1[[#This Row],[Ticker]],Industries!$A$2:$A$150,0),0)</f>
        <v>Semiconductors</v>
      </c>
      <c r="E581" t="s">
        <v>34</v>
      </c>
      <c r="F581" t="str">
        <f ca="1">OFFSET(Industries!B$1,MATCH(Table1[[#This Row],[Ticker]],Industries!$A$2:$A$140,0),0)</f>
        <v>Mega-Cap</v>
      </c>
      <c r="G581" t="str">
        <f ca="1">OFFSET(Industries!F$1,MATCH(Table1[[#This Row],[Ticker]],Industries!$A$2:$A$140,0),0)</f>
        <v>BBB-</v>
      </c>
      <c r="H581" t="s">
        <v>1434</v>
      </c>
      <c r="I581" t="s">
        <v>1434</v>
      </c>
      <c r="J581" s="2">
        <v>45259</v>
      </c>
      <c r="K581" t="s">
        <v>2</v>
      </c>
      <c r="L581" t="s">
        <v>1710</v>
      </c>
      <c r="M581" t="s">
        <v>1709</v>
      </c>
      <c r="N581" s="1"/>
      <c r="O581" t="s">
        <v>476</v>
      </c>
      <c r="P581" s="3">
        <f>0.84*0.65</f>
        <v>0.54600000000000004</v>
      </c>
      <c r="Q581" s="3"/>
      <c r="R581" t="s">
        <v>28</v>
      </c>
      <c r="S581" t="s">
        <v>1126</v>
      </c>
      <c r="T581" t="s">
        <v>397</v>
      </c>
      <c r="V581" t="s">
        <v>398</v>
      </c>
    </row>
    <row r="582" spans="1:22" x14ac:dyDescent="0.3">
      <c r="A582" t="s">
        <v>382</v>
      </c>
      <c r="B582" t="str">
        <f ca="1">OFFSET(Industries!C$1,MATCH(Table1[[#This Row],[Ticker]],Industries!$A$2:$A$150,0),0)</f>
        <v>Information Technology</v>
      </c>
      <c r="C582" t="str">
        <f ca="1">OFFSET(Industries!D$1,MATCH(Table1[[#This Row],[Ticker]],Industries!$A$2:$A$150,0),0)</f>
        <v>Semiconductors</v>
      </c>
      <c r="D582" t="str">
        <f ca="1">OFFSET(Industries!E$1,MATCH(Table1[[#This Row],[Ticker]],Industries!$A$2:$A$150,0),0)</f>
        <v>Semiconductors</v>
      </c>
      <c r="E582" t="s">
        <v>34</v>
      </c>
      <c r="F582" t="str">
        <f ca="1">OFFSET(Industries!B$1,MATCH(Table1[[#This Row],[Ticker]],Industries!$A$2:$A$140,0),0)</f>
        <v>Mega-Cap</v>
      </c>
      <c r="G582" t="str">
        <f ca="1">OFFSET(Industries!F$1,MATCH(Table1[[#This Row],[Ticker]],Industries!$A$2:$A$140,0),0)</f>
        <v>BBB-</v>
      </c>
      <c r="H582" t="s">
        <v>1434</v>
      </c>
      <c r="I582" t="s">
        <v>1434</v>
      </c>
      <c r="J582" s="2">
        <v>45259</v>
      </c>
      <c r="K582" t="s">
        <v>2</v>
      </c>
      <c r="L582" t="s">
        <v>1710</v>
      </c>
      <c r="M582" t="s">
        <v>1711</v>
      </c>
      <c r="N582" s="1">
        <f>Table1[[#This Row],[Consideration Weight]]</f>
        <v>0.29399999999999998</v>
      </c>
      <c r="O582" t="s">
        <v>194</v>
      </c>
      <c r="P582" s="3">
        <f>0.84*0.35</f>
        <v>0.29399999999999998</v>
      </c>
      <c r="Q582" s="3"/>
    </row>
    <row r="583" spans="1:22" x14ac:dyDescent="0.3">
      <c r="A583" t="s">
        <v>382</v>
      </c>
      <c r="B583" t="str">
        <f ca="1">OFFSET(Industries!C$1,MATCH(Table1[[#This Row],[Ticker]],Industries!$A$2:$A$150,0),0)</f>
        <v>Information Technology</v>
      </c>
      <c r="C583" t="str">
        <f ca="1">OFFSET(Industries!D$1,MATCH(Table1[[#This Row],[Ticker]],Industries!$A$2:$A$150,0),0)</f>
        <v>Semiconductors</v>
      </c>
      <c r="D583" t="str">
        <f ca="1">OFFSET(Industries!E$1,MATCH(Table1[[#This Row],[Ticker]],Industries!$A$2:$A$150,0),0)</f>
        <v>Semiconductors</v>
      </c>
      <c r="E583" t="s">
        <v>34</v>
      </c>
      <c r="F583" t="str">
        <f ca="1">OFFSET(Industries!B$1,MATCH(Table1[[#This Row],[Ticker]],Industries!$A$2:$A$140,0),0)</f>
        <v>Mega-Cap</v>
      </c>
      <c r="G583" t="str">
        <f ca="1">OFFSET(Industries!F$1,MATCH(Table1[[#This Row],[Ticker]],Industries!$A$2:$A$140,0),0)</f>
        <v>BBB-</v>
      </c>
      <c r="H583" t="s">
        <v>1434</v>
      </c>
      <c r="I583" t="s">
        <v>1434</v>
      </c>
      <c r="J583" s="2">
        <v>45259</v>
      </c>
      <c r="K583" t="s">
        <v>21</v>
      </c>
      <c r="L583" t="s">
        <v>3</v>
      </c>
      <c r="M583" t="s">
        <v>1711</v>
      </c>
      <c r="N583" s="1">
        <f>Table1[[#This Row],[Consideration Weight]]</f>
        <v>0.08</v>
      </c>
      <c r="O583" t="s">
        <v>3</v>
      </c>
      <c r="P583" s="3">
        <v>0.08</v>
      </c>
      <c r="Q583" s="3"/>
    </row>
    <row r="584" spans="1:22" x14ac:dyDescent="0.3">
      <c r="A584" t="s">
        <v>382</v>
      </c>
      <c r="B584" t="str">
        <f ca="1">OFFSET(Industries!C$1,MATCH(Table1[[#This Row],[Ticker]],Industries!$A$2:$A$150,0),0)</f>
        <v>Information Technology</v>
      </c>
      <c r="C584" t="str">
        <f ca="1">OFFSET(Industries!D$1,MATCH(Table1[[#This Row],[Ticker]],Industries!$A$2:$A$150,0),0)</f>
        <v>Semiconductors</v>
      </c>
      <c r="D584" t="str">
        <f ca="1">OFFSET(Industries!E$1,MATCH(Table1[[#This Row],[Ticker]],Industries!$A$2:$A$150,0),0)</f>
        <v>Semiconductors</v>
      </c>
      <c r="E584" t="s">
        <v>34</v>
      </c>
      <c r="F584" t="str">
        <f ca="1">OFFSET(Industries!B$1,MATCH(Table1[[#This Row],[Ticker]],Industries!$A$2:$A$140,0),0)</f>
        <v>Mega-Cap</v>
      </c>
      <c r="G584" t="str">
        <f ca="1">OFFSET(Industries!F$1,MATCH(Table1[[#This Row],[Ticker]],Industries!$A$2:$A$140,0),0)</f>
        <v>BBB-</v>
      </c>
      <c r="H584" t="s">
        <v>1434</v>
      </c>
      <c r="I584" t="s">
        <v>1434</v>
      </c>
      <c r="J584" s="2">
        <v>45259</v>
      </c>
      <c r="K584" t="s">
        <v>21</v>
      </c>
      <c r="L584" t="s">
        <v>1708</v>
      </c>
      <c r="M584" t="s">
        <v>1709</v>
      </c>
      <c r="N584" s="1">
        <f>Table1[[#This Row],[Consideration Weight]]</f>
        <v>0.09</v>
      </c>
      <c r="O584" t="s">
        <v>4</v>
      </c>
      <c r="P584" s="3">
        <v>0.09</v>
      </c>
      <c r="Q584" s="3" t="s">
        <v>1636</v>
      </c>
      <c r="R584" t="s">
        <v>24</v>
      </c>
      <c r="S584" t="s">
        <v>1098</v>
      </c>
      <c r="T584" t="s">
        <v>107</v>
      </c>
      <c r="U584" s="1">
        <v>0.25</v>
      </c>
    </row>
    <row r="585" spans="1:22" x14ac:dyDescent="0.3">
      <c r="A585" t="s">
        <v>382</v>
      </c>
      <c r="B585" t="str">
        <f ca="1">OFFSET(Industries!C$1,MATCH(Table1[[#This Row],[Ticker]],Industries!$A$2:$A$150,0),0)</f>
        <v>Information Technology</v>
      </c>
      <c r="C585" t="str">
        <f ca="1">OFFSET(Industries!D$1,MATCH(Table1[[#This Row],[Ticker]],Industries!$A$2:$A$150,0),0)</f>
        <v>Semiconductors</v>
      </c>
      <c r="D585" t="str">
        <f ca="1">OFFSET(Industries!E$1,MATCH(Table1[[#This Row],[Ticker]],Industries!$A$2:$A$150,0),0)</f>
        <v>Semiconductors</v>
      </c>
      <c r="E585" t="s">
        <v>34</v>
      </c>
      <c r="F585" t="str">
        <f ca="1">OFFSET(Industries!B$1,MATCH(Table1[[#This Row],[Ticker]],Industries!$A$2:$A$140,0),0)</f>
        <v>Mega-Cap</v>
      </c>
      <c r="G585" t="str">
        <f ca="1">OFFSET(Industries!F$1,MATCH(Table1[[#This Row],[Ticker]],Industries!$A$2:$A$140,0),0)</f>
        <v>BBB-</v>
      </c>
      <c r="H585" t="s">
        <v>1434</v>
      </c>
      <c r="I585" t="s">
        <v>1434</v>
      </c>
      <c r="J585" s="2">
        <v>45259</v>
      </c>
      <c r="K585" t="s">
        <v>21</v>
      </c>
      <c r="L585" t="s">
        <v>1708</v>
      </c>
      <c r="M585" t="s">
        <v>1709</v>
      </c>
      <c r="N585" s="1"/>
      <c r="O585" t="s">
        <v>4</v>
      </c>
      <c r="P585" s="3">
        <v>0.09</v>
      </c>
      <c r="Q585" s="3" t="s">
        <v>1636</v>
      </c>
      <c r="R585" t="s">
        <v>24</v>
      </c>
      <c r="S585" t="s">
        <v>509</v>
      </c>
      <c r="T585" t="s">
        <v>38</v>
      </c>
      <c r="U585" s="1">
        <v>0.25</v>
      </c>
    </row>
    <row r="586" spans="1:22" x14ac:dyDescent="0.3">
      <c r="A586" t="s">
        <v>382</v>
      </c>
      <c r="B586" t="str">
        <f ca="1">OFFSET(Industries!C$1,MATCH(Table1[[#This Row],[Ticker]],Industries!$A$2:$A$150,0),0)</f>
        <v>Information Technology</v>
      </c>
      <c r="C586" t="str">
        <f ca="1">OFFSET(Industries!D$1,MATCH(Table1[[#This Row],[Ticker]],Industries!$A$2:$A$150,0),0)</f>
        <v>Semiconductors</v>
      </c>
      <c r="D586" t="str">
        <f ca="1">OFFSET(Industries!E$1,MATCH(Table1[[#This Row],[Ticker]],Industries!$A$2:$A$150,0),0)</f>
        <v>Semiconductors</v>
      </c>
      <c r="E586" t="s">
        <v>34</v>
      </c>
      <c r="F586" t="str">
        <f ca="1">OFFSET(Industries!B$1,MATCH(Table1[[#This Row],[Ticker]],Industries!$A$2:$A$140,0),0)</f>
        <v>Mega-Cap</v>
      </c>
      <c r="G586" t="str">
        <f ca="1">OFFSET(Industries!F$1,MATCH(Table1[[#This Row],[Ticker]],Industries!$A$2:$A$140,0),0)</f>
        <v>BBB-</v>
      </c>
      <c r="H586" t="s">
        <v>1434</v>
      </c>
      <c r="I586" t="s">
        <v>1434</v>
      </c>
      <c r="J586" s="2">
        <v>45259</v>
      </c>
      <c r="K586" t="s">
        <v>21</v>
      </c>
      <c r="L586" t="s">
        <v>1708</v>
      </c>
      <c r="M586" t="s">
        <v>1709</v>
      </c>
      <c r="N586" s="1"/>
      <c r="O586" t="s">
        <v>4</v>
      </c>
      <c r="P586" s="3">
        <v>0.09</v>
      </c>
      <c r="Q586" s="3" t="s">
        <v>1637</v>
      </c>
      <c r="R586" t="s">
        <v>25</v>
      </c>
      <c r="S586" t="s">
        <v>1086</v>
      </c>
      <c r="T586" t="s">
        <v>383</v>
      </c>
      <c r="U586" s="1">
        <v>0.1</v>
      </c>
    </row>
    <row r="587" spans="1:22" x14ac:dyDescent="0.3">
      <c r="A587" t="s">
        <v>382</v>
      </c>
      <c r="B587" t="str">
        <f ca="1">OFFSET(Industries!C$1,MATCH(Table1[[#This Row],[Ticker]],Industries!$A$2:$A$150,0),0)</f>
        <v>Information Technology</v>
      </c>
      <c r="C587" t="str">
        <f ca="1">OFFSET(Industries!D$1,MATCH(Table1[[#This Row],[Ticker]],Industries!$A$2:$A$150,0),0)</f>
        <v>Semiconductors</v>
      </c>
      <c r="D587" t="str">
        <f ca="1">OFFSET(Industries!E$1,MATCH(Table1[[#This Row],[Ticker]],Industries!$A$2:$A$150,0),0)</f>
        <v>Semiconductors</v>
      </c>
      <c r="E587" t="s">
        <v>34</v>
      </c>
      <c r="F587" t="str">
        <f ca="1">OFFSET(Industries!B$1,MATCH(Table1[[#This Row],[Ticker]],Industries!$A$2:$A$140,0),0)</f>
        <v>Mega-Cap</v>
      </c>
      <c r="G587" t="str">
        <f ca="1">OFFSET(Industries!F$1,MATCH(Table1[[#This Row],[Ticker]],Industries!$A$2:$A$140,0),0)</f>
        <v>BBB-</v>
      </c>
      <c r="H587" t="s">
        <v>1434</v>
      </c>
      <c r="I587" t="s">
        <v>1434</v>
      </c>
      <c r="J587" s="2">
        <v>45259</v>
      </c>
      <c r="K587" t="s">
        <v>21</v>
      </c>
      <c r="L587" t="s">
        <v>1708</v>
      </c>
      <c r="M587" t="s">
        <v>1709</v>
      </c>
      <c r="N587" s="1"/>
      <c r="O587" t="s">
        <v>4</v>
      </c>
      <c r="P587" s="3">
        <v>0.09</v>
      </c>
      <c r="Q587" s="3" t="s">
        <v>1637</v>
      </c>
      <c r="R587" t="s">
        <v>24</v>
      </c>
      <c r="S587" t="s">
        <v>1086</v>
      </c>
      <c r="T587" t="s">
        <v>385</v>
      </c>
      <c r="U587" s="1">
        <v>0.1</v>
      </c>
    </row>
    <row r="588" spans="1:22" x14ac:dyDescent="0.3">
      <c r="A588" t="s">
        <v>382</v>
      </c>
      <c r="B588" t="str">
        <f ca="1">OFFSET(Industries!C$1,MATCH(Table1[[#This Row],[Ticker]],Industries!$A$2:$A$150,0),0)</f>
        <v>Information Technology</v>
      </c>
      <c r="C588" t="str">
        <f ca="1">OFFSET(Industries!D$1,MATCH(Table1[[#This Row],[Ticker]],Industries!$A$2:$A$150,0),0)</f>
        <v>Semiconductors</v>
      </c>
      <c r="D588" t="str">
        <f ca="1">OFFSET(Industries!E$1,MATCH(Table1[[#This Row],[Ticker]],Industries!$A$2:$A$150,0),0)</f>
        <v>Semiconductors</v>
      </c>
      <c r="E588" t="s">
        <v>34</v>
      </c>
      <c r="F588" t="str">
        <f ca="1">OFFSET(Industries!B$1,MATCH(Table1[[#This Row],[Ticker]],Industries!$A$2:$A$140,0),0)</f>
        <v>Mega-Cap</v>
      </c>
      <c r="G588" t="str">
        <f ca="1">OFFSET(Industries!F$1,MATCH(Table1[[#This Row],[Ticker]],Industries!$A$2:$A$140,0),0)</f>
        <v>BBB-</v>
      </c>
      <c r="H588" t="s">
        <v>1434</v>
      </c>
      <c r="I588" t="s">
        <v>1434</v>
      </c>
      <c r="J588" s="2">
        <v>45259</v>
      </c>
      <c r="K588" t="s">
        <v>21</v>
      </c>
      <c r="L588" t="s">
        <v>1708</v>
      </c>
      <c r="M588" t="s">
        <v>1709</v>
      </c>
      <c r="N588" s="1"/>
      <c r="O588" t="s">
        <v>4</v>
      </c>
      <c r="P588" s="3">
        <v>0.09</v>
      </c>
      <c r="Q588" s="3" t="s">
        <v>1637</v>
      </c>
      <c r="R588" t="s">
        <v>25</v>
      </c>
      <c r="S588" t="s">
        <v>1130</v>
      </c>
      <c r="T588" t="s">
        <v>386</v>
      </c>
      <c r="U588" s="1">
        <v>0.1</v>
      </c>
    </row>
    <row r="589" spans="1:22" x14ac:dyDescent="0.3">
      <c r="A589" t="s">
        <v>382</v>
      </c>
      <c r="B589" t="str">
        <f ca="1">OFFSET(Industries!C$1,MATCH(Table1[[#This Row],[Ticker]],Industries!$A$2:$A$150,0),0)</f>
        <v>Information Technology</v>
      </c>
      <c r="C589" t="str">
        <f ca="1">OFFSET(Industries!D$1,MATCH(Table1[[#This Row],[Ticker]],Industries!$A$2:$A$150,0),0)</f>
        <v>Semiconductors</v>
      </c>
      <c r="D589" t="str">
        <f ca="1">OFFSET(Industries!E$1,MATCH(Table1[[#This Row],[Ticker]],Industries!$A$2:$A$150,0),0)</f>
        <v>Semiconductors</v>
      </c>
      <c r="E589" t="s">
        <v>34</v>
      </c>
      <c r="F589" t="str">
        <f ca="1">OFFSET(Industries!B$1,MATCH(Table1[[#This Row],[Ticker]],Industries!$A$2:$A$140,0),0)</f>
        <v>Mega-Cap</v>
      </c>
      <c r="G589" t="str">
        <f ca="1">OFFSET(Industries!F$1,MATCH(Table1[[#This Row],[Ticker]],Industries!$A$2:$A$140,0),0)</f>
        <v>BBB-</v>
      </c>
      <c r="H589" t="s">
        <v>1434</v>
      </c>
      <c r="I589" t="s">
        <v>1434</v>
      </c>
      <c r="J589" s="2">
        <v>45259</v>
      </c>
      <c r="K589" t="s">
        <v>21</v>
      </c>
      <c r="L589" t="s">
        <v>1708</v>
      </c>
      <c r="M589" t="s">
        <v>1709</v>
      </c>
      <c r="N589" s="1"/>
      <c r="O589" t="s">
        <v>4</v>
      </c>
      <c r="P589" s="3">
        <v>0.09</v>
      </c>
      <c r="Q589" s="3" t="s">
        <v>1637</v>
      </c>
      <c r="R589" t="s">
        <v>25</v>
      </c>
      <c r="S589" t="s">
        <v>1086</v>
      </c>
      <c r="T589" t="s">
        <v>388</v>
      </c>
      <c r="U589" s="1">
        <v>0.1</v>
      </c>
    </row>
    <row r="590" spans="1:22" x14ac:dyDescent="0.3">
      <c r="A590" t="s">
        <v>382</v>
      </c>
      <c r="B590" t="str">
        <f ca="1">OFFSET(Industries!C$1,MATCH(Table1[[#This Row],[Ticker]],Industries!$A$2:$A$150,0),0)</f>
        <v>Information Technology</v>
      </c>
      <c r="C590" t="str">
        <f ca="1">OFFSET(Industries!D$1,MATCH(Table1[[#This Row],[Ticker]],Industries!$A$2:$A$150,0),0)</f>
        <v>Semiconductors</v>
      </c>
      <c r="D590" t="str">
        <f ca="1">OFFSET(Industries!E$1,MATCH(Table1[[#This Row],[Ticker]],Industries!$A$2:$A$150,0),0)</f>
        <v>Semiconductors</v>
      </c>
      <c r="E590" t="s">
        <v>34</v>
      </c>
      <c r="F590" t="str">
        <f ca="1">OFFSET(Industries!B$1,MATCH(Table1[[#This Row],[Ticker]],Industries!$A$2:$A$140,0),0)</f>
        <v>Mega-Cap</v>
      </c>
      <c r="G590" t="str">
        <f ca="1">OFFSET(Industries!F$1,MATCH(Table1[[#This Row],[Ticker]],Industries!$A$2:$A$140,0),0)</f>
        <v>BBB-</v>
      </c>
      <c r="H590" t="s">
        <v>1434</v>
      </c>
      <c r="I590" t="s">
        <v>1434</v>
      </c>
      <c r="J590" s="2">
        <v>45259</v>
      </c>
      <c r="K590" t="s">
        <v>21</v>
      </c>
      <c r="L590" t="s">
        <v>1708</v>
      </c>
      <c r="M590" t="s">
        <v>1709</v>
      </c>
      <c r="N590" s="1"/>
      <c r="O590" t="s">
        <v>4</v>
      </c>
      <c r="P590" s="3">
        <v>0.09</v>
      </c>
      <c r="Q590" s="3" t="s">
        <v>1637</v>
      </c>
      <c r="R590" t="s">
        <v>26</v>
      </c>
      <c r="S590" t="s">
        <v>26</v>
      </c>
      <c r="T590" t="s">
        <v>26</v>
      </c>
      <c r="U590" s="1">
        <v>0.1</v>
      </c>
    </row>
    <row r="591" spans="1:22" x14ac:dyDescent="0.3">
      <c r="A591" t="s">
        <v>382</v>
      </c>
      <c r="B591" t="str">
        <f ca="1">OFFSET(Industries!C$1,MATCH(Table1[[#This Row],[Ticker]],Industries!$A$2:$A$150,0),0)</f>
        <v>Information Technology</v>
      </c>
      <c r="C591" t="str">
        <f ca="1">OFFSET(Industries!D$1,MATCH(Table1[[#This Row],[Ticker]],Industries!$A$2:$A$150,0),0)</f>
        <v>Semiconductors</v>
      </c>
      <c r="D591" t="str">
        <f ca="1">OFFSET(Industries!E$1,MATCH(Table1[[#This Row],[Ticker]],Industries!$A$2:$A$150,0),0)</f>
        <v>Semiconductors</v>
      </c>
      <c r="E591" t="s">
        <v>34</v>
      </c>
      <c r="F591" t="str">
        <f ca="1">OFFSET(Industries!B$1,MATCH(Table1[[#This Row],[Ticker]],Industries!$A$2:$A$140,0),0)</f>
        <v>Mega-Cap</v>
      </c>
      <c r="G591" t="str">
        <f ca="1">OFFSET(Industries!F$1,MATCH(Table1[[#This Row],[Ticker]],Industries!$A$2:$A$140,0),0)</f>
        <v>BBB-</v>
      </c>
      <c r="H591" t="s">
        <v>1434</v>
      </c>
      <c r="I591" t="s">
        <v>1434</v>
      </c>
      <c r="J591" s="2">
        <v>45259</v>
      </c>
      <c r="K591" t="s">
        <v>21</v>
      </c>
      <c r="L591" t="s">
        <v>1708</v>
      </c>
      <c r="M591" t="s">
        <v>1709</v>
      </c>
      <c r="N591" s="1"/>
      <c r="O591" t="s">
        <v>4</v>
      </c>
      <c r="P591" s="3">
        <v>0.09</v>
      </c>
      <c r="Q591" s="3"/>
      <c r="R591" t="s">
        <v>28</v>
      </c>
      <c r="S591" t="s">
        <v>1087</v>
      </c>
      <c r="T591" t="s">
        <v>40</v>
      </c>
    </row>
    <row r="592" spans="1:22" x14ac:dyDescent="0.3">
      <c r="A592" t="s">
        <v>382</v>
      </c>
      <c r="B592" t="str">
        <f ca="1">OFFSET(Industries!C$1,MATCH(Table1[[#This Row],[Ticker]],Industries!$A$2:$A$150,0),0)</f>
        <v>Information Technology</v>
      </c>
      <c r="C592" t="str">
        <f ca="1">OFFSET(Industries!D$1,MATCH(Table1[[#This Row],[Ticker]],Industries!$A$2:$A$150,0),0)</f>
        <v>Semiconductors</v>
      </c>
      <c r="D592" t="str">
        <f ca="1">OFFSET(Industries!E$1,MATCH(Table1[[#This Row],[Ticker]],Industries!$A$2:$A$150,0),0)</f>
        <v>Semiconductors</v>
      </c>
      <c r="E592" t="s">
        <v>34</v>
      </c>
      <c r="F592" t="str">
        <f ca="1">OFFSET(Industries!B$1,MATCH(Table1[[#This Row],[Ticker]],Industries!$A$2:$A$140,0),0)</f>
        <v>Mega-Cap</v>
      </c>
      <c r="G592" t="str">
        <f ca="1">OFFSET(Industries!F$1,MATCH(Table1[[#This Row],[Ticker]],Industries!$A$2:$A$140,0),0)</f>
        <v>BBB-</v>
      </c>
      <c r="H592" t="s">
        <v>1434</v>
      </c>
      <c r="I592" t="s">
        <v>1434</v>
      </c>
      <c r="J592" s="2">
        <v>45259</v>
      </c>
      <c r="K592" t="s">
        <v>21</v>
      </c>
      <c r="L592" t="s">
        <v>1708</v>
      </c>
      <c r="M592" t="s">
        <v>1709</v>
      </c>
      <c r="N592" s="1"/>
      <c r="O592" t="s">
        <v>4</v>
      </c>
      <c r="P592" s="3">
        <v>0.09</v>
      </c>
      <c r="Q592" s="3"/>
      <c r="R592" t="s">
        <v>28</v>
      </c>
      <c r="S592" t="s">
        <v>1123</v>
      </c>
      <c r="T592" t="s">
        <v>107</v>
      </c>
    </row>
    <row r="593" spans="1:22" x14ac:dyDescent="0.3">
      <c r="A593" t="s">
        <v>382</v>
      </c>
      <c r="B593" t="str">
        <f ca="1">OFFSET(Industries!C$1,MATCH(Table1[[#This Row],[Ticker]],Industries!$A$2:$A$150,0),0)</f>
        <v>Information Technology</v>
      </c>
      <c r="C593" t="str">
        <f ca="1">OFFSET(Industries!D$1,MATCH(Table1[[#This Row],[Ticker]],Industries!$A$2:$A$150,0),0)</f>
        <v>Semiconductors</v>
      </c>
      <c r="D593" t="str">
        <f ca="1">OFFSET(Industries!E$1,MATCH(Table1[[#This Row],[Ticker]],Industries!$A$2:$A$150,0),0)</f>
        <v>Semiconductors</v>
      </c>
      <c r="E593" t="s">
        <v>34</v>
      </c>
      <c r="F593" t="str">
        <f ca="1">OFFSET(Industries!B$1,MATCH(Table1[[#This Row],[Ticker]],Industries!$A$2:$A$140,0),0)</f>
        <v>Mega-Cap</v>
      </c>
      <c r="G593" t="str">
        <f ca="1">OFFSET(Industries!F$1,MATCH(Table1[[#This Row],[Ticker]],Industries!$A$2:$A$140,0),0)</f>
        <v>BBB-</v>
      </c>
      <c r="H593" t="s">
        <v>1434</v>
      </c>
      <c r="I593" t="s">
        <v>1434</v>
      </c>
      <c r="J593" s="2">
        <v>45259</v>
      </c>
      <c r="K593" t="s">
        <v>21</v>
      </c>
      <c r="L593" t="s">
        <v>1708</v>
      </c>
      <c r="M593" t="s">
        <v>1709</v>
      </c>
      <c r="N593" s="1"/>
      <c r="O593" t="s">
        <v>4</v>
      </c>
      <c r="P593" s="3">
        <v>0.09</v>
      </c>
      <c r="Q593" s="3"/>
      <c r="R593" t="s">
        <v>28</v>
      </c>
      <c r="S593" t="s">
        <v>1124</v>
      </c>
      <c r="T593" t="s">
        <v>38</v>
      </c>
    </row>
    <row r="594" spans="1:22" x14ac:dyDescent="0.3">
      <c r="A594" t="s">
        <v>382</v>
      </c>
      <c r="B594" t="str">
        <f ca="1">OFFSET(Industries!C$1,MATCH(Table1[[#This Row],[Ticker]],Industries!$A$2:$A$150,0),0)</f>
        <v>Information Technology</v>
      </c>
      <c r="C594" t="str">
        <f ca="1">OFFSET(Industries!D$1,MATCH(Table1[[#This Row],[Ticker]],Industries!$A$2:$A$150,0),0)</f>
        <v>Semiconductors</v>
      </c>
      <c r="D594" t="str">
        <f ca="1">OFFSET(Industries!E$1,MATCH(Table1[[#This Row],[Ticker]],Industries!$A$2:$A$150,0),0)</f>
        <v>Semiconductors</v>
      </c>
      <c r="E594" t="s">
        <v>34</v>
      </c>
      <c r="F594" t="str">
        <f ca="1">OFFSET(Industries!B$1,MATCH(Table1[[#This Row],[Ticker]],Industries!$A$2:$A$140,0),0)</f>
        <v>Mega-Cap</v>
      </c>
      <c r="G594" t="str">
        <f ca="1">OFFSET(Industries!F$1,MATCH(Table1[[#This Row],[Ticker]],Industries!$A$2:$A$140,0),0)</f>
        <v>BBB-</v>
      </c>
      <c r="H594" t="s">
        <v>1434</v>
      </c>
      <c r="I594" t="s">
        <v>1434</v>
      </c>
      <c r="J594" s="2">
        <v>45259</v>
      </c>
      <c r="K594" t="s">
        <v>21</v>
      </c>
      <c r="L594" t="s">
        <v>1710</v>
      </c>
      <c r="M594" t="s">
        <v>1709</v>
      </c>
      <c r="N594" s="1">
        <f>Table1[[#This Row],[Consideration Weight]]</f>
        <v>0.41499999999999998</v>
      </c>
      <c r="O594" t="s">
        <v>476</v>
      </c>
      <c r="P594" s="3">
        <f>0.83*0.5</f>
        <v>0.41499999999999998</v>
      </c>
      <c r="Q594" s="3" t="s">
        <v>1646</v>
      </c>
      <c r="R594" t="s">
        <v>35</v>
      </c>
      <c r="S594" t="s">
        <v>29</v>
      </c>
      <c r="T594" t="s">
        <v>391</v>
      </c>
      <c r="U594" s="1">
        <v>0.5</v>
      </c>
    </row>
    <row r="595" spans="1:22" x14ac:dyDescent="0.3">
      <c r="A595" t="s">
        <v>382</v>
      </c>
      <c r="B595" t="str">
        <f ca="1">OFFSET(Industries!C$1,MATCH(Table1[[#This Row],[Ticker]],Industries!$A$2:$A$150,0),0)</f>
        <v>Information Technology</v>
      </c>
      <c r="C595" t="str">
        <f ca="1">OFFSET(Industries!D$1,MATCH(Table1[[#This Row],[Ticker]],Industries!$A$2:$A$150,0),0)</f>
        <v>Semiconductors</v>
      </c>
      <c r="D595" t="str">
        <f ca="1">OFFSET(Industries!E$1,MATCH(Table1[[#This Row],[Ticker]],Industries!$A$2:$A$150,0),0)</f>
        <v>Semiconductors</v>
      </c>
      <c r="E595" t="s">
        <v>34</v>
      </c>
      <c r="F595" t="str">
        <f ca="1">OFFSET(Industries!B$1,MATCH(Table1[[#This Row],[Ticker]],Industries!$A$2:$A$140,0),0)</f>
        <v>Mega-Cap</v>
      </c>
      <c r="G595" t="str">
        <f ca="1">OFFSET(Industries!F$1,MATCH(Table1[[#This Row],[Ticker]],Industries!$A$2:$A$140,0),0)</f>
        <v>BBB-</v>
      </c>
      <c r="H595" t="s">
        <v>1434</v>
      </c>
      <c r="I595" t="s">
        <v>1434</v>
      </c>
      <c r="J595" s="2">
        <v>45259</v>
      </c>
      <c r="K595" t="s">
        <v>21</v>
      </c>
      <c r="L595" t="s">
        <v>1710</v>
      </c>
      <c r="M595" t="s">
        <v>1709</v>
      </c>
      <c r="N595" s="1"/>
      <c r="O595" t="s">
        <v>476</v>
      </c>
      <c r="P595" s="3">
        <f t="shared" ref="P595:P599" si="8">0.83*0.5</f>
        <v>0.41499999999999998</v>
      </c>
      <c r="Q595" s="3" t="s">
        <v>1636</v>
      </c>
      <c r="R595" t="s">
        <v>25</v>
      </c>
      <c r="S595" t="s">
        <v>1083</v>
      </c>
      <c r="T595" t="s">
        <v>393</v>
      </c>
      <c r="U595" s="1">
        <v>0.25</v>
      </c>
    </row>
    <row r="596" spans="1:22" x14ac:dyDescent="0.3">
      <c r="A596" t="s">
        <v>382</v>
      </c>
      <c r="B596" t="str">
        <f ca="1">OFFSET(Industries!C$1,MATCH(Table1[[#This Row],[Ticker]],Industries!$A$2:$A$150,0),0)</f>
        <v>Information Technology</v>
      </c>
      <c r="C596" t="str">
        <f ca="1">OFFSET(Industries!D$1,MATCH(Table1[[#This Row],[Ticker]],Industries!$A$2:$A$150,0),0)</f>
        <v>Semiconductors</v>
      </c>
      <c r="D596" t="str">
        <f ca="1">OFFSET(Industries!E$1,MATCH(Table1[[#This Row],[Ticker]],Industries!$A$2:$A$150,0),0)</f>
        <v>Semiconductors</v>
      </c>
      <c r="E596" t="s">
        <v>34</v>
      </c>
      <c r="F596" t="str">
        <f ca="1">OFFSET(Industries!B$1,MATCH(Table1[[#This Row],[Ticker]],Industries!$A$2:$A$140,0),0)</f>
        <v>Mega-Cap</v>
      </c>
      <c r="G596" t="str">
        <f ca="1">OFFSET(Industries!F$1,MATCH(Table1[[#This Row],[Ticker]],Industries!$A$2:$A$140,0),0)</f>
        <v>BBB-</v>
      </c>
      <c r="H596" t="s">
        <v>1434</v>
      </c>
      <c r="I596" t="s">
        <v>1434</v>
      </c>
      <c r="J596" s="2">
        <v>45259</v>
      </c>
      <c r="K596" t="s">
        <v>21</v>
      </c>
      <c r="L596" t="s">
        <v>1710</v>
      </c>
      <c r="M596" t="s">
        <v>1709</v>
      </c>
      <c r="N596" s="1"/>
      <c r="O596" t="s">
        <v>476</v>
      </c>
      <c r="P596" s="3">
        <f t="shared" si="8"/>
        <v>0.41499999999999998</v>
      </c>
      <c r="Q596" s="3" t="s">
        <v>1636</v>
      </c>
      <c r="R596" t="s">
        <v>25</v>
      </c>
      <c r="S596" t="s">
        <v>1090</v>
      </c>
      <c r="T596" t="s">
        <v>395</v>
      </c>
      <c r="U596" s="1">
        <v>0.25</v>
      </c>
    </row>
    <row r="597" spans="1:22" x14ac:dyDescent="0.3">
      <c r="A597" t="s">
        <v>382</v>
      </c>
      <c r="B597" t="str">
        <f ca="1">OFFSET(Industries!C$1,MATCH(Table1[[#This Row],[Ticker]],Industries!$A$2:$A$150,0),0)</f>
        <v>Information Technology</v>
      </c>
      <c r="C597" t="str">
        <f ca="1">OFFSET(Industries!D$1,MATCH(Table1[[#This Row],[Ticker]],Industries!$A$2:$A$150,0),0)</f>
        <v>Semiconductors</v>
      </c>
      <c r="D597" t="str">
        <f ca="1">OFFSET(Industries!E$1,MATCH(Table1[[#This Row],[Ticker]],Industries!$A$2:$A$150,0),0)</f>
        <v>Semiconductors</v>
      </c>
      <c r="E597" t="s">
        <v>34</v>
      </c>
      <c r="F597" t="str">
        <f ca="1">OFFSET(Industries!B$1,MATCH(Table1[[#This Row],[Ticker]],Industries!$A$2:$A$140,0),0)</f>
        <v>Mega-Cap</v>
      </c>
      <c r="G597" t="str">
        <f ca="1">OFFSET(Industries!F$1,MATCH(Table1[[#This Row],[Ticker]],Industries!$A$2:$A$140,0),0)</f>
        <v>BBB-</v>
      </c>
      <c r="H597" t="s">
        <v>1434</v>
      </c>
      <c r="I597" t="s">
        <v>1434</v>
      </c>
      <c r="J597" s="2">
        <v>45259</v>
      </c>
      <c r="K597" t="s">
        <v>21</v>
      </c>
      <c r="L597" t="s">
        <v>1710</v>
      </c>
      <c r="M597" t="s">
        <v>1709</v>
      </c>
      <c r="N597" s="1"/>
      <c r="O597" t="s">
        <v>476</v>
      </c>
      <c r="P597" s="3">
        <f t="shared" si="8"/>
        <v>0.41499999999999998</v>
      </c>
      <c r="Q597" s="3"/>
      <c r="R597" t="s">
        <v>28</v>
      </c>
      <c r="S597" t="s">
        <v>1125</v>
      </c>
      <c r="T597" t="s">
        <v>396</v>
      </c>
    </row>
    <row r="598" spans="1:22" x14ac:dyDescent="0.3">
      <c r="A598" t="s">
        <v>382</v>
      </c>
      <c r="B598" t="str">
        <f ca="1">OFFSET(Industries!C$1,MATCH(Table1[[#This Row],[Ticker]],Industries!$A$2:$A$150,0),0)</f>
        <v>Information Technology</v>
      </c>
      <c r="C598" t="str">
        <f ca="1">OFFSET(Industries!D$1,MATCH(Table1[[#This Row],[Ticker]],Industries!$A$2:$A$150,0),0)</f>
        <v>Semiconductors</v>
      </c>
      <c r="D598" t="str">
        <f ca="1">OFFSET(Industries!E$1,MATCH(Table1[[#This Row],[Ticker]],Industries!$A$2:$A$150,0),0)</f>
        <v>Semiconductors</v>
      </c>
      <c r="E598" t="s">
        <v>34</v>
      </c>
      <c r="F598" t="str">
        <f ca="1">OFFSET(Industries!B$1,MATCH(Table1[[#This Row],[Ticker]],Industries!$A$2:$A$140,0),0)</f>
        <v>Mega-Cap</v>
      </c>
      <c r="G598" t="str">
        <f ca="1">OFFSET(Industries!F$1,MATCH(Table1[[#This Row],[Ticker]],Industries!$A$2:$A$140,0),0)</f>
        <v>BBB-</v>
      </c>
      <c r="H598" t="s">
        <v>1434</v>
      </c>
      <c r="I598" t="s">
        <v>1434</v>
      </c>
      <c r="J598" s="2">
        <v>45259</v>
      </c>
      <c r="K598" t="s">
        <v>21</v>
      </c>
      <c r="L598" t="s">
        <v>1710</v>
      </c>
      <c r="M598" t="s">
        <v>1709</v>
      </c>
      <c r="N598" s="1"/>
      <c r="O598" t="s">
        <v>476</v>
      </c>
      <c r="P598" s="3">
        <f t="shared" si="8"/>
        <v>0.41499999999999998</v>
      </c>
      <c r="Q598" s="3"/>
      <c r="R598" t="s">
        <v>28</v>
      </c>
      <c r="S598" t="s">
        <v>1126</v>
      </c>
      <c r="T598" t="s">
        <v>397</v>
      </c>
    </row>
    <row r="599" spans="1:22" x14ac:dyDescent="0.3">
      <c r="A599" t="s">
        <v>382</v>
      </c>
      <c r="B599" t="str">
        <f ca="1">OFFSET(Industries!C$1,MATCH(Table1[[#This Row],[Ticker]],Industries!$A$2:$A$150,0),0)</f>
        <v>Information Technology</v>
      </c>
      <c r="C599" t="str">
        <f ca="1">OFFSET(Industries!D$1,MATCH(Table1[[#This Row],[Ticker]],Industries!$A$2:$A$150,0),0)</f>
        <v>Semiconductors</v>
      </c>
      <c r="D599" t="str">
        <f ca="1">OFFSET(Industries!E$1,MATCH(Table1[[#This Row],[Ticker]],Industries!$A$2:$A$150,0),0)</f>
        <v>Semiconductors</v>
      </c>
      <c r="E599" t="s">
        <v>34</v>
      </c>
      <c r="F599" t="str">
        <f ca="1">OFFSET(Industries!B$1,MATCH(Table1[[#This Row],[Ticker]],Industries!$A$2:$A$140,0),0)</f>
        <v>Mega-Cap</v>
      </c>
      <c r="G599" t="str">
        <f ca="1">OFFSET(Industries!F$1,MATCH(Table1[[#This Row],[Ticker]],Industries!$A$2:$A$140,0),0)</f>
        <v>BBB-</v>
      </c>
      <c r="H599" t="s">
        <v>1434</v>
      </c>
      <c r="I599" t="s">
        <v>1434</v>
      </c>
      <c r="J599" s="2">
        <v>45259</v>
      </c>
      <c r="K599" t="s">
        <v>21</v>
      </c>
      <c r="L599" t="s">
        <v>1710</v>
      </c>
      <c r="M599" t="s">
        <v>1711</v>
      </c>
      <c r="N599" s="1">
        <f>Table1[[#This Row],[Consideration Weight]]</f>
        <v>0.41499999999999998</v>
      </c>
      <c r="O599" t="s">
        <v>194</v>
      </c>
      <c r="P599" s="3">
        <f t="shared" si="8"/>
        <v>0.41499999999999998</v>
      </c>
      <c r="Q599" s="3"/>
    </row>
    <row r="600" spans="1:22" x14ac:dyDescent="0.3">
      <c r="A600" t="s">
        <v>400</v>
      </c>
      <c r="B600" t="str">
        <f ca="1">OFFSET(Industries!C$1,MATCH(Table1[[#This Row],[Ticker]],Industries!$A$2:$A$150,0),0)</f>
        <v>Financials</v>
      </c>
      <c r="C600" t="str">
        <f ca="1">OFFSET(Industries!D$1,MATCH(Table1[[#This Row],[Ticker]],Industries!$A$2:$A$150,0),0)</f>
        <v>Insurance</v>
      </c>
      <c r="D600" t="str">
        <f ca="1">OFFSET(Industries!E$1,MATCH(Table1[[#This Row],[Ticker]],Industries!$A$2:$A$150,0),0)</f>
        <v>Insurance</v>
      </c>
      <c r="E600" t="s">
        <v>401</v>
      </c>
      <c r="F600" t="str">
        <f ca="1">OFFSET(Industries!B$1,MATCH(Table1[[#This Row],[Ticker]],Industries!$A$2:$A$140,0),0)</f>
        <v>Mega-Cap</v>
      </c>
      <c r="G600" t="str">
        <f ca="1">OFFSET(Industries!F$1,MATCH(Table1[[#This Row],[Ticker]],Industries!$A$2:$A$140,0),0)</f>
        <v>A-</v>
      </c>
      <c r="H600" t="s">
        <v>1434</v>
      </c>
      <c r="I600" t="s">
        <v>1434</v>
      </c>
      <c r="J600" s="2">
        <v>45380</v>
      </c>
      <c r="K600" t="s">
        <v>2</v>
      </c>
      <c r="L600" t="s">
        <v>3</v>
      </c>
      <c r="M600" t="s">
        <v>1711</v>
      </c>
      <c r="N600" s="1">
        <f>Table1[[#This Row],[Consideration Weight]]</f>
        <v>0.08</v>
      </c>
      <c r="O600" t="s">
        <v>3</v>
      </c>
      <c r="P600" s="3">
        <v>0.08</v>
      </c>
      <c r="Q600" s="3"/>
    </row>
    <row r="601" spans="1:22" x14ac:dyDescent="0.3">
      <c r="A601" t="s">
        <v>400</v>
      </c>
      <c r="B601" t="str">
        <f ca="1">OFFSET(Industries!C$1,MATCH(Table1[[#This Row],[Ticker]],Industries!$A$2:$A$150,0),0)</f>
        <v>Financials</v>
      </c>
      <c r="C601" t="str">
        <f ca="1">OFFSET(Industries!D$1,MATCH(Table1[[#This Row],[Ticker]],Industries!$A$2:$A$150,0),0)</f>
        <v>Insurance</v>
      </c>
      <c r="D601" t="str">
        <f ca="1">OFFSET(Industries!E$1,MATCH(Table1[[#This Row],[Ticker]],Industries!$A$2:$A$150,0),0)</f>
        <v>Insurance</v>
      </c>
      <c r="E601" t="s">
        <v>401</v>
      </c>
      <c r="F601" t="str">
        <f ca="1">OFFSET(Industries!B$1,MATCH(Table1[[#This Row],[Ticker]],Industries!$A$2:$A$140,0),0)</f>
        <v>Mega-Cap</v>
      </c>
      <c r="G601" t="str">
        <f ca="1">OFFSET(Industries!F$1,MATCH(Table1[[#This Row],[Ticker]],Industries!$A$2:$A$140,0),0)</f>
        <v>A-</v>
      </c>
      <c r="H601" t="s">
        <v>1434</v>
      </c>
      <c r="I601" t="s">
        <v>1434</v>
      </c>
      <c r="J601" s="2">
        <v>45380</v>
      </c>
      <c r="K601" t="s">
        <v>2</v>
      </c>
      <c r="L601" t="s">
        <v>1708</v>
      </c>
      <c r="M601" t="s">
        <v>1709</v>
      </c>
      <c r="N601" s="1">
        <f>Table1[[#This Row],[Consideration Weight]]</f>
        <v>0.19</v>
      </c>
      <c r="O601" t="s">
        <v>4</v>
      </c>
      <c r="P601" s="3">
        <v>0.19</v>
      </c>
      <c r="Q601" s="3" t="s">
        <v>1636</v>
      </c>
      <c r="R601" t="s">
        <v>24</v>
      </c>
      <c r="S601" t="s">
        <v>90</v>
      </c>
      <c r="T601" t="s">
        <v>8</v>
      </c>
      <c r="U601" s="1">
        <v>0.8</v>
      </c>
      <c r="V601" t="s">
        <v>402</v>
      </c>
    </row>
    <row r="602" spans="1:22" x14ac:dyDescent="0.3">
      <c r="A602" t="s">
        <v>400</v>
      </c>
      <c r="B602" t="str">
        <f ca="1">OFFSET(Industries!C$1,MATCH(Table1[[#This Row],[Ticker]],Industries!$A$2:$A$150,0),0)</f>
        <v>Financials</v>
      </c>
      <c r="C602" t="str">
        <f ca="1">OFFSET(Industries!D$1,MATCH(Table1[[#This Row],[Ticker]],Industries!$A$2:$A$150,0),0)</f>
        <v>Insurance</v>
      </c>
      <c r="D602" t="str">
        <f ca="1">OFFSET(Industries!E$1,MATCH(Table1[[#This Row],[Ticker]],Industries!$A$2:$A$150,0),0)</f>
        <v>Insurance</v>
      </c>
      <c r="E602" t="s">
        <v>401</v>
      </c>
      <c r="F602" t="str">
        <f ca="1">OFFSET(Industries!B$1,MATCH(Table1[[#This Row],[Ticker]],Industries!$A$2:$A$140,0),0)</f>
        <v>Mega-Cap</v>
      </c>
      <c r="G602" t="str">
        <f ca="1">OFFSET(Industries!F$1,MATCH(Table1[[#This Row],[Ticker]],Industries!$A$2:$A$140,0),0)</f>
        <v>A-</v>
      </c>
      <c r="H602" t="s">
        <v>1434</v>
      </c>
      <c r="I602" t="s">
        <v>1434</v>
      </c>
      <c r="J602" s="2">
        <v>45380</v>
      </c>
      <c r="K602" t="s">
        <v>2</v>
      </c>
      <c r="L602" t="s">
        <v>1708</v>
      </c>
      <c r="M602" t="s">
        <v>1709</v>
      </c>
      <c r="N602" s="1"/>
      <c r="O602" t="s">
        <v>4</v>
      </c>
      <c r="P602" s="3">
        <v>0.19</v>
      </c>
      <c r="Q602" s="3" t="s">
        <v>1637</v>
      </c>
      <c r="R602" t="s">
        <v>332</v>
      </c>
      <c r="S602" t="s">
        <v>380</v>
      </c>
      <c r="T602" t="s">
        <v>380</v>
      </c>
      <c r="U602" s="1">
        <v>0.2</v>
      </c>
    </row>
    <row r="603" spans="1:22" x14ac:dyDescent="0.3">
      <c r="A603" t="s">
        <v>400</v>
      </c>
      <c r="B603" t="str">
        <f ca="1">OFFSET(Industries!C$1,MATCH(Table1[[#This Row],[Ticker]],Industries!$A$2:$A$150,0),0)</f>
        <v>Financials</v>
      </c>
      <c r="C603" t="str">
        <f ca="1">OFFSET(Industries!D$1,MATCH(Table1[[#This Row],[Ticker]],Industries!$A$2:$A$150,0),0)</f>
        <v>Insurance</v>
      </c>
      <c r="D603" t="str">
        <f ca="1">OFFSET(Industries!E$1,MATCH(Table1[[#This Row],[Ticker]],Industries!$A$2:$A$150,0),0)</f>
        <v>Insurance</v>
      </c>
      <c r="E603" t="s">
        <v>401</v>
      </c>
      <c r="F603" t="str">
        <f ca="1">OFFSET(Industries!B$1,MATCH(Table1[[#This Row],[Ticker]],Industries!$A$2:$A$140,0),0)</f>
        <v>Mega-Cap</v>
      </c>
      <c r="G603" t="str">
        <f ca="1">OFFSET(Industries!F$1,MATCH(Table1[[#This Row],[Ticker]],Industries!$A$2:$A$140,0),0)</f>
        <v>A-</v>
      </c>
      <c r="H603" t="s">
        <v>1434</v>
      </c>
      <c r="I603" t="s">
        <v>1434</v>
      </c>
      <c r="J603" s="2">
        <v>45380</v>
      </c>
      <c r="K603" t="s">
        <v>2</v>
      </c>
      <c r="L603" t="s">
        <v>1708</v>
      </c>
      <c r="M603" t="s">
        <v>1709</v>
      </c>
      <c r="N603" s="1"/>
      <c r="O603" t="s">
        <v>4</v>
      </c>
      <c r="P603" s="3">
        <v>0.19</v>
      </c>
      <c r="Q603" s="3"/>
      <c r="R603" t="s">
        <v>28</v>
      </c>
      <c r="S603" t="s">
        <v>1127</v>
      </c>
      <c r="T603" t="s">
        <v>403</v>
      </c>
      <c r="V603" t="s">
        <v>404</v>
      </c>
    </row>
    <row r="604" spans="1:22" x14ac:dyDescent="0.3">
      <c r="A604" t="s">
        <v>400</v>
      </c>
      <c r="B604" t="str">
        <f ca="1">OFFSET(Industries!C$1,MATCH(Table1[[#This Row],[Ticker]],Industries!$A$2:$A$150,0),0)</f>
        <v>Financials</v>
      </c>
      <c r="C604" t="str">
        <f ca="1">OFFSET(Industries!D$1,MATCH(Table1[[#This Row],[Ticker]],Industries!$A$2:$A$150,0),0)</f>
        <v>Insurance</v>
      </c>
      <c r="D604" t="str">
        <f ca="1">OFFSET(Industries!E$1,MATCH(Table1[[#This Row],[Ticker]],Industries!$A$2:$A$150,0),0)</f>
        <v>Insurance</v>
      </c>
      <c r="E604" t="s">
        <v>401</v>
      </c>
      <c r="F604" t="str">
        <f ca="1">OFFSET(Industries!B$1,MATCH(Table1[[#This Row],[Ticker]],Industries!$A$2:$A$140,0),0)</f>
        <v>Mega-Cap</v>
      </c>
      <c r="G604" t="str">
        <f ca="1">OFFSET(Industries!F$1,MATCH(Table1[[#This Row],[Ticker]],Industries!$A$2:$A$140,0),0)</f>
        <v>A-</v>
      </c>
      <c r="H604" t="s">
        <v>1434</v>
      </c>
      <c r="I604" t="s">
        <v>1434</v>
      </c>
      <c r="J604" s="2">
        <v>45380</v>
      </c>
      <c r="K604" t="s">
        <v>2</v>
      </c>
      <c r="L604" t="s">
        <v>1708</v>
      </c>
      <c r="M604" t="s">
        <v>1709</v>
      </c>
      <c r="N604" s="1"/>
      <c r="O604" t="s">
        <v>4</v>
      </c>
      <c r="P604" s="3">
        <v>0.19</v>
      </c>
      <c r="Q604" s="3"/>
      <c r="R604" t="s">
        <v>28</v>
      </c>
      <c r="S604" t="s">
        <v>1110</v>
      </c>
      <c r="T604" t="s">
        <v>172</v>
      </c>
      <c r="V604" t="s">
        <v>405</v>
      </c>
    </row>
    <row r="605" spans="1:22" x14ac:dyDescent="0.3">
      <c r="A605" t="s">
        <v>400</v>
      </c>
      <c r="B605" t="str">
        <f ca="1">OFFSET(Industries!C$1,MATCH(Table1[[#This Row],[Ticker]],Industries!$A$2:$A$150,0),0)</f>
        <v>Financials</v>
      </c>
      <c r="C605" t="str">
        <f ca="1">OFFSET(Industries!D$1,MATCH(Table1[[#This Row],[Ticker]],Industries!$A$2:$A$150,0),0)</f>
        <v>Insurance</v>
      </c>
      <c r="D605" t="str">
        <f ca="1">OFFSET(Industries!E$1,MATCH(Table1[[#This Row],[Ticker]],Industries!$A$2:$A$150,0),0)</f>
        <v>Insurance</v>
      </c>
      <c r="E605" t="s">
        <v>401</v>
      </c>
      <c r="F605" t="str">
        <f ca="1">OFFSET(Industries!B$1,MATCH(Table1[[#This Row],[Ticker]],Industries!$A$2:$A$140,0),0)</f>
        <v>Mega-Cap</v>
      </c>
      <c r="G605" t="str">
        <f ca="1">OFFSET(Industries!F$1,MATCH(Table1[[#This Row],[Ticker]],Industries!$A$2:$A$140,0),0)</f>
        <v>A-</v>
      </c>
      <c r="H605" t="s">
        <v>1434</v>
      </c>
      <c r="I605" t="s">
        <v>1434</v>
      </c>
      <c r="J605" s="2">
        <v>45380</v>
      </c>
      <c r="K605" t="s">
        <v>2</v>
      </c>
      <c r="L605" t="s">
        <v>1710</v>
      </c>
      <c r="M605" t="s">
        <v>1709</v>
      </c>
      <c r="N605" s="1">
        <f>Table1[[#This Row],[Consideration Weight]]</f>
        <v>0.36499999999999999</v>
      </c>
      <c r="O605" t="s">
        <v>476</v>
      </c>
      <c r="P605" s="3">
        <f>0.5*0.73</f>
        <v>0.36499999999999999</v>
      </c>
      <c r="Q605" s="3" t="s">
        <v>1636</v>
      </c>
      <c r="R605" t="s">
        <v>24</v>
      </c>
      <c r="S605" t="s">
        <v>1089</v>
      </c>
      <c r="T605" t="s">
        <v>406</v>
      </c>
      <c r="U605" s="1">
        <v>1</v>
      </c>
      <c r="V605" t="s">
        <v>231</v>
      </c>
    </row>
    <row r="606" spans="1:22" x14ac:dyDescent="0.3">
      <c r="A606" t="s">
        <v>400</v>
      </c>
      <c r="B606" t="str">
        <f ca="1">OFFSET(Industries!C$1,MATCH(Table1[[#This Row],[Ticker]],Industries!$A$2:$A$150,0),0)</f>
        <v>Financials</v>
      </c>
      <c r="C606" t="str">
        <f ca="1">OFFSET(Industries!D$1,MATCH(Table1[[#This Row],[Ticker]],Industries!$A$2:$A$150,0),0)</f>
        <v>Insurance</v>
      </c>
      <c r="D606" t="str">
        <f ca="1">OFFSET(Industries!E$1,MATCH(Table1[[#This Row],[Ticker]],Industries!$A$2:$A$150,0),0)</f>
        <v>Insurance</v>
      </c>
      <c r="E606" t="s">
        <v>401</v>
      </c>
      <c r="F606" t="str">
        <f ca="1">OFFSET(Industries!B$1,MATCH(Table1[[#This Row],[Ticker]],Industries!$A$2:$A$140,0),0)</f>
        <v>Mega-Cap</v>
      </c>
      <c r="G606" t="str">
        <f ca="1">OFFSET(Industries!F$1,MATCH(Table1[[#This Row],[Ticker]],Industries!$A$2:$A$140,0),0)</f>
        <v>A-</v>
      </c>
      <c r="H606" t="s">
        <v>1434</v>
      </c>
      <c r="I606" t="s">
        <v>1434</v>
      </c>
      <c r="J606" s="2">
        <v>45380</v>
      </c>
      <c r="K606" t="s">
        <v>2</v>
      </c>
      <c r="L606" t="s">
        <v>1710</v>
      </c>
      <c r="M606" t="s">
        <v>1709</v>
      </c>
      <c r="N606" s="1"/>
      <c r="O606" t="s">
        <v>476</v>
      </c>
      <c r="P606" s="3">
        <f>0.5*0.73</f>
        <v>0.36499999999999999</v>
      </c>
      <c r="Q606" s="3"/>
      <c r="R606" t="s">
        <v>28</v>
      </c>
      <c r="S606" t="s">
        <v>1085</v>
      </c>
      <c r="T606" t="s">
        <v>30</v>
      </c>
      <c r="V606" t="s">
        <v>407</v>
      </c>
    </row>
    <row r="607" spans="1:22" x14ac:dyDescent="0.3">
      <c r="A607" t="s">
        <v>400</v>
      </c>
      <c r="B607" t="str">
        <f ca="1">OFFSET(Industries!C$1,MATCH(Table1[[#This Row],[Ticker]],Industries!$A$2:$A$150,0),0)</f>
        <v>Financials</v>
      </c>
      <c r="C607" t="str">
        <f ca="1">OFFSET(Industries!D$1,MATCH(Table1[[#This Row],[Ticker]],Industries!$A$2:$A$150,0),0)</f>
        <v>Insurance</v>
      </c>
      <c r="D607" t="str">
        <f ca="1">OFFSET(Industries!E$1,MATCH(Table1[[#This Row],[Ticker]],Industries!$A$2:$A$150,0),0)</f>
        <v>Insurance</v>
      </c>
      <c r="E607" t="s">
        <v>401</v>
      </c>
      <c r="F607" t="str">
        <f ca="1">OFFSET(Industries!B$1,MATCH(Table1[[#This Row],[Ticker]],Industries!$A$2:$A$140,0),0)</f>
        <v>Mega-Cap</v>
      </c>
      <c r="G607" t="str">
        <f ca="1">OFFSET(Industries!F$1,MATCH(Table1[[#This Row],[Ticker]],Industries!$A$2:$A$140,0),0)</f>
        <v>A-</v>
      </c>
      <c r="H607" t="s">
        <v>1434</v>
      </c>
      <c r="I607" t="s">
        <v>1434</v>
      </c>
      <c r="J607" s="2">
        <v>45380</v>
      </c>
      <c r="K607" t="s">
        <v>2</v>
      </c>
      <c r="L607" t="s">
        <v>1710</v>
      </c>
      <c r="M607" t="s">
        <v>1709</v>
      </c>
      <c r="N607" s="1"/>
      <c r="O607" t="s">
        <v>476</v>
      </c>
      <c r="P607" s="3">
        <f>0.5*0.73</f>
        <v>0.36499999999999999</v>
      </c>
      <c r="Q607" s="3"/>
      <c r="R607" t="s">
        <v>28</v>
      </c>
      <c r="S607" t="s">
        <v>1095</v>
      </c>
      <c r="T607" t="s">
        <v>55</v>
      </c>
      <c r="V607" t="s">
        <v>408</v>
      </c>
    </row>
    <row r="608" spans="1:22" x14ac:dyDescent="0.3">
      <c r="A608" t="s">
        <v>400</v>
      </c>
      <c r="B608" t="str">
        <f ca="1">OFFSET(Industries!C$1,MATCH(Table1[[#This Row],[Ticker]],Industries!$A$2:$A$150,0),0)</f>
        <v>Financials</v>
      </c>
      <c r="C608" t="str">
        <f ca="1">OFFSET(Industries!D$1,MATCH(Table1[[#This Row],[Ticker]],Industries!$A$2:$A$150,0),0)</f>
        <v>Insurance</v>
      </c>
      <c r="D608" t="str">
        <f ca="1">OFFSET(Industries!E$1,MATCH(Table1[[#This Row],[Ticker]],Industries!$A$2:$A$150,0),0)</f>
        <v>Insurance</v>
      </c>
      <c r="E608" t="s">
        <v>401</v>
      </c>
      <c r="F608" t="str">
        <f ca="1">OFFSET(Industries!B$1,MATCH(Table1[[#This Row],[Ticker]],Industries!$A$2:$A$140,0),0)</f>
        <v>Mega-Cap</v>
      </c>
      <c r="G608" t="str">
        <f ca="1">OFFSET(Industries!F$1,MATCH(Table1[[#This Row],[Ticker]],Industries!$A$2:$A$140,0),0)</f>
        <v>A-</v>
      </c>
      <c r="H608" t="s">
        <v>1434</v>
      </c>
      <c r="I608" t="s">
        <v>1434</v>
      </c>
      <c r="J608" s="2">
        <v>45380</v>
      </c>
      <c r="K608" t="s">
        <v>2</v>
      </c>
      <c r="L608" t="s">
        <v>1710</v>
      </c>
      <c r="M608" t="s">
        <v>1711</v>
      </c>
      <c r="N608" s="1">
        <f>Table1[[#This Row],[Consideration Weight]]</f>
        <v>0.36499999999999999</v>
      </c>
      <c r="O608" t="s">
        <v>87</v>
      </c>
      <c r="P608" s="1">
        <f>P607</f>
        <v>0.36499999999999999</v>
      </c>
    </row>
    <row r="609" spans="1:22" x14ac:dyDescent="0.3">
      <c r="A609" t="s">
        <v>400</v>
      </c>
      <c r="B609" t="str">
        <f ca="1">OFFSET(Industries!C$1,MATCH(Table1[[#This Row],[Ticker]],Industries!$A$2:$A$150,0),0)</f>
        <v>Financials</v>
      </c>
      <c r="C609" t="str">
        <f ca="1">OFFSET(Industries!D$1,MATCH(Table1[[#This Row],[Ticker]],Industries!$A$2:$A$150,0),0)</f>
        <v>Insurance</v>
      </c>
      <c r="D609" t="str">
        <f ca="1">OFFSET(Industries!E$1,MATCH(Table1[[#This Row],[Ticker]],Industries!$A$2:$A$150,0),0)</f>
        <v>Insurance</v>
      </c>
      <c r="E609" t="s">
        <v>401</v>
      </c>
      <c r="F609" t="str">
        <f ca="1">OFFSET(Industries!B$1,MATCH(Table1[[#This Row],[Ticker]],Industries!$A$2:$A$140,0),0)</f>
        <v>Mega-Cap</v>
      </c>
      <c r="G609" t="str">
        <f ca="1">OFFSET(Industries!F$1,MATCH(Table1[[#This Row],[Ticker]],Industries!$A$2:$A$140,0),0)</f>
        <v>A-</v>
      </c>
      <c r="H609" t="s">
        <v>1434</v>
      </c>
      <c r="I609" t="s">
        <v>1434</v>
      </c>
      <c r="J609" s="2">
        <v>45380</v>
      </c>
      <c r="K609" t="s">
        <v>21</v>
      </c>
      <c r="L609" t="s">
        <v>3</v>
      </c>
      <c r="M609" t="s">
        <v>1711</v>
      </c>
      <c r="N609" s="1">
        <f>Table1[[#This Row],[Consideration Weight]]</f>
        <v>0.17</v>
      </c>
      <c r="O609" t="s">
        <v>3</v>
      </c>
      <c r="P609" s="3">
        <v>0.17</v>
      </c>
      <c r="Q609" s="3"/>
    </row>
    <row r="610" spans="1:22" x14ac:dyDescent="0.3">
      <c r="A610" t="s">
        <v>400</v>
      </c>
      <c r="B610" t="str">
        <f ca="1">OFFSET(Industries!C$1,MATCH(Table1[[#This Row],[Ticker]],Industries!$A$2:$A$150,0),0)</f>
        <v>Financials</v>
      </c>
      <c r="C610" t="str">
        <f ca="1">OFFSET(Industries!D$1,MATCH(Table1[[#This Row],[Ticker]],Industries!$A$2:$A$150,0),0)</f>
        <v>Insurance</v>
      </c>
      <c r="D610" t="str">
        <f ca="1">OFFSET(Industries!E$1,MATCH(Table1[[#This Row],[Ticker]],Industries!$A$2:$A$150,0),0)</f>
        <v>Insurance</v>
      </c>
      <c r="E610" t="s">
        <v>401</v>
      </c>
      <c r="F610" t="str">
        <f ca="1">OFFSET(Industries!B$1,MATCH(Table1[[#This Row],[Ticker]],Industries!$A$2:$A$140,0),0)</f>
        <v>Mega-Cap</v>
      </c>
      <c r="G610" t="str">
        <f ca="1">OFFSET(Industries!F$1,MATCH(Table1[[#This Row],[Ticker]],Industries!$A$2:$A$140,0),0)</f>
        <v>A-</v>
      </c>
      <c r="H610" t="s">
        <v>1434</v>
      </c>
      <c r="I610" t="s">
        <v>1434</v>
      </c>
      <c r="J610" s="2">
        <v>45380</v>
      </c>
      <c r="K610" t="s">
        <v>21</v>
      </c>
      <c r="L610" t="s">
        <v>1708</v>
      </c>
      <c r="M610" t="s">
        <v>1709</v>
      </c>
      <c r="N610" s="1">
        <f>Table1[[#This Row],[Consideration Weight]]</f>
        <v>0.37</v>
      </c>
      <c r="O610" t="s">
        <v>4</v>
      </c>
      <c r="P610" s="3">
        <v>0.37</v>
      </c>
      <c r="Q610" s="3" t="s">
        <v>1636</v>
      </c>
      <c r="R610" t="s">
        <v>24</v>
      </c>
      <c r="S610" t="s">
        <v>90</v>
      </c>
      <c r="T610" t="s">
        <v>8</v>
      </c>
      <c r="U610" s="1">
        <v>0.77499999999999991</v>
      </c>
      <c r="V610" t="s">
        <v>409</v>
      </c>
    </row>
    <row r="611" spans="1:22" x14ac:dyDescent="0.3">
      <c r="A611" t="s">
        <v>400</v>
      </c>
      <c r="B611" t="str">
        <f ca="1">OFFSET(Industries!C$1,MATCH(Table1[[#This Row],[Ticker]],Industries!$A$2:$A$150,0),0)</f>
        <v>Financials</v>
      </c>
      <c r="C611" t="str">
        <f ca="1">OFFSET(Industries!D$1,MATCH(Table1[[#This Row],[Ticker]],Industries!$A$2:$A$150,0),0)</f>
        <v>Insurance</v>
      </c>
      <c r="D611" t="str">
        <f ca="1">OFFSET(Industries!E$1,MATCH(Table1[[#This Row],[Ticker]],Industries!$A$2:$A$150,0),0)</f>
        <v>Insurance</v>
      </c>
      <c r="E611" t="s">
        <v>401</v>
      </c>
      <c r="F611" t="str">
        <f ca="1">OFFSET(Industries!B$1,MATCH(Table1[[#This Row],[Ticker]],Industries!$A$2:$A$140,0),0)</f>
        <v>Mega-Cap</v>
      </c>
      <c r="G611" t="str">
        <f ca="1">OFFSET(Industries!F$1,MATCH(Table1[[#This Row],[Ticker]],Industries!$A$2:$A$140,0),0)</f>
        <v>A-</v>
      </c>
      <c r="H611" t="s">
        <v>1434</v>
      </c>
      <c r="I611" t="s">
        <v>1434</v>
      </c>
      <c r="J611" s="2">
        <v>45380</v>
      </c>
      <c r="K611" t="s">
        <v>21</v>
      </c>
      <c r="L611" t="s">
        <v>1708</v>
      </c>
      <c r="M611" t="s">
        <v>1709</v>
      </c>
      <c r="N611" s="1"/>
      <c r="O611" t="s">
        <v>4</v>
      </c>
      <c r="P611" s="3">
        <v>0.37</v>
      </c>
      <c r="Q611" s="3" t="s">
        <v>1637</v>
      </c>
      <c r="R611" t="s">
        <v>332</v>
      </c>
      <c r="S611" t="s">
        <v>380</v>
      </c>
      <c r="T611" t="s">
        <v>380</v>
      </c>
      <c r="U611" s="1">
        <v>0.22499999999999998</v>
      </c>
    </row>
    <row r="612" spans="1:22" x14ac:dyDescent="0.3">
      <c r="A612" t="s">
        <v>400</v>
      </c>
      <c r="B612" t="str">
        <f ca="1">OFFSET(Industries!C$1,MATCH(Table1[[#This Row],[Ticker]],Industries!$A$2:$A$150,0),0)</f>
        <v>Financials</v>
      </c>
      <c r="C612" t="str">
        <f ca="1">OFFSET(Industries!D$1,MATCH(Table1[[#This Row],[Ticker]],Industries!$A$2:$A$150,0),0)</f>
        <v>Insurance</v>
      </c>
      <c r="D612" t="str">
        <f ca="1">OFFSET(Industries!E$1,MATCH(Table1[[#This Row],[Ticker]],Industries!$A$2:$A$150,0),0)</f>
        <v>Insurance</v>
      </c>
      <c r="E612" t="s">
        <v>401</v>
      </c>
      <c r="F612" t="str">
        <f ca="1">OFFSET(Industries!B$1,MATCH(Table1[[#This Row],[Ticker]],Industries!$A$2:$A$140,0),0)</f>
        <v>Mega-Cap</v>
      </c>
      <c r="G612" t="str">
        <f ca="1">OFFSET(Industries!F$1,MATCH(Table1[[#This Row],[Ticker]],Industries!$A$2:$A$140,0),0)</f>
        <v>A-</v>
      </c>
      <c r="H612" t="s">
        <v>1434</v>
      </c>
      <c r="I612" t="s">
        <v>1434</v>
      </c>
      <c r="J612" s="2">
        <v>45380</v>
      </c>
      <c r="K612" t="s">
        <v>21</v>
      </c>
      <c r="L612" t="s">
        <v>1708</v>
      </c>
      <c r="M612" t="s">
        <v>1709</v>
      </c>
      <c r="N612" s="1"/>
      <c r="O612" t="s">
        <v>4</v>
      </c>
      <c r="P612" s="3">
        <v>0.37</v>
      </c>
      <c r="Q612" s="3"/>
      <c r="R612" t="s">
        <v>28</v>
      </c>
      <c r="S612" t="s">
        <v>1127</v>
      </c>
      <c r="T612" t="s">
        <v>403</v>
      </c>
    </row>
    <row r="613" spans="1:22" x14ac:dyDescent="0.3">
      <c r="A613" t="s">
        <v>400</v>
      </c>
      <c r="B613" t="str">
        <f ca="1">OFFSET(Industries!C$1,MATCH(Table1[[#This Row],[Ticker]],Industries!$A$2:$A$150,0),0)</f>
        <v>Financials</v>
      </c>
      <c r="C613" t="str">
        <f ca="1">OFFSET(Industries!D$1,MATCH(Table1[[#This Row],[Ticker]],Industries!$A$2:$A$150,0),0)</f>
        <v>Insurance</v>
      </c>
      <c r="D613" t="str">
        <f ca="1">OFFSET(Industries!E$1,MATCH(Table1[[#This Row],[Ticker]],Industries!$A$2:$A$150,0),0)</f>
        <v>Insurance</v>
      </c>
      <c r="E613" t="s">
        <v>401</v>
      </c>
      <c r="F613" t="str">
        <f ca="1">OFFSET(Industries!B$1,MATCH(Table1[[#This Row],[Ticker]],Industries!$A$2:$A$140,0),0)</f>
        <v>Mega-Cap</v>
      </c>
      <c r="G613" t="str">
        <f ca="1">OFFSET(Industries!F$1,MATCH(Table1[[#This Row],[Ticker]],Industries!$A$2:$A$140,0),0)</f>
        <v>A-</v>
      </c>
      <c r="H613" t="s">
        <v>1434</v>
      </c>
      <c r="I613" t="s">
        <v>1434</v>
      </c>
      <c r="J613" s="2">
        <v>45380</v>
      </c>
      <c r="K613" t="s">
        <v>21</v>
      </c>
      <c r="L613" t="s">
        <v>1708</v>
      </c>
      <c r="M613" t="s">
        <v>1709</v>
      </c>
      <c r="N613" s="1"/>
      <c r="O613" t="s">
        <v>4</v>
      </c>
      <c r="P613" s="3">
        <v>0.37</v>
      </c>
      <c r="Q613" s="3"/>
      <c r="R613" t="s">
        <v>28</v>
      </c>
      <c r="S613" t="s">
        <v>1110</v>
      </c>
      <c r="T613" t="s">
        <v>172</v>
      </c>
    </row>
    <row r="614" spans="1:22" x14ac:dyDescent="0.3">
      <c r="A614" t="s">
        <v>400</v>
      </c>
      <c r="B614" t="str">
        <f ca="1">OFFSET(Industries!C$1,MATCH(Table1[[#This Row],[Ticker]],Industries!$A$2:$A$150,0),0)</f>
        <v>Financials</v>
      </c>
      <c r="C614" t="str">
        <f ca="1">OFFSET(Industries!D$1,MATCH(Table1[[#This Row],[Ticker]],Industries!$A$2:$A$150,0),0)</f>
        <v>Insurance</v>
      </c>
      <c r="D614" t="str">
        <f ca="1">OFFSET(Industries!E$1,MATCH(Table1[[#This Row],[Ticker]],Industries!$A$2:$A$150,0),0)</f>
        <v>Insurance</v>
      </c>
      <c r="E614" t="s">
        <v>401</v>
      </c>
      <c r="F614" t="str">
        <f ca="1">OFFSET(Industries!B$1,MATCH(Table1[[#This Row],[Ticker]],Industries!$A$2:$A$140,0),0)</f>
        <v>Mega-Cap</v>
      </c>
      <c r="G614" t="str">
        <f ca="1">OFFSET(Industries!F$1,MATCH(Table1[[#This Row],[Ticker]],Industries!$A$2:$A$140,0),0)</f>
        <v>A-</v>
      </c>
      <c r="H614" t="s">
        <v>1434</v>
      </c>
      <c r="I614" t="s">
        <v>1434</v>
      </c>
      <c r="J614" s="2">
        <v>45380</v>
      </c>
      <c r="K614" t="s">
        <v>21</v>
      </c>
      <c r="L614" t="s">
        <v>1710</v>
      </c>
      <c r="M614" t="s">
        <v>1709</v>
      </c>
      <c r="N614" s="1">
        <f>Table1[[#This Row],[Consideration Weight]]</f>
        <v>0.23</v>
      </c>
      <c r="O614" t="s">
        <v>476</v>
      </c>
      <c r="P614" s="3">
        <v>0.23</v>
      </c>
      <c r="Q614" s="3" t="s">
        <v>1636</v>
      </c>
      <c r="R614" t="s">
        <v>24</v>
      </c>
      <c r="S614" t="s">
        <v>1089</v>
      </c>
      <c r="T614" t="s">
        <v>406</v>
      </c>
      <c r="U614" s="1">
        <v>1</v>
      </c>
    </row>
    <row r="615" spans="1:22" x14ac:dyDescent="0.3">
      <c r="A615" t="s">
        <v>400</v>
      </c>
      <c r="B615" t="str">
        <f ca="1">OFFSET(Industries!C$1,MATCH(Table1[[#This Row],[Ticker]],Industries!$A$2:$A$150,0),0)</f>
        <v>Financials</v>
      </c>
      <c r="C615" t="str">
        <f ca="1">OFFSET(Industries!D$1,MATCH(Table1[[#This Row],[Ticker]],Industries!$A$2:$A$150,0),0)</f>
        <v>Insurance</v>
      </c>
      <c r="D615" t="str">
        <f ca="1">OFFSET(Industries!E$1,MATCH(Table1[[#This Row],[Ticker]],Industries!$A$2:$A$150,0),0)</f>
        <v>Insurance</v>
      </c>
      <c r="E615" t="s">
        <v>401</v>
      </c>
      <c r="F615" t="str">
        <f ca="1">OFFSET(Industries!B$1,MATCH(Table1[[#This Row],[Ticker]],Industries!$A$2:$A$140,0),0)</f>
        <v>Mega-Cap</v>
      </c>
      <c r="G615" t="str">
        <f ca="1">OFFSET(Industries!F$1,MATCH(Table1[[#This Row],[Ticker]],Industries!$A$2:$A$140,0),0)</f>
        <v>A-</v>
      </c>
      <c r="H615" t="s">
        <v>1434</v>
      </c>
      <c r="I615" t="s">
        <v>1434</v>
      </c>
      <c r="J615" s="2">
        <v>45380</v>
      </c>
      <c r="K615" t="s">
        <v>21</v>
      </c>
      <c r="L615" t="s">
        <v>1710</v>
      </c>
      <c r="M615" t="s">
        <v>1709</v>
      </c>
      <c r="N615" s="1"/>
      <c r="O615" t="s">
        <v>476</v>
      </c>
      <c r="P615" s="3">
        <v>0.23</v>
      </c>
      <c r="Q615" s="3"/>
      <c r="R615" t="s">
        <v>28</v>
      </c>
      <c r="S615" t="s">
        <v>1085</v>
      </c>
      <c r="T615" t="s">
        <v>30</v>
      </c>
    </row>
    <row r="616" spans="1:22" x14ac:dyDescent="0.3">
      <c r="A616" t="s">
        <v>400</v>
      </c>
      <c r="B616" t="str">
        <f ca="1">OFFSET(Industries!C$1,MATCH(Table1[[#This Row],[Ticker]],Industries!$A$2:$A$150,0),0)</f>
        <v>Financials</v>
      </c>
      <c r="C616" t="str">
        <f ca="1">OFFSET(Industries!D$1,MATCH(Table1[[#This Row],[Ticker]],Industries!$A$2:$A$150,0),0)</f>
        <v>Insurance</v>
      </c>
      <c r="D616" t="str">
        <f ca="1">OFFSET(Industries!E$1,MATCH(Table1[[#This Row],[Ticker]],Industries!$A$2:$A$150,0),0)</f>
        <v>Insurance</v>
      </c>
      <c r="E616" t="s">
        <v>401</v>
      </c>
      <c r="F616" t="str">
        <f ca="1">OFFSET(Industries!B$1,MATCH(Table1[[#This Row],[Ticker]],Industries!$A$2:$A$140,0),0)</f>
        <v>Mega-Cap</v>
      </c>
      <c r="G616" t="str">
        <f ca="1">OFFSET(Industries!F$1,MATCH(Table1[[#This Row],[Ticker]],Industries!$A$2:$A$140,0),0)</f>
        <v>A-</v>
      </c>
      <c r="H616" t="s">
        <v>1434</v>
      </c>
      <c r="I616" t="s">
        <v>1434</v>
      </c>
      <c r="J616" s="2">
        <v>45380</v>
      </c>
      <c r="K616" t="s">
        <v>21</v>
      </c>
      <c r="L616" t="s">
        <v>1710</v>
      </c>
      <c r="M616" t="s">
        <v>1709</v>
      </c>
      <c r="N616" s="1"/>
      <c r="O616" t="s">
        <v>476</v>
      </c>
      <c r="P616" s="3">
        <v>0.23</v>
      </c>
      <c r="Q616" s="3"/>
      <c r="R616" t="s">
        <v>28</v>
      </c>
      <c r="S616" t="s">
        <v>1095</v>
      </c>
      <c r="T616" t="s">
        <v>55</v>
      </c>
    </row>
    <row r="617" spans="1:22" x14ac:dyDescent="0.3">
      <c r="A617" t="s">
        <v>400</v>
      </c>
      <c r="B617" t="str">
        <f ca="1">OFFSET(Industries!C$1,MATCH(Table1[[#This Row],[Ticker]],Industries!$A$2:$A$150,0),0)</f>
        <v>Financials</v>
      </c>
      <c r="C617" t="str">
        <f ca="1">OFFSET(Industries!D$1,MATCH(Table1[[#This Row],[Ticker]],Industries!$A$2:$A$150,0),0)</f>
        <v>Insurance</v>
      </c>
      <c r="D617" t="str">
        <f ca="1">OFFSET(Industries!E$1,MATCH(Table1[[#This Row],[Ticker]],Industries!$A$2:$A$150,0),0)</f>
        <v>Insurance</v>
      </c>
      <c r="E617" t="s">
        <v>401</v>
      </c>
      <c r="F617" t="str">
        <f ca="1">OFFSET(Industries!B$1,MATCH(Table1[[#This Row],[Ticker]],Industries!$A$2:$A$140,0),0)</f>
        <v>Mega-Cap</v>
      </c>
      <c r="G617" t="str">
        <f ca="1">OFFSET(Industries!F$1,MATCH(Table1[[#This Row],[Ticker]],Industries!$A$2:$A$140,0),0)</f>
        <v>A-</v>
      </c>
      <c r="H617" t="s">
        <v>1434</v>
      </c>
      <c r="I617" t="s">
        <v>1434</v>
      </c>
      <c r="J617" s="2">
        <v>45380</v>
      </c>
      <c r="K617" t="s">
        <v>21</v>
      </c>
      <c r="L617" t="s">
        <v>1710</v>
      </c>
      <c r="M617" t="s">
        <v>1711</v>
      </c>
      <c r="N617" s="1">
        <f>Table1[[#This Row],[Consideration Weight]]</f>
        <v>0.23</v>
      </c>
      <c r="O617" t="s">
        <v>87</v>
      </c>
      <c r="P617" s="3">
        <v>0.23</v>
      </c>
      <c r="Q617" s="3"/>
    </row>
    <row r="618" spans="1:22" x14ac:dyDescent="0.3">
      <c r="A618" t="s">
        <v>410</v>
      </c>
      <c r="B618" t="str">
        <f ca="1">OFFSET(Industries!C$1,MATCH(Table1[[#This Row],[Ticker]],Industries!$A$2:$A$150,0),0)</f>
        <v>Health Care</v>
      </c>
      <c r="C618" t="str">
        <f ca="1">OFFSET(Industries!D$1,MATCH(Table1[[#This Row],[Ticker]],Industries!$A$2:$A$150,0),0)</f>
        <v>Pharmaceuticals, Biotechnology and Life Sciences</v>
      </c>
      <c r="D618" t="str">
        <f ca="1">OFFSET(Industries!E$1,MATCH(Table1[[#This Row],[Ticker]],Industries!$A$2:$A$150,0),0)</f>
        <v>Biotechnology</v>
      </c>
      <c r="E618" t="s">
        <v>49</v>
      </c>
      <c r="F618" t="str">
        <f ca="1">OFFSET(Industries!B$1,MATCH(Table1[[#This Row],[Ticker]],Industries!$A$2:$A$140,0),0)</f>
        <v>Mega-Cap</v>
      </c>
      <c r="G618" t="str">
        <f ca="1">OFFSET(Industries!F$1,MATCH(Table1[[#This Row],[Ticker]],Industries!$A$2:$A$140,0),0)</f>
        <v>BBB+</v>
      </c>
      <c r="H618" t="s">
        <v>1434</v>
      </c>
      <c r="I618" t="s">
        <v>1434</v>
      </c>
      <c r="J618" s="2">
        <v>45407</v>
      </c>
      <c r="K618" t="s">
        <v>2</v>
      </c>
      <c r="L618" t="s">
        <v>3</v>
      </c>
      <c r="M618" t="s">
        <v>1711</v>
      </c>
      <c r="N618" s="1">
        <f>Table1[[#This Row],[Consideration Weight]]</f>
        <v>0.06</v>
      </c>
      <c r="O618" t="s">
        <v>3</v>
      </c>
      <c r="P618" s="3">
        <v>0.06</v>
      </c>
      <c r="Q618" s="3"/>
    </row>
    <row r="619" spans="1:22" x14ac:dyDescent="0.3">
      <c r="A619" t="s">
        <v>410</v>
      </c>
      <c r="B619" t="str">
        <f ca="1">OFFSET(Industries!C$1,MATCH(Table1[[#This Row],[Ticker]],Industries!$A$2:$A$150,0),0)</f>
        <v>Health Care</v>
      </c>
      <c r="C619" t="str">
        <f ca="1">OFFSET(Industries!D$1,MATCH(Table1[[#This Row],[Ticker]],Industries!$A$2:$A$150,0),0)</f>
        <v>Pharmaceuticals, Biotechnology and Life Sciences</v>
      </c>
      <c r="D619" t="str">
        <f ca="1">OFFSET(Industries!E$1,MATCH(Table1[[#This Row],[Ticker]],Industries!$A$2:$A$150,0),0)</f>
        <v>Biotechnology</v>
      </c>
      <c r="E619" t="s">
        <v>49</v>
      </c>
      <c r="F619" t="str">
        <f ca="1">OFFSET(Industries!B$1,MATCH(Table1[[#This Row],[Ticker]],Industries!$A$2:$A$140,0),0)</f>
        <v>Mega-Cap</v>
      </c>
      <c r="G619" t="str">
        <f ca="1">OFFSET(Industries!F$1,MATCH(Table1[[#This Row],[Ticker]],Industries!$A$2:$A$140,0),0)</f>
        <v>BBB+</v>
      </c>
      <c r="H619" t="s">
        <v>1434</v>
      </c>
      <c r="I619" t="s">
        <v>1434</v>
      </c>
      <c r="J619" s="2">
        <v>45407</v>
      </c>
      <c r="K619" t="s">
        <v>2</v>
      </c>
      <c r="L619" t="s">
        <v>1708</v>
      </c>
      <c r="M619" t="s">
        <v>1709</v>
      </c>
      <c r="N619" s="1">
        <f>Table1[[#This Row],[Consideration Weight]]</f>
        <v>0.13</v>
      </c>
      <c r="O619" t="s">
        <v>4</v>
      </c>
      <c r="P619" s="3">
        <v>0.13</v>
      </c>
      <c r="Q619" s="3" t="s">
        <v>1637</v>
      </c>
      <c r="R619" t="s">
        <v>25</v>
      </c>
      <c r="S619" t="s">
        <v>1086</v>
      </c>
      <c r="T619" t="s">
        <v>411</v>
      </c>
      <c r="U619" s="1">
        <v>1</v>
      </c>
      <c r="V619" t="s">
        <v>412</v>
      </c>
    </row>
    <row r="620" spans="1:22" x14ac:dyDescent="0.3">
      <c r="A620" t="s">
        <v>410</v>
      </c>
      <c r="B620" t="str">
        <f ca="1">OFFSET(Industries!C$1,MATCH(Table1[[#This Row],[Ticker]],Industries!$A$2:$A$150,0),0)</f>
        <v>Health Care</v>
      </c>
      <c r="C620" t="str">
        <f ca="1">OFFSET(Industries!D$1,MATCH(Table1[[#This Row],[Ticker]],Industries!$A$2:$A$150,0),0)</f>
        <v>Pharmaceuticals, Biotechnology and Life Sciences</v>
      </c>
      <c r="D620" t="str">
        <f ca="1">OFFSET(Industries!E$1,MATCH(Table1[[#This Row],[Ticker]],Industries!$A$2:$A$150,0),0)</f>
        <v>Biotechnology</v>
      </c>
      <c r="E620" t="s">
        <v>49</v>
      </c>
      <c r="F620" t="str">
        <f ca="1">OFFSET(Industries!B$1,MATCH(Table1[[#This Row],[Ticker]],Industries!$A$2:$A$140,0),0)</f>
        <v>Mega-Cap</v>
      </c>
      <c r="G620" t="str">
        <f ca="1">OFFSET(Industries!F$1,MATCH(Table1[[#This Row],[Ticker]],Industries!$A$2:$A$140,0),0)</f>
        <v>BBB+</v>
      </c>
      <c r="H620" t="s">
        <v>1434</v>
      </c>
      <c r="I620" t="s">
        <v>1434</v>
      </c>
      <c r="J620" s="2">
        <v>45407</v>
      </c>
      <c r="K620" t="s">
        <v>2</v>
      </c>
      <c r="L620" t="s">
        <v>1708</v>
      </c>
      <c r="M620" t="s">
        <v>1709</v>
      </c>
      <c r="N620" s="1"/>
      <c r="O620" t="s">
        <v>4</v>
      </c>
      <c r="P620" s="3">
        <v>0.13</v>
      </c>
      <c r="Q620" s="3"/>
      <c r="R620" t="s">
        <v>28</v>
      </c>
      <c r="S620" t="s">
        <v>1110</v>
      </c>
      <c r="T620" t="s">
        <v>172</v>
      </c>
      <c r="V620" t="s">
        <v>413</v>
      </c>
    </row>
    <row r="621" spans="1:22" x14ac:dyDescent="0.3">
      <c r="A621" t="s">
        <v>410</v>
      </c>
      <c r="B621" t="str">
        <f ca="1">OFFSET(Industries!C$1,MATCH(Table1[[#This Row],[Ticker]],Industries!$A$2:$A$150,0),0)</f>
        <v>Health Care</v>
      </c>
      <c r="C621" t="str">
        <f ca="1">OFFSET(Industries!D$1,MATCH(Table1[[#This Row],[Ticker]],Industries!$A$2:$A$150,0),0)</f>
        <v>Pharmaceuticals, Biotechnology and Life Sciences</v>
      </c>
      <c r="D621" t="str">
        <f ca="1">OFFSET(Industries!E$1,MATCH(Table1[[#This Row],[Ticker]],Industries!$A$2:$A$150,0),0)</f>
        <v>Biotechnology</v>
      </c>
      <c r="E621" t="s">
        <v>49</v>
      </c>
      <c r="F621" t="str">
        <f ca="1">OFFSET(Industries!B$1,MATCH(Table1[[#This Row],[Ticker]],Industries!$A$2:$A$140,0),0)</f>
        <v>Mega-Cap</v>
      </c>
      <c r="G621" t="str">
        <f ca="1">OFFSET(Industries!F$1,MATCH(Table1[[#This Row],[Ticker]],Industries!$A$2:$A$140,0),0)</f>
        <v>BBB+</v>
      </c>
      <c r="H621" t="s">
        <v>1434</v>
      </c>
      <c r="I621" t="s">
        <v>1434</v>
      </c>
      <c r="J621" s="2">
        <v>45407</v>
      </c>
      <c r="K621" t="s">
        <v>2</v>
      </c>
      <c r="L621" t="s">
        <v>1710</v>
      </c>
      <c r="M621" t="s">
        <v>1709</v>
      </c>
      <c r="N621" s="1">
        <f>Table1[[#This Row],[Consideration Weight]]</f>
        <v>0.81</v>
      </c>
      <c r="O621" t="s">
        <v>476</v>
      </c>
      <c r="P621" s="3">
        <v>0.81</v>
      </c>
      <c r="Q621" s="3" t="s">
        <v>1646</v>
      </c>
      <c r="R621" t="s">
        <v>35</v>
      </c>
      <c r="S621" t="s">
        <v>36</v>
      </c>
      <c r="T621" t="s">
        <v>36</v>
      </c>
      <c r="U621" s="1">
        <v>1</v>
      </c>
      <c r="V621" t="s">
        <v>1738</v>
      </c>
    </row>
    <row r="622" spans="1:22" x14ac:dyDescent="0.3">
      <c r="A622" t="s">
        <v>410</v>
      </c>
      <c r="B622" t="str">
        <f ca="1">OFFSET(Industries!C$1,MATCH(Table1[[#This Row],[Ticker]],Industries!$A$2:$A$150,0),0)</f>
        <v>Health Care</v>
      </c>
      <c r="C622" t="str">
        <f ca="1">OFFSET(Industries!D$1,MATCH(Table1[[#This Row],[Ticker]],Industries!$A$2:$A$150,0),0)</f>
        <v>Pharmaceuticals, Biotechnology and Life Sciences</v>
      </c>
      <c r="D622" t="str">
        <f ca="1">OFFSET(Industries!E$1,MATCH(Table1[[#This Row],[Ticker]],Industries!$A$2:$A$150,0),0)</f>
        <v>Biotechnology</v>
      </c>
      <c r="E622" t="s">
        <v>49</v>
      </c>
      <c r="F622" t="str">
        <f ca="1">OFFSET(Industries!B$1,MATCH(Table1[[#This Row],[Ticker]],Industries!$A$2:$A$140,0),0)</f>
        <v>Mega-Cap</v>
      </c>
      <c r="G622" t="str">
        <f ca="1">OFFSET(Industries!F$1,MATCH(Table1[[#This Row],[Ticker]],Industries!$A$2:$A$140,0),0)</f>
        <v>BBB+</v>
      </c>
      <c r="H622" t="s">
        <v>1434</v>
      </c>
      <c r="I622" t="s">
        <v>1434</v>
      </c>
      <c r="J622" s="2">
        <v>45407</v>
      </c>
      <c r="K622" t="s">
        <v>21</v>
      </c>
      <c r="L622" t="s">
        <v>3</v>
      </c>
      <c r="M622" t="s">
        <v>1711</v>
      </c>
      <c r="N622" s="1">
        <f>Table1[[#This Row],[Consideration Weight]]</f>
        <v>8.9688090903488907E-2</v>
      </c>
      <c r="O622" t="s">
        <v>3</v>
      </c>
      <c r="P622" s="3">
        <v>8.9688090903488907E-2</v>
      </c>
      <c r="Q622" s="3"/>
      <c r="V622" t="s">
        <v>1764</v>
      </c>
    </row>
    <row r="623" spans="1:22" x14ac:dyDescent="0.3">
      <c r="A623" t="s">
        <v>410</v>
      </c>
      <c r="B623" t="str">
        <f ca="1">OFFSET(Industries!C$1,MATCH(Table1[[#This Row],[Ticker]],Industries!$A$2:$A$150,0),0)</f>
        <v>Health Care</v>
      </c>
      <c r="C623" t="str">
        <f ca="1">OFFSET(Industries!D$1,MATCH(Table1[[#This Row],[Ticker]],Industries!$A$2:$A$150,0),0)</f>
        <v>Pharmaceuticals, Biotechnology and Life Sciences</v>
      </c>
      <c r="D623" t="str">
        <f ca="1">OFFSET(Industries!E$1,MATCH(Table1[[#This Row],[Ticker]],Industries!$A$2:$A$150,0),0)</f>
        <v>Biotechnology</v>
      </c>
      <c r="E623" t="s">
        <v>49</v>
      </c>
      <c r="F623" t="str">
        <f ca="1">OFFSET(Industries!B$1,MATCH(Table1[[#This Row],[Ticker]],Industries!$A$2:$A$140,0),0)</f>
        <v>Mega-Cap</v>
      </c>
      <c r="G623" t="str">
        <f ca="1">OFFSET(Industries!F$1,MATCH(Table1[[#This Row],[Ticker]],Industries!$A$2:$A$140,0),0)</f>
        <v>BBB+</v>
      </c>
      <c r="H623" t="s">
        <v>1434</v>
      </c>
      <c r="I623" t="s">
        <v>1434</v>
      </c>
      <c r="J623" s="2">
        <v>45407</v>
      </c>
      <c r="K623" t="s">
        <v>21</v>
      </c>
      <c r="L623" t="s">
        <v>1708</v>
      </c>
      <c r="M623" t="s">
        <v>1709</v>
      </c>
      <c r="N623" s="1">
        <f>Table1[[#This Row],[Consideration Weight]]</f>
        <v>8.8630592420601118E-2</v>
      </c>
      <c r="O623" t="s">
        <v>4</v>
      </c>
      <c r="P623" s="3">
        <v>8.8630592420601118E-2</v>
      </c>
      <c r="Q623" s="3" t="s">
        <v>1637</v>
      </c>
      <c r="R623" t="s">
        <v>25</v>
      </c>
      <c r="S623" t="s">
        <v>1086</v>
      </c>
      <c r="T623" t="s">
        <v>411</v>
      </c>
      <c r="U623" s="1">
        <v>0.73</v>
      </c>
      <c r="V623" t="s">
        <v>414</v>
      </c>
    </row>
    <row r="624" spans="1:22" x14ac:dyDescent="0.3">
      <c r="A624" t="s">
        <v>410</v>
      </c>
      <c r="B624" t="str">
        <f ca="1">OFFSET(Industries!C$1,MATCH(Table1[[#This Row],[Ticker]],Industries!$A$2:$A$150,0),0)</f>
        <v>Health Care</v>
      </c>
      <c r="C624" t="str">
        <f ca="1">OFFSET(Industries!D$1,MATCH(Table1[[#This Row],[Ticker]],Industries!$A$2:$A$150,0),0)</f>
        <v>Pharmaceuticals, Biotechnology and Life Sciences</v>
      </c>
      <c r="D624" t="str">
        <f ca="1">OFFSET(Industries!E$1,MATCH(Table1[[#This Row],[Ticker]],Industries!$A$2:$A$150,0),0)</f>
        <v>Biotechnology</v>
      </c>
      <c r="E624" t="s">
        <v>49</v>
      </c>
      <c r="F624" t="str">
        <f ca="1">OFFSET(Industries!B$1,MATCH(Table1[[#This Row],[Ticker]],Industries!$A$2:$A$140,0),0)</f>
        <v>Mega-Cap</v>
      </c>
      <c r="G624" t="str">
        <f ca="1">OFFSET(Industries!F$1,MATCH(Table1[[#This Row],[Ticker]],Industries!$A$2:$A$140,0),0)</f>
        <v>BBB+</v>
      </c>
      <c r="H624" t="s">
        <v>1434</v>
      </c>
      <c r="I624" t="s">
        <v>1434</v>
      </c>
      <c r="J624" s="2">
        <v>45407</v>
      </c>
      <c r="K624" t="s">
        <v>21</v>
      </c>
      <c r="L624" t="s">
        <v>1708</v>
      </c>
      <c r="M624" t="s">
        <v>1709</v>
      </c>
      <c r="N624" s="1"/>
      <c r="O624" t="s">
        <v>4</v>
      </c>
      <c r="P624" s="3">
        <v>8.8630592420601118E-2</v>
      </c>
      <c r="Q624" s="3" t="s">
        <v>1637</v>
      </c>
      <c r="R624" t="s">
        <v>25</v>
      </c>
      <c r="S624" t="s">
        <v>380</v>
      </c>
      <c r="T624" t="s">
        <v>380</v>
      </c>
      <c r="U624" s="1">
        <v>0.27</v>
      </c>
      <c r="V624" t="s">
        <v>415</v>
      </c>
    </row>
    <row r="625" spans="1:22" x14ac:dyDescent="0.3">
      <c r="A625" t="s">
        <v>410</v>
      </c>
      <c r="B625" t="str">
        <f ca="1">OFFSET(Industries!C$1,MATCH(Table1[[#This Row],[Ticker]],Industries!$A$2:$A$150,0),0)</f>
        <v>Health Care</v>
      </c>
      <c r="C625" t="str">
        <f ca="1">OFFSET(Industries!D$1,MATCH(Table1[[#This Row],[Ticker]],Industries!$A$2:$A$150,0),0)</f>
        <v>Pharmaceuticals, Biotechnology and Life Sciences</v>
      </c>
      <c r="D625" t="str">
        <f ca="1">OFFSET(Industries!E$1,MATCH(Table1[[#This Row],[Ticker]],Industries!$A$2:$A$150,0),0)</f>
        <v>Biotechnology</v>
      </c>
      <c r="E625" t="s">
        <v>49</v>
      </c>
      <c r="F625" t="str">
        <f ca="1">OFFSET(Industries!B$1,MATCH(Table1[[#This Row],[Ticker]],Industries!$A$2:$A$140,0),0)</f>
        <v>Mega-Cap</v>
      </c>
      <c r="G625" t="str">
        <f ca="1">OFFSET(Industries!F$1,MATCH(Table1[[#This Row],[Ticker]],Industries!$A$2:$A$140,0),0)</f>
        <v>BBB+</v>
      </c>
      <c r="H625" t="s">
        <v>1434</v>
      </c>
      <c r="I625" t="s">
        <v>1434</v>
      </c>
      <c r="J625" s="2">
        <v>45407</v>
      </c>
      <c r="K625" t="s">
        <v>21</v>
      </c>
      <c r="L625" t="s">
        <v>1708</v>
      </c>
      <c r="M625" t="s">
        <v>1709</v>
      </c>
      <c r="N625" s="1"/>
      <c r="O625" t="s">
        <v>4</v>
      </c>
      <c r="P625" s="3">
        <v>8.8630592420601118E-2</v>
      </c>
      <c r="Q625" s="3"/>
      <c r="R625" t="s">
        <v>28</v>
      </c>
      <c r="S625" t="s">
        <v>1110</v>
      </c>
      <c r="T625" t="s">
        <v>172</v>
      </c>
    </row>
    <row r="626" spans="1:22" x14ac:dyDescent="0.3">
      <c r="A626" t="s">
        <v>410</v>
      </c>
      <c r="B626" t="str">
        <f ca="1">OFFSET(Industries!C$1,MATCH(Table1[[#This Row],[Ticker]],Industries!$A$2:$A$150,0),0)</f>
        <v>Health Care</v>
      </c>
      <c r="C626" t="str">
        <f ca="1">OFFSET(Industries!D$1,MATCH(Table1[[#This Row],[Ticker]],Industries!$A$2:$A$150,0),0)</f>
        <v>Pharmaceuticals, Biotechnology and Life Sciences</v>
      </c>
      <c r="D626" t="str">
        <f ca="1">OFFSET(Industries!E$1,MATCH(Table1[[#This Row],[Ticker]],Industries!$A$2:$A$150,0),0)</f>
        <v>Biotechnology</v>
      </c>
      <c r="E626" t="s">
        <v>49</v>
      </c>
      <c r="F626" t="str">
        <f ca="1">OFFSET(Industries!B$1,MATCH(Table1[[#This Row],[Ticker]],Industries!$A$2:$A$140,0),0)</f>
        <v>Mega-Cap</v>
      </c>
      <c r="G626" t="str">
        <f ca="1">OFFSET(Industries!F$1,MATCH(Table1[[#This Row],[Ticker]],Industries!$A$2:$A$140,0),0)</f>
        <v>BBB+</v>
      </c>
      <c r="H626" t="s">
        <v>1434</v>
      </c>
      <c r="I626" t="s">
        <v>1434</v>
      </c>
      <c r="J626" s="2">
        <v>45407</v>
      </c>
      <c r="K626" t="s">
        <v>21</v>
      </c>
      <c r="L626" t="s">
        <v>1710</v>
      </c>
      <c r="M626" t="s">
        <v>1709</v>
      </c>
      <c r="N626" s="1">
        <f>Table1[[#This Row],[Consideration Weight]]</f>
        <v>0.27</v>
      </c>
      <c r="O626" t="s">
        <v>476</v>
      </c>
      <c r="P626" s="3">
        <v>0.27</v>
      </c>
      <c r="Q626" s="3" t="s">
        <v>1646</v>
      </c>
      <c r="R626" t="s">
        <v>35</v>
      </c>
      <c r="S626" t="s">
        <v>36</v>
      </c>
      <c r="T626" t="s">
        <v>36</v>
      </c>
      <c r="U626" s="1">
        <v>1</v>
      </c>
      <c r="V626" t="s">
        <v>1738</v>
      </c>
    </row>
    <row r="627" spans="1:22" x14ac:dyDescent="0.3">
      <c r="A627" t="s">
        <v>410</v>
      </c>
      <c r="B627" t="str">
        <f ca="1">OFFSET(Industries!C$1,MATCH(Table1[[#This Row],[Ticker]],Industries!$A$2:$A$150,0),0)</f>
        <v>Health Care</v>
      </c>
      <c r="C627" t="str">
        <f ca="1">OFFSET(Industries!D$1,MATCH(Table1[[#This Row],[Ticker]],Industries!$A$2:$A$150,0),0)</f>
        <v>Pharmaceuticals, Biotechnology and Life Sciences</v>
      </c>
      <c r="D627" t="str">
        <f ca="1">OFFSET(Industries!E$1,MATCH(Table1[[#This Row],[Ticker]],Industries!$A$2:$A$150,0),0)</f>
        <v>Biotechnology</v>
      </c>
      <c r="E627" t="s">
        <v>49</v>
      </c>
      <c r="F627" t="str">
        <f ca="1">OFFSET(Industries!B$1,MATCH(Table1[[#This Row],[Ticker]],Industries!$A$2:$A$140,0),0)</f>
        <v>Mega-Cap</v>
      </c>
      <c r="G627" t="str">
        <f ca="1">OFFSET(Industries!F$1,MATCH(Table1[[#This Row],[Ticker]],Industries!$A$2:$A$140,0),0)</f>
        <v>BBB+</v>
      </c>
      <c r="H627" t="s">
        <v>1434</v>
      </c>
      <c r="I627" t="s">
        <v>1434</v>
      </c>
      <c r="J627" s="2">
        <v>45407</v>
      </c>
      <c r="K627" t="s">
        <v>21</v>
      </c>
      <c r="L627" t="s">
        <v>1710</v>
      </c>
      <c r="M627" t="s">
        <v>1711</v>
      </c>
      <c r="N627" s="1">
        <f>Table1[[#This Row],[Consideration Weight]]</f>
        <v>0.33100879000554601</v>
      </c>
      <c r="O627" t="s">
        <v>87</v>
      </c>
      <c r="P627" s="3">
        <v>0.33100879000554601</v>
      </c>
      <c r="Q627" s="3"/>
    </row>
    <row r="628" spans="1:22" x14ac:dyDescent="0.3">
      <c r="A628" t="s">
        <v>410</v>
      </c>
      <c r="B628" t="str">
        <f ca="1">OFFSET(Industries!C$1,MATCH(Table1[[#This Row],[Ticker]],Industries!$A$2:$A$150,0),0)</f>
        <v>Health Care</v>
      </c>
      <c r="C628" t="str">
        <f ca="1">OFFSET(Industries!D$1,MATCH(Table1[[#This Row],[Ticker]],Industries!$A$2:$A$150,0),0)</f>
        <v>Pharmaceuticals, Biotechnology and Life Sciences</v>
      </c>
      <c r="D628" t="str">
        <f ca="1">OFFSET(Industries!E$1,MATCH(Table1[[#This Row],[Ticker]],Industries!$A$2:$A$150,0),0)</f>
        <v>Biotechnology</v>
      </c>
      <c r="E628" t="s">
        <v>49</v>
      </c>
      <c r="F628" t="str">
        <f ca="1">OFFSET(Industries!B$1,MATCH(Table1[[#This Row],[Ticker]],Industries!$A$2:$A$140,0),0)</f>
        <v>Mega-Cap</v>
      </c>
      <c r="G628" t="str">
        <f ca="1">OFFSET(Industries!F$1,MATCH(Table1[[#This Row],[Ticker]],Industries!$A$2:$A$140,0),0)</f>
        <v>BBB+</v>
      </c>
      <c r="H628" t="s">
        <v>1434</v>
      </c>
      <c r="I628" t="s">
        <v>1434</v>
      </c>
      <c r="J628" s="2">
        <v>45407</v>
      </c>
      <c r="K628" t="s">
        <v>21</v>
      </c>
      <c r="L628" t="s">
        <v>1710</v>
      </c>
      <c r="M628" t="s">
        <v>1711</v>
      </c>
      <c r="N628" s="1">
        <f>Table1[[#This Row],[Consideration Weight]]</f>
        <v>0.22067252667036397</v>
      </c>
      <c r="O628" t="s">
        <v>194</v>
      </c>
      <c r="P628" s="3">
        <v>0.22067252667036397</v>
      </c>
      <c r="Q628" s="3"/>
    </row>
    <row r="629" spans="1:22" x14ac:dyDescent="0.3">
      <c r="A629" t="s">
        <v>416</v>
      </c>
      <c r="B629" t="str">
        <f ca="1">OFFSET(Industries!C$1,MATCH(Table1[[#This Row],[Ticker]],Industries!$A$2:$A$150,0),0)</f>
        <v>Information Technology</v>
      </c>
      <c r="C629" t="str">
        <f ca="1">OFFSET(Industries!D$1,MATCH(Table1[[#This Row],[Ticker]],Industries!$A$2:$A$150,0),0)</f>
        <v>Semiconductors</v>
      </c>
      <c r="D629" t="str">
        <f ca="1">OFFSET(Industries!E$1,MATCH(Table1[[#This Row],[Ticker]],Industries!$A$2:$A$150,0),0)</f>
        <v>Semiconductors</v>
      </c>
      <c r="E629" t="s">
        <v>34</v>
      </c>
      <c r="F629" t="str">
        <f ca="1">OFFSET(Industries!B$1,MATCH(Table1[[#This Row],[Ticker]],Industries!$A$2:$A$140,0),0)</f>
        <v>Mega-Cap</v>
      </c>
      <c r="G629" t="str">
        <f ca="1">OFFSET(Industries!F$1,MATCH(Table1[[#This Row],[Ticker]],Industries!$A$2:$A$140,0),0)</f>
        <v>AA-</v>
      </c>
      <c r="H629" t="s">
        <v>1434</v>
      </c>
      <c r="I629" t="s">
        <v>1434</v>
      </c>
      <c r="J629" s="2">
        <v>45426</v>
      </c>
      <c r="K629" t="s">
        <v>2</v>
      </c>
      <c r="L629" t="s">
        <v>3</v>
      </c>
      <c r="M629" t="s">
        <v>1711</v>
      </c>
      <c r="N629" s="1">
        <f>Table1[[#This Row],[Consideration Weight]]</f>
        <v>0.04</v>
      </c>
      <c r="O629" t="s">
        <v>3</v>
      </c>
      <c r="P629" s="3">
        <v>0.04</v>
      </c>
      <c r="Q629" s="3"/>
    </row>
    <row r="630" spans="1:22" x14ac:dyDescent="0.3">
      <c r="A630" t="s">
        <v>416</v>
      </c>
      <c r="B630" t="str">
        <f ca="1">OFFSET(Industries!C$1,MATCH(Table1[[#This Row],[Ticker]],Industries!$A$2:$A$150,0),0)</f>
        <v>Information Technology</v>
      </c>
      <c r="C630" t="str">
        <f ca="1">OFFSET(Industries!D$1,MATCH(Table1[[#This Row],[Ticker]],Industries!$A$2:$A$150,0),0)</f>
        <v>Semiconductors</v>
      </c>
      <c r="D630" t="str">
        <f ca="1">OFFSET(Industries!E$1,MATCH(Table1[[#This Row],[Ticker]],Industries!$A$2:$A$150,0),0)</f>
        <v>Semiconductors</v>
      </c>
      <c r="E630" t="s">
        <v>34</v>
      </c>
      <c r="F630" t="str">
        <f ca="1">OFFSET(Industries!B$1,MATCH(Table1[[#This Row],[Ticker]],Industries!$A$2:$A$140,0),0)</f>
        <v>Mega-Cap</v>
      </c>
      <c r="G630" t="str">
        <f ca="1">OFFSET(Industries!F$1,MATCH(Table1[[#This Row],[Ticker]],Industries!$A$2:$A$140,0),0)</f>
        <v>AA-</v>
      </c>
      <c r="H630" t="s">
        <v>1434</v>
      </c>
      <c r="I630" t="s">
        <v>1434</v>
      </c>
      <c r="J630" s="2">
        <v>45426</v>
      </c>
      <c r="K630" t="s">
        <v>2</v>
      </c>
      <c r="L630" t="s">
        <v>1708</v>
      </c>
      <c r="M630" t="s">
        <v>1709</v>
      </c>
      <c r="N630" s="1">
        <f>Table1[[#This Row],[Consideration Weight]]</f>
        <v>0.08</v>
      </c>
      <c r="O630" t="s">
        <v>4</v>
      </c>
      <c r="P630" s="3">
        <v>0.08</v>
      </c>
      <c r="Q630" s="3" t="s">
        <v>1636</v>
      </c>
      <c r="R630" t="s">
        <v>23</v>
      </c>
      <c r="S630" t="s">
        <v>1083</v>
      </c>
      <c r="T630" t="s">
        <v>37</v>
      </c>
      <c r="U630" s="1">
        <v>1</v>
      </c>
    </row>
    <row r="631" spans="1:22" x14ac:dyDescent="0.3">
      <c r="A631" t="s">
        <v>416</v>
      </c>
      <c r="B631" t="str">
        <f ca="1">OFFSET(Industries!C$1,MATCH(Table1[[#This Row],[Ticker]],Industries!$A$2:$A$150,0),0)</f>
        <v>Information Technology</v>
      </c>
      <c r="C631" t="str">
        <f ca="1">OFFSET(Industries!D$1,MATCH(Table1[[#This Row],[Ticker]],Industries!$A$2:$A$150,0),0)</f>
        <v>Semiconductors</v>
      </c>
      <c r="D631" t="str">
        <f ca="1">OFFSET(Industries!E$1,MATCH(Table1[[#This Row],[Ticker]],Industries!$A$2:$A$150,0),0)</f>
        <v>Semiconductors</v>
      </c>
      <c r="E631" t="s">
        <v>34</v>
      </c>
      <c r="F631" t="str">
        <f ca="1">OFFSET(Industries!B$1,MATCH(Table1[[#This Row],[Ticker]],Industries!$A$2:$A$140,0),0)</f>
        <v>Mega-Cap</v>
      </c>
      <c r="G631" t="str">
        <f ca="1">OFFSET(Industries!F$1,MATCH(Table1[[#This Row],[Ticker]],Industries!$A$2:$A$140,0),0)</f>
        <v>AA-</v>
      </c>
      <c r="H631" t="s">
        <v>1434</v>
      </c>
      <c r="I631" t="s">
        <v>1434</v>
      </c>
      <c r="J631" s="2">
        <v>45426</v>
      </c>
      <c r="K631" t="s">
        <v>2</v>
      </c>
      <c r="L631" t="s">
        <v>1710</v>
      </c>
      <c r="M631" t="s">
        <v>1709</v>
      </c>
      <c r="N631" s="1">
        <f>Table1[[#This Row],[Consideration Weight]]</f>
        <v>0.88</v>
      </c>
      <c r="O631" t="s">
        <v>476</v>
      </c>
      <c r="P631" s="3">
        <v>0.88</v>
      </c>
      <c r="Q631" s="3" t="s">
        <v>1636</v>
      </c>
      <c r="R631" t="s">
        <v>24</v>
      </c>
      <c r="S631" t="s">
        <v>90</v>
      </c>
      <c r="T631" t="s">
        <v>8</v>
      </c>
      <c r="U631" s="1">
        <v>0.5</v>
      </c>
      <c r="V631" t="s">
        <v>417</v>
      </c>
    </row>
    <row r="632" spans="1:22" x14ac:dyDescent="0.3">
      <c r="A632" t="s">
        <v>416</v>
      </c>
      <c r="B632" t="str">
        <f ca="1">OFFSET(Industries!C$1,MATCH(Table1[[#This Row],[Ticker]],Industries!$A$2:$A$150,0),0)</f>
        <v>Information Technology</v>
      </c>
      <c r="C632" t="str">
        <f ca="1">OFFSET(Industries!D$1,MATCH(Table1[[#This Row],[Ticker]],Industries!$A$2:$A$150,0),0)</f>
        <v>Semiconductors</v>
      </c>
      <c r="D632" t="str">
        <f ca="1">OFFSET(Industries!E$1,MATCH(Table1[[#This Row],[Ticker]],Industries!$A$2:$A$150,0),0)</f>
        <v>Semiconductors</v>
      </c>
      <c r="E632" t="s">
        <v>34</v>
      </c>
      <c r="F632" t="str">
        <f ca="1">OFFSET(Industries!B$1,MATCH(Table1[[#This Row],[Ticker]],Industries!$A$2:$A$140,0),0)</f>
        <v>Mega-Cap</v>
      </c>
      <c r="G632" t="str">
        <f ca="1">OFFSET(Industries!F$1,MATCH(Table1[[#This Row],[Ticker]],Industries!$A$2:$A$140,0),0)</f>
        <v>AA-</v>
      </c>
      <c r="H632" t="s">
        <v>1434</v>
      </c>
      <c r="I632" t="s">
        <v>1434</v>
      </c>
      <c r="J632" s="2">
        <v>45426</v>
      </c>
      <c r="K632" t="s">
        <v>2</v>
      </c>
      <c r="L632" t="s">
        <v>1710</v>
      </c>
      <c r="M632" t="s">
        <v>1709</v>
      </c>
      <c r="N632" s="1"/>
      <c r="O632" t="s">
        <v>476</v>
      </c>
      <c r="P632" s="3">
        <v>0.88</v>
      </c>
      <c r="Q632" s="3" t="s">
        <v>1646</v>
      </c>
      <c r="R632" t="s">
        <v>35</v>
      </c>
      <c r="S632" t="s">
        <v>29</v>
      </c>
      <c r="T632" t="s">
        <v>30</v>
      </c>
      <c r="U632" s="1">
        <v>0.5</v>
      </c>
      <c r="V632" t="s">
        <v>367</v>
      </c>
    </row>
    <row r="633" spans="1:22" x14ac:dyDescent="0.3">
      <c r="A633" t="s">
        <v>416</v>
      </c>
      <c r="B633" t="str">
        <f ca="1">OFFSET(Industries!C$1,MATCH(Table1[[#This Row],[Ticker]],Industries!$A$2:$A$150,0),0)</f>
        <v>Information Technology</v>
      </c>
      <c r="C633" t="str">
        <f ca="1">OFFSET(Industries!D$1,MATCH(Table1[[#This Row],[Ticker]],Industries!$A$2:$A$150,0),0)</f>
        <v>Semiconductors</v>
      </c>
      <c r="D633" t="str">
        <f ca="1">OFFSET(Industries!E$1,MATCH(Table1[[#This Row],[Ticker]],Industries!$A$2:$A$150,0),0)</f>
        <v>Semiconductors</v>
      </c>
      <c r="E633" t="s">
        <v>34</v>
      </c>
      <c r="F633" t="str">
        <f ca="1">OFFSET(Industries!B$1,MATCH(Table1[[#This Row],[Ticker]],Industries!$A$2:$A$140,0),0)</f>
        <v>Mega-Cap</v>
      </c>
      <c r="G633" t="str">
        <f ca="1">OFFSET(Industries!F$1,MATCH(Table1[[#This Row],[Ticker]],Industries!$A$2:$A$140,0),0)</f>
        <v>AA-</v>
      </c>
      <c r="H633" t="s">
        <v>1434</v>
      </c>
      <c r="I633" t="s">
        <v>1434</v>
      </c>
      <c r="J633" s="2">
        <v>45426</v>
      </c>
      <c r="K633" t="s">
        <v>2</v>
      </c>
      <c r="L633" t="s">
        <v>1710</v>
      </c>
      <c r="M633" t="s">
        <v>1709</v>
      </c>
      <c r="N633" s="1"/>
      <c r="O633" t="s">
        <v>476</v>
      </c>
      <c r="P633" s="3">
        <v>0.88</v>
      </c>
      <c r="Q633" s="3"/>
      <c r="R633" t="s">
        <v>28</v>
      </c>
      <c r="S633" t="s">
        <v>1128</v>
      </c>
      <c r="T633" t="s">
        <v>136</v>
      </c>
      <c r="V633" t="s">
        <v>418</v>
      </c>
    </row>
    <row r="634" spans="1:22" x14ac:dyDescent="0.3">
      <c r="A634" t="s">
        <v>416</v>
      </c>
      <c r="B634" t="str">
        <f ca="1">OFFSET(Industries!C$1,MATCH(Table1[[#This Row],[Ticker]],Industries!$A$2:$A$150,0),0)</f>
        <v>Information Technology</v>
      </c>
      <c r="C634" t="str">
        <f ca="1">OFFSET(Industries!D$1,MATCH(Table1[[#This Row],[Ticker]],Industries!$A$2:$A$150,0),0)</f>
        <v>Semiconductors</v>
      </c>
      <c r="D634" t="str">
        <f ca="1">OFFSET(Industries!E$1,MATCH(Table1[[#This Row],[Ticker]],Industries!$A$2:$A$150,0),0)</f>
        <v>Semiconductors</v>
      </c>
      <c r="E634" t="s">
        <v>34</v>
      </c>
      <c r="F634" t="str">
        <f ca="1">OFFSET(Industries!B$1,MATCH(Table1[[#This Row],[Ticker]],Industries!$A$2:$A$140,0),0)</f>
        <v>Mega-Cap</v>
      </c>
      <c r="G634" t="str">
        <f ca="1">OFFSET(Industries!F$1,MATCH(Table1[[#This Row],[Ticker]],Industries!$A$2:$A$140,0),0)</f>
        <v>AA-</v>
      </c>
      <c r="H634" t="s">
        <v>1434</v>
      </c>
      <c r="I634" t="s">
        <v>1434</v>
      </c>
      <c r="J634" s="2">
        <v>45426</v>
      </c>
      <c r="K634" t="s">
        <v>21</v>
      </c>
      <c r="L634" t="s">
        <v>3</v>
      </c>
      <c r="M634" t="s">
        <v>1711</v>
      </c>
      <c r="N634" s="1">
        <f>Table1[[#This Row],[Consideration Weight]]</f>
        <v>8.1044580163014149E-2</v>
      </c>
      <c r="O634" t="s">
        <v>3</v>
      </c>
      <c r="P634" s="3">
        <v>8.1044580163014149E-2</v>
      </c>
      <c r="Q634" s="3"/>
    </row>
    <row r="635" spans="1:22" x14ac:dyDescent="0.3">
      <c r="A635" t="s">
        <v>416</v>
      </c>
      <c r="B635" t="str">
        <f ca="1">OFFSET(Industries!C$1,MATCH(Table1[[#This Row],[Ticker]],Industries!$A$2:$A$150,0),0)</f>
        <v>Information Technology</v>
      </c>
      <c r="C635" t="str">
        <f ca="1">OFFSET(Industries!D$1,MATCH(Table1[[#This Row],[Ticker]],Industries!$A$2:$A$150,0),0)</f>
        <v>Semiconductors</v>
      </c>
      <c r="D635" t="str">
        <f ca="1">OFFSET(Industries!E$1,MATCH(Table1[[#This Row],[Ticker]],Industries!$A$2:$A$150,0),0)</f>
        <v>Semiconductors</v>
      </c>
      <c r="E635" t="s">
        <v>34</v>
      </c>
      <c r="F635" t="str">
        <f ca="1">OFFSET(Industries!B$1,MATCH(Table1[[#This Row],[Ticker]],Industries!$A$2:$A$140,0),0)</f>
        <v>Mega-Cap</v>
      </c>
      <c r="G635" t="str">
        <f ca="1">OFFSET(Industries!F$1,MATCH(Table1[[#This Row],[Ticker]],Industries!$A$2:$A$140,0),0)</f>
        <v>AA-</v>
      </c>
      <c r="H635" t="s">
        <v>1434</v>
      </c>
      <c r="I635" t="s">
        <v>1434</v>
      </c>
      <c r="J635" s="2">
        <v>45426</v>
      </c>
      <c r="K635" t="s">
        <v>21</v>
      </c>
      <c r="L635" t="s">
        <v>1708</v>
      </c>
      <c r="M635" t="s">
        <v>1709</v>
      </c>
      <c r="N635" s="1">
        <f>Table1[[#This Row],[Consideration Weight]]</f>
        <v>3.2292829991850125E-2</v>
      </c>
      <c r="O635" t="s">
        <v>4</v>
      </c>
      <c r="P635" s="3">
        <v>3.2292829991850125E-2</v>
      </c>
      <c r="Q635" s="3" t="s">
        <v>1636</v>
      </c>
      <c r="R635" t="s">
        <v>23</v>
      </c>
      <c r="S635" t="s">
        <v>1083</v>
      </c>
      <c r="T635" t="s">
        <v>37</v>
      </c>
      <c r="U635" s="1">
        <v>1</v>
      </c>
    </row>
    <row r="636" spans="1:22" x14ac:dyDescent="0.3">
      <c r="A636" t="s">
        <v>416</v>
      </c>
      <c r="B636" t="str">
        <f ca="1">OFFSET(Industries!C$1,MATCH(Table1[[#This Row],[Ticker]],Industries!$A$2:$A$150,0),0)</f>
        <v>Information Technology</v>
      </c>
      <c r="C636" t="str">
        <f ca="1">OFFSET(Industries!D$1,MATCH(Table1[[#This Row],[Ticker]],Industries!$A$2:$A$150,0),0)</f>
        <v>Semiconductors</v>
      </c>
      <c r="D636" t="str">
        <f ca="1">OFFSET(Industries!E$1,MATCH(Table1[[#This Row],[Ticker]],Industries!$A$2:$A$150,0),0)</f>
        <v>Semiconductors</v>
      </c>
      <c r="E636" t="s">
        <v>34</v>
      </c>
      <c r="F636" t="str">
        <f ca="1">OFFSET(Industries!B$1,MATCH(Table1[[#This Row],[Ticker]],Industries!$A$2:$A$140,0),0)</f>
        <v>Mega-Cap</v>
      </c>
      <c r="G636" t="str">
        <f ca="1">OFFSET(Industries!F$1,MATCH(Table1[[#This Row],[Ticker]],Industries!$A$2:$A$140,0),0)</f>
        <v>AA-</v>
      </c>
      <c r="H636" t="s">
        <v>1434</v>
      </c>
      <c r="I636" t="s">
        <v>1434</v>
      </c>
      <c r="J636" s="2">
        <v>45426</v>
      </c>
      <c r="K636" t="s">
        <v>21</v>
      </c>
      <c r="L636" t="s">
        <v>1710</v>
      </c>
      <c r="M636" t="s">
        <v>1709</v>
      </c>
      <c r="N636" s="1">
        <f>Table1[[#This Row],[Consideration Weight]]</f>
        <v>0.53199664138845426</v>
      </c>
      <c r="O636" t="s">
        <v>476</v>
      </c>
      <c r="P636" s="3">
        <v>0.53199664138845426</v>
      </c>
      <c r="Q636" s="3" t="s">
        <v>1636</v>
      </c>
      <c r="R636" t="s">
        <v>24</v>
      </c>
      <c r="S636" t="s">
        <v>90</v>
      </c>
      <c r="T636" t="s">
        <v>8</v>
      </c>
      <c r="U636" s="1">
        <v>0.92</v>
      </c>
    </row>
    <row r="637" spans="1:22" x14ac:dyDescent="0.3">
      <c r="A637" t="s">
        <v>416</v>
      </c>
      <c r="B637" t="str">
        <f ca="1">OFFSET(Industries!C$1,MATCH(Table1[[#This Row],[Ticker]],Industries!$A$2:$A$150,0),0)</f>
        <v>Information Technology</v>
      </c>
      <c r="C637" t="str">
        <f ca="1">OFFSET(Industries!D$1,MATCH(Table1[[#This Row],[Ticker]],Industries!$A$2:$A$150,0),0)</f>
        <v>Semiconductors</v>
      </c>
      <c r="D637" t="str">
        <f ca="1">OFFSET(Industries!E$1,MATCH(Table1[[#This Row],[Ticker]],Industries!$A$2:$A$150,0),0)</f>
        <v>Semiconductors</v>
      </c>
      <c r="E637" t="s">
        <v>34</v>
      </c>
      <c r="F637" t="str">
        <f ca="1">OFFSET(Industries!B$1,MATCH(Table1[[#This Row],[Ticker]],Industries!$A$2:$A$140,0),0)</f>
        <v>Mega-Cap</v>
      </c>
      <c r="G637" t="str">
        <f ca="1">OFFSET(Industries!F$1,MATCH(Table1[[#This Row],[Ticker]],Industries!$A$2:$A$140,0),0)</f>
        <v>AA-</v>
      </c>
      <c r="H637" t="s">
        <v>1434</v>
      </c>
      <c r="I637" t="s">
        <v>1434</v>
      </c>
      <c r="J637" s="2">
        <v>45426</v>
      </c>
      <c r="K637" t="s">
        <v>21</v>
      </c>
      <c r="L637" t="s">
        <v>1710</v>
      </c>
      <c r="M637" t="s">
        <v>1709</v>
      </c>
      <c r="N637" s="1"/>
      <c r="O637" t="s">
        <v>476</v>
      </c>
      <c r="P637" s="3">
        <v>0.53199664138845426</v>
      </c>
      <c r="Q637" s="3" t="s">
        <v>1646</v>
      </c>
      <c r="R637" t="s">
        <v>35</v>
      </c>
      <c r="S637" t="s">
        <v>29</v>
      </c>
      <c r="T637" t="s">
        <v>30</v>
      </c>
      <c r="U637" s="1">
        <v>0.08</v>
      </c>
    </row>
    <row r="638" spans="1:22" x14ac:dyDescent="0.3">
      <c r="A638" t="s">
        <v>416</v>
      </c>
      <c r="B638" t="str">
        <f ca="1">OFFSET(Industries!C$1,MATCH(Table1[[#This Row],[Ticker]],Industries!$A$2:$A$150,0),0)</f>
        <v>Information Technology</v>
      </c>
      <c r="C638" t="str">
        <f ca="1">OFFSET(Industries!D$1,MATCH(Table1[[#This Row],[Ticker]],Industries!$A$2:$A$150,0),0)</f>
        <v>Semiconductors</v>
      </c>
      <c r="D638" t="str">
        <f ca="1">OFFSET(Industries!E$1,MATCH(Table1[[#This Row],[Ticker]],Industries!$A$2:$A$150,0),0)</f>
        <v>Semiconductors</v>
      </c>
      <c r="E638" t="s">
        <v>34</v>
      </c>
      <c r="F638" t="str">
        <f ca="1">OFFSET(Industries!B$1,MATCH(Table1[[#This Row],[Ticker]],Industries!$A$2:$A$140,0),0)</f>
        <v>Mega-Cap</v>
      </c>
      <c r="G638" t="str">
        <f ca="1">OFFSET(Industries!F$1,MATCH(Table1[[#This Row],[Ticker]],Industries!$A$2:$A$140,0),0)</f>
        <v>AA-</v>
      </c>
      <c r="H638" t="s">
        <v>1434</v>
      </c>
      <c r="I638" t="s">
        <v>1434</v>
      </c>
      <c r="J638" s="2">
        <v>45426</v>
      </c>
      <c r="K638" t="s">
        <v>21</v>
      </c>
      <c r="L638" t="s">
        <v>1710</v>
      </c>
      <c r="M638" t="s">
        <v>1709</v>
      </c>
      <c r="N638" s="1"/>
      <c r="O638" t="s">
        <v>476</v>
      </c>
      <c r="P638" s="3">
        <v>0.53199664138845426</v>
      </c>
      <c r="Q638" s="3"/>
      <c r="R638" t="s">
        <v>28</v>
      </c>
      <c r="S638" t="s">
        <v>1128</v>
      </c>
      <c r="T638" t="s">
        <v>136</v>
      </c>
    </row>
    <row r="639" spans="1:22" x14ac:dyDescent="0.3">
      <c r="A639" t="s">
        <v>416</v>
      </c>
      <c r="B639" t="str">
        <f ca="1">OFFSET(Industries!C$1,MATCH(Table1[[#This Row],[Ticker]],Industries!$A$2:$A$150,0),0)</f>
        <v>Information Technology</v>
      </c>
      <c r="C639" t="str">
        <f ca="1">OFFSET(Industries!D$1,MATCH(Table1[[#This Row],[Ticker]],Industries!$A$2:$A$150,0),0)</f>
        <v>Semiconductors</v>
      </c>
      <c r="D639" t="str">
        <f ca="1">OFFSET(Industries!E$1,MATCH(Table1[[#This Row],[Ticker]],Industries!$A$2:$A$150,0),0)</f>
        <v>Semiconductors</v>
      </c>
      <c r="E639" t="s">
        <v>34</v>
      </c>
      <c r="F639" t="str">
        <f ca="1">OFFSET(Industries!B$1,MATCH(Table1[[#This Row],[Ticker]],Industries!$A$2:$A$140,0),0)</f>
        <v>Mega-Cap</v>
      </c>
      <c r="G639" t="str">
        <f ca="1">OFFSET(Industries!F$1,MATCH(Table1[[#This Row],[Ticker]],Industries!$A$2:$A$140,0),0)</f>
        <v>AA-</v>
      </c>
      <c r="H639" t="s">
        <v>1434</v>
      </c>
      <c r="I639" t="s">
        <v>1434</v>
      </c>
      <c r="J639" s="2">
        <v>45426</v>
      </c>
      <c r="K639" t="s">
        <v>21</v>
      </c>
      <c r="L639" t="s">
        <v>1710</v>
      </c>
      <c r="M639" t="s">
        <v>1711</v>
      </c>
      <c r="N639" s="1">
        <f>Table1[[#This Row],[Consideration Weight]]</f>
        <v>0.35466594845668137</v>
      </c>
      <c r="O639" t="s">
        <v>194</v>
      </c>
      <c r="P639" s="3">
        <v>0.35466594845668137</v>
      </c>
      <c r="Q639" s="3"/>
    </row>
    <row r="640" spans="1:22" x14ac:dyDescent="0.3">
      <c r="A640" t="s">
        <v>419</v>
      </c>
      <c r="B640" t="str">
        <f ca="1">OFFSET(Industries!C$1,MATCH(Table1[[#This Row],[Ticker]],Industries!$A$2:$A$150,0),0)</f>
        <v>Information Technology</v>
      </c>
      <c r="C640" t="str">
        <f ca="1">OFFSET(Industries!D$1,MATCH(Table1[[#This Row],[Ticker]],Industries!$A$2:$A$150,0),0)</f>
        <v>Software and Services</v>
      </c>
      <c r="D640" t="str">
        <f ca="1">OFFSET(Industries!E$1,MATCH(Table1[[#This Row],[Ticker]],Industries!$A$2:$A$150,0),0)</f>
        <v>Software</v>
      </c>
      <c r="E640" t="s">
        <v>42</v>
      </c>
      <c r="F640" t="str">
        <f ca="1">OFFSET(Industries!B$1,MATCH(Table1[[#This Row],[Ticker]],Industries!$A$2:$A$140,0),0)</f>
        <v>Mega-Cap</v>
      </c>
      <c r="G640" t="str">
        <f ca="1">OFFSET(Industries!F$1,MATCH(Table1[[#This Row],[Ticker]],Industries!$A$2:$A$140,0),0)</f>
        <v>A+</v>
      </c>
      <c r="H640" t="s">
        <v>1434</v>
      </c>
      <c r="I640" t="s">
        <v>1434</v>
      </c>
      <c r="J640" s="2">
        <v>45428</v>
      </c>
      <c r="K640" t="s">
        <v>2</v>
      </c>
      <c r="L640" t="s">
        <v>3</v>
      </c>
      <c r="M640" t="s">
        <v>1711</v>
      </c>
      <c r="N640" s="1">
        <f>Table1[[#This Row],[Consideration Weight]]</f>
        <v>0.03</v>
      </c>
      <c r="O640" t="s">
        <v>3</v>
      </c>
      <c r="P640" s="3">
        <v>0.03</v>
      </c>
      <c r="Q640" s="3"/>
    </row>
    <row r="641" spans="1:22" x14ac:dyDescent="0.3">
      <c r="A641" t="s">
        <v>419</v>
      </c>
      <c r="B641" t="str">
        <f ca="1">OFFSET(Industries!C$1,MATCH(Table1[[#This Row],[Ticker]],Industries!$A$2:$A$150,0),0)</f>
        <v>Information Technology</v>
      </c>
      <c r="C641" t="str">
        <f ca="1">OFFSET(Industries!D$1,MATCH(Table1[[#This Row],[Ticker]],Industries!$A$2:$A$150,0),0)</f>
        <v>Software and Services</v>
      </c>
      <c r="D641" t="str">
        <f ca="1">OFFSET(Industries!E$1,MATCH(Table1[[#This Row],[Ticker]],Industries!$A$2:$A$150,0),0)</f>
        <v>Software</v>
      </c>
      <c r="E641" t="s">
        <v>42</v>
      </c>
      <c r="F641" t="str">
        <f ca="1">OFFSET(Industries!B$1,MATCH(Table1[[#This Row],[Ticker]],Industries!$A$2:$A$140,0),0)</f>
        <v>Mega-Cap</v>
      </c>
      <c r="G641" t="str">
        <f ca="1">OFFSET(Industries!F$1,MATCH(Table1[[#This Row],[Ticker]],Industries!$A$2:$A$140,0),0)</f>
        <v>A+</v>
      </c>
      <c r="H641" t="s">
        <v>1434</v>
      </c>
      <c r="I641" t="s">
        <v>1434</v>
      </c>
      <c r="J641" s="2">
        <v>45428</v>
      </c>
      <c r="K641" t="s">
        <v>2</v>
      </c>
      <c r="L641" t="s">
        <v>1708</v>
      </c>
      <c r="M641" t="s">
        <v>1709</v>
      </c>
      <c r="N641" s="1">
        <f>Table1[[#This Row],[Consideration Weight]]</f>
        <v>7.0000000000000007E-2</v>
      </c>
      <c r="O641" t="s">
        <v>4</v>
      </c>
      <c r="P641" s="3">
        <v>7.0000000000000007E-2</v>
      </c>
      <c r="Q641" s="3" t="s">
        <v>1636</v>
      </c>
      <c r="R641" t="s">
        <v>23</v>
      </c>
      <c r="S641" t="s">
        <v>1083</v>
      </c>
      <c r="T641" t="s">
        <v>7</v>
      </c>
      <c r="U641" s="1">
        <v>0.3</v>
      </c>
      <c r="V641" t="s">
        <v>422</v>
      </c>
    </row>
    <row r="642" spans="1:22" x14ac:dyDescent="0.3">
      <c r="A642" t="s">
        <v>419</v>
      </c>
      <c r="B642" t="str">
        <f ca="1">OFFSET(Industries!C$1,MATCH(Table1[[#This Row],[Ticker]],Industries!$A$2:$A$150,0),0)</f>
        <v>Information Technology</v>
      </c>
      <c r="C642" t="str">
        <f ca="1">OFFSET(Industries!D$1,MATCH(Table1[[#This Row],[Ticker]],Industries!$A$2:$A$150,0),0)</f>
        <v>Software and Services</v>
      </c>
      <c r="D642" t="str">
        <f ca="1">OFFSET(Industries!E$1,MATCH(Table1[[#This Row],[Ticker]],Industries!$A$2:$A$150,0),0)</f>
        <v>Software</v>
      </c>
      <c r="E642" t="s">
        <v>42</v>
      </c>
      <c r="F642" t="str">
        <f ca="1">OFFSET(Industries!B$1,MATCH(Table1[[#This Row],[Ticker]],Industries!$A$2:$A$140,0),0)</f>
        <v>Mega-Cap</v>
      </c>
      <c r="G642" t="str">
        <f ca="1">OFFSET(Industries!F$1,MATCH(Table1[[#This Row],[Ticker]],Industries!$A$2:$A$140,0),0)</f>
        <v>A+</v>
      </c>
      <c r="H642" t="s">
        <v>1434</v>
      </c>
      <c r="I642" t="s">
        <v>1434</v>
      </c>
      <c r="J642" s="2">
        <v>45428</v>
      </c>
      <c r="K642" t="s">
        <v>2</v>
      </c>
      <c r="L642" t="s">
        <v>1708</v>
      </c>
      <c r="M642" t="s">
        <v>1709</v>
      </c>
      <c r="N642" s="1"/>
      <c r="O642" t="s">
        <v>4</v>
      </c>
      <c r="P642" s="3">
        <v>7.0000000000000007E-2</v>
      </c>
      <c r="Q642" s="3" t="s">
        <v>1636</v>
      </c>
      <c r="R642" t="s">
        <v>62</v>
      </c>
      <c r="S642" t="s">
        <v>63</v>
      </c>
      <c r="T642" t="s">
        <v>63</v>
      </c>
      <c r="U642" s="1">
        <v>0.3</v>
      </c>
    </row>
    <row r="643" spans="1:22" x14ac:dyDescent="0.3">
      <c r="A643" t="s">
        <v>419</v>
      </c>
      <c r="B643" t="str">
        <f ca="1">OFFSET(Industries!C$1,MATCH(Table1[[#This Row],[Ticker]],Industries!$A$2:$A$150,0),0)</f>
        <v>Information Technology</v>
      </c>
      <c r="C643" t="str">
        <f ca="1">OFFSET(Industries!D$1,MATCH(Table1[[#This Row],[Ticker]],Industries!$A$2:$A$150,0),0)</f>
        <v>Software and Services</v>
      </c>
      <c r="D643" t="str">
        <f ca="1">OFFSET(Industries!E$1,MATCH(Table1[[#This Row],[Ticker]],Industries!$A$2:$A$150,0),0)</f>
        <v>Software</v>
      </c>
      <c r="E643" t="s">
        <v>42</v>
      </c>
      <c r="F643" t="str">
        <f ca="1">OFFSET(Industries!B$1,MATCH(Table1[[#This Row],[Ticker]],Industries!$A$2:$A$140,0),0)</f>
        <v>Mega-Cap</v>
      </c>
      <c r="G643" t="str">
        <f ca="1">OFFSET(Industries!F$1,MATCH(Table1[[#This Row],[Ticker]],Industries!$A$2:$A$140,0),0)</f>
        <v>A+</v>
      </c>
      <c r="H643" t="s">
        <v>1434</v>
      </c>
      <c r="I643" t="s">
        <v>1434</v>
      </c>
      <c r="J643" s="2">
        <v>45428</v>
      </c>
      <c r="K643" t="s">
        <v>2</v>
      </c>
      <c r="L643" t="s">
        <v>1708</v>
      </c>
      <c r="M643" t="s">
        <v>1709</v>
      </c>
      <c r="N643" s="1"/>
      <c r="O643" t="s">
        <v>4</v>
      </c>
      <c r="P643" s="3">
        <v>7.0000000000000007E-2</v>
      </c>
      <c r="Q643" s="3" t="s">
        <v>1636</v>
      </c>
      <c r="R643" t="s">
        <v>24</v>
      </c>
      <c r="S643" t="s">
        <v>90</v>
      </c>
      <c r="T643" t="s">
        <v>8</v>
      </c>
      <c r="U643" s="1">
        <v>0.3</v>
      </c>
      <c r="V643" t="s">
        <v>423</v>
      </c>
    </row>
    <row r="644" spans="1:22" x14ac:dyDescent="0.3">
      <c r="A644" t="s">
        <v>419</v>
      </c>
      <c r="B644" t="str">
        <f ca="1">OFFSET(Industries!C$1,MATCH(Table1[[#This Row],[Ticker]],Industries!$A$2:$A$150,0),0)</f>
        <v>Information Technology</v>
      </c>
      <c r="C644" t="str">
        <f ca="1">OFFSET(Industries!D$1,MATCH(Table1[[#This Row],[Ticker]],Industries!$A$2:$A$150,0),0)</f>
        <v>Software and Services</v>
      </c>
      <c r="D644" t="str">
        <f ca="1">OFFSET(Industries!E$1,MATCH(Table1[[#This Row],[Ticker]],Industries!$A$2:$A$150,0),0)</f>
        <v>Software</v>
      </c>
      <c r="E644" t="s">
        <v>42</v>
      </c>
      <c r="F644" t="str">
        <f ca="1">OFFSET(Industries!B$1,MATCH(Table1[[#This Row],[Ticker]],Industries!$A$2:$A$140,0),0)</f>
        <v>Mega-Cap</v>
      </c>
      <c r="G644" t="str">
        <f ca="1">OFFSET(Industries!F$1,MATCH(Table1[[#This Row],[Ticker]],Industries!$A$2:$A$140,0),0)</f>
        <v>A+</v>
      </c>
      <c r="H644" t="s">
        <v>1434</v>
      </c>
      <c r="I644" t="s">
        <v>1434</v>
      </c>
      <c r="J644" s="2">
        <v>45428</v>
      </c>
      <c r="K644" t="s">
        <v>2</v>
      </c>
      <c r="L644" t="s">
        <v>1708</v>
      </c>
      <c r="M644" t="s">
        <v>1709</v>
      </c>
      <c r="N644" s="1"/>
      <c r="O644" t="s">
        <v>4</v>
      </c>
      <c r="P644" s="3">
        <v>7.0000000000000007E-2</v>
      </c>
      <c r="Q644" s="3" t="s">
        <v>1637</v>
      </c>
      <c r="R644" t="s">
        <v>26</v>
      </c>
      <c r="S644" t="s">
        <v>26</v>
      </c>
      <c r="T644" t="s">
        <v>420</v>
      </c>
      <c r="U644" s="1">
        <v>0.05</v>
      </c>
      <c r="V644" t="s">
        <v>424</v>
      </c>
    </row>
    <row r="645" spans="1:22" x14ac:dyDescent="0.3">
      <c r="A645" t="s">
        <v>419</v>
      </c>
      <c r="B645" t="str">
        <f ca="1">OFFSET(Industries!C$1,MATCH(Table1[[#This Row],[Ticker]],Industries!$A$2:$A$150,0),0)</f>
        <v>Information Technology</v>
      </c>
      <c r="C645" t="str">
        <f ca="1">OFFSET(Industries!D$1,MATCH(Table1[[#This Row],[Ticker]],Industries!$A$2:$A$150,0),0)</f>
        <v>Software and Services</v>
      </c>
      <c r="D645" t="str">
        <f ca="1">OFFSET(Industries!E$1,MATCH(Table1[[#This Row],[Ticker]],Industries!$A$2:$A$150,0),0)</f>
        <v>Software</v>
      </c>
      <c r="E645" t="s">
        <v>42</v>
      </c>
      <c r="F645" t="str">
        <f ca="1">OFFSET(Industries!B$1,MATCH(Table1[[#This Row],[Ticker]],Industries!$A$2:$A$140,0),0)</f>
        <v>Mega-Cap</v>
      </c>
      <c r="G645" t="str">
        <f ca="1">OFFSET(Industries!F$1,MATCH(Table1[[#This Row],[Ticker]],Industries!$A$2:$A$140,0),0)</f>
        <v>A+</v>
      </c>
      <c r="H645" t="s">
        <v>1434</v>
      </c>
      <c r="I645" t="s">
        <v>1434</v>
      </c>
      <c r="J645" s="2">
        <v>45428</v>
      </c>
      <c r="K645" t="s">
        <v>2</v>
      </c>
      <c r="L645" t="s">
        <v>1708</v>
      </c>
      <c r="M645" t="s">
        <v>1709</v>
      </c>
      <c r="N645" s="1"/>
      <c r="O645" t="s">
        <v>4</v>
      </c>
      <c r="P645" s="3">
        <v>7.0000000000000007E-2</v>
      </c>
      <c r="Q645" s="3" t="s">
        <v>1637</v>
      </c>
      <c r="R645" t="s">
        <v>26</v>
      </c>
      <c r="S645" t="s">
        <v>26</v>
      </c>
      <c r="T645" t="s">
        <v>421</v>
      </c>
      <c r="U645" s="1">
        <v>0.05</v>
      </c>
      <c r="V645" t="s">
        <v>425</v>
      </c>
    </row>
    <row r="646" spans="1:22" x14ac:dyDescent="0.3">
      <c r="A646" t="s">
        <v>419</v>
      </c>
      <c r="B646" t="str">
        <f ca="1">OFFSET(Industries!C$1,MATCH(Table1[[#This Row],[Ticker]],Industries!$A$2:$A$150,0),0)</f>
        <v>Information Technology</v>
      </c>
      <c r="C646" t="str">
        <f ca="1">OFFSET(Industries!D$1,MATCH(Table1[[#This Row],[Ticker]],Industries!$A$2:$A$150,0),0)</f>
        <v>Software and Services</v>
      </c>
      <c r="D646" t="str">
        <f ca="1">OFFSET(Industries!E$1,MATCH(Table1[[#This Row],[Ticker]],Industries!$A$2:$A$150,0),0)</f>
        <v>Software</v>
      </c>
      <c r="E646" t="s">
        <v>42</v>
      </c>
      <c r="F646" t="str">
        <f ca="1">OFFSET(Industries!B$1,MATCH(Table1[[#This Row],[Ticker]],Industries!$A$2:$A$140,0),0)</f>
        <v>Mega-Cap</v>
      </c>
      <c r="G646" t="str">
        <f ca="1">OFFSET(Industries!F$1,MATCH(Table1[[#This Row],[Ticker]],Industries!$A$2:$A$140,0),0)</f>
        <v>A+</v>
      </c>
      <c r="H646" t="s">
        <v>1434</v>
      </c>
      <c r="I646" t="s">
        <v>1434</v>
      </c>
      <c r="J646" s="2">
        <v>45428</v>
      </c>
      <c r="K646" t="s">
        <v>2</v>
      </c>
      <c r="L646" t="s">
        <v>1708</v>
      </c>
      <c r="M646" t="s">
        <v>1709</v>
      </c>
      <c r="N646" s="1"/>
      <c r="O646" t="s">
        <v>4</v>
      </c>
      <c r="P646" s="3">
        <v>7.0000000000000007E-2</v>
      </c>
      <c r="Q646" s="3"/>
      <c r="R646" t="s">
        <v>28</v>
      </c>
      <c r="S646" t="s">
        <v>1087</v>
      </c>
      <c r="T646" t="s">
        <v>40</v>
      </c>
    </row>
    <row r="647" spans="1:22" x14ac:dyDescent="0.3">
      <c r="A647" t="s">
        <v>419</v>
      </c>
      <c r="B647" t="str">
        <f ca="1">OFFSET(Industries!C$1,MATCH(Table1[[#This Row],[Ticker]],Industries!$A$2:$A$150,0),0)</f>
        <v>Information Technology</v>
      </c>
      <c r="C647" t="str">
        <f ca="1">OFFSET(Industries!D$1,MATCH(Table1[[#This Row],[Ticker]],Industries!$A$2:$A$150,0),0)</f>
        <v>Software and Services</v>
      </c>
      <c r="D647" t="str">
        <f ca="1">OFFSET(Industries!E$1,MATCH(Table1[[#This Row],[Ticker]],Industries!$A$2:$A$150,0),0)</f>
        <v>Software</v>
      </c>
      <c r="E647" t="s">
        <v>42</v>
      </c>
      <c r="F647" t="str">
        <f ca="1">OFFSET(Industries!B$1,MATCH(Table1[[#This Row],[Ticker]],Industries!$A$2:$A$140,0),0)</f>
        <v>Mega-Cap</v>
      </c>
      <c r="G647" t="str">
        <f ca="1">OFFSET(Industries!F$1,MATCH(Table1[[#This Row],[Ticker]],Industries!$A$2:$A$140,0),0)</f>
        <v>A+</v>
      </c>
      <c r="H647" t="s">
        <v>1434</v>
      </c>
      <c r="I647" t="s">
        <v>1434</v>
      </c>
      <c r="J647" s="2">
        <v>45428</v>
      </c>
      <c r="K647" t="s">
        <v>2</v>
      </c>
      <c r="L647" t="s">
        <v>1710</v>
      </c>
      <c r="M647" t="s">
        <v>1709</v>
      </c>
      <c r="N647" s="1">
        <f>Table1[[#This Row],[Consideration Weight]]</f>
        <v>0.54</v>
      </c>
      <c r="O647" t="s">
        <v>476</v>
      </c>
      <c r="P647" s="3">
        <v>0.54</v>
      </c>
      <c r="Q647" s="3" t="s">
        <v>1636</v>
      </c>
      <c r="R647" t="s">
        <v>24</v>
      </c>
      <c r="S647" t="s">
        <v>509</v>
      </c>
      <c r="T647" t="s">
        <v>38</v>
      </c>
      <c r="U647" s="1">
        <v>0.5</v>
      </c>
      <c r="V647" t="s">
        <v>426</v>
      </c>
    </row>
    <row r="648" spans="1:22" x14ac:dyDescent="0.3">
      <c r="A648" t="s">
        <v>419</v>
      </c>
      <c r="B648" t="str">
        <f ca="1">OFFSET(Industries!C$1,MATCH(Table1[[#This Row],[Ticker]],Industries!$A$2:$A$150,0),0)</f>
        <v>Information Technology</v>
      </c>
      <c r="C648" t="str">
        <f ca="1">OFFSET(Industries!D$1,MATCH(Table1[[#This Row],[Ticker]],Industries!$A$2:$A$150,0),0)</f>
        <v>Software and Services</v>
      </c>
      <c r="D648" t="str">
        <f ca="1">OFFSET(Industries!E$1,MATCH(Table1[[#This Row],[Ticker]],Industries!$A$2:$A$150,0),0)</f>
        <v>Software</v>
      </c>
      <c r="E648" t="s">
        <v>42</v>
      </c>
      <c r="F648" t="str">
        <f ca="1">OFFSET(Industries!B$1,MATCH(Table1[[#This Row],[Ticker]],Industries!$A$2:$A$140,0),0)</f>
        <v>Mega-Cap</v>
      </c>
      <c r="G648" t="str">
        <f ca="1">OFFSET(Industries!F$1,MATCH(Table1[[#This Row],[Ticker]],Industries!$A$2:$A$140,0),0)</f>
        <v>A+</v>
      </c>
      <c r="H648" t="s">
        <v>1434</v>
      </c>
      <c r="I648" t="s">
        <v>1434</v>
      </c>
      <c r="J648" s="2">
        <v>45428</v>
      </c>
      <c r="K648" t="s">
        <v>2</v>
      </c>
      <c r="L648" t="s">
        <v>1710</v>
      </c>
      <c r="M648" t="s">
        <v>1709</v>
      </c>
      <c r="N648" s="1"/>
      <c r="O648" t="s">
        <v>476</v>
      </c>
      <c r="P648" s="3">
        <v>0.54</v>
      </c>
      <c r="Q648" s="3" t="s">
        <v>1646</v>
      </c>
      <c r="R648" t="s">
        <v>35</v>
      </c>
      <c r="S648" t="s">
        <v>29</v>
      </c>
      <c r="T648" t="s">
        <v>30</v>
      </c>
      <c r="U648" s="1">
        <v>0.5</v>
      </c>
      <c r="V648" t="s">
        <v>427</v>
      </c>
    </row>
    <row r="649" spans="1:22" x14ac:dyDescent="0.3">
      <c r="A649" t="s">
        <v>419</v>
      </c>
      <c r="B649" t="str">
        <f ca="1">OFFSET(Industries!C$1,MATCH(Table1[[#This Row],[Ticker]],Industries!$A$2:$A$150,0),0)</f>
        <v>Information Technology</v>
      </c>
      <c r="C649" t="str">
        <f ca="1">OFFSET(Industries!D$1,MATCH(Table1[[#This Row],[Ticker]],Industries!$A$2:$A$150,0),0)</f>
        <v>Software and Services</v>
      </c>
      <c r="D649" t="str">
        <f ca="1">OFFSET(Industries!E$1,MATCH(Table1[[#This Row],[Ticker]],Industries!$A$2:$A$150,0),0)</f>
        <v>Software</v>
      </c>
      <c r="E649" t="s">
        <v>42</v>
      </c>
      <c r="F649" t="str">
        <f ca="1">OFFSET(Industries!B$1,MATCH(Table1[[#This Row],[Ticker]],Industries!$A$2:$A$140,0),0)</f>
        <v>Mega-Cap</v>
      </c>
      <c r="G649" t="str">
        <f ca="1">OFFSET(Industries!F$1,MATCH(Table1[[#This Row],[Ticker]],Industries!$A$2:$A$140,0),0)</f>
        <v>A+</v>
      </c>
      <c r="H649" t="s">
        <v>1434</v>
      </c>
      <c r="I649" t="s">
        <v>1434</v>
      </c>
      <c r="J649" s="2">
        <v>45428</v>
      </c>
      <c r="K649" t="s">
        <v>2</v>
      </c>
      <c r="L649" t="s">
        <v>1710</v>
      </c>
      <c r="M649" t="s">
        <v>1709</v>
      </c>
      <c r="N649" s="1"/>
      <c r="O649" t="s">
        <v>476</v>
      </c>
      <c r="P649" s="3">
        <v>0.54</v>
      </c>
      <c r="Q649" s="3"/>
      <c r="R649" t="s">
        <v>28</v>
      </c>
      <c r="S649" t="s">
        <v>1095</v>
      </c>
      <c r="T649" t="s">
        <v>55</v>
      </c>
      <c r="V649" t="s">
        <v>428</v>
      </c>
    </row>
    <row r="650" spans="1:22" x14ac:dyDescent="0.3">
      <c r="A650" t="s">
        <v>419</v>
      </c>
      <c r="B650" t="str">
        <f ca="1">OFFSET(Industries!C$1,MATCH(Table1[[#This Row],[Ticker]],Industries!$A$2:$A$150,0),0)</f>
        <v>Information Technology</v>
      </c>
      <c r="C650" t="str">
        <f ca="1">OFFSET(Industries!D$1,MATCH(Table1[[#This Row],[Ticker]],Industries!$A$2:$A$150,0),0)</f>
        <v>Software and Services</v>
      </c>
      <c r="D650" t="str">
        <f ca="1">OFFSET(Industries!E$1,MATCH(Table1[[#This Row],[Ticker]],Industries!$A$2:$A$150,0),0)</f>
        <v>Software</v>
      </c>
      <c r="E650" t="s">
        <v>42</v>
      </c>
      <c r="F650" t="str">
        <f ca="1">OFFSET(Industries!B$1,MATCH(Table1[[#This Row],[Ticker]],Industries!$A$2:$A$140,0),0)</f>
        <v>Mega-Cap</v>
      </c>
      <c r="G650" t="str">
        <f ca="1">OFFSET(Industries!F$1,MATCH(Table1[[#This Row],[Ticker]],Industries!$A$2:$A$140,0),0)</f>
        <v>A+</v>
      </c>
      <c r="H650" t="s">
        <v>1434</v>
      </c>
      <c r="I650" t="s">
        <v>1434</v>
      </c>
      <c r="J650" s="2">
        <v>45428</v>
      </c>
      <c r="K650" t="s">
        <v>2</v>
      </c>
      <c r="L650" t="s">
        <v>1710</v>
      </c>
      <c r="M650" t="s">
        <v>1711</v>
      </c>
      <c r="N650" s="1">
        <f>Table1[[#This Row],[Consideration Weight]]</f>
        <v>0.36</v>
      </c>
      <c r="O650" t="s">
        <v>87</v>
      </c>
      <c r="P650" s="3">
        <v>0.36</v>
      </c>
      <c r="Q650" s="3"/>
    </row>
    <row r="651" spans="1:22" x14ac:dyDescent="0.3">
      <c r="A651" t="s">
        <v>419</v>
      </c>
      <c r="B651" t="str">
        <f ca="1">OFFSET(Industries!C$1,MATCH(Table1[[#This Row],[Ticker]],Industries!$A$2:$A$150,0),0)</f>
        <v>Information Technology</v>
      </c>
      <c r="C651" t="str">
        <f ca="1">OFFSET(Industries!D$1,MATCH(Table1[[#This Row],[Ticker]],Industries!$A$2:$A$150,0),0)</f>
        <v>Software and Services</v>
      </c>
      <c r="D651" t="str">
        <f ca="1">OFFSET(Industries!E$1,MATCH(Table1[[#This Row],[Ticker]],Industries!$A$2:$A$150,0),0)</f>
        <v>Software</v>
      </c>
      <c r="E651" t="s">
        <v>42</v>
      </c>
      <c r="F651" t="str">
        <f ca="1">OFFSET(Industries!B$1,MATCH(Table1[[#This Row],[Ticker]],Industries!$A$2:$A$140,0),0)</f>
        <v>Mega-Cap</v>
      </c>
      <c r="G651" t="str">
        <f ca="1">OFFSET(Industries!F$1,MATCH(Table1[[#This Row],[Ticker]],Industries!$A$2:$A$140,0),0)</f>
        <v>A+</v>
      </c>
      <c r="H651" t="s">
        <v>1434</v>
      </c>
      <c r="I651" t="s">
        <v>1434</v>
      </c>
      <c r="J651" s="2">
        <v>45428</v>
      </c>
      <c r="K651" t="s">
        <v>21</v>
      </c>
      <c r="L651" t="s">
        <v>3</v>
      </c>
      <c r="M651" t="s">
        <v>1711</v>
      </c>
      <c r="N651" s="1">
        <f>Table1[[#This Row],[Consideration Weight]]</f>
        <v>6.5490350018009597E-2</v>
      </c>
      <c r="O651" t="s">
        <v>3</v>
      </c>
      <c r="P651" s="3">
        <v>6.5490350018009597E-2</v>
      </c>
      <c r="Q651" s="3"/>
    </row>
    <row r="652" spans="1:22" x14ac:dyDescent="0.3">
      <c r="A652" t="s">
        <v>419</v>
      </c>
      <c r="B652" t="str">
        <f ca="1">OFFSET(Industries!C$1,MATCH(Table1[[#This Row],[Ticker]],Industries!$A$2:$A$150,0),0)</f>
        <v>Information Technology</v>
      </c>
      <c r="C652" t="str">
        <f ca="1">OFFSET(Industries!D$1,MATCH(Table1[[#This Row],[Ticker]],Industries!$A$2:$A$150,0),0)</f>
        <v>Software and Services</v>
      </c>
      <c r="D652" t="str">
        <f ca="1">OFFSET(Industries!E$1,MATCH(Table1[[#This Row],[Ticker]],Industries!$A$2:$A$150,0),0)</f>
        <v>Software</v>
      </c>
      <c r="E652" t="s">
        <v>42</v>
      </c>
      <c r="F652" t="str">
        <f ca="1">OFFSET(Industries!B$1,MATCH(Table1[[#This Row],[Ticker]],Industries!$A$2:$A$140,0),0)</f>
        <v>Mega-Cap</v>
      </c>
      <c r="G652" t="str">
        <f ca="1">OFFSET(Industries!F$1,MATCH(Table1[[#This Row],[Ticker]],Industries!$A$2:$A$140,0),0)</f>
        <v>A+</v>
      </c>
      <c r="H652" t="s">
        <v>1434</v>
      </c>
      <c r="I652" t="s">
        <v>1434</v>
      </c>
      <c r="J652" s="2">
        <v>45428</v>
      </c>
      <c r="K652" t="s">
        <v>21</v>
      </c>
      <c r="L652" t="s">
        <v>1708</v>
      </c>
      <c r="M652" t="s">
        <v>1709</v>
      </c>
      <c r="N652" s="1">
        <f>Table1[[#This Row],[Consideration Weight]]</f>
        <v>9.7957770349259718E-2</v>
      </c>
      <c r="O652" t="s">
        <v>4</v>
      </c>
      <c r="P652" s="3">
        <v>9.7957770349259718E-2</v>
      </c>
      <c r="Q652" s="3" t="s">
        <v>1636</v>
      </c>
      <c r="R652" t="s">
        <v>23</v>
      </c>
      <c r="S652" t="s">
        <v>1083</v>
      </c>
      <c r="T652" t="s">
        <v>7</v>
      </c>
      <c r="U652" s="1">
        <v>0.3</v>
      </c>
    </row>
    <row r="653" spans="1:22" x14ac:dyDescent="0.3">
      <c r="A653" t="s">
        <v>419</v>
      </c>
      <c r="B653" t="str">
        <f ca="1">OFFSET(Industries!C$1,MATCH(Table1[[#This Row],[Ticker]],Industries!$A$2:$A$150,0),0)</f>
        <v>Information Technology</v>
      </c>
      <c r="C653" t="str">
        <f ca="1">OFFSET(Industries!D$1,MATCH(Table1[[#This Row],[Ticker]],Industries!$A$2:$A$150,0),0)</f>
        <v>Software and Services</v>
      </c>
      <c r="D653" t="str">
        <f ca="1">OFFSET(Industries!E$1,MATCH(Table1[[#This Row],[Ticker]],Industries!$A$2:$A$150,0),0)</f>
        <v>Software</v>
      </c>
      <c r="E653" t="s">
        <v>42</v>
      </c>
      <c r="F653" t="str">
        <f ca="1">OFFSET(Industries!B$1,MATCH(Table1[[#This Row],[Ticker]],Industries!$A$2:$A$140,0),0)</f>
        <v>Mega-Cap</v>
      </c>
      <c r="G653" t="str">
        <f ca="1">OFFSET(Industries!F$1,MATCH(Table1[[#This Row],[Ticker]],Industries!$A$2:$A$140,0),0)</f>
        <v>A+</v>
      </c>
      <c r="H653" t="s">
        <v>1434</v>
      </c>
      <c r="I653" t="s">
        <v>1434</v>
      </c>
      <c r="J653" s="2">
        <v>45428</v>
      </c>
      <c r="K653" t="s">
        <v>21</v>
      </c>
      <c r="L653" t="s">
        <v>1708</v>
      </c>
      <c r="M653" t="s">
        <v>1709</v>
      </c>
      <c r="N653" s="1"/>
      <c r="O653" t="s">
        <v>4</v>
      </c>
      <c r="P653" s="3">
        <v>9.7957770349259718E-2</v>
      </c>
      <c r="Q653" s="3" t="s">
        <v>1636</v>
      </c>
      <c r="R653" t="s">
        <v>62</v>
      </c>
      <c r="S653" t="s">
        <v>63</v>
      </c>
      <c r="T653" t="s">
        <v>63</v>
      </c>
      <c r="U653" s="1">
        <v>0.3</v>
      </c>
    </row>
    <row r="654" spans="1:22" x14ac:dyDescent="0.3">
      <c r="A654" t="s">
        <v>419</v>
      </c>
      <c r="B654" t="str">
        <f ca="1">OFFSET(Industries!C$1,MATCH(Table1[[#This Row],[Ticker]],Industries!$A$2:$A$150,0),0)</f>
        <v>Information Technology</v>
      </c>
      <c r="C654" t="str">
        <f ca="1">OFFSET(Industries!D$1,MATCH(Table1[[#This Row],[Ticker]],Industries!$A$2:$A$150,0),0)</f>
        <v>Software and Services</v>
      </c>
      <c r="D654" t="str">
        <f ca="1">OFFSET(Industries!E$1,MATCH(Table1[[#This Row],[Ticker]],Industries!$A$2:$A$150,0),0)</f>
        <v>Software</v>
      </c>
      <c r="E654" t="s">
        <v>42</v>
      </c>
      <c r="F654" t="str">
        <f ca="1">OFFSET(Industries!B$1,MATCH(Table1[[#This Row],[Ticker]],Industries!$A$2:$A$140,0),0)</f>
        <v>Mega-Cap</v>
      </c>
      <c r="G654" t="str">
        <f ca="1">OFFSET(Industries!F$1,MATCH(Table1[[#This Row],[Ticker]],Industries!$A$2:$A$140,0),0)</f>
        <v>A+</v>
      </c>
      <c r="H654" t="s">
        <v>1434</v>
      </c>
      <c r="I654" t="s">
        <v>1434</v>
      </c>
      <c r="J654" s="2">
        <v>45428</v>
      </c>
      <c r="K654" t="s">
        <v>21</v>
      </c>
      <c r="L654" t="s">
        <v>1708</v>
      </c>
      <c r="M654" t="s">
        <v>1709</v>
      </c>
      <c r="N654" s="1"/>
      <c r="O654" t="s">
        <v>4</v>
      </c>
      <c r="P654" s="3">
        <v>9.7957770349259718E-2</v>
      </c>
      <c r="Q654" s="3" t="s">
        <v>1636</v>
      </c>
      <c r="R654" t="s">
        <v>24</v>
      </c>
      <c r="S654" t="s">
        <v>90</v>
      </c>
      <c r="T654" t="s">
        <v>8</v>
      </c>
      <c r="U654" s="1">
        <v>0.3</v>
      </c>
    </row>
    <row r="655" spans="1:22" x14ac:dyDescent="0.3">
      <c r="A655" t="s">
        <v>419</v>
      </c>
      <c r="B655" t="str">
        <f ca="1">OFFSET(Industries!C$1,MATCH(Table1[[#This Row],[Ticker]],Industries!$A$2:$A$150,0),0)</f>
        <v>Information Technology</v>
      </c>
      <c r="C655" t="str">
        <f ca="1">OFFSET(Industries!D$1,MATCH(Table1[[#This Row],[Ticker]],Industries!$A$2:$A$150,0),0)</f>
        <v>Software and Services</v>
      </c>
      <c r="D655" t="str">
        <f ca="1">OFFSET(Industries!E$1,MATCH(Table1[[#This Row],[Ticker]],Industries!$A$2:$A$150,0),0)</f>
        <v>Software</v>
      </c>
      <c r="E655" t="s">
        <v>42</v>
      </c>
      <c r="F655" t="str">
        <f ca="1">OFFSET(Industries!B$1,MATCH(Table1[[#This Row],[Ticker]],Industries!$A$2:$A$140,0),0)</f>
        <v>Mega-Cap</v>
      </c>
      <c r="G655" t="str">
        <f ca="1">OFFSET(Industries!F$1,MATCH(Table1[[#This Row],[Ticker]],Industries!$A$2:$A$140,0),0)</f>
        <v>A+</v>
      </c>
      <c r="H655" t="s">
        <v>1434</v>
      </c>
      <c r="I655" t="s">
        <v>1434</v>
      </c>
      <c r="J655" s="2">
        <v>45428</v>
      </c>
      <c r="K655" t="s">
        <v>21</v>
      </c>
      <c r="L655" t="s">
        <v>1708</v>
      </c>
      <c r="M655" t="s">
        <v>1709</v>
      </c>
      <c r="N655" s="1"/>
      <c r="O655" t="s">
        <v>4</v>
      </c>
      <c r="P655" s="3">
        <v>9.7957770349259718E-2</v>
      </c>
      <c r="Q655" s="3" t="s">
        <v>1637</v>
      </c>
      <c r="R655" t="s">
        <v>26</v>
      </c>
      <c r="S655" t="s">
        <v>26</v>
      </c>
      <c r="T655" t="s">
        <v>420</v>
      </c>
      <c r="U655" s="1">
        <v>0.05</v>
      </c>
    </row>
    <row r="656" spans="1:22" x14ac:dyDescent="0.3">
      <c r="A656" t="s">
        <v>419</v>
      </c>
      <c r="B656" t="str">
        <f ca="1">OFFSET(Industries!C$1,MATCH(Table1[[#This Row],[Ticker]],Industries!$A$2:$A$150,0),0)</f>
        <v>Information Technology</v>
      </c>
      <c r="C656" t="str">
        <f ca="1">OFFSET(Industries!D$1,MATCH(Table1[[#This Row],[Ticker]],Industries!$A$2:$A$150,0),0)</f>
        <v>Software and Services</v>
      </c>
      <c r="D656" t="str">
        <f ca="1">OFFSET(Industries!E$1,MATCH(Table1[[#This Row],[Ticker]],Industries!$A$2:$A$150,0),0)</f>
        <v>Software</v>
      </c>
      <c r="E656" t="s">
        <v>42</v>
      </c>
      <c r="F656" t="str">
        <f ca="1">OFFSET(Industries!B$1,MATCH(Table1[[#This Row],[Ticker]],Industries!$A$2:$A$140,0),0)</f>
        <v>Mega-Cap</v>
      </c>
      <c r="G656" t="str">
        <f ca="1">OFFSET(Industries!F$1,MATCH(Table1[[#This Row],[Ticker]],Industries!$A$2:$A$140,0),0)</f>
        <v>A+</v>
      </c>
      <c r="H656" t="s">
        <v>1434</v>
      </c>
      <c r="I656" t="s">
        <v>1434</v>
      </c>
      <c r="J656" s="2">
        <v>45428</v>
      </c>
      <c r="K656" t="s">
        <v>21</v>
      </c>
      <c r="L656" t="s">
        <v>1708</v>
      </c>
      <c r="M656" t="s">
        <v>1709</v>
      </c>
      <c r="N656" s="1"/>
      <c r="O656" t="s">
        <v>4</v>
      </c>
      <c r="P656" s="3">
        <v>9.7957770349259718E-2</v>
      </c>
      <c r="Q656" s="3" t="s">
        <v>1637</v>
      </c>
      <c r="R656" t="s">
        <v>26</v>
      </c>
      <c r="S656" t="s">
        <v>26</v>
      </c>
      <c r="T656" t="s">
        <v>421</v>
      </c>
      <c r="U656" s="1">
        <v>0.05</v>
      </c>
    </row>
    <row r="657" spans="1:22" x14ac:dyDescent="0.3">
      <c r="A657" t="s">
        <v>419</v>
      </c>
      <c r="B657" t="str">
        <f ca="1">OFFSET(Industries!C$1,MATCH(Table1[[#This Row],[Ticker]],Industries!$A$2:$A$150,0),0)</f>
        <v>Information Technology</v>
      </c>
      <c r="C657" t="str">
        <f ca="1">OFFSET(Industries!D$1,MATCH(Table1[[#This Row],[Ticker]],Industries!$A$2:$A$150,0),0)</f>
        <v>Software and Services</v>
      </c>
      <c r="D657" t="str">
        <f ca="1">OFFSET(Industries!E$1,MATCH(Table1[[#This Row],[Ticker]],Industries!$A$2:$A$150,0),0)</f>
        <v>Software</v>
      </c>
      <c r="E657" t="s">
        <v>42</v>
      </c>
      <c r="F657" t="str">
        <f ca="1">OFFSET(Industries!B$1,MATCH(Table1[[#This Row],[Ticker]],Industries!$A$2:$A$140,0),0)</f>
        <v>Mega-Cap</v>
      </c>
      <c r="G657" t="str">
        <f ca="1">OFFSET(Industries!F$1,MATCH(Table1[[#This Row],[Ticker]],Industries!$A$2:$A$140,0),0)</f>
        <v>A+</v>
      </c>
      <c r="H657" t="s">
        <v>1434</v>
      </c>
      <c r="I657" t="s">
        <v>1434</v>
      </c>
      <c r="J657" s="2">
        <v>45428</v>
      </c>
      <c r="K657" t="s">
        <v>21</v>
      </c>
      <c r="L657" t="s">
        <v>1708</v>
      </c>
      <c r="M657" t="s">
        <v>1709</v>
      </c>
      <c r="N657" s="1"/>
      <c r="O657" t="s">
        <v>4</v>
      </c>
      <c r="P657" s="3">
        <v>9.7957770349259718E-2</v>
      </c>
      <c r="Q657" s="3"/>
      <c r="R657" t="s">
        <v>28</v>
      </c>
      <c r="S657" t="s">
        <v>1087</v>
      </c>
      <c r="T657" t="s">
        <v>40</v>
      </c>
    </row>
    <row r="658" spans="1:22" x14ac:dyDescent="0.3">
      <c r="A658" t="s">
        <v>419</v>
      </c>
      <c r="B658" t="str">
        <f ca="1">OFFSET(Industries!C$1,MATCH(Table1[[#This Row],[Ticker]],Industries!$A$2:$A$150,0),0)</f>
        <v>Information Technology</v>
      </c>
      <c r="C658" t="str">
        <f ca="1">OFFSET(Industries!D$1,MATCH(Table1[[#This Row],[Ticker]],Industries!$A$2:$A$150,0),0)</f>
        <v>Software and Services</v>
      </c>
      <c r="D658" t="str">
        <f ca="1">OFFSET(Industries!E$1,MATCH(Table1[[#This Row],[Ticker]],Industries!$A$2:$A$150,0),0)</f>
        <v>Software</v>
      </c>
      <c r="E658" t="s">
        <v>42</v>
      </c>
      <c r="F658" t="str">
        <f ca="1">OFFSET(Industries!B$1,MATCH(Table1[[#This Row],[Ticker]],Industries!$A$2:$A$140,0),0)</f>
        <v>Mega-Cap</v>
      </c>
      <c r="G658" t="str">
        <f ca="1">OFFSET(Industries!F$1,MATCH(Table1[[#This Row],[Ticker]],Industries!$A$2:$A$140,0),0)</f>
        <v>A+</v>
      </c>
      <c r="H658" t="s">
        <v>1434</v>
      </c>
      <c r="I658" t="s">
        <v>1434</v>
      </c>
      <c r="J658" s="2">
        <v>45428</v>
      </c>
      <c r="K658" t="s">
        <v>21</v>
      </c>
      <c r="L658" t="s">
        <v>1710</v>
      </c>
      <c r="M658" t="s">
        <v>1709</v>
      </c>
      <c r="N658" s="1">
        <f>Table1[[#This Row],[Consideration Weight]]</f>
        <v>0.41347593981636532</v>
      </c>
      <c r="O658" t="s">
        <v>476</v>
      </c>
      <c r="P658" s="3">
        <v>0.41347593981636532</v>
      </c>
      <c r="Q658" s="3" t="s">
        <v>1636</v>
      </c>
      <c r="R658" t="s">
        <v>24</v>
      </c>
      <c r="S658" t="s">
        <v>509</v>
      </c>
      <c r="T658" t="s">
        <v>38</v>
      </c>
      <c r="U658" s="1">
        <v>0.5</v>
      </c>
    </row>
    <row r="659" spans="1:22" x14ac:dyDescent="0.3">
      <c r="A659" t="s">
        <v>419</v>
      </c>
      <c r="B659" t="str">
        <f ca="1">OFFSET(Industries!C$1,MATCH(Table1[[#This Row],[Ticker]],Industries!$A$2:$A$150,0),0)</f>
        <v>Information Technology</v>
      </c>
      <c r="C659" t="str">
        <f ca="1">OFFSET(Industries!D$1,MATCH(Table1[[#This Row],[Ticker]],Industries!$A$2:$A$150,0),0)</f>
        <v>Software and Services</v>
      </c>
      <c r="D659" t="str">
        <f ca="1">OFFSET(Industries!E$1,MATCH(Table1[[#This Row],[Ticker]],Industries!$A$2:$A$150,0),0)</f>
        <v>Software</v>
      </c>
      <c r="E659" t="s">
        <v>42</v>
      </c>
      <c r="F659" t="str">
        <f ca="1">OFFSET(Industries!B$1,MATCH(Table1[[#This Row],[Ticker]],Industries!$A$2:$A$140,0),0)</f>
        <v>Mega-Cap</v>
      </c>
      <c r="G659" t="str">
        <f ca="1">OFFSET(Industries!F$1,MATCH(Table1[[#This Row],[Ticker]],Industries!$A$2:$A$140,0),0)</f>
        <v>A+</v>
      </c>
      <c r="H659" t="s">
        <v>1434</v>
      </c>
      <c r="I659" t="s">
        <v>1434</v>
      </c>
      <c r="J659" s="2">
        <v>45428</v>
      </c>
      <c r="K659" t="s">
        <v>21</v>
      </c>
      <c r="L659" t="s">
        <v>1710</v>
      </c>
      <c r="M659" t="s">
        <v>1709</v>
      </c>
      <c r="N659" s="1"/>
      <c r="O659" t="s">
        <v>476</v>
      </c>
      <c r="P659" s="3">
        <v>0.41347593981636532</v>
      </c>
      <c r="Q659" s="3" t="s">
        <v>1646</v>
      </c>
      <c r="R659" t="s">
        <v>35</v>
      </c>
      <c r="S659" t="s">
        <v>29</v>
      </c>
      <c r="T659" t="s">
        <v>30</v>
      </c>
      <c r="U659" s="1">
        <v>0.5</v>
      </c>
    </row>
    <row r="660" spans="1:22" x14ac:dyDescent="0.3">
      <c r="A660" t="s">
        <v>419</v>
      </c>
      <c r="B660" t="str">
        <f ca="1">OFFSET(Industries!C$1,MATCH(Table1[[#This Row],[Ticker]],Industries!$A$2:$A$150,0),0)</f>
        <v>Information Technology</v>
      </c>
      <c r="C660" t="str">
        <f ca="1">OFFSET(Industries!D$1,MATCH(Table1[[#This Row],[Ticker]],Industries!$A$2:$A$150,0),0)</f>
        <v>Software and Services</v>
      </c>
      <c r="D660" t="str">
        <f ca="1">OFFSET(Industries!E$1,MATCH(Table1[[#This Row],[Ticker]],Industries!$A$2:$A$150,0),0)</f>
        <v>Software</v>
      </c>
      <c r="E660" t="s">
        <v>42</v>
      </c>
      <c r="F660" t="str">
        <f ca="1">OFFSET(Industries!B$1,MATCH(Table1[[#This Row],[Ticker]],Industries!$A$2:$A$140,0),0)</f>
        <v>Mega-Cap</v>
      </c>
      <c r="G660" t="str">
        <f ca="1">OFFSET(Industries!F$1,MATCH(Table1[[#This Row],[Ticker]],Industries!$A$2:$A$140,0),0)</f>
        <v>A+</v>
      </c>
      <c r="H660" t="s">
        <v>1434</v>
      </c>
      <c r="I660" t="s">
        <v>1434</v>
      </c>
      <c r="J660" s="2">
        <v>45428</v>
      </c>
      <c r="K660" t="s">
        <v>21</v>
      </c>
      <c r="L660" t="s">
        <v>1710</v>
      </c>
      <c r="M660" t="s">
        <v>1709</v>
      </c>
      <c r="N660" s="1"/>
      <c r="O660" t="s">
        <v>476</v>
      </c>
      <c r="P660" s="3">
        <v>0.41347593981636532</v>
      </c>
      <c r="Q660" s="3"/>
      <c r="R660" t="s">
        <v>28</v>
      </c>
      <c r="S660" t="s">
        <v>1095</v>
      </c>
      <c r="T660" t="s">
        <v>55</v>
      </c>
    </row>
    <row r="661" spans="1:22" x14ac:dyDescent="0.3">
      <c r="A661" t="s">
        <v>419</v>
      </c>
      <c r="B661" t="str">
        <f ca="1">OFFSET(Industries!C$1,MATCH(Table1[[#This Row],[Ticker]],Industries!$A$2:$A$150,0),0)</f>
        <v>Information Technology</v>
      </c>
      <c r="C661" t="str">
        <f ca="1">OFFSET(Industries!D$1,MATCH(Table1[[#This Row],[Ticker]],Industries!$A$2:$A$150,0),0)</f>
        <v>Software and Services</v>
      </c>
      <c r="D661" t="str">
        <f ca="1">OFFSET(Industries!E$1,MATCH(Table1[[#This Row],[Ticker]],Industries!$A$2:$A$150,0),0)</f>
        <v>Software</v>
      </c>
      <c r="E661" t="s">
        <v>42</v>
      </c>
      <c r="F661" t="str">
        <f ca="1">OFFSET(Industries!B$1,MATCH(Table1[[#This Row],[Ticker]],Industries!$A$2:$A$140,0),0)</f>
        <v>Mega-Cap</v>
      </c>
      <c r="G661" t="str">
        <f ca="1">OFFSET(Industries!F$1,MATCH(Table1[[#This Row],[Ticker]],Industries!$A$2:$A$140,0),0)</f>
        <v>A+</v>
      </c>
      <c r="H661" t="s">
        <v>1434</v>
      </c>
      <c r="I661" t="s">
        <v>1434</v>
      </c>
      <c r="J661" s="2">
        <v>45428</v>
      </c>
      <c r="K661" t="s">
        <v>21</v>
      </c>
      <c r="L661" t="s">
        <v>1710</v>
      </c>
      <c r="M661" t="s">
        <v>1711</v>
      </c>
      <c r="N661" s="1">
        <f>Table1[[#This Row],[Consideration Weight]]</f>
        <v>0.32707593981636535</v>
      </c>
      <c r="O661" t="s">
        <v>194</v>
      </c>
      <c r="P661" s="3">
        <v>0.32707593981636535</v>
      </c>
      <c r="Q661" s="3"/>
    </row>
    <row r="662" spans="1:22" x14ac:dyDescent="0.3">
      <c r="A662" t="s">
        <v>419</v>
      </c>
      <c r="B662" t="str">
        <f ca="1">OFFSET(Industries!C$1,MATCH(Table1[[#This Row],[Ticker]],Industries!$A$2:$A$150,0),0)</f>
        <v>Information Technology</v>
      </c>
      <c r="C662" t="str">
        <f ca="1">OFFSET(Industries!D$1,MATCH(Table1[[#This Row],[Ticker]],Industries!$A$2:$A$150,0),0)</f>
        <v>Software and Services</v>
      </c>
      <c r="D662" t="str">
        <f ca="1">OFFSET(Industries!E$1,MATCH(Table1[[#This Row],[Ticker]],Industries!$A$2:$A$150,0),0)</f>
        <v>Software</v>
      </c>
      <c r="E662" t="s">
        <v>42</v>
      </c>
      <c r="F662" t="str">
        <f ca="1">OFFSET(Industries!B$1,MATCH(Table1[[#This Row],[Ticker]],Industries!$A$2:$A$140,0),0)</f>
        <v>Mega-Cap</v>
      </c>
      <c r="G662" t="str">
        <f ca="1">OFFSET(Industries!F$1,MATCH(Table1[[#This Row],[Ticker]],Industries!$A$2:$A$140,0),0)</f>
        <v>A+</v>
      </c>
      <c r="H662" t="s">
        <v>1434</v>
      </c>
      <c r="I662" t="s">
        <v>1434</v>
      </c>
      <c r="J662" s="2">
        <v>45428</v>
      </c>
      <c r="K662" t="s">
        <v>21</v>
      </c>
      <c r="L662" t="s">
        <v>1710</v>
      </c>
      <c r="M662" t="s">
        <v>1711</v>
      </c>
      <c r="N662" s="1">
        <f>Table1[[#This Row],[Consideration Weight]]</f>
        <v>9.6000000000000002E-2</v>
      </c>
      <c r="O662" t="s">
        <v>87</v>
      </c>
      <c r="P662" s="3">
        <v>9.6000000000000002E-2</v>
      </c>
      <c r="Q662" s="3"/>
      <c r="V662" t="s">
        <v>429</v>
      </c>
    </row>
    <row r="663" spans="1:22" x14ac:dyDescent="0.3">
      <c r="A663" t="s">
        <v>430</v>
      </c>
      <c r="B663" t="str">
        <f ca="1">OFFSET(Industries!C$1,MATCH(Table1[[#This Row],[Ticker]],Industries!$A$2:$A$150,0),0)</f>
        <v>Financials</v>
      </c>
      <c r="C663" t="str">
        <f ca="1">OFFSET(Industries!D$1,MATCH(Table1[[#This Row],[Ticker]],Industries!$A$2:$A$150,0),0)</f>
        <v>Financial Services</v>
      </c>
      <c r="D663" t="str">
        <f ca="1">OFFSET(Industries!E$1,MATCH(Table1[[#This Row],[Ticker]],Industries!$A$2:$A$150,0),0)</f>
        <v>Capital Markets</v>
      </c>
      <c r="E663" t="s">
        <v>431</v>
      </c>
      <c r="F663" t="str">
        <f ca="1">OFFSET(Industries!B$1,MATCH(Table1[[#This Row],[Ticker]],Industries!$A$2:$A$140,0),0)</f>
        <v>Mega-Cap</v>
      </c>
      <c r="G663" t="str">
        <f ca="1">OFFSET(Industries!F$1,MATCH(Table1[[#This Row],[Ticker]],Industries!$A$2:$A$140,0),0)</f>
        <v>AA-</v>
      </c>
      <c r="H663" t="s">
        <v>1434</v>
      </c>
      <c r="I663" t="s">
        <v>1434</v>
      </c>
      <c r="J663" s="2">
        <v>45406</v>
      </c>
      <c r="K663" t="s">
        <v>2</v>
      </c>
      <c r="L663" t="s">
        <v>3</v>
      </c>
      <c r="M663" t="s">
        <v>1711</v>
      </c>
      <c r="N663" s="1">
        <f>Table1[[#This Row],[Consideration Weight]]</f>
        <v>0.05</v>
      </c>
      <c r="O663" t="s">
        <v>3</v>
      </c>
      <c r="P663" s="3">
        <v>0.05</v>
      </c>
      <c r="Q663" s="3"/>
    </row>
    <row r="664" spans="1:22" x14ac:dyDescent="0.3">
      <c r="A664" t="s">
        <v>430</v>
      </c>
      <c r="B664" t="str">
        <f ca="1">OFFSET(Industries!C$1,MATCH(Table1[[#This Row],[Ticker]],Industries!$A$2:$A$150,0),0)</f>
        <v>Financials</v>
      </c>
      <c r="C664" t="str">
        <f ca="1">OFFSET(Industries!D$1,MATCH(Table1[[#This Row],[Ticker]],Industries!$A$2:$A$150,0),0)</f>
        <v>Financial Services</v>
      </c>
      <c r="D664" t="str">
        <f ca="1">OFFSET(Industries!E$1,MATCH(Table1[[#This Row],[Ticker]],Industries!$A$2:$A$150,0),0)</f>
        <v>Capital Markets</v>
      </c>
      <c r="E664" t="s">
        <v>431</v>
      </c>
      <c r="F664" t="str">
        <f ca="1">OFFSET(Industries!B$1,MATCH(Table1[[#This Row],[Ticker]],Industries!$A$2:$A$140,0),0)</f>
        <v>Mega-Cap</v>
      </c>
      <c r="G664" t="str">
        <f ca="1">OFFSET(Industries!F$1,MATCH(Table1[[#This Row],[Ticker]],Industries!$A$2:$A$140,0),0)</f>
        <v>AA-</v>
      </c>
      <c r="H664" t="s">
        <v>1434</v>
      </c>
      <c r="I664" t="s">
        <v>1434</v>
      </c>
      <c r="J664" s="2">
        <v>45406</v>
      </c>
      <c r="K664" t="s">
        <v>2</v>
      </c>
      <c r="L664" t="s">
        <v>1708</v>
      </c>
      <c r="M664" t="s">
        <v>1709</v>
      </c>
      <c r="N664" s="1">
        <f>Table1[[#This Row],[Consideration Weight]]</f>
        <v>0.28999999999999998</v>
      </c>
      <c r="O664" t="s">
        <v>4</v>
      </c>
      <c r="P664" s="3">
        <v>0.28999999999999998</v>
      </c>
      <c r="Q664" s="3" t="s">
        <v>1637</v>
      </c>
      <c r="R664" t="s">
        <v>25</v>
      </c>
      <c r="S664" t="s">
        <v>380</v>
      </c>
      <c r="T664" t="s">
        <v>432</v>
      </c>
      <c r="U664" s="1">
        <v>0.5</v>
      </c>
      <c r="V664" t="s">
        <v>438</v>
      </c>
    </row>
    <row r="665" spans="1:22" x14ac:dyDescent="0.3">
      <c r="A665" t="s">
        <v>430</v>
      </c>
      <c r="B665" t="str">
        <f ca="1">OFFSET(Industries!C$1,MATCH(Table1[[#This Row],[Ticker]],Industries!$A$2:$A$150,0),0)</f>
        <v>Financials</v>
      </c>
      <c r="C665" t="str">
        <f ca="1">OFFSET(Industries!D$1,MATCH(Table1[[#This Row],[Ticker]],Industries!$A$2:$A$150,0),0)</f>
        <v>Financial Services</v>
      </c>
      <c r="D665" t="str">
        <f ca="1">OFFSET(Industries!E$1,MATCH(Table1[[#This Row],[Ticker]],Industries!$A$2:$A$150,0),0)</f>
        <v>Capital Markets</v>
      </c>
      <c r="E665" t="s">
        <v>431</v>
      </c>
      <c r="F665" t="str">
        <f ca="1">OFFSET(Industries!B$1,MATCH(Table1[[#This Row],[Ticker]],Industries!$A$2:$A$140,0),0)</f>
        <v>Mega-Cap</v>
      </c>
      <c r="G665" t="str">
        <f ca="1">OFFSET(Industries!F$1,MATCH(Table1[[#This Row],[Ticker]],Industries!$A$2:$A$140,0),0)</f>
        <v>AA-</v>
      </c>
      <c r="H665" t="s">
        <v>1434</v>
      </c>
      <c r="I665" t="s">
        <v>1434</v>
      </c>
      <c r="J665" s="2">
        <v>45406</v>
      </c>
      <c r="K665" t="s">
        <v>2</v>
      </c>
      <c r="L665" t="s">
        <v>1708</v>
      </c>
      <c r="M665" t="s">
        <v>1709</v>
      </c>
      <c r="N665" s="1"/>
      <c r="O665" t="s">
        <v>4</v>
      </c>
      <c r="P665" s="3">
        <v>0.28999999999999998</v>
      </c>
      <c r="Q665" s="3" t="s">
        <v>1637</v>
      </c>
      <c r="R665" t="s">
        <v>25</v>
      </c>
      <c r="S665" t="s">
        <v>380</v>
      </c>
      <c r="T665" t="s">
        <v>433</v>
      </c>
      <c r="U665" s="1">
        <v>0.25</v>
      </c>
      <c r="V665" t="s">
        <v>434</v>
      </c>
    </row>
    <row r="666" spans="1:22" x14ac:dyDescent="0.3">
      <c r="A666" t="s">
        <v>430</v>
      </c>
      <c r="B666" t="str">
        <f ca="1">OFFSET(Industries!C$1,MATCH(Table1[[#This Row],[Ticker]],Industries!$A$2:$A$150,0),0)</f>
        <v>Financials</v>
      </c>
      <c r="C666" t="str">
        <f ca="1">OFFSET(Industries!D$1,MATCH(Table1[[#This Row],[Ticker]],Industries!$A$2:$A$150,0),0)</f>
        <v>Financial Services</v>
      </c>
      <c r="D666" t="str">
        <f ca="1">OFFSET(Industries!E$1,MATCH(Table1[[#This Row],[Ticker]],Industries!$A$2:$A$150,0),0)</f>
        <v>Capital Markets</v>
      </c>
      <c r="E666" t="s">
        <v>431</v>
      </c>
      <c r="F666" t="str">
        <f ca="1">OFFSET(Industries!B$1,MATCH(Table1[[#This Row],[Ticker]],Industries!$A$2:$A$140,0),0)</f>
        <v>Mega-Cap</v>
      </c>
      <c r="G666" t="str">
        <f ca="1">OFFSET(Industries!F$1,MATCH(Table1[[#This Row],[Ticker]],Industries!$A$2:$A$140,0),0)</f>
        <v>AA-</v>
      </c>
      <c r="H666" t="s">
        <v>1434</v>
      </c>
      <c r="I666" t="s">
        <v>1434</v>
      </c>
      <c r="J666" s="2">
        <v>45406</v>
      </c>
      <c r="K666" t="s">
        <v>2</v>
      </c>
      <c r="L666" t="s">
        <v>1708</v>
      </c>
      <c r="M666" t="s">
        <v>1709</v>
      </c>
      <c r="N666" s="1"/>
      <c r="O666" t="s">
        <v>4</v>
      </c>
      <c r="P666" s="3">
        <v>0.28999999999999998</v>
      </c>
      <c r="Q666" s="3" t="s">
        <v>1637</v>
      </c>
      <c r="R666" t="s">
        <v>25</v>
      </c>
      <c r="S666" t="s">
        <v>1086</v>
      </c>
      <c r="T666" t="s">
        <v>435</v>
      </c>
      <c r="U666" s="1">
        <v>0.25</v>
      </c>
      <c r="V666" t="s">
        <v>436</v>
      </c>
    </row>
    <row r="667" spans="1:22" x14ac:dyDescent="0.3">
      <c r="A667" t="s">
        <v>430</v>
      </c>
      <c r="B667" t="str">
        <f ca="1">OFFSET(Industries!C$1,MATCH(Table1[[#This Row],[Ticker]],Industries!$A$2:$A$150,0),0)</f>
        <v>Financials</v>
      </c>
      <c r="C667" t="str">
        <f ca="1">OFFSET(Industries!D$1,MATCH(Table1[[#This Row],[Ticker]],Industries!$A$2:$A$150,0),0)</f>
        <v>Financial Services</v>
      </c>
      <c r="D667" t="str">
        <f ca="1">OFFSET(Industries!E$1,MATCH(Table1[[#This Row],[Ticker]],Industries!$A$2:$A$150,0),0)</f>
        <v>Capital Markets</v>
      </c>
      <c r="E667" t="s">
        <v>431</v>
      </c>
      <c r="F667" t="str">
        <f ca="1">OFFSET(Industries!B$1,MATCH(Table1[[#This Row],[Ticker]],Industries!$A$2:$A$140,0),0)</f>
        <v>Mega-Cap</v>
      </c>
      <c r="G667" t="str">
        <f ca="1">OFFSET(Industries!F$1,MATCH(Table1[[#This Row],[Ticker]],Industries!$A$2:$A$140,0),0)</f>
        <v>AA-</v>
      </c>
      <c r="H667" t="s">
        <v>1434</v>
      </c>
      <c r="I667" t="s">
        <v>1434</v>
      </c>
      <c r="J667" s="2">
        <v>45406</v>
      </c>
      <c r="K667" t="s">
        <v>2</v>
      </c>
      <c r="L667" t="s">
        <v>1708</v>
      </c>
      <c r="M667" t="s">
        <v>1709</v>
      </c>
      <c r="N667" s="1">
        <f>Table1[[#This Row],[Consideration Weight]]</f>
        <v>0.18</v>
      </c>
      <c r="O667" t="s">
        <v>862</v>
      </c>
      <c r="P667" s="3">
        <v>0.18</v>
      </c>
      <c r="Q667" s="3"/>
      <c r="V667" t="s">
        <v>853</v>
      </c>
    </row>
    <row r="668" spans="1:22" x14ac:dyDescent="0.3">
      <c r="A668" t="s">
        <v>430</v>
      </c>
      <c r="B668" t="str">
        <f ca="1">OFFSET(Industries!C$1,MATCH(Table1[[#This Row],[Ticker]],Industries!$A$2:$A$150,0),0)</f>
        <v>Financials</v>
      </c>
      <c r="C668" t="str">
        <f ca="1">OFFSET(Industries!D$1,MATCH(Table1[[#This Row],[Ticker]],Industries!$A$2:$A$150,0),0)</f>
        <v>Financial Services</v>
      </c>
      <c r="D668" t="str">
        <f ca="1">OFFSET(Industries!E$1,MATCH(Table1[[#This Row],[Ticker]],Industries!$A$2:$A$150,0),0)</f>
        <v>Capital Markets</v>
      </c>
      <c r="E668" t="s">
        <v>431</v>
      </c>
      <c r="F668" t="str">
        <f ca="1">OFFSET(Industries!B$1,MATCH(Table1[[#This Row],[Ticker]],Industries!$A$2:$A$140,0),0)</f>
        <v>Mega-Cap</v>
      </c>
      <c r="G668" t="str">
        <f ca="1">OFFSET(Industries!F$1,MATCH(Table1[[#This Row],[Ticker]],Industries!$A$2:$A$140,0),0)</f>
        <v>AA-</v>
      </c>
      <c r="H668" t="s">
        <v>1434</v>
      </c>
      <c r="I668" t="s">
        <v>1434</v>
      </c>
      <c r="J668" s="2">
        <v>45406</v>
      </c>
      <c r="K668" t="s">
        <v>2</v>
      </c>
      <c r="L668" t="s">
        <v>1710</v>
      </c>
      <c r="M668" t="s">
        <v>1709</v>
      </c>
      <c r="N668" s="1">
        <f>Table1[[#This Row],[Consideration Weight]]</f>
        <v>0.48</v>
      </c>
      <c r="O668" t="s">
        <v>476</v>
      </c>
      <c r="P668" s="3">
        <v>0.48</v>
      </c>
      <c r="Q668" s="3" t="s">
        <v>1636</v>
      </c>
      <c r="R668" t="s">
        <v>23</v>
      </c>
      <c r="S668" t="s">
        <v>1083</v>
      </c>
      <c r="T668" t="s">
        <v>437</v>
      </c>
      <c r="U668" s="1">
        <v>0.5</v>
      </c>
      <c r="V668" t="s">
        <v>1717</v>
      </c>
    </row>
    <row r="669" spans="1:22" x14ac:dyDescent="0.3">
      <c r="A669" t="s">
        <v>430</v>
      </c>
      <c r="B669" t="str">
        <f ca="1">OFFSET(Industries!C$1,MATCH(Table1[[#This Row],[Ticker]],Industries!$A$2:$A$150,0),0)</f>
        <v>Financials</v>
      </c>
      <c r="C669" t="str">
        <f ca="1">OFFSET(Industries!D$1,MATCH(Table1[[#This Row],[Ticker]],Industries!$A$2:$A$150,0),0)</f>
        <v>Financial Services</v>
      </c>
      <c r="D669" t="str">
        <f ca="1">OFFSET(Industries!E$1,MATCH(Table1[[#This Row],[Ticker]],Industries!$A$2:$A$150,0),0)</f>
        <v>Capital Markets</v>
      </c>
      <c r="E669" t="s">
        <v>431</v>
      </c>
      <c r="F669" t="str">
        <f ca="1">OFFSET(Industries!B$1,MATCH(Table1[[#This Row],[Ticker]],Industries!$A$2:$A$140,0),0)</f>
        <v>Mega-Cap</v>
      </c>
      <c r="G669" t="str">
        <f ca="1">OFFSET(Industries!F$1,MATCH(Table1[[#This Row],[Ticker]],Industries!$A$2:$A$140,0),0)</f>
        <v>AA-</v>
      </c>
      <c r="H669" t="s">
        <v>1434</v>
      </c>
      <c r="I669" t="s">
        <v>1434</v>
      </c>
      <c r="J669" s="2">
        <v>45406</v>
      </c>
      <c r="K669" t="s">
        <v>2</v>
      </c>
      <c r="L669" t="s">
        <v>1710</v>
      </c>
      <c r="M669" t="s">
        <v>1709</v>
      </c>
      <c r="N669" s="1"/>
      <c r="O669" t="s">
        <v>476</v>
      </c>
      <c r="P669" s="3">
        <v>0.48</v>
      </c>
      <c r="Q669" s="3" t="s">
        <v>1636</v>
      </c>
      <c r="R669" t="s">
        <v>24</v>
      </c>
      <c r="S669" t="s">
        <v>509</v>
      </c>
      <c r="T669" t="s">
        <v>371</v>
      </c>
      <c r="U669" s="1">
        <v>0.5</v>
      </c>
      <c r="V669" t="s">
        <v>439</v>
      </c>
    </row>
    <row r="670" spans="1:22" x14ac:dyDescent="0.3">
      <c r="A670" t="s">
        <v>430</v>
      </c>
      <c r="B670" t="str">
        <f ca="1">OFFSET(Industries!C$1,MATCH(Table1[[#This Row],[Ticker]],Industries!$A$2:$A$150,0),0)</f>
        <v>Financials</v>
      </c>
      <c r="C670" t="str">
        <f ca="1">OFFSET(Industries!D$1,MATCH(Table1[[#This Row],[Ticker]],Industries!$A$2:$A$150,0),0)</f>
        <v>Financial Services</v>
      </c>
      <c r="D670" t="str">
        <f ca="1">OFFSET(Industries!E$1,MATCH(Table1[[#This Row],[Ticker]],Industries!$A$2:$A$150,0),0)</f>
        <v>Capital Markets</v>
      </c>
      <c r="E670" t="s">
        <v>431</v>
      </c>
      <c r="F670" t="str">
        <f ca="1">OFFSET(Industries!B$1,MATCH(Table1[[#This Row],[Ticker]],Industries!$A$2:$A$140,0),0)</f>
        <v>Mega-Cap</v>
      </c>
      <c r="G670" t="str">
        <f ca="1">OFFSET(Industries!F$1,MATCH(Table1[[#This Row],[Ticker]],Industries!$A$2:$A$140,0),0)</f>
        <v>AA-</v>
      </c>
      <c r="H670" t="s">
        <v>1434</v>
      </c>
      <c r="I670" t="s">
        <v>1434</v>
      </c>
      <c r="J670" s="2">
        <v>45406</v>
      </c>
      <c r="K670" t="s">
        <v>21</v>
      </c>
      <c r="L670" t="s">
        <v>3</v>
      </c>
      <c r="M670" t="s">
        <v>1711</v>
      </c>
      <c r="N670" s="1">
        <f>Table1[[#This Row],[Consideration Weight]]</f>
        <v>0.05</v>
      </c>
      <c r="O670" t="s">
        <v>3</v>
      </c>
      <c r="P670" s="3">
        <v>0.05</v>
      </c>
      <c r="Q670" s="3"/>
    </row>
    <row r="671" spans="1:22" x14ac:dyDescent="0.3">
      <c r="A671" t="s">
        <v>430</v>
      </c>
      <c r="B671" t="str">
        <f ca="1">OFFSET(Industries!C$1,MATCH(Table1[[#This Row],[Ticker]],Industries!$A$2:$A$150,0),0)</f>
        <v>Financials</v>
      </c>
      <c r="C671" t="str">
        <f ca="1">OFFSET(Industries!D$1,MATCH(Table1[[#This Row],[Ticker]],Industries!$A$2:$A$150,0),0)</f>
        <v>Financial Services</v>
      </c>
      <c r="D671" t="str">
        <f ca="1">OFFSET(Industries!E$1,MATCH(Table1[[#This Row],[Ticker]],Industries!$A$2:$A$150,0),0)</f>
        <v>Capital Markets</v>
      </c>
      <c r="E671" t="s">
        <v>431</v>
      </c>
      <c r="F671" t="str">
        <f ca="1">OFFSET(Industries!B$1,MATCH(Table1[[#This Row],[Ticker]],Industries!$A$2:$A$140,0),0)</f>
        <v>Mega-Cap</v>
      </c>
      <c r="G671" t="str">
        <f ca="1">OFFSET(Industries!F$1,MATCH(Table1[[#This Row],[Ticker]],Industries!$A$2:$A$140,0),0)</f>
        <v>AA-</v>
      </c>
      <c r="H671" t="s">
        <v>1434</v>
      </c>
      <c r="I671" t="s">
        <v>1434</v>
      </c>
      <c r="J671" s="2">
        <v>45406</v>
      </c>
      <c r="K671" t="s">
        <v>21</v>
      </c>
      <c r="L671" t="s">
        <v>1708</v>
      </c>
      <c r="M671" t="s">
        <v>1709</v>
      </c>
      <c r="N671" s="1">
        <f>Table1[[#This Row],[Consideration Weight]]</f>
        <v>0.28000000000000003</v>
      </c>
      <c r="O671" t="s">
        <v>4</v>
      </c>
      <c r="P671" s="3">
        <v>0.28000000000000003</v>
      </c>
      <c r="Q671" s="3" t="s">
        <v>1637</v>
      </c>
      <c r="R671" t="s">
        <v>25</v>
      </c>
      <c r="S671" t="s">
        <v>380</v>
      </c>
      <c r="T671" t="s">
        <v>432</v>
      </c>
      <c r="U671" s="1">
        <v>0.5</v>
      </c>
    </row>
    <row r="672" spans="1:22" x14ac:dyDescent="0.3">
      <c r="A672" t="s">
        <v>430</v>
      </c>
      <c r="B672" t="str">
        <f ca="1">OFFSET(Industries!C$1,MATCH(Table1[[#This Row],[Ticker]],Industries!$A$2:$A$150,0),0)</f>
        <v>Financials</v>
      </c>
      <c r="C672" t="str">
        <f ca="1">OFFSET(Industries!D$1,MATCH(Table1[[#This Row],[Ticker]],Industries!$A$2:$A$150,0),0)</f>
        <v>Financial Services</v>
      </c>
      <c r="D672" t="str">
        <f ca="1">OFFSET(Industries!E$1,MATCH(Table1[[#This Row],[Ticker]],Industries!$A$2:$A$150,0),0)</f>
        <v>Capital Markets</v>
      </c>
      <c r="E672" t="s">
        <v>431</v>
      </c>
      <c r="F672" t="str">
        <f ca="1">OFFSET(Industries!B$1,MATCH(Table1[[#This Row],[Ticker]],Industries!$A$2:$A$140,0),0)</f>
        <v>Mega-Cap</v>
      </c>
      <c r="G672" t="str">
        <f ca="1">OFFSET(Industries!F$1,MATCH(Table1[[#This Row],[Ticker]],Industries!$A$2:$A$140,0),0)</f>
        <v>AA-</v>
      </c>
      <c r="H672" t="s">
        <v>1434</v>
      </c>
      <c r="I672" t="s">
        <v>1434</v>
      </c>
      <c r="J672" s="2">
        <v>45406</v>
      </c>
      <c r="K672" t="s">
        <v>21</v>
      </c>
      <c r="L672" t="s">
        <v>1708</v>
      </c>
      <c r="M672" t="s">
        <v>1709</v>
      </c>
      <c r="N672" s="1"/>
      <c r="O672" t="s">
        <v>4</v>
      </c>
      <c r="P672" s="3">
        <v>0.28000000000000003</v>
      </c>
      <c r="Q672" s="3" t="s">
        <v>1637</v>
      </c>
      <c r="R672" t="s">
        <v>25</v>
      </c>
      <c r="S672" t="s">
        <v>380</v>
      </c>
      <c r="T672" t="s">
        <v>433</v>
      </c>
      <c r="U672" s="1">
        <v>0.25</v>
      </c>
    </row>
    <row r="673" spans="1:22" x14ac:dyDescent="0.3">
      <c r="A673" t="s">
        <v>430</v>
      </c>
      <c r="B673" t="str">
        <f ca="1">OFFSET(Industries!C$1,MATCH(Table1[[#This Row],[Ticker]],Industries!$A$2:$A$150,0),0)</f>
        <v>Financials</v>
      </c>
      <c r="C673" t="str">
        <f ca="1">OFFSET(Industries!D$1,MATCH(Table1[[#This Row],[Ticker]],Industries!$A$2:$A$150,0),0)</f>
        <v>Financial Services</v>
      </c>
      <c r="D673" t="str">
        <f ca="1">OFFSET(Industries!E$1,MATCH(Table1[[#This Row],[Ticker]],Industries!$A$2:$A$150,0),0)</f>
        <v>Capital Markets</v>
      </c>
      <c r="E673" t="s">
        <v>431</v>
      </c>
      <c r="F673" t="str">
        <f ca="1">OFFSET(Industries!B$1,MATCH(Table1[[#This Row],[Ticker]],Industries!$A$2:$A$140,0),0)</f>
        <v>Mega-Cap</v>
      </c>
      <c r="G673" t="str">
        <f ca="1">OFFSET(Industries!F$1,MATCH(Table1[[#This Row],[Ticker]],Industries!$A$2:$A$140,0),0)</f>
        <v>AA-</v>
      </c>
      <c r="H673" t="s">
        <v>1434</v>
      </c>
      <c r="I673" t="s">
        <v>1434</v>
      </c>
      <c r="J673" s="2">
        <v>45406</v>
      </c>
      <c r="K673" t="s">
        <v>21</v>
      </c>
      <c r="L673" t="s">
        <v>1708</v>
      </c>
      <c r="M673" t="s">
        <v>1709</v>
      </c>
      <c r="N673" s="1"/>
      <c r="O673" t="s">
        <v>4</v>
      </c>
      <c r="P673" s="3">
        <v>0.28000000000000003</v>
      </c>
      <c r="Q673" s="3" t="s">
        <v>1637</v>
      </c>
      <c r="R673" t="s">
        <v>25</v>
      </c>
      <c r="S673" t="s">
        <v>1086</v>
      </c>
      <c r="T673" t="s">
        <v>435</v>
      </c>
      <c r="U673" s="1">
        <v>0.25</v>
      </c>
    </row>
    <row r="674" spans="1:22" x14ac:dyDescent="0.3">
      <c r="A674" t="s">
        <v>430</v>
      </c>
      <c r="B674" t="str">
        <f ca="1">OFFSET(Industries!C$1,MATCH(Table1[[#This Row],[Ticker]],Industries!$A$2:$A$150,0),0)</f>
        <v>Financials</v>
      </c>
      <c r="C674" t="str">
        <f ca="1">OFFSET(Industries!D$1,MATCH(Table1[[#This Row],[Ticker]],Industries!$A$2:$A$150,0),0)</f>
        <v>Financial Services</v>
      </c>
      <c r="D674" t="str">
        <f ca="1">OFFSET(Industries!E$1,MATCH(Table1[[#This Row],[Ticker]],Industries!$A$2:$A$150,0),0)</f>
        <v>Capital Markets</v>
      </c>
      <c r="E674" t="s">
        <v>431</v>
      </c>
      <c r="F674" t="str">
        <f ca="1">OFFSET(Industries!B$1,MATCH(Table1[[#This Row],[Ticker]],Industries!$A$2:$A$140,0),0)</f>
        <v>Mega-Cap</v>
      </c>
      <c r="G674" t="str">
        <f ca="1">OFFSET(Industries!F$1,MATCH(Table1[[#This Row],[Ticker]],Industries!$A$2:$A$140,0),0)</f>
        <v>AA-</v>
      </c>
      <c r="H674" t="s">
        <v>1434</v>
      </c>
      <c r="I674" t="s">
        <v>1434</v>
      </c>
      <c r="J674" s="2">
        <v>45406</v>
      </c>
      <c r="K674" t="s">
        <v>21</v>
      </c>
      <c r="L674" t="s">
        <v>1708</v>
      </c>
      <c r="M674" t="s">
        <v>1709</v>
      </c>
      <c r="N674" s="1">
        <f>Table1[[#This Row],[Consideration Weight]]</f>
        <v>0.18</v>
      </c>
      <c r="O674" t="s">
        <v>862</v>
      </c>
      <c r="P674" s="3">
        <v>0.18</v>
      </c>
      <c r="Q674" s="3"/>
      <c r="V674" t="s">
        <v>853</v>
      </c>
    </row>
    <row r="675" spans="1:22" x14ac:dyDescent="0.3">
      <c r="A675" t="s">
        <v>430</v>
      </c>
      <c r="B675" t="str">
        <f ca="1">OFFSET(Industries!C$1,MATCH(Table1[[#This Row],[Ticker]],Industries!$A$2:$A$150,0),0)</f>
        <v>Financials</v>
      </c>
      <c r="C675" t="str">
        <f ca="1">OFFSET(Industries!D$1,MATCH(Table1[[#This Row],[Ticker]],Industries!$A$2:$A$150,0),0)</f>
        <v>Financial Services</v>
      </c>
      <c r="D675" t="str">
        <f ca="1">OFFSET(Industries!E$1,MATCH(Table1[[#This Row],[Ticker]],Industries!$A$2:$A$150,0),0)</f>
        <v>Capital Markets</v>
      </c>
      <c r="E675" t="s">
        <v>431</v>
      </c>
      <c r="F675" t="str">
        <f ca="1">OFFSET(Industries!B$1,MATCH(Table1[[#This Row],[Ticker]],Industries!$A$2:$A$140,0),0)</f>
        <v>Mega-Cap</v>
      </c>
      <c r="G675" t="str">
        <f ca="1">OFFSET(Industries!F$1,MATCH(Table1[[#This Row],[Ticker]],Industries!$A$2:$A$140,0),0)</f>
        <v>AA-</v>
      </c>
      <c r="H675" t="s">
        <v>1434</v>
      </c>
      <c r="I675" t="s">
        <v>1434</v>
      </c>
      <c r="J675" s="2">
        <v>45406</v>
      </c>
      <c r="K675" t="s">
        <v>21</v>
      </c>
      <c r="L675" t="s">
        <v>1710</v>
      </c>
      <c r="M675" t="s">
        <v>1709</v>
      </c>
      <c r="N675" s="1">
        <f>Table1[[#This Row],[Consideration Weight]]</f>
        <v>0.49</v>
      </c>
      <c r="O675" t="s">
        <v>476</v>
      </c>
      <c r="P675" s="3">
        <v>0.49</v>
      </c>
      <c r="Q675" s="3" t="s">
        <v>1636</v>
      </c>
      <c r="R675" t="s">
        <v>23</v>
      </c>
      <c r="S675" t="s">
        <v>1083</v>
      </c>
      <c r="T675" t="s">
        <v>437</v>
      </c>
      <c r="U675" s="1">
        <v>0.5</v>
      </c>
    </row>
    <row r="676" spans="1:22" x14ac:dyDescent="0.3">
      <c r="A676" t="s">
        <v>430</v>
      </c>
      <c r="B676" t="str">
        <f ca="1">OFFSET(Industries!C$1,MATCH(Table1[[#This Row],[Ticker]],Industries!$A$2:$A$150,0),0)</f>
        <v>Financials</v>
      </c>
      <c r="C676" t="str">
        <f ca="1">OFFSET(Industries!D$1,MATCH(Table1[[#This Row],[Ticker]],Industries!$A$2:$A$150,0),0)</f>
        <v>Financial Services</v>
      </c>
      <c r="D676" t="str">
        <f ca="1">OFFSET(Industries!E$1,MATCH(Table1[[#This Row],[Ticker]],Industries!$A$2:$A$150,0),0)</f>
        <v>Capital Markets</v>
      </c>
      <c r="E676" t="s">
        <v>431</v>
      </c>
      <c r="F676" t="str">
        <f ca="1">OFFSET(Industries!B$1,MATCH(Table1[[#This Row],[Ticker]],Industries!$A$2:$A$140,0),0)</f>
        <v>Mega-Cap</v>
      </c>
      <c r="G676" t="str">
        <f ca="1">OFFSET(Industries!F$1,MATCH(Table1[[#This Row],[Ticker]],Industries!$A$2:$A$140,0),0)</f>
        <v>AA-</v>
      </c>
      <c r="H676" t="s">
        <v>1434</v>
      </c>
      <c r="I676" t="s">
        <v>1434</v>
      </c>
      <c r="J676" s="2">
        <v>45406</v>
      </c>
      <c r="K676" t="s">
        <v>21</v>
      </c>
      <c r="L676" t="s">
        <v>1710</v>
      </c>
      <c r="M676" t="s">
        <v>1709</v>
      </c>
      <c r="N676" s="1"/>
      <c r="O676" t="s">
        <v>476</v>
      </c>
      <c r="P676" s="3">
        <v>0.49</v>
      </c>
      <c r="Q676" s="3" t="s">
        <v>1636</v>
      </c>
      <c r="R676" t="s">
        <v>24</v>
      </c>
      <c r="S676" t="s">
        <v>509</v>
      </c>
      <c r="T676" t="s">
        <v>371</v>
      </c>
      <c r="U676" s="1">
        <v>0.5</v>
      </c>
    </row>
    <row r="677" spans="1:22" x14ac:dyDescent="0.3">
      <c r="A677" t="s">
        <v>430</v>
      </c>
      <c r="B677" t="str">
        <f ca="1">OFFSET(Industries!C$1,MATCH(Table1[[#This Row],[Ticker]],Industries!$A$2:$A$150,0),0)</f>
        <v>Financials</v>
      </c>
      <c r="C677" t="str">
        <f ca="1">OFFSET(Industries!D$1,MATCH(Table1[[#This Row],[Ticker]],Industries!$A$2:$A$150,0),0)</f>
        <v>Financial Services</v>
      </c>
      <c r="D677" t="str">
        <f ca="1">OFFSET(Industries!E$1,MATCH(Table1[[#This Row],[Ticker]],Industries!$A$2:$A$150,0),0)</f>
        <v>Capital Markets</v>
      </c>
      <c r="E677" t="s">
        <v>431</v>
      </c>
      <c r="F677" t="str">
        <f ca="1">OFFSET(Industries!B$1,MATCH(Table1[[#This Row],[Ticker]],Industries!$A$2:$A$140,0),0)</f>
        <v>Mega-Cap</v>
      </c>
      <c r="G677" t="str">
        <f ca="1">OFFSET(Industries!F$1,MATCH(Table1[[#This Row],[Ticker]],Industries!$A$2:$A$140,0),0)</f>
        <v>AA-</v>
      </c>
      <c r="H677" t="s">
        <v>1434</v>
      </c>
      <c r="I677" t="s">
        <v>1434</v>
      </c>
      <c r="J677" s="2">
        <v>45406</v>
      </c>
      <c r="K677" t="s">
        <v>21</v>
      </c>
      <c r="L677" t="s">
        <v>1716</v>
      </c>
      <c r="M677" t="s">
        <v>1709</v>
      </c>
      <c r="N677" s="1"/>
      <c r="O677" t="s">
        <v>462</v>
      </c>
      <c r="Q677" s="1" t="s">
        <v>1646</v>
      </c>
      <c r="R677" t="s">
        <v>35</v>
      </c>
      <c r="S677" t="s">
        <v>491</v>
      </c>
      <c r="T677" t="s">
        <v>1129</v>
      </c>
      <c r="V677" t="s">
        <v>440</v>
      </c>
    </row>
    <row r="678" spans="1:22" x14ac:dyDescent="0.3">
      <c r="A678" t="s">
        <v>430</v>
      </c>
      <c r="B678" t="str">
        <f ca="1">OFFSET(Industries!C$1,MATCH(Table1[[#This Row],[Ticker]],Industries!$A$2:$A$150,0),0)</f>
        <v>Financials</v>
      </c>
      <c r="C678" t="str">
        <f ca="1">OFFSET(Industries!D$1,MATCH(Table1[[#This Row],[Ticker]],Industries!$A$2:$A$150,0),0)</f>
        <v>Financial Services</v>
      </c>
      <c r="D678" t="str">
        <f ca="1">OFFSET(Industries!E$1,MATCH(Table1[[#This Row],[Ticker]],Industries!$A$2:$A$150,0),0)</f>
        <v>Capital Markets</v>
      </c>
      <c r="E678" t="s">
        <v>431</v>
      </c>
      <c r="F678" t="str">
        <f ca="1">OFFSET(Industries!B$1,MATCH(Table1[[#This Row],[Ticker]],Industries!$A$2:$A$140,0),0)</f>
        <v>Mega-Cap</v>
      </c>
      <c r="G678" t="str">
        <f ca="1">OFFSET(Industries!F$1,MATCH(Table1[[#This Row],[Ticker]],Industries!$A$2:$A$140,0),0)</f>
        <v>AA-</v>
      </c>
      <c r="H678" t="s">
        <v>1434</v>
      </c>
      <c r="I678" t="s">
        <v>1434</v>
      </c>
      <c r="J678" s="2">
        <v>45406</v>
      </c>
      <c r="K678" t="s">
        <v>21</v>
      </c>
      <c r="L678" t="s">
        <v>1716</v>
      </c>
      <c r="M678" t="s">
        <v>1709</v>
      </c>
      <c r="N678" s="1"/>
      <c r="O678" t="s">
        <v>462</v>
      </c>
      <c r="Q678" s="1" t="s">
        <v>1636</v>
      </c>
      <c r="R678" t="s">
        <v>23</v>
      </c>
      <c r="S678" t="s">
        <v>1083</v>
      </c>
      <c r="T678" t="s">
        <v>441</v>
      </c>
      <c r="V678" t="s">
        <v>442</v>
      </c>
    </row>
    <row r="679" spans="1:22" x14ac:dyDescent="0.3">
      <c r="A679" t="s">
        <v>443</v>
      </c>
      <c r="B679" t="str">
        <f ca="1">OFFSET(Industries!C$1,MATCH(Table1[[#This Row],[Ticker]],Industries!$A$2:$A$150,0),0)</f>
        <v>Utilities</v>
      </c>
      <c r="C679" t="str">
        <f ca="1">OFFSET(Industries!D$1,MATCH(Table1[[#This Row],[Ticker]],Industries!$A$2:$A$150,0),0)</f>
        <v>Utilities</v>
      </c>
      <c r="D679" t="str">
        <f ca="1">OFFSET(Industries!E$1,MATCH(Table1[[#This Row],[Ticker]],Industries!$A$2:$A$150,0),0)</f>
        <v>Electric Utilities</v>
      </c>
      <c r="E679" t="s">
        <v>444</v>
      </c>
      <c r="F679" t="str">
        <f ca="1">OFFSET(Industries!B$1,MATCH(Table1[[#This Row],[Ticker]],Industries!$A$2:$A$140,0),0)</f>
        <v>Ultra-Cap</v>
      </c>
      <c r="G679" t="s">
        <v>1382</v>
      </c>
      <c r="H679" t="s">
        <v>1434</v>
      </c>
      <c r="I679" t="s">
        <v>1434</v>
      </c>
      <c r="J679" s="2">
        <v>45371</v>
      </c>
      <c r="K679" t="s">
        <v>2</v>
      </c>
      <c r="L679" t="s">
        <v>3</v>
      </c>
      <c r="M679" t="s">
        <v>1711</v>
      </c>
      <c r="N679" s="1">
        <f>Table1[[#This Row],[Consideration Weight]]</f>
        <v>0.09</v>
      </c>
      <c r="O679" t="s">
        <v>3</v>
      </c>
      <c r="P679" s="3">
        <v>0.09</v>
      </c>
      <c r="Q679" s="3"/>
    </row>
    <row r="680" spans="1:22" x14ac:dyDescent="0.3">
      <c r="A680" t="s">
        <v>443</v>
      </c>
      <c r="B680" t="str">
        <f ca="1">OFFSET(Industries!C$1,MATCH(Table1[[#This Row],[Ticker]],Industries!$A$2:$A$150,0),0)</f>
        <v>Utilities</v>
      </c>
      <c r="C680" t="str">
        <f ca="1">OFFSET(Industries!D$1,MATCH(Table1[[#This Row],[Ticker]],Industries!$A$2:$A$150,0),0)</f>
        <v>Utilities</v>
      </c>
      <c r="D680" t="str">
        <f ca="1">OFFSET(Industries!E$1,MATCH(Table1[[#This Row],[Ticker]],Industries!$A$2:$A$150,0),0)</f>
        <v>Electric Utilities</v>
      </c>
      <c r="E680" t="s">
        <v>444</v>
      </c>
      <c r="F680" t="str">
        <f ca="1">OFFSET(Industries!B$1,MATCH(Table1[[#This Row],[Ticker]],Industries!$A$2:$A$140,0),0)</f>
        <v>Ultra-Cap</v>
      </c>
      <c r="G680" t="s">
        <v>1382</v>
      </c>
      <c r="H680" t="s">
        <v>1434</v>
      </c>
      <c r="I680" t="s">
        <v>1434</v>
      </c>
      <c r="J680" s="2">
        <v>45371</v>
      </c>
      <c r="K680" t="s">
        <v>2</v>
      </c>
      <c r="L680" t="s">
        <v>1708</v>
      </c>
      <c r="M680" t="s">
        <v>1709</v>
      </c>
      <c r="N680" s="1">
        <f>Table1[[#This Row],[Consideration Weight]]</f>
        <v>0.14000000000000001</v>
      </c>
      <c r="O680" t="s">
        <v>4</v>
      </c>
      <c r="P680" s="3">
        <v>0.14000000000000001</v>
      </c>
      <c r="Q680" s="3" t="s">
        <v>1636</v>
      </c>
      <c r="R680" t="s">
        <v>24</v>
      </c>
      <c r="S680" t="s">
        <v>90</v>
      </c>
      <c r="T680" t="s">
        <v>8</v>
      </c>
      <c r="U680" s="1">
        <v>0.7</v>
      </c>
      <c r="V680" t="s">
        <v>453</v>
      </c>
    </row>
    <row r="681" spans="1:22" x14ac:dyDescent="0.3">
      <c r="A681" t="s">
        <v>443</v>
      </c>
      <c r="B681" t="str">
        <f ca="1">OFFSET(Industries!C$1,MATCH(Table1[[#This Row],[Ticker]],Industries!$A$2:$A$150,0),0)</f>
        <v>Utilities</v>
      </c>
      <c r="C681" t="str">
        <f ca="1">OFFSET(Industries!D$1,MATCH(Table1[[#This Row],[Ticker]],Industries!$A$2:$A$150,0),0)</f>
        <v>Utilities</v>
      </c>
      <c r="D681" t="str">
        <f ca="1">OFFSET(Industries!E$1,MATCH(Table1[[#This Row],[Ticker]],Industries!$A$2:$A$150,0),0)</f>
        <v>Electric Utilities</v>
      </c>
      <c r="E681" t="s">
        <v>444</v>
      </c>
      <c r="F681" t="str">
        <f ca="1">OFFSET(Industries!B$1,MATCH(Table1[[#This Row],[Ticker]],Industries!$A$2:$A$140,0),0)</f>
        <v>Ultra-Cap</v>
      </c>
      <c r="G681" t="s">
        <v>1382</v>
      </c>
      <c r="H681" t="s">
        <v>1434</v>
      </c>
      <c r="I681" t="s">
        <v>1434</v>
      </c>
      <c r="J681" s="2">
        <v>45371</v>
      </c>
      <c r="K681" t="s">
        <v>2</v>
      </c>
      <c r="L681" t="s">
        <v>1708</v>
      </c>
      <c r="M681" t="s">
        <v>1709</v>
      </c>
      <c r="N681" s="1"/>
      <c r="O681" t="s">
        <v>4</v>
      </c>
      <c r="P681" s="3">
        <v>0.14000000000000001</v>
      </c>
      <c r="Q681" s="3" t="s">
        <v>1636</v>
      </c>
      <c r="R681" t="s">
        <v>25</v>
      </c>
      <c r="S681" t="s">
        <v>1086</v>
      </c>
      <c r="T681" t="s">
        <v>452</v>
      </c>
      <c r="U681" s="1">
        <v>0.1</v>
      </c>
    </row>
    <row r="682" spans="1:22" x14ac:dyDescent="0.3">
      <c r="A682" t="s">
        <v>443</v>
      </c>
      <c r="B682" t="str">
        <f ca="1">OFFSET(Industries!C$1,MATCH(Table1[[#This Row],[Ticker]],Industries!$A$2:$A$150,0),0)</f>
        <v>Utilities</v>
      </c>
      <c r="C682" t="str">
        <f ca="1">OFFSET(Industries!D$1,MATCH(Table1[[#This Row],[Ticker]],Industries!$A$2:$A$150,0),0)</f>
        <v>Utilities</v>
      </c>
      <c r="D682" t="str">
        <f ca="1">OFFSET(Industries!E$1,MATCH(Table1[[#This Row],[Ticker]],Industries!$A$2:$A$150,0),0)</f>
        <v>Electric Utilities</v>
      </c>
      <c r="E682" t="s">
        <v>444</v>
      </c>
      <c r="F682" t="str">
        <f ca="1">OFFSET(Industries!B$1,MATCH(Table1[[#This Row],[Ticker]],Industries!$A$2:$A$140,0),0)</f>
        <v>Ultra-Cap</v>
      </c>
      <c r="G682" t="s">
        <v>1382</v>
      </c>
      <c r="H682" t="s">
        <v>1434</v>
      </c>
      <c r="I682" t="s">
        <v>1434</v>
      </c>
      <c r="J682" s="2">
        <v>45371</v>
      </c>
      <c r="K682" t="s">
        <v>2</v>
      </c>
      <c r="L682" t="s">
        <v>1708</v>
      </c>
      <c r="M682" t="s">
        <v>1709</v>
      </c>
      <c r="N682" s="1"/>
      <c r="O682" t="s">
        <v>4</v>
      </c>
      <c r="P682" s="3">
        <v>0.14000000000000001</v>
      </c>
      <c r="Q682" s="3" t="s">
        <v>1637</v>
      </c>
      <c r="R682" t="s">
        <v>25</v>
      </c>
      <c r="S682" t="s">
        <v>1130</v>
      </c>
      <c r="T682" t="s">
        <v>451</v>
      </c>
      <c r="U682" s="1">
        <v>0.1</v>
      </c>
      <c r="V682" t="s">
        <v>446</v>
      </c>
    </row>
    <row r="683" spans="1:22" x14ac:dyDescent="0.3">
      <c r="A683" t="s">
        <v>443</v>
      </c>
      <c r="B683" t="str">
        <f ca="1">OFFSET(Industries!C$1,MATCH(Table1[[#This Row],[Ticker]],Industries!$A$2:$A$150,0),0)</f>
        <v>Utilities</v>
      </c>
      <c r="C683" t="str">
        <f ca="1">OFFSET(Industries!D$1,MATCH(Table1[[#This Row],[Ticker]],Industries!$A$2:$A$150,0),0)</f>
        <v>Utilities</v>
      </c>
      <c r="D683" t="str">
        <f ca="1">OFFSET(Industries!E$1,MATCH(Table1[[#This Row],[Ticker]],Industries!$A$2:$A$150,0),0)</f>
        <v>Electric Utilities</v>
      </c>
      <c r="E683" t="s">
        <v>444</v>
      </c>
      <c r="F683" t="str">
        <f ca="1">OFFSET(Industries!B$1,MATCH(Table1[[#This Row],[Ticker]],Industries!$A$2:$A$140,0),0)</f>
        <v>Ultra-Cap</v>
      </c>
      <c r="G683" t="s">
        <v>1382</v>
      </c>
      <c r="H683" t="s">
        <v>1434</v>
      </c>
      <c r="I683" t="s">
        <v>1434</v>
      </c>
      <c r="J683" s="2">
        <v>45371</v>
      </c>
      <c r="K683" t="s">
        <v>2</v>
      </c>
      <c r="L683" t="s">
        <v>1708</v>
      </c>
      <c r="M683" t="s">
        <v>1709</v>
      </c>
      <c r="N683" s="1"/>
      <c r="O683" t="s">
        <v>4</v>
      </c>
      <c r="P683" s="3">
        <v>0.14000000000000001</v>
      </c>
      <c r="Q683" s="3" t="s">
        <v>1637</v>
      </c>
      <c r="R683" t="s">
        <v>25</v>
      </c>
      <c r="S683" t="s">
        <v>1086</v>
      </c>
      <c r="T683" t="s">
        <v>454</v>
      </c>
      <c r="U683" s="1">
        <v>7.0000000000000007E-2</v>
      </c>
    </row>
    <row r="684" spans="1:22" x14ac:dyDescent="0.3">
      <c r="A684" t="s">
        <v>443</v>
      </c>
      <c r="B684" t="str">
        <f ca="1">OFFSET(Industries!C$1,MATCH(Table1[[#This Row],[Ticker]],Industries!$A$2:$A$150,0),0)</f>
        <v>Utilities</v>
      </c>
      <c r="C684" t="str">
        <f ca="1">OFFSET(Industries!D$1,MATCH(Table1[[#This Row],[Ticker]],Industries!$A$2:$A$150,0),0)</f>
        <v>Utilities</v>
      </c>
      <c r="D684" t="str">
        <f ca="1">OFFSET(Industries!E$1,MATCH(Table1[[#This Row],[Ticker]],Industries!$A$2:$A$150,0),0)</f>
        <v>Electric Utilities</v>
      </c>
      <c r="E684" t="s">
        <v>444</v>
      </c>
      <c r="F684" t="str">
        <f ca="1">OFFSET(Industries!B$1,MATCH(Table1[[#This Row],[Ticker]],Industries!$A$2:$A$140,0),0)</f>
        <v>Ultra-Cap</v>
      </c>
      <c r="G684" t="s">
        <v>1382</v>
      </c>
      <c r="H684" t="s">
        <v>1434</v>
      </c>
      <c r="I684" t="s">
        <v>1434</v>
      </c>
      <c r="J684" s="2">
        <v>45371</v>
      </c>
      <c r="K684" t="s">
        <v>2</v>
      </c>
      <c r="L684" t="s">
        <v>1708</v>
      </c>
      <c r="M684" t="s">
        <v>1709</v>
      </c>
      <c r="N684" s="1"/>
      <c r="O684" t="s">
        <v>4</v>
      </c>
      <c r="P684" s="3">
        <v>0.14000000000000001</v>
      </c>
      <c r="Q684" s="3" t="s">
        <v>1637</v>
      </c>
      <c r="R684" t="s">
        <v>25</v>
      </c>
      <c r="S684" t="s">
        <v>1086</v>
      </c>
      <c r="T684" t="s">
        <v>445</v>
      </c>
      <c r="U684" s="1">
        <v>0.03</v>
      </c>
    </row>
    <row r="685" spans="1:22" x14ac:dyDescent="0.3">
      <c r="A685" t="s">
        <v>443</v>
      </c>
      <c r="B685" t="str">
        <f ca="1">OFFSET(Industries!C$1,MATCH(Table1[[#This Row],[Ticker]],Industries!$A$2:$A$150,0),0)</f>
        <v>Utilities</v>
      </c>
      <c r="C685" t="str">
        <f ca="1">OFFSET(Industries!D$1,MATCH(Table1[[#This Row],[Ticker]],Industries!$A$2:$A$150,0),0)</f>
        <v>Utilities</v>
      </c>
      <c r="D685" t="str">
        <f ca="1">OFFSET(Industries!E$1,MATCH(Table1[[#This Row],[Ticker]],Industries!$A$2:$A$150,0),0)</f>
        <v>Electric Utilities</v>
      </c>
      <c r="E685" t="s">
        <v>444</v>
      </c>
      <c r="F685" t="str">
        <f ca="1">OFFSET(Industries!B$1,MATCH(Table1[[#This Row],[Ticker]],Industries!$A$2:$A$140,0),0)</f>
        <v>Ultra-Cap</v>
      </c>
      <c r="G685" t="s">
        <v>1382</v>
      </c>
      <c r="H685" t="s">
        <v>1434</v>
      </c>
      <c r="I685" t="s">
        <v>1434</v>
      </c>
      <c r="J685" s="2">
        <v>45371</v>
      </c>
      <c r="K685" t="s">
        <v>2</v>
      </c>
      <c r="L685" t="s">
        <v>1710</v>
      </c>
      <c r="M685" t="s">
        <v>1709</v>
      </c>
      <c r="N685" s="1">
        <f>Table1[[#This Row],[Consideration Weight]]</f>
        <v>0.52</v>
      </c>
      <c r="O685" t="s">
        <v>476</v>
      </c>
      <c r="P685" s="3">
        <v>0.52</v>
      </c>
      <c r="Q685" s="3" t="s">
        <v>1636</v>
      </c>
      <c r="R685" t="s">
        <v>62</v>
      </c>
      <c r="S685" t="s">
        <v>129</v>
      </c>
      <c r="T685" t="s">
        <v>449</v>
      </c>
      <c r="U685" s="1">
        <v>0.67</v>
      </c>
      <c r="V685" t="s">
        <v>450</v>
      </c>
    </row>
    <row r="686" spans="1:22" x14ac:dyDescent="0.3">
      <c r="A686" t="s">
        <v>443</v>
      </c>
      <c r="B686" t="str">
        <f ca="1">OFFSET(Industries!C$1,MATCH(Table1[[#This Row],[Ticker]],Industries!$A$2:$A$150,0),0)</f>
        <v>Utilities</v>
      </c>
      <c r="C686" t="str">
        <f ca="1">OFFSET(Industries!D$1,MATCH(Table1[[#This Row],[Ticker]],Industries!$A$2:$A$150,0),0)</f>
        <v>Utilities</v>
      </c>
      <c r="D686" t="str">
        <f ca="1">OFFSET(Industries!E$1,MATCH(Table1[[#This Row],[Ticker]],Industries!$A$2:$A$150,0),0)</f>
        <v>Electric Utilities</v>
      </c>
      <c r="E686" t="s">
        <v>444</v>
      </c>
      <c r="F686" t="str">
        <f ca="1">OFFSET(Industries!B$1,MATCH(Table1[[#This Row],[Ticker]],Industries!$A$2:$A$140,0),0)</f>
        <v>Ultra-Cap</v>
      </c>
      <c r="G686" t="s">
        <v>1382</v>
      </c>
      <c r="H686" t="s">
        <v>1434</v>
      </c>
      <c r="I686" t="s">
        <v>1434</v>
      </c>
      <c r="J686" s="2">
        <v>45371</v>
      </c>
      <c r="K686" t="s">
        <v>2</v>
      </c>
      <c r="L686" t="s">
        <v>1710</v>
      </c>
      <c r="M686" t="s">
        <v>1709</v>
      </c>
      <c r="N686" s="1"/>
      <c r="O686" t="s">
        <v>476</v>
      </c>
      <c r="P686" s="3">
        <v>0.52</v>
      </c>
      <c r="Q686" s="3" t="s">
        <v>1646</v>
      </c>
      <c r="R686" t="s">
        <v>35</v>
      </c>
      <c r="S686" t="s">
        <v>29</v>
      </c>
      <c r="T686" t="s">
        <v>200</v>
      </c>
      <c r="U686" s="1">
        <v>0.33</v>
      </c>
      <c r="V686" t="s">
        <v>73</v>
      </c>
    </row>
    <row r="687" spans="1:22" x14ac:dyDescent="0.3">
      <c r="A687" t="s">
        <v>443</v>
      </c>
      <c r="B687" t="str">
        <f ca="1">OFFSET(Industries!C$1,MATCH(Table1[[#This Row],[Ticker]],Industries!$A$2:$A$150,0),0)</f>
        <v>Utilities</v>
      </c>
      <c r="C687" t="str">
        <f ca="1">OFFSET(Industries!D$1,MATCH(Table1[[#This Row],[Ticker]],Industries!$A$2:$A$150,0),0)</f>
        <v>Utilities</v>
      </c>
      <c r="D687" t="str">
        <f ca="1">OFFSET(Industries!E$1,MATCH(Table1[[#This Row],[Ticker]],Industries!$A$2:$A$150,0),0)</f>
        <v>Electric Utilities</v>
      </c>
      <c r="E687" t="s">
        <v>444</v>
      </c>
      <c r="F687" t="str">
        <f ca="1">OFFSET(Industries!B$1,MATCH(Table1[[#This Row],[Ticker]],Industries!$A$2:$A$140,0),0)</f>
        <v>Ultra-Cap</v>
      </c>
      <c r="G687" t="s">
        <v>1382</v>
      </c>
      <c r="H687" t="s">
        <v>1434</v>
      </c>
      <c r="I687" t="s">
        <v>1434</v>
      </c>
      <c r="J687" s="2">
        <v>45371</v>
      </c>
      <c r="K687" t="s">
        <v>2</v>
      </c>
      <c r="L687" t="s">
        <v>1710</v>
      </c>
      <c r="M687" t="s">
        <v>1709</v>
      </c>
      <c r="N687" s="1"/>
      <c r="O687" t="s">
        <v>476</v>
      </c>
      <c r="P687" s="3">
        <v>0.52</v>
      </c>
      <c r="Q687" s="3"/>
      <c r="R687" t="s">
        <v>28</v>
      </c>
      <c r="S687" t="s">
        <v>1131</v>
      </c>
      <c r="T687" t="s">
        <v>448</v>
      </c>
      <c r="V687" t="s">
        <v>1132</v>
      </c>
    </row>
    <row r="688" spans="1:22" x14ac:dyDescent="0.3">
      <c r="A688" t="s">
        <v>443</v>
      </c>
      <c r="B688" t="str">
        <f ca="1">OFFSET(Industries!C$1,MATCH(Table1[[#This Row],[Ticker]],Industries!$A$2:$A$150,0),0)</f>
        <v>Utilities</v>
      </c>
      <c r="C688" t="str">
        <f ca="1">OFFSET(Industries!D$1,MATCH(Table1[[#This Row],[Ticker]],Industries!$A$2:$A$150,0),0)</f>
        <v>Utilities</v>
      </c>
      <c r="D688" t="str">
        <f ca="1">OFFSET(Industries!E$1,MATCH(Table1[[#This Row],[Ticker]],Industries!$A$2:$A$150,0),0)</f>
        <v>Electric Utilities</v>
      </c>
      <c r="E688" t="s">
        <v>444</v>
      </c>
      <c r="F688" t="str">
        <f ca="1">OFFSET(Industries!B$1,MATCH(Table1[[#This Row],[Ticker]],Industries!$A$2:$A$140,0),0)</f>
        <v>Ultra-Cap</v>
      </c>
      <c r="G688" t="s">
        <v>1382</v>
      </c>
      <c r="H688" t="s">
        <v>1434</v>
      </c>
      <c r="I688" t="s">
        <v>1434</v>
      </c>
      <c r="J688" s="2">
        <v>45371</v>
      </c>
      <c r="K688" t="s">
        <v>2</v>
      </c>
      <c r="L688" t="s">
        <v>1710</v>
      </c>
      <c r="M688" t="s">
        <v>1711</v>
      </c>
      <c r="N688" s="1">
        <f>Table1[[#This Row],[Consideration Weight]]</f>
        <v>0.25</v>
      </c>
      <c r="O688" t="s">
        <v>194</v>
      </c>
      <c r="P688" s="3">
        <v>0.25</v>
      </c>
      <c r="Q688" s="3"/>
    </row>
    <row r="689" spans="1:22" x14ac:dyDescent="0.3">
      <c r="A689" t="s">
        <v>443</v>
      </c>
      <c r="B689" t="str">
        <f ca="1">OFFSET(Industries!C$1,MATCH(Table1[[#This Row],[Ticker]],Industries!$A$2:$A$150,0),0)</f>
        <v>Utilities</v>
      </c>
      <c r="C689" t="str">
        <f ca="1">OFFSET(Industries!D$1,MATCH(Table1[[#This Row],[Ticker]],Industries!$A$2:$A$150,0),0)</f>
        <v>Utilities</v>
      </c>
      <c r="D689" t="str">
        <f ca="1">OFFSET(Industries!E$1,MATCH(Table1[[#This Row],[Ticker]],Industries!$A$2:$A$150,0),0)</f>
        <v>Electric Utilities</v>
      </c>
      <c r="E689" t="s">
        <v>444</v>
      </c>
      <c r="F689" t="str">
        <f ca="1">OFFSET(Industries!B$1,MATCH(Table1[[#This Row],[Ticker]],Industries!$A$2:$A$140,0),0)</f>
        <v>Ultra-Cap</v>
      </c>
      <c r="G689" t="s">
        <v>1382</v>
      </c>
      <c r="H689" t="s">
        <v>1434</v>
      </c>
      <c r="I689" t="s">
        <v>1434</v>
      </c>
      <c r="J689" s="2">
        <v>45371</v>
      </c>
      <c r="K689" t="s">
        <v>21</v>
      </c>
      <c r="L689" t="s">
        <v>3</v>
      </c>
      <c r="M689" t="s">
        <v>1711</v>
      </c>
      <c r="N689" s="1">
        <f>Table1[[#This Row],[Consideration Weight]]</f>
        <v>0.21</v>
      </c>
      <c r="O689" t="s">
        <v>3</v>
      </c>
      <c r="P689" s="3">
        <v>0.21</v>
      </c>
      <c r="Q689" s="3"/>
    </row>
    <row r="690" spans="1:22" x14ac:dyDescent="0.3">
      <c r="A690" t="s">
        <v>443</v>
      </c>
      <c r="B690" t="str">
        <f ca="1">OFFSET(Industries!C$1,MATCH(Table1[[#This Row],[Ticker]],Industries!$A$2:$A$150,0),0)</f>
        <v>Utilities</v>
      </c>
      <c r="C690" t="str">
        <f ca="1">OFFSET(Industries!D$1,MATCH(Table1[[#This Row],[Ticker]],Industries!$A$2:$A$150,0),0)</f>
        <v>Utilities</v>
      </c>
      <c r="D690" t="str">
        <f ca="1">OFFSET(Industries!E$1,MATCH(Table1[[#This Row],[Ticker]],Industries!$A$2:$A$150,0),0)</f>
        <v>Electric Utilities</v>
      </c>
      <c r="E690" t="s">
        <v>444</v>
      </c>
      <c r="F690" t="str">
        <f ca="1">OFFSET(Industries!B$1,MATCH(Table1[[#This Row],[Ticker]],Industries!$A$2:$A$140,0),0)</f>
        <v>Ultra-Cap</v>
      </c>
      <c r="G690" t="s">
        <v>1382</v>
      </c>
      <c r="H690" t="s">
        <v>1434</v>
      </c>
      <c r="I690" t="s">
        <v>1434</v>
      </c>
      <c r="J690" s="2">
        <v>45371</v>
      </c>
      <c r="K690" t="s">
        <v>21</v>
      </c>
      <c r="L690" t="s">
        <v>1708</v>
      </c>
      <c r="M690" t="s">
        <v>1709</v>
      </c>
      <c r="N690" s="1">
        <f>Table1[[#This Row],[Consideration Weight]]</f>
        <v>0.19</v>
      </c>
      <c r="O690" t="s">
        <v>4</v>
      </c>
      <c r="P690" s="3">
        <v>0.19</v>
      </c>
      <c r="Q690" s="3" t="s">
        <v>1636</v>
      </c>
      <c r="R690" t="s">
        <v>24</v>
      </c>
      <c r="S690" t="s">
        <v>90</v>
      </c>
      <c r="T690" t="s">
        <v>8</v>
      </c>
      <c r="U690" s="1">
        <v>0.7</v>
      </c>
    </row>
    <row r="691" spans="1:22" x14ac:dyDescent="0.3">
      <c r="A691" t="s">
        <v>443</v>
      </c>
      <c r="B691" t="str">
        <f ca="1">OFFSET(Industries!C$1,MATCH(Table1[[#This Row],[Ticker]],Industries!$A$2:$A$150,0),0)</f>
        <v>Utilities</v>
      </c>
      <c r="C691" t="str">
        <f ca="1">OFFSET(Industries!D$1,MATCH(Table1[[#This Row],[Ticker]],Industries!$A$2:$A$150,0),0)</f>
        <v>Utilities</v>
      </c>
      <c r="D691" t="str">
        <f ca="1">OFFSET(Industries!E$1,MATCH(Table1[[#This Row],[Ticker]],Industries!$A$2:$A$150,0),0)</f>
        <v>Electric Utilities</v>
      </c>
      <c r="E691" t="s">
        <v>444</v>
      </c>
      <c r="F691" t="str">
        <f ca="1">OFFSET(Industries!B$1,MATCH(Table1[[#This Row],[Ticker]],Industries!$A$2:$A$140,0),0)</f>
        <v>Ultra-Cap</v>
      </c>
      <c r="G691" t="s">
        <v>1382</v>
      </c>
      <c r="H691" t="s">
        <v>1434</v>
      </c>
      <c r="I691" t="s">
        <v>1434</v>
      </c>
      <c r="J691" s="2">
        <v>45371</v>
      </c>
      <c r="K691" t="s">
        <v>21</v>
      </c>
      <c r="L691" t="s">
        <v>1708</v>
      </c>
      <c r="M691" t="s">
        <v>1709</v>
      </c>
      <c r="N691" s="1"/>
      <c r="O691" t="s">
        <v>4</v>
      </c>
      <c r="P691" s="3">
        <v>0.19</v>
      </c>
      <c r="Q691" s="3" t="s">
        <v>1636</v>
      </c>
      <c r="R691" t="s">
        <v>25</v>
      </c>
      <c r="S691" t="s">
        <v>1086</v>
      </c>
      <c r="T691" t="s">
        <v>452</v>
      </c>
      <c r="U691" s="1">
        <v>0.1</v>
      </c>
    </row>
    <row r="692" spans="1:22" x14ac:dyDescent="0.3">
      <c r="A692" t="s">
        <v>443</v>
      </c>
      <c r="B692" t="str">
        <f ca="1">OFFSET(Industries!C$1,MATCH(Table1[[#This Row],[Ticker]],Industries!$A$2:$A$150,0),0)</f>
        <v>Utilities</v>
      </c>
      <c r="C692" t="str">
        <f ca="1">OFFSET(Industries!D$1,MATCH(Table1[[#This Row],[Ticker]],Industries!$A$2:$A$150,0),0)</f>
        <v>Utilities</v>
      </c>
      <c r="D692" t="str">
        <f ca="1">OFFSET(Industries!E$1,MATCH(Table1[[#This Row],[Ticker]],Industries!$A$2:$A$150,0),0)</f>
        <v>Electric Utilities</v>
      </c>
      <c r="E692" t="s">
        <v>444</v>
      </c>
      <c r="F692" t="str">
        <f ca="1">OFFSET(Industries!B$1,MATCH(Table1[[#This Row],[Ticker]],Industries!$A$2:$A$140,0),0)</f>
        <v>Ultra-Cap</v>
      </c>
      <c r="G692" t="s">
        <v>1382</v>
      </c>
      <c r="H692" t="s">
        <v>1434</v>
      </c>
      <c r="I692" t="s">
        <v>1434</v>
      </c>
      <c r="J692" s="2">
        <v>45371</v>
      </c>
      <c r="K692" t="s">
        <v>21</v>
      </c>
      <c r="L692" t="s">
        <v>1708</v>
      </c>
      <c r="M692" t="s">
        <v>1709</v>
      </c>
      <c r="N692" s="1"/>
      <c r="O692" t="s">
        <v>4</v>
      </c>
      <c r="P692" s="3">
        <v>0.19</v>
      </c>
      <c r="Q692" s="3" t="s">
        <v>1637</v>
      </c>
      <c r="R692" t="s">
        <v>25</v>
      </c>
      <c r="S692" t="s">
        <v>1130</v>
      </c>
      <c r="T692" t="s">
        <v>451</v>
      </c>
      <c r="U692" s="1">
        <v>0.1</v>
      </c>
    </row>
    <row r="693" spans="1:22" x14ac:dyDescent="0.3">
      <c r="A693" t="s">
        <v>443</v>
      </c>
      <c r="B693" t="str">
        <f ca="1">OFFSET(Industries!C$1,MATCH(Table1[[#This Row],[Ticker]],Industries!$A$2:$A$150,0),0)</f>
        <v>Utilities</v>
      </c>
      <c r="C693" t="str">
        <f ca="1">OFFSET(Industries!D$1,MATCH(Table1[[#This Row],[Ticker]],Industries!$A$2:$A$150,0),0)</f>
        <v>Utilities</v>
      </c>
      <c r="D693" t="str">
        <f ca="1">OFFSET(Industries!E$1,MATCH(Table1[[#This Row],[Ticker]],Industries!$A$2:$A$150,0),0)</f>
        <v>Electric Utilities</v>
      </c>
      <c r="E693" t="s">
        <v>444</v>
      </c>
      <c r="F693" t="str">
        <f ca="1">OFFSET(Industries!B$1,MATCH(Table1[[#This Row],[Ticker]],Industries!$A$2:$A$140,0),0)</f>
        <v>Ultra-Cap</v>
      </c>
      <c r="G693" t="s">
        <v>1382</v>
      </c>
      <c r="H693" t="s">
        <v>1434</v>
      </c>
      <c r="I693" t="s">
        <v>1434</v>
      </c>
      <c r="J693" s="2">
        <v>45371</v>
      </c>
      <c r="K693" t="s">
        <v>21</v>
      </c>
      <c r="L693" t="s">
        <v>1708</v>
      </c>
      <c r="M693" t="s">
        <v>1709</v>
      </c>
      <c r="N693" s="1"/>
      <c r="O693" t="s">
        <v>4</v>
      </c>
      <c r="P693" s="3">
        <v>0.19</v>
      </c>
      <c r="Q693" s="3" t="s">
        <v>1637</v>
      </c>
      <c r="R693" t="s">
        <v>25</v>
      </c>
      <c r="S693" t="s">
        <v>1086</v>
      </c>
      <c r="T693" t="s">
        <v>454</v>
      </c>
      <c r="U693" s="1">
        <v>7.0000000000000007E-2</v>
      </c>
    </row>
    <row r="694" spans="1:22" x14ac:dyDescent="0.3">
      <c r="A694" t="s">
        <v>443</v>
      </c>
      <c r="B694" t="str">
        <f ca="1">OFFSET(Industries!C$1,MATCH(Table1[[#This Row],[Ticker]],Industries!$A$2:$A$150,0),0)</f>
        <v>Utilities</v>
      </c>
      <c r="C694" t="str">
        <f ca="1">OFFSET(Industries!D$1,MATCH(Table1[[#This Row],[Ticker]],Industries!$A$2:$A$150,0),0)</f>
        <v>Utilities</v>
      </c>
      <c r="D694" t="str">
        <f ca="1">OFFSET(Industries!E$1,MATCH(Table1[[#This Row],[Ticker]],Industries!$A$2:$A$150,0),0)</f>
        <v>Electric Utilities</v>
      </c>
      <c r="E694" t="s">
        <v>444</v>
      </c>
      <c r="F694" t="str">
        <f ca="1">OFFSET(Industries!B$1,MATCH(Table1[[#This Row],[Ticker]],Industries!$A$2:$A$140,0),0)</f>
        <v>Ultra-Cap</v>
      </c>
      <c r="G694" t="s">
        <v>1382</v>
      </c>
      <c r="H694" t="s">
        <v>1434</v>
      </c>
      <c r="I694" t="s">
        <v>1434</v>
      </c>
      <c r="J694" s="2">
        <v>45371</v>
      </c>
      <c r="K694" t="s">
        <v>21</v>
      </c>
      <c r="L694" t="s">
        <v>1708</v>
      </c>
      <c r="M694" t="s">
        <v>1709</v>
      </c>
      <c r="N694" s="1"/>
      <c r="O694" t="s">
        <v>4</v>
      </c>
      <c r="P694" s="3">
        <v>0.19</v>
      </c>
      <c r="Q694" s="3" t="s">
        <v>1637</v>
      </c>
      <c r="R694" t="s">
        <v>25</v>
      </c>
      <c r="S694" t="s">
        <v>1086</v>
      </c>
      <c r="T694" t="s">
        <v>445</v>
      </c>
      <c r="U694" s="1">
        <v>0.03</v>
      </c>
    </row>
    <row r="695" spans="1:22" x14ac:dyDescent="0.3">
      <c r="A695" t="s">
        <v>443</v>
      </c>
      <c r="B695" t="str">
        <f ca="1">OFFSET(Industries!C$1,MATCH(Table1[[#This Row],[Ticker]],Industries!$A$2:$A$150,0),0)</f>
        <v>Utilities</v>
      </c>
      <c r="C695" t="str">
        <f ca="1">OFFSET(Industries!D$1,MATCH(Table1[[#This Row],[Ticker]],Industries!$A$2:$A$150,0),0)</f>
        <v>Utilities</v>
      </c>
      <c r="D695" t="str">
        <f ca="1">OFFSET(Industries!E$1,MATCH(Table1[[#This Row],[Ticker]],Industries!$A$2:$A$150,0),0)</f>
        <v>Electric Utilities</v>
      </c>
      <c r="E695" t="s">
        <v>444</v>
      </c>
      <c r="F695" t="str">
        <f ca="1">OFFSET(Industries!B$1,MATCH(Table1[[#This Row],[Ticker]],Industries!$A$2:$A$140,0),0)</f>
        <v>Ultra-Cap</v>
      </c>
      <c r="G695" t="s">
        <v>1382</v>
      </c>
      <c r="H695" t="s">
        <v>1434</v>
      </c>
      <c r="I695" t="s">
        <v>1434</v>
      </c>
      <c r="J695" s="2">
        <v>45371</v>
      </c>
      <c r="K695" t="s">
        <v>21</v>
      </c>
      <c r="L695" t="s">
        <v>1710</v>
      </c>
      <c r="M695" t="s">
        <v>1709</v>
      </c>
      <c r="N695" s="1">
        <f>Table1[[#This Row],[Consideration Weight]]</f>
        <v>0.4</v>
      </c>
      <c r="O695" t="s">
        <v>476</v>
      </c>
      <c r="P695" s="3">
        <v>0.4</v>
      </c>
      <c r="Q695" s="3" t="s">
        <v>1636</v>
      </c>
      <c r="R695" t="s">
        <v>62</v>
      </c>
      <c r="S695" t="s">
        <v>129</v>
      </c>
      <c r="T695" t="s">
        <v>447</v>
      </c>
      <c r="U695" s="1">
        <v>0.67</v>
      </c>
    </row>
    <row r="696" spans="1:22" x14ac:dyDescent="0.3">
      <c r="A696" t="s">
        <v>443</v>
      </c>
      <c r="B696" t="str">
        <f ca="1">OFFSET(Industries!C$1,MATCH(Table1[[#This Row],[Ticker]],Industries!$A$2:$A$150,0),0)</f>
        <v>Utilities</v>
      </c>
      <c r="C696" t="str">
        <f ca="1">OFFSET(Industries!D$1,MATCH(Table1[[#This Row],[Ticker]],Industries!$A$2:$A$150,0),0)</f>
        <v>Utilities</v>
      </c>
      <c r="D696" t="str">
        <f ca="1">OFFSET(Industries!E$1,MATCH(Table1[[#This Row],[Ticker]],Industries!$A$2:$A$150,0),0)</f>
        <v>Electric Utilities</v>
      </c>
      <c r="E696" t="s">
        <v>444</v>
      </c>
      <c r="F696" t="str">
        <f ca="1">OFFSET(Industries!B$1,MATCH(Table1[[#This Row],[Ticker]],Industries!$A$2:$A$140,0),0)</f>
        <v>Ultra-Cap</v>
      </c>
      <c r="G696" t="s">
        <v>1382</v>
      </c>
      <c r="H696" t="s">
        <v>1434</v>
      </c>
      <c r="I696" t="s">
        <v>1434</v>
      </c>
      <c r="J696" s="2">
        <v>45371</v>
      </c>
      <c r="K696" t="s">
        <v>21</v>
      </c>
      <c r="L696" t="s">
        <v>1710</v>
      </c>
      <c r="M696" t="s">
        <v>1709</v>
      </c>
      <c r="N696" s="1"/>
      <c r="O696" t="s">
        <v>476</v>
      </c>
      <c r="P696" s="3">
        <v>0.4</v>
      </c>
      <c r="Q696" s="3" t="s">
        <v>1646</v>
      </c>
      <c r="R696" t="s">
        <v>35</v>
      </c>
      <c r="S696" t="s">
        <v>29</v>
      </c>
      <c r="T696" t="s">
        <v>200</v>
      </c>
      <c r="U696" s="1">
        <v>0.33</v>
      </c>
    </row>
    <row r="697" spans="1:22" x14ac:dyDescent="0.3">
      <c r="A697" t="s">
        <v>443</v>
      </c>
      <c r="B697" t="str">
        <f ca="1">OFFSET(Industries!C$1,MATCH(Table1[[#This Row],[Ticker]],Industries!$A$2:$A$150,0),0)</f>
        <v>Utilities</v>
      </c>
      <c r="C697" t="str">
        <f ca="1">OFFSET(Industries!D$1,MATCH(Table1[[#This Row],[Ticker]],Industries!$A$2:$A$150,0),0)</f>
        <v>Utilities</v>
      </c>
      <c r="D697" t="str">
        <f ca="1">OFFSET(Industries!E$1,MATCH(Table1[[#This Row],[Ticker]],Industries!$A$2:$A$150,0),0)</f>
        <v>Electric Utilities</v>
      </c>
      <c r="E697" t="s">
        <v>444</v>
      </c>
      <c r="F697" t="str">
        <f ca="1">OFFSET(Industries!B$1,MATCH(Table1[[#This Row],[Ticker]],Industries!$A$2:$A$140,0),0)</f>
        <v>Ultra-Cap</v>
      </c>
      <c r="G697" t="s">
        <v>1382</v>
      </c>
      <c r="H697" t="s">
        <v>1434</v>
      </c>
      <c r="I697" t="s">
        <v>1434</v>
      </c>
      <c r="J697" s="2">
        <v>45371</v>
      </c>
      <c r="K697" t="s">
        <v>21</v>
      </c>
      <c r="L697" t="s">
        <v>1710</v>
      </c>
      <c r="M697" t="s">
        <v>1709</v>
      </c>
      <c r="N697" s="1"/>
      <c r="O697" t="s">
        <v>476</v>
      </c>
      <c r="P697" s="3">
        <v>0.4</v>
      </c>
      <c r="Q697" s="3"/>
      <c r="R697" t="s">
        <v>28</v>
      </c>
      <c r="S697" t="s">
        <v>1131</v>
      </c>
      <c r="T697" t="s">
        <v>448</v>
      </c>
    </row>
    <row r="698" spans="1:22" x14ac:dyDescent="0.3">
      <c r="A698" t="s">
        <v>443</v>
      </c>
      <c r="B698" t="str">
        <f ca="1">OFFSET(Industries!C$1,MATCH(Table1[[#This Row],[Ticker]],Industries!$A$2:$A$150,0),0)</f>
        <v>Utilities</v>
      </c>
      <c r="C698" t="str">
        <f ca="1">OFFSET(Industries!D$1,MATCH(Table1[[#This Row],[Ticker]],Industries!$A$2:$A$150,0),0)</f>
        <v>Utilities</v>
      </c>
      <c r="D698" t="str">
        <f ca="1">OFFSET(Industries!E$1,MATCH(Table1[[#This Row],[Ticker]],Industries!$A$2:$A$150,0),0)</f>
        <v>Electric Utilities</v>
      </c>
      <c r="E698" t="s">
        <v>444</v>
      </c>
      <c r="F698" t="str">
        <f ca="1">OFFSET(Industries!B$1,MATCH(Table1[[#This Row],[Ticker]],Industries!$A$2:$A$140,0),0)</f>
        <v>Ultra-Cap</v>
      </c>
      <c r="G698" t="s">
        <v>1382</v>
      </c>
      <c r="H698" t="s">
        <v>1434</v>
      </c>
      <c r="I698" t="s">
        <v>1434</v>
      </c>
      <c r="J698" s="2">
        <v>45371</v>
      </c>
      <c r="K698" t="s">
        <v>21</v>
      </c>
      <c r="L698" t="s">
        <v>1710</v>
      </c>
      <c r="M698" t="s">
        <v>1711</v>
      </c>
      <c r="N698" s="1">
        <f>Table1[[#This Row],[Consideration Weight]]</f>
        <v>0.2</v>
      </c>
      <c r="O698" t="s">
        <v>194</v>
      </c>
      <c r="P698" s="3">
        <v>0.2</v>
      </c>
      <c r="Q698" s="3"/>
    </row>
    <row r="699" spans="1:22" x14ac:dyDescent="0.3">
      <c r="A699" t="s">
        <v>456</v>
      </c>
      <c r="B699" t="str">
        <f ca="1">OFFSET(Industries!C$1,MATCH(Table1[[#This Row],[Ticker]],Industries!$A$2:$A$150,0),0)</f>
        <v>Industrials</v>
      </c>
      <c r="C699" t="str">
        <f ca="1">OFFSET(Industries!D$1,MATCH(Table1[[#This Row],[Ticker]],Industries!$A$2:$A$150,0),0)</f>
        <v>Capital Goods</v>
      </c>
      <c r="D699" t="str">
        <f ca="1">OFFSET(Industries!E$1,MATCH(Table1[[#This Row],[Ticker]],Industries!$A$2:$A$150,0),0)</f>
        <v>Aerospace and Defense</v>
      </c>
      <c r="E699" t="s">
        <v>116</v>
      </c>
      <c r="F699" t="str">
        <f ca="1">OFFSET(Industries!B$1,MATCH(Table1[[#This Row],[Ticker]],Industries!$A$2:$A$140,0),0)</f>
        <v>Ultra-Cap</v>
      </c>
      <c r="G699" t="str">
        <f ca="1">OFFSET(Industries!F$1,MATCH(Table1[[#This Row],[Ticker]],Industries!$A$2:$A$140,0),0)</f>
        <v>BBB+</v>
      </c>
      <c r="H699" t="s">
        <v>1434</v>
      </c>
      <c r="I699" t="s">
        <v>1434</v>
      </c>
      <c r="J699" s="2">
        <v>45385</v>
      </c>
      <c r="K699" t="s">
        <v>2</v>
      </c>
      <c r="L699" t="s">
        <v>3</v>
      </c>
      <c r="M699" t="s">
        <v>1711</v>
      </c>
      <c r="N699" s="1">
        <f>Table1[[#This Row],[Consideration Weight]]</f>
        <v>0.08</v>
      </c>
      <c r="O699" t="s">
        <v>3</v>
      </c>
      <c r="P699" s="3">
        <v>0.08</v>
      </c>
      <c r="Q699" s="3"/>
    </row>
    <row r="700" spans="1:22" x14ac:dyDescent="0.3">
      <c r="A700" t="s">
        <v>456</v>
      </c>
      <c r="B700" t="str">
        <f ca="1">OFFSET(Industries!C$1,MATCH(Table1[[#This Row],[Ticker]],Industries!$A$2:$A$150,0),0)</f>
        <v>Industrials</v>
      </c>
      <c r="C700" t="str">
        <f ca="1">OFFSET(Industries!D$1,MATCH(Table1[[#This Row],[Ticker]],Industries!$A$2:$A$150,0),0)</f>
        <v>Capital Goods</v>
      </c>
      <c r="D700" t="str">
        <f ca="1">OFFSET(Industries!E$1,MATCH(Table1[[#This Row],[Ticker]],Industries!$A$2:$A$150,0),0)</f>
        <v>Aerospace and Defense</v>
      </c>
      <c r="E700" t="s">
        <v>116</v>
      </c>
      <c r="F700" t="str">
        <f ca="1">OFFSET(Industries!B$1,MATCH(Table1[[#This Row],[Ticker]],Industries!$A$2:$A$140,0),0)</f>
        <v>Ultra-Cap</v>
      </c>
      <c r="G700" t="str">
        <f ca="1">OFFSET(Industries!F$1,MATCH(Table1[[#This Row],[Ticker]],Industries!$A$2:$A$140,0),0)</f>
        <v>BBB+</v>
      </c>
      <c r="H700" t="s">
        <v>1434</v>
      </c>
      <c r="I700" t="s">
        <v>1434</v>
      </c>
      <c r="J700" s="2">
        <v>45385</v>
      </c>
      <c r="K700" t="s">
        <v>2</v>
      </c>
      <c r="L700" t="s">
        <v>1708</v>
      </c>
      <c r="M700" t="s">
        <v>1709</v>
      </c>
      <c r="N700" s="1">
        <f>Table1[[#This Row],[Consideration Weight]]</f>
        <v>0.16</v>
      </c>
      <c r="O700" t="s">
        <v>4</v>
      </c>
      <c r="P700" s="3">
        <v>0.16</v>
      </c>
      <c r="Q700" s="3" t="s">
        <v>1636</v>
      </c>
      <c r="R700" t="s">
        <v>62</v>
      </c>
      <c r="S700" t="s">
        <v>63</v>
      </c>
      <c r="T700" t="s">
        <v>81</v>
      </c>
      <c r="U700" s="1">
        <v>0.35</v>
      </c>
      <c r="V700" t="s">
        <v>457</v>
      </c>
    </row>
    <row r="701" spans="1:22" x14ac:dyDescent="0.3">
      <c r="A701" t="s">
        <v>456</v>
      </c>
      <c r="B701" t="str">
        <f ca="1">OFFSET(Industries!C$1,MATCH(Table1[[#This Row],[Ticker]],Industries!$A$2:$A$150,0),0)</f>
        <v>Industrials</v>
      </c>
      <c r="C701" t="str">
        <f ca="1">OFFSET(Industries!D$1,MATCH(Table1[[#This Row],[Ticker]],Industries!$A$2:$A$150,0),0)</f>
        <v>Capital Goods</v>
      </c>
      <c r="D701" t="str">
        <f ca="1">OFFSET(Industries!E$1,MATCH(Table1[[#This Row],[Ticker]],Industries!$A$2:$A$150,0),0)</f>
        <v>Aerospace and Defense</v>
      </c>
      <c r="E701" t="s">
        <v>116</v>
      </c>
      <c r="F701" t="str">
        <f ca="1">OFFSET(Industries!B$1,MATCH(Table1[[#This Row],[Ticker]],Industries!$A$2:$A$140,0),0)</f>
        <v>Ultra-Cap</v>
      </c>
      <c r="G701" t="str">
        <f ca="1">OFFSET(Industries!F$1,MATCH(Table1[[#This Row],[Ticker]],Industries!$A$2:$A$140,0),0)</f>
        <v>BBB+</v>
      </c>
      <c r="H701" t="s">
        <v>1434</v>
      </c>
      <c r="I701" t="s">
        <v>1434</v>
      </c>
      <c r="J701" s="2">
        <v>45385</v>
      </c>
      <c r="K701" t="s">
        <v>2</v>
      </c>
      <c r="L701" t="s">
        <v>1708</v>
      </c>
      <c r="M701" t="s">
        <v>1709</v>
      </c>
      <c r="N701" s="1"/>
      <c r="O701" t="s">
        <v>4</v>
      </c>
      <c r="P701" s="3">
        <v>0.16</v>
      </c>
      <c r="Q701" s="3" t="s">
        <v>1636</v>
      </c>
      <c r="R701" t="s">
        <v>24</v>
      </c>
      <c r="S701" t="s">
        <v>90</v>
      </c>
      <c r="T701" t="s">
        <v>8</v>
      </c>
      <c r="U701" s="1">
        <v>0.35</v>
      </c>
      <c r="V701" t="s">
        <v>458</v>
      </c>
    </row>
    <row r="702" spans="1:22" x14ac:dyDescent="0.3">
      <c r="A702" t="s">
        <v>456</v>
      </c>
      <c r="B702" t="str">
        <f ca="1">OFFSET(Industries!C$1,MATCH(Table1[[#This Row],[Ticker]],Industries!$A$2:$A$150,0),0)</f>
        <v>Industrials</v>
      </c>
      <c r="C702" t="str">
        <f ca="1">OFFSET(Industries!D$1,MATCH(Table1[[#This Row],[Ticker]],Industries!$A$2:$A$150,0),0)</f>
        <v>Capital Goods</v>
      </c>
      <c r="D702" t="str">
        <f ca="1">OFFSET(Industries!E$1,MATCH(Table1[[#This Row],[Ticker]],Industries!$A$2:$A$150,0),0)</f>
        <v>Aerospace and Defense</v>
      </c>
      <c r="E702" t="s">
        <v>116</v>
      </c>
      <c r="F702" t="str">
        <f ca="1">OFFSET(Industries!B$1,MATCH(Table1[[#This Row],[Ticker]],Industries!$A$2:$A$140,0),0)</f>
        <v>Ultra-Cap</v>
      </c>
      <c r="G702" t="str">
        <f ca="1">OFFSET(Industries!F$1,MATCH(Table1[[#This Row],[Ticker]],Industries!$A$2:$A$140,0),0)</f>
        <v>BBB+</v>
      </c>
      <c r="H702" t="s">
        <v>1434</v>
      </c>
      <c r="I702" t="s">
        <v>1434</v>
      </c>
      <c r="J702" s="2">
        <v>45385</v>
      </c>
      <c r="K702" t="s">
        <v>2</v>
      </c>
      <c r="L702" t="s">
        <v>1708</v>
      </c>
      <c r="M702" t="s">
        <v>1709</v>
      </c>
      <c r="N702" s="1"/>
      <c r="O702" t="s">
        <v>4</v>
      </c>
      <c r="P702" s="3">
        <v>0.16</v>
      </c>
      <c r="Q702" s="3" t="s">
        <v>1636</v>
      </c>
      <c r="R702" t="s">
        <v>24</v>
      </c>
      <c r="S702" t="s">
        <v>509</v>
      </c>
      <c r="T702" t="s">
        <v>38</v>
      </c>
      <c r="U702" s="1">
        <v>0.2</v>
      </c>
      <c r="V702" t="s">
        <v>459</v>
      </c>
    </row>
    <row r="703" spans="1:22" x14ac:dyDescent="0.3">
      <c r="A703" t="s">
        <v>456</v>
      </c>
      <c r="B703" t="str">
        <f ca="1">OFFSET(Industries!C$1,MATCH(Table1[[#This Row],[Ticker]],Industries!$A$2:$A$150,0),0)</f>
        <v>Industrials</v>
      </c>
      <c r="C703" t="str">
        <f ca="1">OFFSET(Industries!D$1,MATCH(Table1[[#This Row],[Ticker]],Industries!$A$2:$A$150,0),0)</f>
        <v>Capital Goods</v>
      </c>
      <c r="D703" t="str">
        <f ca="1">OFFSET(Industries!E$1,MATCH(Table1[[#This Row],[Ticker]],Industries!$A$2:$A$150,0),0)</f>
        <v>Aerospace and Defense</v>
      </c>
      <c r="E703" t="s">
        <v>116</v>
      </c>
      <c r="F703" t="str">
        <f ca="1">OFFSET(Industries!B$1,MATCH(Table1[[#This Row],[Ticker]],Industries!$A$2:$A$140,0),0)</f>
        <v>Ultra-Cap</v>
      </c>
      <c r="G703" t="str">
        <f ca="1">OFFSET(Industries!F$1,MATCH(Table1[[#This Row],[Ticker]],Industries!$A$2:$A$140,0),0)</f>
        <v>BBB+</v>
      </c>
      <c r="H703" t="s">
        <v>1434</v>
      </c>
      <c r="I703" t="s">
        <v>1434</v>
      </c>
      <c r="J703" s="2">
        <v>45385</v>
      </c>
      <c r="K703" t="s">
        <v>2</v>
      </c>
      <c r="L703" t="s">
        <v>1708</v>
      </c>
      <c r="M703" t="s">
        <v>1709</v>
      </c>
      <c r="N703" s="1"/>
      <c r="O703" t="s">
        <v>4</v>
      </c>
      <c r="P703" s="3">
        <v>0.16</v>
      </c>
      <c r="Q703" s="3" t="s">
        <v>1637</v>
      </c>
      <c r="R703" t="s">
        <v>26</v>
      </c>
      <c r="S703" t="s">
        <v>26</v>
      </c>
      <c r="T703" t="s">
        <v>460</v>
      </c>
      <c r="U703" s="1">
        <v>0.1</v>
      </c>
      <c r="V703" t="s">
        <v>461</v>
      </c>
    </row>
    <row r="704" spans="1:22" x14ac:dyDescent="0.3">
      <c r="A704" t="s">
        <v>456</v>
      </c>
      <c r="B704" t="str">
        <f ca="1">OFFSET(Industries!C$1,MATCH(Table1[[#This Row],[Ticker]],Industries!$A$2:$A$150,0),0)</f>
        <v>Industrials</v>
      </c>
      <c r="C704" t="str">
        <f ca="1">OFFSET(Industries!D$1,MATCH(Table1[[#This Row],[Ticker]],Industries!$A$2:$A$150,0),0)</f>
        <v>Capital Goods</v>
      </c>
      <c r="D704" t="str">
        <f ca="1">OFFSET(Industries!E$1,MATCH(Table1[[#This Row],[Ticker]],Industries!$A$2:$A$150,0),0)</f>
        <v>Aerospace and Defense</v>
      </c>
      <c r="E704" t="s">
        <v>116</v>
      </c>
      <c r="F704" t="str">
        <f ca="1">OFFSET(Industries!B$1,MATCH(Table1[[#This Row],[Ticker]],Industries!$A$2:$A$140,0),0)</f>
        <v>Ultra-Cap</v>
      </c>
      <c r="G704" t="str">
        <f ca="1">OFFSET(Industries!F$1,MATCH(Table1[[#This Row],[Ticker]],Industries!$A$2:$A$140,0),0)</f>
        <v>BBB+</v>
      </c>
      <c r="H704" t="s">
        <v>1434</v>
      </c>
      <c r="I704" t="s">
        <v>1434</v>
      </c>
      <c r="J704" s="2">
        <v>45385</v>
      </c>
      <c r="K704" t="s">
        <v>2</v>
      </c>
      <c r="L704" t="s">
        <v>1710</v>
      </c>
      <c r="M704" t="s">
        <v>1709</v>
      </c>
      <c r="N704" s="1">
        <f>Table1[[#This Row],[Consideration Weight]]</f>
        <v>0.53</v>
      </c>
      <c r="O704" t="s">
        <v>1774</v>
      </c>
      <c r="P704" s="3">
        <v>0.53</v>
      </c>
      <c r="Q704" s="3" t="s">
        <v>1646</v>
      </c>
      <c r="R704" t="s">
        <v>35</v>
      </c>
      <c r="S704" t="s">
        <v>29</v>
      </c>
      <c r="T704" t="s">
        <v>30</v>
      </c>
      <c r="U704" s="1">
        <f>1/3</f>
        <v>0.33333333333333331</v>
      </c>
      <c r="V704" t="s">
        <v>463</v>
      </c>
    </row>
    <row r="705" spans="1:22" x14ac:dyDescent="0.3">
      <c r="A705" t="s">
        <v>456</v>
      </c>
      <c r="B705" t="str">
        <f ca="1">OFFSET(Industries!C$1,MATCH(Table1[[#This Row],[Ticker]],Industries!$A$2:$A$150,0),0)</f>
        <v>Industrials</v>
      </c>
      <c r="C705" t="str">
        <f ca="1">OFFSET(Industries!D$1,MATCH(Table1[[#This Row],[Ticker]],Industries!$A$2:$A$150,0),0)</f>
        <v>Capital Goods</v>
      </c>
      <c r="D705" t="str">
        <f ca="1">OFFSET(Industries!E$1,MATCH(Table1[[#This Row],[Ticker]],Industries!$A$2:$A$150,0),0)</f>
        <v>Aerospace and Defense</v>
      </c>
      <c r="E705" t="s">
        <v>116</v>
      </c>
      <c r="F705" t="str">
        <f ca="1">OFFSET(Industries!B$1,MATCH(Table1[[#This Row],[Ticker]],Industries!$A$2:$A$140,0),0)</f>
        <v>Ultra-Cap</v>
      </c>
      <c r="G705" t="str">
        <f ca="1">OFFSET(Industries!F$1,MATCH(Table1[[#This Row],[Ticker]],Industries!$A$2:$A$140,0),0)</f>
        <v>BBB+</v>
      </c>
      <c r="H705" t="s">
        <v>1434</v>
      </c>
      <c r="I705" t="s">
        <v>1434</v>
      </c>
      <c r="J705" s="2">
        <v>45385</v>
      </c>
      <c r="K705" t="s">
        <v>2</v>
      </c>
      <c r="L705" t="s">
        <v>1710</v>
      </c>
      <c r="M705" t="s">
        <v>1709</v>
      </c>
      <c r="N705" s="1"/>
      <c r="O705" t="s">
        <v>1774</v>
      </c>
      <c r="P705" s="3">
        <v>0.53</v>
      </c>
      <c r="Q705" s="3" t="s">
        <v>1636</v>
      </c>
      <c r="R705" t="s">
        <v>62</v>
      </c>
      <c r="S705" t="s">
        <v>129</v>
      </c>
      <c r="T705" t="s">
        <v>464</v>
      </c>
      <c r="U705" s="1">
        <f t="shared" ref="U705:U706" si="9">1/3</f>
        <v>0.33333333333333331</v>
      </c>
      <c r="V705" t="s">
        <v>467</v>
      </c>
    </row>
    <row r="706" spans="1:22" x14ac:dyDescent="0.3">
      <c r="A706" t="s">
        <v>456</v>
      </c>
      <c r="B706" t="str">
        <f ca="1">OFFSET(Industries!C$1,MATCH(Table1[[#This Row],[Ticker]],Industries!$A$2:$A$150,0),0)</f>
        <v>Industrials</v>
      </c>
      <c r="C706" t="str">
        <f ca="1">OFFSET(Industries!D$1,MATCH(Table1[[#This Row],[Ticker]],Industries!$A$2:$A$150,0),0)</f>
        <v>Capital Goods</v>
      </c>
      <c r="D706" t="str">
        <f ca="1">OFFSET(Industries!E$1,MATCH(Table1[[#This Row],[Ticker]],Industries!$A$2:$A$150,0),0)</f>
        <v>Aerospace and Defense</v>
      </c>
      <c r="E706" t="s">
        <v>116</v>
      </c>
      <c r="F706" t="str">
        <f ca="1">OFFSET(Industries!B$1,MATCH(Table1[[#This Row],[Ticker]],Industries!$A$2:$A$140,0),0)</f>
        <v>Ultra-Cap</v>
      </c>
      <c r="G706" t="str">
        <f ca="1">OFFSET(Industries!F$1,MATCH(Table1[[#This Row],[Ticker]],Industries!$A$2:$A$140,0),0)</f>
        <v>BBB+</v>
      </c>
      <c r="H706" t="s">
        <v>1434</v>
      </c>
      <c r="I706" t="s">
        <v>1434</v>
      </c>
      <c r="J706" s="2">
        <v>45385</v>
      </c>
      <c r="K706" t="s">
        <v>2</v>
      </c>
      <c r="L706" t="s">
        <v>1710</v>
      </c>
      <c r="M706" t="s">
        <v>1709</v>
      </c>
      <c r="N706" s="1"/>
      <c r="O706" t="s">
        <v>1774</v>
      </c>
      <c r="P706" s="3">
        <v>0.53</v>
      </c>
      <c r="Q706" s="3" t="s">
        <v>1636</v>
      </c>
      <c r="R706" t="s">
        <v>1059</v>
      </c>
      <c r="S706" t="s">
        <v>1101</v>
      </c>
      <c r="T706" t="s">
        <v>465</v>
      </c>
      <c r="U706" s="1">
        <f t="shared" si="9"/>
        <v>0.33333333333333331</v>
      </c>
      <c r="V706" t="s">
        <v>466</v>
      </c>
    </row>
    <row r="707" spans="1:22" x14ac:dyDescent="0.3">
      <c r="A707" t="s">
        <v>456</v>
      </c>
      <c r="B707" t="str">
        <f ca="1">OFFSET(Industries!C$1,MATCH(Table1[[#This Row],[Ticker]],Industries!$A$2:$A$150,0),0)</f>
        <v>Industrials</v>
      </c>
      <c r="C707" t="str">
        <f ca="1">OFFSET(Industries!D$1,MATCH(Table1[[#This Row],[Ticker]],Industries!$A$2:$A$150,0),0)</f>
        <v>Capital Goods</v>
      </c>
      <c r="D707" t="str">
        <f ca="1">OFFSET(Industries!E$1,MATCH(Table1[[#This Row],[Ticker]],Industries!$A$2:$A$150,0),0)</f>
        <v>Aerospace and Defense</v>
      </c>
      <c r="E707" t="s">
        <v>116</v>
      </c>
      <c r="F707" t="str">
        <f ca="1">OFFSET(Industries!B$1,MATCH(Table1[[#This Row],[Ticker]],Industries!$A$2:$A$140,0),0)</f>
        <v>Ultra-Cap</v>
      </c>
      <c r="G707" t="str">
        <f ca="1">OFFSET(Industries!F$1,MATCH(Table1[[#This Row],[Ticker]],Industries!$A$2:$A$140,0),0)</f>
        <v>BBB+</v>
      </c>
      <c r="H707" t="s">
        <v>1434</v>
      </c>
      <c r="I707" t="s">
        <v>1434</v>
      </c>
      <c r="J707" s="2">
        <v>45385</v>
      </c>
      <c r="K707" t="s">
        <v>2</v>
      </c>
      <c r="L707" t="s">
        <v>1710</v>
      </c>
      <c r="M707" t="s">
        <v>1709</v>
      </c>
      <c r="N707" s="1"/>
      <c r="O707" t="s">
        <v>1774</v>
      </c>
      <c r="P707" s="3">
        <v>0.53</v>
      </c>
      <c r="Q707" s="3"/>
      <c r="R707" t="s">
        <v>28</v>
      </c>
      <c r="S707" t="s">
        <v>1095</v>
      </c>
      <c r="T707" t="s">
        <v>55</v>
      </c>
      <c r="V707" t="s">
        <v>469</v>
      </c>
    </row>
    <row r="708" spans="1:22" x14ac:dyDescent="0.3">
      <c r="A708" t="s">
        <v>456</v>
      </c>
      <c r="B708" t="str">
        <f ca="1">OFFSET(Industries!C$1,MATCH(Table1[[#This Row],[Ticker]],Industries!$A$2:$A$150,0),0)</f>
        <v>Industrials</v>
      </c>
      <c r="C708" t="str">
        <f ca="1">OFFSET(Industries!D$1,MATCH(Table1[[#This Row],[Ticker]],Industries!$A$2:$A$150,0),0)</f>
        <v>Capital Goods</v>
      </c>
      <c r="D708" t="str">
        <f ca="1">OFFSET(Industries!E$1,MATCH(Table1[[#This Row],[Ticker]],Industries!$A$2:$A$150,0),0)</f>
        <v>Aerospace and Defense</v>
      </c>
      <c r="E708" t="s">
        <v>116</v>
      </c>
      <c r="F708" t="str">
        <f ca="1">OFFSET(Industries!B$1,MATCH(Table1[[#This Row],[Ticker]],Industries!$A$2:$A$140,0),0)</f>
        <v>Ultra-Cap</v>
      </c>
      <c r="G708" t="str">
        <f ca="1">OFFSET(Industries!F$1,MATCH(Table1[[#This Row],[Ticker]],Industries!$A$2:$A$140,0),0)</f>
        <v>BBB+</v>
      </c>
      <c r="H708" t="s">
        <v>1434</v>
      </c>
      <c r="I708" t="s">
        <v>1434</v>
      </c>
      <c r="J708" s="2">
        <v>45385</v>
      </c>
      <c r="K708" t="s">
        <v>2</v>
      </c>
      <c r="L708" t="s">
        <v>1710</v>
      </c>
      <c r="M708" t="s">
        <v>1711</v>
      </c>
      <c r="N708" s="1">
        <f>Table1[[#This Row],[Consideration Weight]]</f>
        <v>0.23</v>
      </c>
      <c r="O708" t="s">
        <v>455</v>
      </c>
      <c r="P708" s="3">
        <v>0.23</v>
      </c>
      <c r="Q708" s="3"/>
      <c r="V708" t="s">
        <v>660</v>
      </c>
    </row>
    <row r="709" spans="1:22" x14ac:dyDescent="0.3">
      <c r="A709" t="s">
        <v>456</v>
      </c>
      <c r="B709" t="str">
        <f ca="1">OFFSET(Industries!C$1,MATCH(Table1[[#This Row],[Ticker]],Industries!$A$2:$A$150,0),0)</f>
        <v>Industrials</v>
      </c>
      <c r="C709" t="str">
        <f ca="1">OFFSET(Industries!D$1,MATCH(Table1[[#This Row],[Ticker]],Industries!$A$2:$A$150,0),0)</f>
        <v>Capital Goods</v>
      </c>
      <c r="D709" t="str">
        <f ca="1">OFFSET(Industries!E$1,MATCH(Table1[[#This Row],[Ticker]],Industries!$A$2:$A$150,0),0)</f>
        <v>Aerospace and Defense</v>
      </c>
      <c r="E709" t="s">
        <v>116</v>
      </c>
      <c r="F709" t="str">
        <f ca="1">OFFSET(Industries!B$1,MATCH(Table1[[#This Row],[Ticker]],Industries!$A$2:$A$140,0),0)</f>
        <v>Ultra-Cap</v>
      </c>
      <c r="G709" t="str">
        <f ca="1">OFFSET(Industries!F$1,MATCH(Table1[[#This Row],[Ticker]],Industries!$A$2:$A$140,0),0)</f>
        <v>BBB+</v>
      </c>
      <c r="H709" t="s">
        <v>1434</v>
      </c>
      <c r="I709" t="s">
        <v>1434</v>
      </c>
      <c r="J709" s="2">
        <v>45385</v>
      </c>
      <c r="K709" t="s">
        <v>21</v>
      </c>
      <c r="L709" t="s">
        <v>3</v>
      </c>
      <c r="M709" t="s">
        <v>1711</v>
      </c>
      <c r="N709" s="1">
        <f>Table1[[#This Row],[Consideration Weight]]</f>
        <v>0.17</v>
      </c>
      <c r="O709" t="s">
        <v>3</v>
      </c>
      <c r="P709" s="3">
        <v>0.17</v>
      </c>
      <c r="Q709" s="3"/>
    </row>
    <row r="710" spans="1:22" x14ac:dyDescent="0.3">
      <c r="A710" t="s">
        <v>456</v>
      </c>
      <c r="B710" t="str">
        <f ca="1">OFFSET(Industries!C$1,MATCH(Table1[[#This Row],[Ticker]],Industries!$A$2:$A$150,0),0)</f>
        <v>Industrials</v>
      </c>
      <c r="C710" t="str">
        <f ca="1">OFFSET(Industries!D$1,MATCH(Table1[[#This Row],[Ticker]],Industries!$A$2:$A$150,0),0)</f>
        <v>Capital Goods</v>
      </c>
      <c r="D710" t="str">
        <f ca="1">OFFSET(Industries!E$1,MATCH(Table1[[#This Row],[Ticker]],Industries!$A$2:$A$150,0),0)</f>
        <v>Aerospace and Defense</v>
      </c>
      <c r="E710" t="s">
        <v>116</v>
      </c>
      <c r="F710" t="str">
        <f ca="1">OFFSET(Industries!B$1,MATCH(Table1[[#This Row],[Ticker]],Industries!$A$2:$A$140,0),0)</f>
        <v>Ultra-Cap</v>
      </c>
      <c r="G710" t="str">
        <f ca="1">OFFSET(Industries!F$1,MATCH(Table1[[#This Row],[Ticker]],Industries!$A$2:$A$140,0),0)</f>
        <v>BBB+</v>
      </c>
      <c r="H710" t="s">
        <v>1434</v>
      </c>
      <c r="I710" t="s">
        <v>1434</v>
      </c>
      <c r="J710" s="2">
        <v>45385</v>
      </c>
      <c r="K710" t="s">
        <v>21</v>
      </c>
      <c r="L710" t="s">
        <v>1708</v>
      </c>
      <c r="M710" t="s">
        <v>1709</v>
      </c>
      <c r="N710" s="1">
        <f>Table1[[#This Row],[Consideration Weight]]</f>
        <v>0.17</v>
      </c>
      <c r="O710" t="s">
        <v>4</v>
      </c>
      <c r="P710" s="3">
        <v>0.17</v>
      </c>
      <c r="Q710" s="3" t="s">
        <v>1636</v>
      </c>
      <c r="R710" t="s">
        <v>62</v>
      </c>
      <c r="S710" t="s">
        <v>63</v>
      </c>
      <c r="T710" t="s">
        <v>81</v>
      </c>
      <c r="U710" s="1">
        <v>0.35</v>
      </c>
    </row>
    <row r="711" spans="1:22" x14ac:dyDescent="0.3">
      <c r="A711" t="s">
        <v>456</v>
      </c>
      <c r="B711" t="str">
        <f ca="1">OFFSET(Industries!C$1,MATCH(Table1[[#This Row],[Ticker]],Industries!$A$2:$A$150,0),0)</f>
        <v>Industrials</v>
      </c>
      <c r="C711" t="str">
        <f ca="1">OFFSET(Industries!D$1,MATCH(Table1[[#This Row],[Ticker]],Industries!$A$2:$A$150,0),0)</f>
        <v>Capital Goods</v>
      </c>
      <c r="D711" t="str">
        <f ca="1">OFFSET(Industries!E$1,MATCH(Table1[[#This Row],[Ticker]],Industries!$A$2:$A$150,0),0)</f>
        <v>Aerospace and Defense</v>
      </c>
      <c r="E711" t="s">
        <v>116</v>
      </c>
      <c r="F711" t="str">
        <f ca="1">OFFSET(Industries!B$1,MATCH(Table1[[#This Row],[Ticker]],Industries!$A$2:$A$140,0),0)</f>
        <v>Ultra-Cap</v>
      </c>
      <c r="G711" t="str">
        <f ca="1">OFFSET(Industries!F$1,MATCH(Table1[[#This Row],[Ticker]],Industries!$A$2:$A$140,0),0)</f>
        <v>BBB+</v>
      </c>
      <c r="H711" t="s">
        <v>1434</v>
      </c>
      <c r="I711" t="s">
        <v>1434</v>
      </c>
      <c r="J711" s="2">
        <v>45385</v>
      </c>
      <c r="K711" t="s">
        <v>21</v>
      </c>
      <c r="L711" t="s">
        <v>1708</v>
      </c>
      <c r="M711" t="s">
        <v>1709</v>
      </c>
      <c r="N711" s="1"/>
      <c r="O711" t="s">
        <v>4</v>
      </c>
      <c r="P711" s="3">
        <v>0.17</v>
      </c>
      <c r="Q711" s="3" t="s">
        <v>1636</v>
      </c>
      <c r="R711" t="s">
        <v>24</v>
      </c>
      <c r="S711" t="s">
        <v>90</v>
      </c>
      <c r="T711" t="s">
        <v>8</v>
      </c>
      <c r="U711" s="1">
        <v>0.35</v>
      </c>
    </row>
    <row r="712" spans="1:22" x14ac:dyDescent="0.3">
      <c r="A712" t="s">
        <v>456</v>
      </c>
      <c r="B712" t="str">
        <f ca="1">OFFSET(Industries!C$1,MATCH(Table1[[#This Row],[Ticker]],Industries!$A$2:$A$150,0),0)</f>
        <v>Industrials</v>
      </c>
      <c r="C712" t="str">
        <f ca="1">OFFSET(Industries!D$1,MATCH(Table1[[#This Row],[Ticker]],Industries!$A$2:$A$150,0),0)</f>
        <v>Capital Goods</v>
      </c>
      <c r="D712" t="str">
        <f ca="1">OFFSET(Industries!E$1,MATCH(Table1[[#This Row],[Ticker]],Industries!$A$2:$A$150,0),0)</f>
        <v>Aerospace and Defense</v>
      </c>
      <c r="E712" t="s">
        <v>116</v>
      </c>
      <c r="F712" t="str">
        <f ca="1">OFFSET(Industries!B$1,MATCH(Table1[[#This Row],[Ticker]],Industries!$A$2:$A$140,0),0)</f>
        <v>Ultra-Cap</v>
      </c>
      <c r="G712" t="str">
        <f ca="1">OFFSET(Industries!F$1,MATCH(Table1[[#This Row],[Ticker]],Industries!$A$2:$A$140,0),0)</f>
        <v>BBB+</v>
      </c>
      <c r="H712" t="s">
        <v>1434</v>
      </c>
      <c r="I712" t="s">
        <v>1434</v>
      </c>
      <c r="J712" s="2">
        <v>45385</v>
      </c>
      <c r="K712" t="s">
        <v>21</v>
      </c>
      <c r="L712" t="s">
        <v>1708</v>
      </c>
      <c r="M712" t="s">
        <v>1709</v>
      </c>
      <c r="N712" s="1"/>
      <c r="O712" t="s">
        <v>4</v>
      </c>
      <c r="P712" s="3">
        <v>0.17</v>
      </c>
      <c r="Q712" s="3" t="s">
        <v>1636</v>
      </c>
      <c r="R712" t="s">
        <v>24</v>
      </c>
      <c r="S712" t="s">
        <v>509</v>
      </c>
      <c r="T712" t="s">
        <v>38</v>
      </c>
      <c r="U712" s="1">
        <v>0.2</v>
      </c>
    </row>
    <row r="713" spans="1:22" x14ac:dyDescent="0.3">
      <c r="A713" t="s">
        <v>456</v>
      </c>
      <c r="B713" t="str">
        <f ca="1">OFFSET(Industries!C$1,MATCH(Table1[[#This Row],[Ticker]],Industries!$A$2:$A$150,0),0)</f>
        <v>Industrials</v>
      </c>
      <c r="C713" t="str">
        <f ca="1">OFFSET(Industries!D$1,MATCH(Table1[[#This Row],[Ticker]],Industries!$A$2:$A$150,0),0)</f>
        <v>Capital Goods</v>
      </c>
      <c r="D713" t="str">
        <f ca="1">OFFSET(Industries!E$1,MATCH(Table1[[#This Row],[Ticker]],Industries!$A$2:$A$150,0),0)</f>
        <v>Aerospace and Defense</v>
      </c>
      <c r="E713" t="s">
        <v>116</v>
      </c>
      <c r="F713" t="str">
        <f ca="1">OFFSET(Industries!B$1,MATCH(Table1[[#This Row],[Ticker]],Industries!$A$2:$A$140,0),0)</f>
        <v>Ultra-Cap</v>
      </c>
      <c r="G713" t="str">
        <f ca="1">OFFSET(Industries!F$1,MATCH(Table1[[#This Row],[Ticker]],Industries!$A$2:$A$140,0),0)</f>
        <v>BBB+</v>
      </c>
      <c r="H713" t="s">
        <v>1434</v>
      </c>
      <c r="I713" t="s">
        <v>1434</v>
      </c>
      <c r="J713" s="2">
        <v>45385</v>
      </c>
      <c r="K713" t="s">
        <v>21</v>
      </c>
      <c r="L713" t="s">
        <v>1708</v>
      </c>
      <c r="M713" t="s">
        <v>1709</v>
      </c>
      <c r="N713" s="1"/>
      <c r="O713" t="s">
        <v>4</v>
      </c>
      <c r="P713" s="3">
        <v>0.17</v>
      </c>
      <c r="Q713" s="3" t="s">
        <v>1637</v>
      </c>
      <c r="R713" t="s">
        <v>26</v>
      </c>
      <c r="S713" t="s">
        <v>26</v>
      </c>
      <c r="T713" t="s">
        <v>460</v>
      </c>
      <c r="U713" s="1">
        <v>0.1</v>
      </c>
    </row>
    <row r="714" spans="1:22" x14ac:dyDescent="0.3">
      <c r="A714" t="s">
        <v>456</v>
      </c>
      <c r="B714" t="str">
        <f ca="1">OFFSET(Industries!C$1,MATCH(Table1[[#This Row],[Ticker]],Industries!$A$2:$A$150,0),0)</f>
        <v>Industrials</v>
      </c>
      <c r="C714" t="str">
        <f ca="1">OFFSET(Industries!D$1,MATCH(Table1[[#This Row],[Ticker]],Industries!$A$2:$A$150,0),0)</f>
        <v>Capital Goods</v>
      </c>
      <c r="D714" t="str">
        <f ca="1">OFFSET(Industries!E$1,MATCH(Table1[[#This Row],[Ticker]],Industries!$A$2:$A$150,0),0)</f>
        <v>Aerospace and Defense</v>
      </c>
      <c r="E714" t="s">
        <v>116</v>
      </c>
      <c r="F714" t="str">
        <f ca="1">OFFSET(Industries!B$1,MATCH(Table1[[#This Row],[Ticker]],Industries!$A$2:$A$140,0),0)</f>
        <v>Ultra-Cap</v>
      </c>
      <c r="G714" t="str">
        <f ca="1">OFFSET(Industries!F$1,MATCH(Table1[[#This Row],[Ticker]],Industries!$A$2:$A$140,0),0)</f>
        <v>BBB+</v>
      </c>
      <c r="H714" t="s">
        <v>1434</v>
      </c>
      <c r="I714" t="s">
        <v>1434</v>
      </c>
      <c r="J714" s="2">
        <v>45385</v>
      </c>
      <c r="K714" t="s">
        <v>21</v>
      </c>
      <c r="L714" t="s">
        <v>1710</v>
      </c>
      <c r="M714" t="s">
        <v>1709</v>
      </c>
      <c r="N714" s="1">
        <f>Table1[[#This Row],[Consideration Weight]]</f>
        <v>0.46</v>
      </c>
      <c r="O714" t="s">
        <v>1774</v>
      </c>
      <c r="P714" s="3">
        <v>0.46</v>
      </c>
      <c r="Q714" s="3" t="s">
        <v>1646</v>
      </c>
      <c r="R714" t="s">
        <v>35</v>
      </c>
      <c r="S714" t="s">
        <v>29</v>
      </c>
      <c r="T714" t="s">
        <v>30</v>
      </c>
      <c r="U714" s="1">
        <f>1/3</f>
        <v>0.33333333333333331</v>
      </c>
    </row>
    <row r="715" spans="1:22" x14ac:dyDescent="0.3">
      <c r="A715" t="s">
        <v>456</v>
      </c>
      <c r="B715" t="str">
        <f ca="1">OFFSET(Industries!C$1,MATCH(Table1[[#This Row],[Ticker]],Industries!$A$2:$A$150,0),0)</f>
        <v>Industrials</v>
      </c>
      <c r="C715" t="str">
        <f ca="1">OFFSET(Industries!D$1,MATCH(Table1[[#This Row],[Ticker]],Industries!$A$2:$A$150,0),0)</f>
        <v>Capital Goods</v>
      </c>
      <c r="D715" t="str">
        <f ca="1">OFFSET(Industries!E$1,MATCH(Table1[[#This Row],[Ticker]],Industries!$A$2:$A$150,0),0)</f>
        <v>Aerospace and Defense</v>
      </c>
      <c r="E715" t="s">
        <v>116</v>
      </c>
      <c r="F715" t="str">
        <f ca="1">OFFSET(Industries!B$1,MATCH(Table1[[#This Row],[Ticker]],Industries!$A$2:$A$140,0),0)</f>
        <v>Ultra-Cap</v>
      </c>
      <c r="G715" t="str">
        <f ca="1">OFFSET(Industries!F$1,MATCH(Table1[[#This Row],[Ticker]],Industries!$A$2:$A$140,0),0)</f>
        <v>BBB+</v>
      </c>
      <c r="H715" t="s">
        <v>1434</v>
      </c>
      <c r="I715" t="s">
        <v>1434</v>
      </c>
      <c r="J715" s="2">
        <v>45385</v>
      </c>
      <c r="K715" t="s">
        <v>21</v>
      </c>
      <c r="L715" t="s">
        <v>1710</v>
      </c>
      <c r="M715" t="s">
        <v>1709</v>
      </c>
      <c r="N715" s="1"/>
      <c r="O715" t="s">
        <v>1774</v>
      </c>
      <c r="P715" s="3">
        <v>0.46</v>
      </c>
      <c r="Q715" s="3" t="s">
        <v>1636</v>
      </c>
      <c r="R715" t="s">
        <v>62</v>
      </c>
      <c r="S715" t="s">
        <v>129</v>
      </c>
      <c r="T715" t="s">
        <v>464</v>
      </c>
      <c r="U715" s="1">
        <f t="shared" ref="U715:U716" si="10">1/3</f>
        <v>0.33333333333333331</v>
      </c>
    </row>
    <row r="716" spans="1:22" x14ac:dyDescent="0.3">
      <c r="A716" t="s">
        <v>456</v>
      </c>
      <c r="B716" t="str">
        <f ca="1">OFFSET(Industries!C$1,MATCH(Table1[[#This Row],[Ticker]],Industries!$A$2:$A$150,0),0)</f>
        <v>Industrials</v>
      </c>
      <c r="C716" t="str">
        <f ca="1">OFFSET(Industries!D$1,MATCH(Table1[[#This Row],[Ticker]],Industries!$A$2:$A$150,0),0)</f>
        <v>Capital Goods</v>
      </c>
      <c r="D716" t="str">
        <f ca="1">OFFSET(Industries!E$1,MATCH(Table1[[#This Row],[Ticker]],Industries!$A$2:$A$150,0),0)</f>
        <v>Aerospace and Defense</v>
      </c>
      <c r="E716" t="s">
        <v>116</v>
      </c>
      <c r="F716" t="str">
        <f ca="1">OFFSET(Industries!B$1,MATCH(Table1[[#This Row],[Ticker]],Industries!$A$2:$A$140,0),0)</f>
        <v>Ultra-Cap</v>
      </c>
      <c r="G716" t="str">
        <f ca="1">OFFSET(Industries!F$1,MATCH(Table1[[#This Row],[Ticker]],Industries!$A$2:$A$140,0),0)</f>
        <v>BBB+</v>
      </c>
      <c r="H716" t="s">
        <v>1434</v>
      </c>
      <c r="I716" t="s">
        <v>1434</v>
      </c>
      <c r="J716" s="2">
        <v>45385</v>
      </c>
      <c r="K716" t="s">
        <v>21</v>
      </c>
      <c r="L716" t="s">
        <v>1710</v>
      </c>
      <c r="M716" t="s">
        <v>1709</v>
      </c>
      <c r="N716" s="1"/>
      <c r="O716" t="s">
        <v>1774</v>
      </c>
      <c r="P716" s="3">
        <v>0.46</v>
      </c>
      <c r="Q716" s="3" t="s">
        <v>1636</v>
      </c>
      <c r="R716" t="s">
        <v>1059</v>
      </c>
      <c r="S716" t="s">
        <v>1101</v>
      </c>
      <c r="T716" t="s">
        <v>465</v>
      </c>
      <c r="U716" s="1">
        <f t="shared" si="10"/>
        <v>0.33333333333333331</v>
      </c>
    </row>
    <row r="717" spans="1:22" x14ac:dyDescent="0.3">
      <c r="A717" t="s">
        <v>456</v>
      </c>
      <c r="B717" t="str">
        <f ca="1">OFFSET(Industries!C$1,MATCH(Table1[[#This Row],[Ticker]],Industries!$A$2:$A$150,0),0)</f>
        <v>Industrials</v>
      </c>
      <c r="C717" t="str">
        <f ca="1">OFFSET(Industries!D$1,MATCH(Table1[[#This Row],[Ticker]],Industries!$A$2:$A$150,0),0)</f>
        <v>Capital Goods</v>
      </c>
      <c r="D717" t="str">
        <f ca="1">OFFSET(Industries!E$1,MATCH(Table1[[#This Row],[Ticker]],Industries!$A$2:$A$150,0),0)</f>
        <v>Aerospace and Defense</v>
      </c>
      <c r="E717" t="s">
        <v>116</v>
      </c>
      <c r="F717" t="str">
        <f ca="1">OFFSET(Industries!B$1,MATCH(Table1[[#This Row],[Ticker]],Industries!$A$2:$A$140,0),0)</f>
        <v>Ultra-Cap</v>
      </c>
      <c r="G717" t="str">
        <f ca="1">OFFSET(Industries!F$1,MATCH(Table1[[#This Row],[Ticker]],Industries!$A$2:$A$140,0),0)</f>
        <v>BBB+</v>
      </c>
      <c r="H717" t="s">
        <v>1434</v>
      </c>
      <c r="I717" t="s">
        <v>1434</v>
      </c>
      <c r="J717" s="2">
        <v>45385</v>
      </c>
      <c r="K717" t="s">
        <v>21</v>
      </c>
      <c r="L717" t="s">
        <v>1710</v>
      </c>
      <c r="M717" t="s">
        <v>1709</v>
      </c>
      <c r="N717" s="1"/>
      <c r="O717" t="s">
        <v>1774</v>
      </c>
      <c r="P717" s="3">
        <v>0.53</v>
      </c>
      <c r="Q717" s="3"/>
      <c r="R717" t="s">
        <v>28</v>
      </c>
      <c r="S717" t="s">
        <v>1095</v>
      </c>
      <c r="T717" t="s">
        <v>55</v>
      </c>
      <c r="V717" t="s">
        <v>469</v>
      </c>
    </row>
    <row r="718" spans="1:22" x14ac:dyDescent="0.3">
      <c r="A718" t="s">
        <v>456</v>
      </c>
      <c r="B718" t="str">
        <f ca="1">OFFSET(Industries!C$1,MATCH(Table1[[#This Row],[Ticker]],Industries!$A$2:$A$150,0),0)</f>
        <v>Industrials</v>
      </c>
      <c r="C718" t="str">
        <f ca="1">OFFSET(Industries!D$1,MATCH(Table1[[#This Row],[Ticker]],Industries!$A$2:$A$150,0),0)</f>
        <v>Capital Goods</v>
      </c>
      <c r="D718" t="str">
        <f ca="1">OFFSET(Industries!E$1,MATCH(Table1[[#This Row],[Ticker]],Industries!$A$2:$A$150,0),0)</f>
        <v>Aerospace and Defense</v>
      </c>
      <c r="E718" t="s">
        <v>116</v>
      </c>
      <c r="F718" t="str">
        <f ca="1">OFFSET(Industries!B$1,MATCH(Table1[[#This Row],[Ticker]],Industries!$A$2:$A$140,0),0)</f>
        <v>Ultra-Cap</v>
      </c>
      <c r="G718" t="str">
        <f ca="1">OFFSET(Industries!F$1,MATCH(Table1[[#This Row],[Ticker]],Industries!$A$2:$A$140,0),0)</f>
        <v>BBB+</v>
      </c>
      <c r="H718" t="s">
        <v>1434</v>
      </c>
      <c r="I718" t="s">
        <v>1434</v>
      </c>
      <c r="J718" s="2">
        <v>45385</v>
      </c>
      <c r="K718" t="s">
        <v>21</v>
      </c>
      <c r="L718" t="s">
        <v>1710</v>
      </c>
      <c r="M718" t="s">
        <v>1711</v>
      </c>
      <c r="N718" s="1">
        <f>Table1[[#This Row],[Consideration Weight]]</f>
        <v>0.2</v>
      </c>
      <c r="O718" t="s">
        <v>455</v>
      </c>
      <c r="P718" s="3">
        <v>0.2</v>
      </c>
      <c r="Q718" s="3"/>
    </row>
    <row r="719" spans="1:22" x14ac:dyDescent="0.3">
      <c r="A719" t="s">
        <v>470</v>
      </c>
      <c r="B719" t="str">
        <f ca="1">OFFSET(Industries!C$1,MATCH(Table1[[#This Row],[Ticker]],Industries!$A$2:$A$150,0),0)</f>
        <v>Health Care</v>
      </c>
      <c r="C719" t="str">
        <f ca="1">OFFSET(Industries!D$1,MATCH(Table1[[#This Row],[Ticker]],Industries!$A$2:$A$150,0),0)</f>
        <v>Pharmaceuticals, Biotechnology and Life Sciences</v>
      </c>
      <c r="D719" t="str">
        <f ca="1">OFFSET(Industries!E$1,MATCH(Table1[[#This Row],[Ticker]],Industries!$A$2:$A$150,0),0)</f>
        <v>Life Sciences Tools and Services</v>
      </c>
      <c r="E719" t="s">
        <v>471</v>
      </c>
      <c r="F719" t="str">
        <f ca="1">OFFSET(Industries!B$1,MATCH(Table1[[#This Row],[Ticker]],Industries!$A$2:$A$140,0),0)</f>
        <v>Mega-Cap</v>
      </c>
      <c r="G719" t="str">
        <f ca="1">OFFSET(Industries!F$1,MATCH(Table1[[#This Row],[Ticker]],Industries!$A$2:$A$140,0),0)</f>
        <v>A-</v>
      </c>
      <c r="H719" t="s">
        <v>1434</v>
      </c>
      <c r="I719" t="s">
        <v>1434</v>
      </c>
      <c r="J719" s="2">
        <v>45378</v>
      </c>
      <c r="K719" t="s">
        <v>2</v>
      </c>
      <c r="L719" t="s">
        <v>3</v>
      </c>
      <c r="M719" t="s">
        <v>1711</v>
      </c>
      <c r="N719" s="1">
        <f>Table1[[#This Row],[Consideration Weight]]</f>
        <v>0.06</v>
      </c>
      <c r="O719" t="s">
        <v>3</v>
      </c>
      <c r="P719" s="3">
        <v>0.06</v>
      </c>
      <c r="Q719" s="3"/>
    </row>
    <row r="720" spans="1:22" x14ac:dyDescent="0.3">
      <c r="A720" t="s">
        <v>470</v>
      </c>
      <c r="B720" t="str">
        <f ca="1">OFFSET(Industries!C$1,MATCH(Table1[[#This Row],[Ticker]],Industries!$A$2:$A$150,0),0)</f>
        <v>Health Care</v>
      </c>
      <c r="C720" t="str">
        <f ca="1">OFFSET(Industries!D$1,MATCH(Table1[[#This Row],[Ticker]],Industries!$A$2:$A$150,0),0)</f>
        <v>Pharmaceuticals, Biotechnology and Life Sciences</v>
      </c>
      <c r="D720" t="str">
        <f ca="1">OFFSET(Industries!E$1,MATCH(Table1[[#This Row],[Ticker]],Industries!$A$2:$A$150,0),0)</f>
        <v>Life Sciences Tools and Services</v>
      </c>
      <c r="E720" t="s">
        <v>471</v>
      </c>
      <c r="F720" t="str">
        <f ca="1">OFFSET(Industries!B$1,MATCH(Table1[[#This Row],[Ticker]],Industries!$A$2:$A$140,0),0)</f>
        <v>Mega-Cap</v>
      </c>
      <c r="G720" t="str">
        <f ca="1">OFFSET(Industries!F$1,MATCH(Table1[[#This Row],[Ticker]],Industries!$A$2:$A$140,0),0)</f>
        <v>A-</v>
      </c>
      <c r="H720" t="s">
        <v>1434</v>
      </c>
      <c r="I720" t="s">
        <v>1434</v>
      </c>
      <c r="J720" s="2">
        <v>45378</v>
      </c>
      <c r="K720" t="s">
        <v>2</v>
      </c>
      <c r="L720" t="s">
        <v>1708</v>
      </c>
      <c r="M720" t="s">
        <v>1709</v>
      </c>
      <c r="N720" s="1">
        <f>Table1[[#This Row],[Consideration Weight]]</f>
        <v>0.17</v>
      </c>
      <c r="O720" t="s">
        <v>4</v>
      </c>
      <c r="P720" s="3">
        <v>0.17</v>
      </c>
      <c r="Q720" s="3" t="s">
        <v>1637</v>
      </c>
      <c r="R720" t="s">
        <v>332</v>
      </c>
      <c r="S720" t="s">
        <v>380</v>
      </c>
      <c r="T720" t="s">
        <v>380</v>
      </c>
      <c r="U720" s="1">
        <v>0.4</v>
      </c>
      <c r="V720" t="s">
        <v>1133</v>
      </c>
    </row>
    <row r="721" spans="1:22" x14ac:dyDescent="0.3">
      <c r="A721" t="s">
        <v>470</v>
      </c>
      <c r="B721" t="str">
        <f ca="1">OFFSET(Industries!C$1,MATCH(Table1[[#This Row],[Ticker]],Industries!$A$2:$A$150,0),0)</f>
        <v>Health Care</v>
      </c>
      <c r="C721" t="str">
        <f ca="1">OFFSET(Industries!D$1,MATCH(Table1[[#This Row],[Ticker]],Industries!$A$2:$A$150,0),0)</f>
        <v>Pharmaceuticals, Biotechnology and Life Sciences</v>
      </c>
      <c r="D721" t="str">
        <f ca="1">OFFSET(Industries!E$1,MATCH(Table1[[#This Row],[Ticker]],Industries!$A$2:$A$150,0),0)</f>
        <v>Life Sciences Tools and Services</v>
      </c>
      <c r="E721" t="s">
        <v>471</v>
      </c>
      <c r="F721" t="str">
        <f ca="1">OFFSET(Industries!B$1,MATCH(Table1[[#This Row],[Ticker]],Industries!$A$2:$A$140,0),0)</f>
        <v>Mega-Cap</v>
      </c>
      <c r="G721" t="str">
        <f ca="1">OFFSET(Industries!F$1,MATCH(Table1[[#This Row],[Ticker]],Industries!$A$2:$A$140,0),0)</f>
        <v>A-</v>
      </c>
      <c r="H721" t="s">
        <v>1434</v>
      </c>
      <c r="I721" t="s">
        <v>1434</v>
      </c>
      <c r="J721" s="2">
        <v>45378</v>
      </c>
      <c r="K721" t="s">
        <v>2</v>
      </c>
      <c r="L721" t="s">
        <v>1708</v>
      </c>
      <c r="M721" t="s">
        <v>1709</v>
      </c>
      <c r="N721" s="1"/>
      <c r="O721" t="s">
        <v>4</v>
      </c>
      <c r="P721" s="3">
        <v>0.17</v>
      </c>
      <c r="Q721" s="3" t="s">
        <v>1636</v>
      </c>
      <c r="R721" t="s">
        <v>24</v>
      </c>
      <c r="S721" t="s">
        <v>1089</v>
      </c>
      <c r="T721" t="s">
        <v>50</v>
      </c>
      <c r="U721" s="1">
        <f>0.6*0.6</f>
        <v>0.36</v>
      </c>
      <c r="V721" t="s">
        <v>472</v>
      </c>
    </row>
    <row r="722" spans="1:22" x14ac:dyDescent="0.3">
      <c r="A722" t="s">
        <v>470</v>
      </c>
      <c r="B722" t="str">
        <f ca="1">OFFSET(Industries!C$1,MATCH(Table1[[#This Row],[Ticker]],Industries!$A$2:$A$150,0),0)</f>
        <v>Health Care</v>
      </c>
      <c r="C722" t="str">
        <f ca="1">OFFSET(Industries!D$1,MATCH(Table1[[#This Row],[Ticker]],Industries!$A$2:$A$150,0),0)</f>
        <v>Pharmaceuticals, Biotechnology and Life Sciences</v>
      </c>
      <c r="D722" t="str">
        <f ca="1">OFFSET(Industries!E$1,MATCH(Table1[[#This Row],[Ticker]],Industries!$A$2:$A$150,0),0)</f>
        <v>Life Sciences Tools and Services</v>
      </c>
      <c r="E722" t="s">
        <v>471</v>
      </c>
      <c r="F722" t="str">
        <f ca="1">OFFSET(Industries!B$1,MATCH(Table1[[#This Row],[Ticker]],Industries!$A$2:$A$140,0),0)</f>
        <v>Mega-Cap</v>
      </c>
      <c r="G722" t="str">
        <f ca="1">OFFSET(Industries!F$1,MATCH(Table1[[#This Row],[Ticker]],Industries!$A$2:$A$140,0),0)</f>
        <v>A-</v>
      </c>
      <c r="H722" t="s">
        <v>1434</v>
      </c>
      <c r="I722" t="s">
        <v>1434</v>
      </c>
      <c r="J722" s="2">
        <v>45378</v>
      </c>
      <c r="K722" t="s">
        <v>2</v>
      </c>
      <c r="L722" t="s">
        <v>1708</v>
      </c>
      <c r="M722" t="s">
        <v>1709</v>
      </c>
      <c r="N722" s="1"/>
      <c r="O722" t="s">
        <v>4</v>
      </c>
      <c r="P722" s="3">
        <v>0.17</v>
      </c>
      <c r="Q722" s="3" t="s">
        <v>1636</v>
      </c>
      <c r="R722" t="s">
        <v>62</v>
      </c>
      <c r="S722" t="s">
        <v>1108</v>
      </c>
      <c r="T722" t="s">
        <v>473</v>
      </c>
      <c r="U722" s="1">
        <f>0.2*0.6</f>
        <v>0.12</v>
      </c>
      <c r="V722" t="s">
        <v>474</v>
      </c>
    </row>
    <row r="723" spans="1:22" x14ac:dyDescent="0.3">
      <c r="A723" t="s">
        <v>470</v>
      </c>
      <c r="B723" t="str">
        <f ca="1">OFFSET(Industries!C$1,MATCH(Table1[[#This Row],[Ticker]],Industries!$A$2:$A$150,0),0)</f>
        <v>Health Care</v>
      </c>
      <c r="C723" t="str">
        <f ca="1">OFFSET(Industries!D$1,MATCH(Table1[[#This Row],[Ticker]],Industries!$A$2:$A$150,0),0)</f>
        <v>Pharmaceuticals, Biotechnology and Life Sciences</v>
      </c>
      <c r="D723" t="str">
        <f ca="1">OFFSET(Industries!E$1,MATCH(Table1[[#This Row],[Ticker]],Industries!$A$2:$A$150,0),0)</f>
        <v>Life Sciences Tools and Services</v>
      </c>
      <c r="E723" t="s">
        <v>471</v>
      </c>
      <c r="F723" t="str">
        <f ca="1">OFFSET(Industries!B$1,MATCH(Table1[[#This Row],[Ticker]],Industries!$A$2:$A$140,0),0)</f>
        <v>Mega-Cap</v>
      </c>
      <c r="G723" t="str">
        <f ca="1">OFFSET(Industries!F$1,MATCH(Table1[[#This Row],[Ticker]],Industries!$A$2:$A$140,0),0)</f>
        <v>A-</v>
      </c>
      <c r="H723" t="s">
        <v>1434</v>
      </c>
      <c r="I723" t="s">
        <v>1434</v>
      </c>
      <c r="J723" s="2">
        <v>45378</v>
      </c>
      <c r="K723" t="s">
        <v>2</v>
      </c>
      <c r="L723" t="s">
        <v>1708</v>
      </c>
      <c r="M723" t="s">
        <v>1709</v>
      </c>
      <c r="N723" s="1"/>
      <c r="O723" t="s">
        <v>4</v>
      </c>
      <c r="P723" s="3">
        <v>0.17</v>
      </c>
      <c r="Q723" s="3" t="s">
        <v>1636</v>
      </c>
      <c r="R723" t="s">
        <v>23</v>
      </c>
      <c r="S723" t="s">
        <v>1083</v>
      </c>
      <c r="T723" t="s">
        <v>226</v>
      </c>
      <c r="U723" s="1">
        <f>0.2*0.6</f>
        <v>0.12</v>
      </c>
      <c r="V723" t="s">
        <v>475</v>
      </c>
    </row>
    <row r="724" spans="1:22" x14ac:dyDescent="0.3">
      <c r="A724" t="s">
        <v>470</v>
      </c>
      <c r="B724" t="str">
        <f ca="1">OFFSET(Industries!C$1,MATCH(Table1[[#This Row],[Ticker]],Industries!$A$2:$A$150,0),0)</f>
        <v>Health Care</v>
      </c>
      <c r="C724" t="str">
        <f ca="1">OFFSET(Industries!D$1,MATCH(Table1[[#This Row],[Ticker]],Industries!$A$2:$A$150,0),0)</f>
        <v>Pharmaceuticals, Biotechnology and Life Sciences</v>
      </c>
      <c r="D724" t="str">
        <f ca="1">OFFSET(Industries!E$1,MATCH(Table1[[#This Row],[Ticker]],Industries!$A$2:$A$150,0),0)</f>
        <v>Life Sciences Tools and Services</v>
      </c>
      <c r="E724" t="s">
        <v>471</v>
      </c>
      <c r="F724" t="str">
        <f ca="1">OFFSET(Industries!B$1,MATCH(Table1[[#This Row],[Ticker]],Industries!$A$2:$A$140,0),0)</f>
        <v>Mega-Cap</v>
      </c>
      <c r="G724" t="str">
        <f ca="1">OFFSET(Industries!F$1,MATCH(Table1[[#This Row],[Ticker]],Industries!$A$2:$A$140,0),0)</f>
        <v>A-</v>
      </c>
      <c r="H724" t="s">
        <v>1434</v>
      </c>
      <c r="I724" t="s">
        <v>1434</v>
      </c>
      <c r="J724" s="2">
        <v>45378</v>
      </c>
      <c r="K724" t="s">
        <v>2</v>
      </c>
      <c r="L724" t="s">
        <v>1710</v>
      </c>
      <c r="M724" t="s">
        <v>1709</v>
      </c>
      <c r="N724" s="1">
        <f>Table1[[#This Row],[Consideration Weight]]</f>
        <v>0.4</v>
      </c>
      <c r="O724" t="s">
        <v>476</v>
      </c>
      <c r="P724" s="3">
        <v>0.4</v>
      </c>
      <c r="Q724" s="3" t="s">
        <v>1646</v>
      </c>
      <c r="R724" t="s">
        <v>35</v>
      </c>
      <c r="S724" t="s">
        <v>29</v>
      </c>
      <c r="T724" t="s">
        <v>30</v>
      </c>
      <c r="U724" s="1">
        <v>1</v>
      </c>
      <c r="V724" t="s">
        <v>367</v>
      </c>
    </row>
    <row r="725" spans="1:22" x14ac:dyDescent="0.3">
      <c r="A725" t="s">
        <v>470</v>
      </c>
      <c r="B725" t="str">
        <f ca="1">OFFSET(Industries!C$1,MATCH(Table1[[#This Row],[Ticker]],Industries!$A$2:$A$150,0),0)</f>
        <v>Health Care</v>
      </c>
      <c r="C725" t="str">
        <f ca="1">OFFSET(Industries!D$1,MATCH(Table1[[#This Row],[Ticker]],Industries!$A$2:$A$150,0),0)</f>
        <v>Pharmaceuticals, Biotechnology and Life Sciences</v>
      </c>
      <c r="D725" t="str">
        <f ca="1">OFFSET(Industries!E$1,MATCH(Table1[[#This Row],[Ticker]],Industries!$A$2:$A$150,0),0)</f>
        <v>Life Sciences Tools and Services</v>
      </c>
      <c r="E725" t="s">
        <v>471</v>
      </c>
      <c r="F725" t="str">
        <f ca="1">OFFSET(Industries!B$1,MATCH(Table1[[#This Row],[Ticker]],Industries!$A$2:$A$140,0),0)</f>
        <v>Mega-Cap</v>
      </c>
      <c r="G725" t="str">
        <f ca="1">OFFSET(Industries!F$1,MATCH(Table1[[#This Row],[Ticker]],Industries!$A$2:$A$140,0),0)</f>
        <v>A-</v>
      </c>
      <c r="H725" t="s">
        <v>1434</v>
      </c>
      <c r="I725" t="s">
        <v>1434</v>
      </c>
      <c r="J725" s="2">
        <v>45378</v>
      </c>
      <c r="K725" t="s">
        <v>2</v>
      </c>
      <c r="L725" t="s">
        <v>1710</v>
      </c>
      <c r="M725" t="s">
        <v>1709</v>
      </c>
      <c r="N725" s="1"/>
      <c r="O725" t="s">
        <v>476</v>
      </c>
      <c r="P725" s="3">
        <v>0.4</v>
      </c>
      <c r="Q725" s="3"/>
      <c r="R725" t="s">
        <v>28</v>
      </c>
      <c r="S725" t="s">
        <v>1134</v>
      </c>
      <c r="T725" t="s">
        <v>479</v>
      </c>
      <c r="V725" t="s">
        <v>477</v>
      </c>
    </row>
    <row r="726" spans="1:22" x14ac:dyDescent="0.3">
      <c r="A726" t="s">
        <v>470</v>
      </c>
      <c r="B726" t="str">
        <f ca="1">OFFSET(Industries!C$1,MATCH(Table1[[#This Row],[Ticker]],Industries!$A$2:$A$150,0),0)</f>
        <v>Health Care</v>
      </c>
      <c r="C726" t="str">
        <f ca="1">OFFSET(Industries!D$1,MATCH(Table1[[#This Row],[Ticker]],Industries!$A$2:$A$150,0),0)</f>
        <v>Pharmaceuticals, Biotechnology and Life Sciences</v>
      </c>
      <c r="D726" t="str">
        <f ca="1">OFFSET(Industries!E$1,MATCH(Table1[[#This Row],[Ticker]],Industries!$A$2:$A$150,0),0)</f>
        <v>Life Sciences Tools and Services</v>
      </c>
      <c r="E726" t="s">
        <v>471</v>
      </c>
      <c r="F726" t="str">
        <f ca="1">OFFSET(Industries!B$1,MATCH(Table1[[#This Row],[Ticker]],Industries!$A$2:$A$140,0),0)</f>
        <v>Mega-Cap</v>
      </c>
      <c r="G726" t="str">
        <f ca="1">OFFSET(Industries!F$1,MATCH(Table1[[#This Row],[Ticker]],Industries!$A$2:$A$140,0),0)</f>
        <v>A-</v>
      </c>
      <c r="H726" t="s">
        <v>1434</v>
      </c>
      <c r="I726" t="s">
        <v>1434</v>
      </c>
      <c r="J726" s="2">
        <v>45378</v>
      </c>
      <c r="K726" t="s">
        <v>2</v>
      </c>
      <c r="L726" t="s">
        <v>1710</v>
      </c>
      <c r="M726" t="s">
        <v>1709</v>
      </c>
      <c r="N726" s="1"/>
      <c r="O726" t="s">
        <v>476</v>
      </c>
      <c r="P726" s="3">
        <v>0.4</v>
      </c>
      <c r="Q726" s="3"/>
      <c r="R726" t="s">
        <v>28</v>
      </c>
      <c r="S726" t="s">
        <v>1095</v>
      </c>
      <c r="T726" t="s">
        <v>55</v>
      </c>
      <c r="V726" t="s">
        <v>469</v>
      </c>
    </row>
    <row r="727" spans="1:22" x14ac:dyDescent="0.3">
      <c r="A727" t="s">
        <v>470</v>
      </c>
      <c r="B727" t="str">
        <f ca="1">OFFSET(Industries!C$1,MATCH(Table1[[#This Row],[Ticker]],Industries!$A$2:$A$150,0),0)</f>
        <v>Health Care</v>
      </c>
      <c r="C727" t="str">
        <f ca="1">OFFSET(Industries!D$1,MATCH(Table1[[#This Row],[Ticker]],Industries!$A$2:$A$150,0),0)</f>
        <v>Pharmaceuticals, Biotechnology and Life Sciences</v>
      </c>
      <c r="D727" t="str">
        <f ca="1">OFFSET(Industries!E$1,MATCH(Table1[[#This Row],[Ticker]],Industries!$A$2:$A$150,0),0)</f>
        <v>Life Sciences Tools and Services</v>
      </c>
      <c r="E727" t="s">
        <v>471</v>
      </c>
      <c r="F727" t="str">
        <f ca="1">OFFSET(Industries!B$1,MATCH(Table1[[#This Row],[Ticker]],Industries!$A$2:$A$140,0),0)</f>
        <v>Mega-Cap</v>
      </c>
      <c r="G727" t="str">
        <f ca="1">OFFSET(Industries!F$1,MATCH(Table1[[#This Row],[Ticker]],Industries!$A$2:$A$140,0),0)</f>
        <v>A-</v>
      </c>
      <c r="H727" t="s">
        <v>1434</v>
      </c>
      <c r="I727" t="s">
        <v>1434</v>
      </c>
      <c r="J727" s="2">
        <v>45378</v>
      </c>
      <c r="K727" t="s">
        <v>2</v>
      </c>
      <c r="L727" t="s">
        <v>1710</v>
      </c>
      <c r="M727" t="s">
        <v>1711</v>
      </c>
      <c r="N727" s="1">
        <f>Table1[[#This Row],[Consideration Weight]]</f>
        <v>0.37</v>
      </c>
      <c r="O727" t="s">
        <v>87</v>
      </c>
      <c r="P727" s="3">
        <v>0.37</v>
      </c>
      <c r="Q727" s="3"/>
      <c r="V727" t="s">
        <v>478</v>
      </c>
    </row>
    <row r="728" spans="1:22" x14ac:dyDescent="0.3">
      <c r="A728" t="s">
        <v>470</v>
      </c>
      <c r="B728" t="str">
        <f ca="1">OFFSET(Industries!C$1,MATCH(Table1[[#This Row],[Ticker]],Industries!$A$2:$A$150,0),0)</f>
        <v>Health Care</v>
      </c>
      <c r="C728" t="str">
        <f ca="1">OFFSET(Industries!D$1,MATCH(Table1[[#This Row],[Ticker]],Industries!$A$2:$A$150,0),0)</f>
        <v>Pharmaceuticals, Biotechnology and Life Sciences</v>
      </c>
      <c r="D728" t="str">
        <f ca="1">OFFSET(Industries!E$1,MATCH(Table1[[#This Row],[Ticker]],Industries!$A$2:$A$150,0),0)</f>
        <v>Life Sciences Tools and Services</v>
      </c>
      <c r="E728" t="s">
        <v>471</v>
      </c>
      <c r="F728" t="str">
        <f ca="1">OFFSET(Industries!B$1,MATCH(Table1[[#This Row],[Ticker]],Industries!$A$2:$A$140,0),0)</f>
        <v>Mega-Cap</v>
      </c>
      <c r="G728" t="str">
        <f ca="1">OFFSET(Industries!F$1,MATCH(Table1[[#This Row],[Ticker]],Industries!$A$2:$A$140,0),0)</f>
        <v>A-</v>
      </c>
      <c r="H728" t="s">
        <v>1434</v>
      </c>
      <c r="I728" t="s">
        <v>1434</v>
      </c>
      <c r="J728" s="2">
        <v>45378</v>
      </c>
      <c r="K728" t="s">
        <v>21</v>
      </c>
      <c r="L728" t="s">
        <v>3</v>
      </c>
      <c r="M728" t="s">
        <v>1711</v>
      </c>
      <c r="N728" s="1">
        <f>Table1[[#This Row],[Consideration Weight]]</f>
        <v>0.12700281209968226</v>
      </c>
      <c r="O728" t="s">
        <v>3</v>
      </c>
      <c r="P728" s="3">
        <v>0.12700281209968226</v>
      </c>
      <c r="Q728" s="3"/>
    </row>
    <row r="729" spans="1:22" x14ac:dyDescent="0.3">
      <c r="A729" t="s">
        <v>470</v>
      </c>
      <c r="B729" t="str">
        <f ca="1">OFFSET(Industries!C$1,MATCH(Table1[[#This Row],[Ticker]],Industries!$A$2:$A$150,0),0)</f>
        <v>Health Care</v>
      </c>
      <c r="C729" t="str">
        <f ca="1">OFFSET(Industries!D$1,MATCH(Table1[[#This Row],[Ticker]],Industries!$A$2:$A$150,0),0)</f>
        <v>Pharmaceuticals, Biotechnology and Life Sciences</v>
      </c>
      <c r="D729" t="str">
        <f ca="1">OFFSET(Industries!E$1,MATCH(Table1[[#This Row],[Ticker]],Industries!$A$2:$A$150,0),0)</f>
        <v>Life Sciences Tools and Services</v>
      </c>
      <c r="E729" t="s">
        <v>471</v>
      </c>
      <c r="F729" t="str">
        <f ca="1">OFFSET(Industries!B$1,MATCH(Table1[[#This Row],[Ticker]],Industries!$A$2:$A$140,0),0)</f>
        <v>Mega-Cap</v>
      </c>
      <c r="G729" t="str">
        <f ca="1">OFFSET(Industries!F$1,MATCH(Table1[[#This Row],[Ticker]],Industries!$A$2:$A$140,0),0)</f>
        <v>A-</v>
      </c>
      <c r="H729" t="s">
        <v>1434</v>
      </c>
      <c r="I729" t="s">
        <v>1434</v>
      </c>
      <c r="J729" s="2">
        <v>45378</v>
      </c>
      <c r="K729" t="s">
        <v>21</v>
      </c>
      <c r="L729" t="s">
        <v>1708</v>
      </c>
      <c r="M729" t="s">
        <v>1709</v>
      </c>
      <c r="N729" s="1">
        <f>Table1[[#This Row],[Consideration Weight]]</f>
        <v>0.19614969020834633</v>
      </c>
      <c r="O729" t="s">
        <v>4</v>
      </c>
      <c r="P729" s="3">
        <v>0.19614969020834633</v>
      </c>
      <c r="Q729" s="3" t="s">
        <v>1637</v>
      </c>
      <c r="R729" t="s">
        <v>332</v>
      </c>
      <c r="S729" t="s">
        <v>380</v>
      </c>
      <c r="T729" t="s">
        <v>380</v>
      </c>
      <c r="U729" s="1">
        <v>0.4</v>
      </c>
    </row>
    <row r="730" spans="1:22" x14ac:dyDescent="0.3">
      <c r="A730" t="s">
        <v>470</v>
      </c>
      <c r="B730" t="str">
        <f ca="1">OFFSET(Industries!C$1,MATCH(Table1[[#This Row],[Ticker]],Industries!$A$2:$A$150,0),0)</f>
        <v>Health Care</v>
      </c>
      <c r="C730" t="str">
        <f ca="1">OFFSET(Industries!D$1,MATCH(Table1[[#This Row],[Ticker]],Industries!$A$2:$A$150,0),0)</f>
        <v>Pharmaceuticals, Biotechnology and Life Sciences</v>
      </c>
      <c r="D730" t="str">
        <f ca="1">OFFSET(Industries!E$1,MATCH(Table1[[#This Row],[Ticker]],Industries!$A$2:$A$150,0),0)</f>
        <v>Life Sciences Tools and Services</v>
      </c>
      <c r="E730" t="s">
        <v>471</v>
      </c>
      <c r="F730" t="str">
        <f ca="1">OFFSET(Industries!B$1,MATCH(Table1[[#This Row],[Ticker]],Industries!$A$2:$A$140,0),0)</f>
        <v>Mega-Cap</v>
      </c>
      <c r="G730" t="str">
        <f ca="1">OFFSET(Industries!F$1,MATCH(Table1[[#This Row],[Ticker]],Industries!$A$2:$A$140,0),0)</f>
        <v>A-</v>
      </c>
      <c r="H730" t="s">
        <v>1434</v>
      </c>
      <c r="I730" t="s">
        <v>1434</v>
      </c>
      <c r="J730" s="2">
        <v>45378</v>
      </c>
      <c r="K730" t="s">
        <v>21</v>
      </c>
      <c r="L730" t="s">
        <v>1708</v>
      </c>
      <c r="M730" t="s">
        <v>1709</v>
      </c>
      <c r="N730" s="1"/>
      <c r="O730" t="s">
        <v>4</v>
      </c>
      <c r="P730" s="3">
        <v>0.19614969020834633</v>
      </c>
      <c r="Q730" s="3" t="s">
        <v>1636</v>
      </c>
      <c r="R730" t="s">
        <v>24</v>
      </c>
      <c r="S730" t="s">
        <v>1089</v>
      </c>
      <c r="T730" t="s">
        <v>50</v>
      </c>
      <c r="U730" s="1">
        <f>0.6*0.6</f>
        <v>0.36</v>
      </c>
    </row>
    <row r="731" spans="1:22" x14ac:dyDescent="0.3">
      <c r="A731" t="s">
        <v>470</v>
      </c>
      <c r="B731" t="str">
        <f ca="1">OFFSET(Industries!C$1,MATCH(Table1[[#This Row],[Ticker]],Industries!$A$2:$A$150,0),0)</f>
        <v>Health Care</v>
      </c>
      <c r="C731" t="str">
        <f ca="1">OFFSET(Industries!D$1,MATCH(Table1[[#This Row],[Ticker]],Industries!$A$2:$A$150,0),0)</f>
        <v>Pharmaceuticals, Biotechnology and Life Sciences</v>
      </c>
      <c r="D731" t="str">
        <f ca="1">OFFSET(Industries!E$1,MATCH(Table1[[#This Row],[Ticker]],Industries!$A$2:$A$150,0),0)</f>
        <v>Life Sciences Tools and Services</v>
      </c>
      <c r="E731" t="s">
        <v>471</v>
      </c>
      <c r="F731" t="str">
        <f ca="1">OFFSET(Industries!B$1,MATCH(Table1[[#This Row],[Ticker]],Industries!$A$2:$A$140,0),0)</f>
        <v>Mega-Cap</v>
      </c>
      <c r="G731" t="str">
        <f ca="1">OFFSET(Industries!F$1,MATCH(Table1[[#This Row],[Ticker]],Industries!$A$2:$A$140,0),0)</f>
        <v>A-</v>
      </c>
      <c r="H731" t="s">
        <v>1434</v>
      </c>
      <c r="I731" t="s">
        <v>1434</v>
      </c>
      <c r="J731" s="2">
        <v>45378</v>
      </c>
      <c r="K731" t="s">
        <v>21</v>
      </c>
      <c r="L731" t="s">
        <v>1708</v>
      </c>
      <c r="M731" t="s">
        <v>1709</v>
      </c>
      <c r="N731" s="1"/>
      <c r="O731" t="s">
        <v>4</v>
      </c>
      <c r="P731" s="3">
        <v>0.19614969020834633</v>
      </c>
      <c r="Q731" s="3" t="s">
        <v>1636</v>
      </c>
      <c r="R731" t="s">
        <v>62</v>
      </c>
      <c r="S731" t="s">
        <v>1108</v>
      </c>
      <c r="T731" t="s">
        <v>473</v>
      </c>
      <c r="U731" s="1">
        <f>0.2*0.6</f>
        <v>0.12</v>
      </c>
    </row>
    <row r="732" spans="1:22" x14ac:dyDescent="0.3">
      <c r="A732" t="s">
        <v>470</v>
      </c>
      <c r="B732" t="str">
        <f ca="1">OFFSET(Industries!C$1,MATCH(Table1[[#This Row],[Ticker]],Industries!$A$2:$A$150,0),0)</f>
        <v>Health Care</v>
      </c>
      <c r="C732" t="str">
        <f ca="1">OFFSET(Industries!D$1,MATCH(Table1[[#This Row],[Ticker]],Industries!$A$2:$A$150,0),0)</f>
        <v>Pharmaceuticals, Biotechnology and Life Sciences</v>
      </c>
      <c r="D732" t="str">
        <f ca="1">OFFSET(Industries!E$1,MATCH(Table1[[#This Row],[Ticker]],Industries!$A$2:$A$150,0),0)</f>
        <v>Life Sciences Tools and Services</v>
      </c>
      <c r="E732" t="s">
        <v>471</v>
      </c>
      <c r="F732" t="str">
        <f ca="1">OFFSET(Industries!B$1,MATCH(Table1[[#This Row],[Ticker]],Industries!$A$2:$A$140,0),0)</f>
        <v>Mega-Cap</v>
      </c>
      <c r="G732" t="str">
        <f ca="1">OFFSET(Industries!F$1,MATCH(Table1[[#This Row],[Ticker]],Industries!$A$2:$A$140,0),0)</f>
        <v>A-</v>
      </c>
      <c r="H732" t="s">
        <v>1434</v>
      </c>
      <c r="I732" t="s">
        <v>1434</v>
      </c>
      <c r="J732" s="2">
        <v>45378</v>
      </c>
      <c r="K732" t="s">
        <v>21</v>
      </c>
      <c r="L732" t="s">
        <v>1708</v>
      </c>
      <c r="M732" t="s">
        <v>1709</v>
      </c>
      <c r="N732" s="1"/>
      <c r="O732" t="s">
        <v>4</v>
      </c>
      <c r="P732" s="3">
        <v>0.19614969020834633</v>
      </c>
      <c r="Q732" s="3" t="s">
        <v>1636</v>
      </c>
      <c r="R732" t="s">
        <v>23</v>
      </c>
      <c r="S732" t="s">
        <v>1083</v>
      </c>
      <c r="T732" t="s">
        <v>226</v>
      </c>
      <c r="U732" s="1">
        <f>0.2*0.6</f>
        <v>0.12</v>
      </c>
    </row>
    <row r="733" spans="1:22" x14ac:dyDescent="0.3">
      <c r="A733" t="s">
        <v>470</v>
      </c>
      <c r="B733" t="str">
        <f ca="1">OFFSET(Industries!C$1,MATCH(Table1[[#This Row],[Ticker]],Industries!$A$2:$A$150,0),0)</f>
        <v>Health Care</v>
      </c>
      <c r="C733" t="str">
        <f ca="1">OFFSET(Industries!D$1,MATCH(Table1[[#This Row],[Ticker]],Industries!$A$2:$A$150,0),0)</f>
        <v>Pharmaceuticals, Biotechnology and Life Sciences</v>
      </c>
      <c r="D733" t="str">
        <f ca="1">OFFSET(Industries!E$1,MATCH(Table1[[#This Row],[Ticker]],Industries!$A$2:$A$150,0),0)</f>
        <v>Life Sciences Tools and Services</v>
      </c>
      <c r="E733" t="s">
        <v>471</v>
      </c>
      <c r="F733" t="str">
        <f ca="1">OFFSET(Industries!B$1,MATCH(Table1[[#This Row],[Ticker]],Industries!$A$2:$A$140,0),0)</f>
        <v>Mega-Cap</v>
      </c>
      <c r="G733" t="str">
        <f ca="1">OFFSET(Industries!F$1,MATCH(Table1[[#This Row],[Ticker]],Industries!$A$2:$A$140,0),0)</f>
        <v>A-</v>
      </c>
      <c r="H733" t="s">
        <v>1434</v>
      </c>
      <c r="I733" t="s">
        <v>1434</v>
      </c>
      <c r="J733" s="2">
        <v>45378</v>
      </c>
      <c r="K733" t="s">
        <v>21</v>
      </c>
      <c r="L733" t="s">
        <v>1710</v>
      </c>
      <c r="M733" t="s">
        <v>1709</v>
      </c>
      <c r="N733" s="1">
        <f>Table1[[#This Row],[Consideration Weight]]</f>
        <v>0.35058878811477151</v>
      </c>
      <c r="O733" t="s">
        <v>476</v>
      </c>
      <c r="P733" s="3">
        <v>0.35058878811477151</v>
      </c>
      <c r="Q733" s="3" t="s">
        <v>1646</v>
      </c>
      <c r="R733" t="s">
        <v>35</v>
      </c>
      <c r="S733" t="s">
        <v>29</v>
      </c>
      <c r="T733" t="s">
        <v>30</v>
      </c>
      <c r="U733" s="1">
        <v>1</v>
      </c>
    </row>
    <row r="734" spans="1:22" x14ac:dyDescent="0.3">
      <c r="A734" t="s">
        <v>470</v>
      </c>
      <c r="B734" t="str">
        <f ca="1">OFFSET(Industries!C$1,MATCH(Table1[[#This Row],[Ticker]],Industries!$A$2:$A$150,0),0)</f>
        <v>Health Care</v>
      </c>
      <c r="C734" t="str">
        <f ca="1">OFFSET(Industries!D$1,MATCH(Table1[[#This Row],[Ticker]],Industries!$A$2:$A$150,0),0)</f>
        <v>Pharmaceuticals, Biotechnology and Life Sciences</v>
      </c>
      <c r="D734" t="str">
        <f ca="1">OFFSET(Industries!E$1,MATCH(Table1[[#This Row],[Ticker]],Industries!$A$2:$A$150,0),0)</f>
        <v>Life Sciences Tools and Services</v>
      </c>
      <c r="E734" t="s">
        <v>471</v>
      </c>
      <c r="F734" t="str">
        <f ca="1">OFFSET(Industries!B$1,MATCH(Table1[[#This Row],[Ticker]],Industries!$A$2:$A$140,0),0)</f>
        <v>Mega-Cap</v>
      </c>
      <c r="G734" t="str">
        <f ca="1">OFFSET(Industries!F$1,MATCH(Table1[[#This Row],[Ticker]],Industries!$A$2:$A$140,0),0)</f>
        <v>A-</v>
      </c>
      <c r="H734" t="s">
        <v>1434</v>
      </c>
      <c r="I734" t="s">
        <v>1434</v>
      </c>
      <c r="J734" s="2">
        <v>45378</v>
      </c>
      <c r="K734" t="s">
        <v>21</v>
      </c>
      <c r="L734" t="s">
        <v>1710</v>
      </c>
      <c r="M734" t="s">
        <v>1709</v>
      </c>
      <c r="N734" s="1"/>
      <c r="O734" t="s">
        <v>476</v>
      </c>
      <c r="P734" s="3">
        <v>0.35058878811477151</v>
      </c>
      <c r="Q734" s="3"/>
      <c r="R734" t="s">
        <v>28</v>
      </c>
      <c r="S734" t="s">
        <v>1134</v>
      </c>
      <c r="T734" t="s">
        <v>479</v>
      </c>
    </row>
    <row r="735" spans="1:22" x14ac:dyDescent="0.3">
      <c r="A735" t="s">
        <v>470</v>
      </c>
      <c r="B735" t="str">
        <f ca="1">OFFSET(Industries!C$1,MATCH(Table1[[#This Row],[Ticker]],Industries!$A$2:$A$150,0),0)</f>
        <v>Health Care</v>
      </c>
      <c r="C735" t="str">
        <f ca="1">OFFSET(Industries!D$1,MATCH(Table1[[#This Row],[Ticker]],Industries!$A$2:$A$150,0),0)</f>
        <v>Pharmaceuticals, Biotechnology and Life Sciences</v>
      </c>
      <c r="D735" t="str">
        <f ca="1">OFFSET(Industries!E$1,MATCH(Table1[[#This Row],[Ticker]],Industries!$A$2:$A$150,0),0)</f>
        <v>Life Sciences Tools and Services</v>
      </c>
      <c r="E735" t="s">
        <v>471</v>
      </c>
      <c r="F735" t="str">
        <f ca="1">OFFSET(Industries!B$1,MATCH(Table1[[#This Row],[Ticker]],Industries!$A$2:$A$140,0),0)</f>
        <v>Mega-Cap</v>
      </c>
      <c r="G735" t="str">
        <f ca="1">OFFSET(Industries!F$1,MATCH(Table1[[#This Row],[Ticker]],Industries!$A$2:$A$140,0),0)</f>
        <v>A-</v>
      </c>
      <c r="H735" t="s">
        <v>1434</v>
      </c>
      <c r="I735" t="s">
        <v>1434</v>
      </c>
      <c r="J735" s="2">
        <v>45378</v>
      </c>
      <c r="K735" t="s">
        <v>21</v>
      </c>
      <c r="L735" t="s">
        <v>1710</v>
      </c>
      <c r="M735" t="s">
        <v>1709</v>
      </c>
      <c r="N735" s="1"/>
      <c r="O735" t="s">
        <v>476</v>
      </c>
      <c r="P735" s="3">
        <v>0.35058878811477151</v>
      </c>
      <c r="Q735" s="3"/>
      <c r="R735" t="s">
        <v>28</v>
      </c>
      <c r="S735" t="s">
        <v>1095</v>
      </c>
      <c r="T735" t="s">
        <v>55</v>
      </c>
      <c r="V735" t="s">
        <v>469</v>
      </c>
    </row>
    <row r="736" spans="1:22" x14ac:dyDescent="0.3">
      <c r="A736" t="s">
        <v>470</v>
      </c>
      <c r="B736" t="str">
        <f ca="1">OFFSET(Industries!C$1,MATCH(Table1[[#This Row],[Ticker]],Industries!$A$2:$A$150,0),0)</f>
        <v>Health Care</v>
      </c>
      <c r="C736" t="str">
        <f ca="1">OFFSET(Industries!D$1,MATCH(Table1[[#This Row],[Ticker]],Industries!$A$2:$A$150,0),0)</f>
        <v>Pharmaceuticals, Biotechnology and Life Sciences</v>
      </c>
      <c r="D736" t="str">
        <f ca="1">OFFSET(Industries!E$1,MATCH(Table1[[#This Row],[Ticker]],Industries!$A$2:$A$150,0),0)</f>
        <v>Life Sciences Tools and Services</v>
      </c>
      <c r="E736" t="s">
        <v>471</v>
      </c>
      <c r="F736" t="str">
        <f ca="1">OFFSET(Industries!B$1,MATCH(Table1[[#This Row],[Ticker]],Industries!$A$2:$A$140,0),0)</f>
        <v>Mega-Cap</v>
      </c>
      <c r="G736" t="str">
        <f ca="1">OFFSET(Industries!F$1,MATCH(Table1[[#This Row],[Ticker]],Industries!$A$2:$A$140,0),0)</f>
        <v>A-</v>
      </c>
      <c r="H736" t="s">
        <v>1434</v>
      </c>
      <c r="I736" t="s">
        <v>1434</v>
      </c>
      <c r="J736" s="2">
        <v>45378</v>
      </c>
      <c r="K736" t="s">
        <v>21</v>
      </c>
      <c r="L736" t="s">
        <v>1710</v>
      </c>
      <c r="M736" t="s">
        <v>1711</v>
      </c>
      <c r="N736" s="1">
        <f>Table1[[#This Row],[Consideration Weight]]</f>
        <v>0.32625870957719993</v>
      </c>
      <c r="O736" t="s">
        <v>87</v>
      </c>
      <c r="P736" s="3">
        <v>0.32625870957719993</v>
      </c>
      <c r="Q736" s="3"/>
    </row>
    <row r="737" spans="1:22" x14ac:dyDescent="0.3">
      <c r="A737" t="s">
        <v>480</v>
      </c>
      <c r="B737" t="str">
        <f ca="1">OFFSET(Industries!C$1,MATCH(Table1[[#This Row],[Ticker]],Industries!$A$2:$A$150,0),0)</f>
        <v>Financials</v>
      </c>
      <c r="C737" t="str">
        <f ca="1">OFFSET(Industries!D$1,MATCH(Table1[[#This Row],[Ticker]],Industries!$A$2:$A$150,0),0)</f>
        <v>Financial Services</v>
      </c>
      <c r="D737" t="str">
        <f ca="1">OFFSET(Industries!E$1,MATCH(Table1[[#This Row],[Ticker]],Industries!$A$2:$A$150,0),0)</f>
        <v>Capital Markets</v>
      </c>
      <c r="E737" t="s">
        <v>481</v>
      </c>
      <c r="F737" t="str">
        <f ca="1">OFFSET(Industries!B$1,MATCH(Table1[[#This Row],[Ticker]],Industries!$A$2:$A$140,0),0)</f>
        <v>Ultra-Cap</v>
      </c>
      <c r="G737" t="str">
        <f ca="1">OFFSET(Industries!F$1,MATCH(Table1[[#This Row],[Ticker]],Industries!$A$2:$A$140,0),0)</f>
        <v>AA-</v>
      </c>
      <c r="H737" t="s">
        <v>1434</v>
      </c>
      <c r="I737" t="s">
        <v>1434</v>
      </c>
      <c r="J737" s="2">
        <v>45369</v>
      </c>
      <c r="K737" t="s">
        <v>2</v>
      </c>
      <c r="L737" t="s">
        <v>3</v>
      </c>
      <c r="M737" t="s">
        <v>1711</v>
      </c>
      <c r="N737" s="1">
        <f>Table1[[#This Row],[Consideration Weight]]</f>
        <v>0.1111111111111111</v>
      </c>
      <c r="O737" t="s">
        <v>3</v>
      </c>
      <c r="P737" s="3">
        <f>1/9</f>
        <v>0.1111111111111111</v>
      </c>
      <c r="Q737" s="3"/>
    </row>
    <row r="738" spans="1:22" x14ac:dyDescent="0.3">
      <c r="A738" t="s">
        <v>480</v>
      </c>
      <c r="B738" t="str">
        <f ca="1">OFFSET(Industries!C$1,MATCH(Table1[[#This Row],[Ticker]],Industries!$A$2:$A$150,0),0)</f>
        <v>Financials</v>
      </c>
      <c r="C738" t="str">
        <f ca="1">OFFSET(Industries!D$1,MATCH(Table1[[#This Row],[Ticker]],Industries!$A$2:$A$150,0),0)</f>
        <v>Financial Services</v>
      </c>
      <c r="D738" t="str">
        <f ca="1">OFFSET(Industries!E$1,MATCH(Table1[[#This Row],[Ticker]],Industries!$A$2:$A$150,0),0)</f>
        <v>Capital Markets</v>
      </c>
      <c r="E738" t="s">
        <v>481</v>
      </c>
      <c r="F738" t="str">
        <f ca="1">OFFSET(Industries!B$1,MATCH(Table1[[#This Row],[Ticker]],Industries!$A$2:$A$140,0),0)</f>
        <v>Ultra-Cap</v>
      </c>
      <c r="G738" t="str">
        <f ca="1">OFFSET(Industries!F$1,MATCH(Table1[[#This Row],[Ticker]],Industries!$A$2:$A$140,0),0)</f>
        <v>AA-</v>
      </c>
      <c r="H738" t="s">
        <v>1434</v>
      </c>
      <c r="I738" t="s">
        <v>1434</v>
      </c>
      <c r="J738" s="2">
        <v>45369</v>
      </c>
      <c r="K738" t="s">
        <v>2</v>
      </c>
      <c r="L738" t="s">
        <v>1708</v>
      </c>
      <c r="M738" t="s">
        <v>1709</v>
      </c>
      <c r="N738" s="1">
        <f>Table1[[#This Row],[Consideration Weight]]</f>
        <v>0.22222222222222221</v>
      </c>
      <c r="O738" t="s">
        <v>4</v>
      </c>
      <c r="P738" s="3">
        <f>2/9</f>
        <v>0.22222222222222221</v>
      </c>
      <c r="Q738" s="3" t="s">
        <v>1636</v>
      </c>
      <c r="R738" t="s">
        <v>62</v>
      </c>
      <c r="S738" t="s">
        <v>129</v>
      </c>
      <c r="T738" t="s">
        <v>482</v>
      </c>
      <c r="U738" s="1">
        <v>1</v>
      </c>
      <c r="V738" t="s">
        <v>483</v>
      </c>
    </row>
    <row r="739" spans="1:22" x14ac:dyDescent="0.3">
      <c r="A739" t="s">
        <v>480</v>
      </c>
      <c r="B739" t="str">
        <f ca="1">OFFSET(Industries!C$1,MATCH(Table1[[#This Row],[Ticker]],Industries!$A$2:$A$150,0),0)</f>
        <v>Financials</v>
      </c>
      <c r="C739" t="str">
        <f ca="1">OFFSET(Industries!D$1,MATCH(Table1[[#This Row],[Ticker]],Industries!$A$2:$A$150,0),0)</f>
        <v>Financial Services</v>
      </c>
      <c r="D739" t="str">
        <f ca="1">OFFSET(Industries!E$1,MATCH(Table1[[#This Row],[Ticker]],Industries!$A$2:$A$150,0),0)</f>
        <v>Capital Markets</v>
      </c>
      <c r="E739" t="s">
        <v>481</v>
      </c>
      <c r="F739" t="str">
        <f ca="1">OFFSET(Industries!B$1,MATCH(Table1[[#This Row],[Ticker]],Industries!$A$2:$A$140,0),0)</f>
        <v>Ultra-Cap</v>
      </c>
      <c r="G739" t="str">
        <f ca="1">OFFSET(Industries!F$1,MATCH(Table1[[#This Row],[Ticker]],Industries!$A$2:$A$140,0),0)</f>
        <v>AA-</v>
      </c>
      <c r="H739" t="s">
        <v>1434</v>
      </c>
      <c r="I739" t="s">
        <v>1434</v>
      </c>
      <c r="J739" s="2">
        <v>45369</v>
      </c>
      <c r="K739" t="s">
        <v>2</v>
      </c>
      <c r="L739" t="s">
        <v>1708</v>
      </c>
      <c r="M739" t="s">
        <v>1709</v>
      </c>
      <c r="N739" s="1"/>
      <c r="O739" t="s">
        <v>4</v>
      </c>
      <c r="P739" s="3">
        <f>2/9</f>
        <v>0.22222222222222221</v>
      </c>
      <c r="Q739" s="3"/>
      <c r="R739" t="s">
        <v>28</v>
      </c>
      <c r="S739" t="s">
        <v>1110</v>
      </c>
      <c r="T739" t="s">
        <v>172</v>
      </c>
      <c r="V739" t="s">
        <v>484</v>
      </c>
    </row>
    <row r="740" spans="1:22" x14ac:dyDescent="0.3">
      <c r="A740" t="s">
        <v>480</v>
      </c>
      <c r="B740" t="str">
        <f ca="1">OFFSET(Industries!C$1,MATCH(Table1[[#This Row],[Ticker]],Industries!$A$2:$A$150,0),0)</f>
        <v>Financials</v>
      </c>
      <c r="C740" t="str">
        <f ca="1">OFFSET(Industries!D$1,MATCH(Table1[[#This Row],[Ticker]],Industries!$A$2:$A$150,0),0)</f>
        <v>Financial Services</v>
      </c>
      <c r="D740" t="str">
        <f ca="1">OFFSET(Industries!E$1,MATCH(Table1[[#This Row],[Ticker]],Industries!$A$2:$A$150,0),0)</f>
        <v>Capital Markets</v>
      </c>
      <c r="E740" t="s">
        <v>481</v>
      </c>
      <c r="F740" t="str">
        <f ca="1">OFFSET(Industries!B$1,MATCH(Table1[[#This Row],[Ticker]],Industries!$A$2:$A$140,0),0)</f>
        <v>Ultra-Cap</v>
      </c>
      <c r="G740" t="str">
        <f ca="1">OFFSET(Industries!F$1,MATCH(Table1[[#This Row],[Ticker]],Industries!$A$2:$A$140,0),0)</f>
        <v>AA-</v>
      </c>
      <c r="H740" t="s">
        <v>1434</v>
      </c>
      <c r="I740" t="s">
        <v>1434</v>
      </c>
      <c r="J740" s="2">
        <v>45369</v>
      </c>
      <c r="K740" t="s">
        <v>2</v>
      </c>
      <c r="L740" t="s">
        <v>1710</v>
      </c>
      <c r="M740" t="s">
        <v>1709</v>
      </c>
      <c r="N740" s="1">
        <f>Table1[[#This Row],[Consideration Weight]]</f>
        <v>0.33333333333333331</v>
      </c>
      <c r="O740" t="s">
        <v>476</v>
      </c>
      <c r="P740" s="3">
        <f>1/3</f>
        <v>0.33333333333333331</v>
      </c>
      <c r="Q740" s="3" t="s">
        <v>1646</v>
      </c>
      <c r="R740" t="s">
        <v>35</v>
      </c>
      <c r="S740" t="s">
        <v>29</v>
      </c>
      <c r="T740" t="s">
        <v>30</v>
      </c>
      <c r="U740" s="1">
        <v>0.5</v>
      </c>
      <c r="V740" t="s">
        <v>367</v>
      </c>
    </row>
    <row r="741" spans="1:22" x14ac:dyDescent="0.3">
      <c r="A741" t="s">
        <v>480</v>
      </c>
      <c r="B741" t="str">
        <f ca="1">OFFSET(Industries!C$1,MATCH(Table1[[#This Row],[Ticker]],Industries!$A$2:$A$150,0),0)</f>
        <v>Financials</v>
      </c>
      <c r="C741" t="str">
        <f ca="1">OFFSET(Industries!D$1,MATCH(Table1[[#This Row],[Ticker]],Industries!$A$2:$A$150,0),0)</f>
        <v>Financial Services</v>
      </c>
      <c r="D741" t="str">
        <f ca="1">OFFSET(Industries!E$1,MATCH(Table1[[#This Row],[Ticker]],Industries!$A$2:$A$150,0),0)</f>
        <v>Capital Markets</v>
      </c>
      <c r="E741" t="s">
        <v>481</v>
      </c>
      <c r="F741" t="str">
        <f ca="1">OFFSET(Industries!B$1,MATCH(Table1[[#This Row],[Ticker]],Industries!$A$2:$A$140,0),0)</f>
        <v>Ultra-Cap</v>
      </c>
      <c r="G741" t="str">
        <f ca="1">OFFSET(Industries!F$1,MATCH(Table1[[#This Row],[Ticker]],Industries!$A$2:$A$140,0),0)</f>
        <v>AA-</v>
      </c>
      <c r="H741" t="s">
        <v>1434</v>
      </c>
      <c r="I741" t="s">
        <v>1434</v>
      </c>
      <c r="J741" s="2">
        <v>45369</v>
      </c>
      <c r="K741" t="s">
        <v>2</v>
      </c>
      <c r="L741" t="s">
        <v>1710</v>
      </c>
      <c r="M741" t="s">
        <v>1709</v>
      </c>
      <c r="N741" s="1"/>
      <c r="O741" t="s">
        <v>476</v>
      </c>
      <c r="P741" s="3">
        <f t="shared" ref="P741:P743" si="11">1/3</f>
        <v>0.33333333333333331</v>
      </c>
      <c r="Q741" s="3" t="s">
        <v>1636</v>
      </c>
      <c r="R741" t="s">
        <v>24</v>
      </c>
      <c r="S741" t="s">
        <v>1135</v>
      </c>
      <c r="T741" t="s">
        <v>485</v>
      </c>
      <c r="U741" s="1">
        <v>0.5</v>
      </c>
      <c r="V741" t="s">
        <v>486</v>
      </c>
    </row>
    <row r="742" spans="1:22" x14ac:dyDescent="0.3">
      <c r="A742" t="s">
        <v>480</v>
      </c>
      <c r="B742" t="str">
        <f ca="1">OFFSET(Industries!C$1,MATCH(Table1[[#This Row],[Ticker]],Industries!$A$2:$A$150,0),0)</f>
        <v>Financials</v>
      </c>
      <c r="C742" t="str">
        <f ca="1">OFFSET(Industries!D$1,MATCH(Table1[[#This Row],[Ticker]],Industries!$A$2:$A$150,0),0)</f>
        <v>Financial Services</v>
      </c>
      <c r="D742" t="str">
        <f ca="1">OFFSET(Industries!E$1,MATCH(Table1[[#This Row],[Ticker]],Industries!$A$2:$A$150,0),0)</f>
        <v>Capital Markets</v>
      </c>
      <c r="E742" t="s">
        <v>481</v>
      </c>
      <c r="F742" t="str">
        <f ca="1">OFFSET(Industries!B$1,MATCH(Table1[[#This Row],[Ticker]],Industries!$A$2:$A$140,0),0)</f>
        <v>Ultra-Cap</v>
      </c>
      <c r="G742" t="str">
        <f ca="1">OFFSET(Industries!F$1,MATCH(Table1[[#This Row],[Ticker]],Industries!$A$2:$A$140,0),0)</f>
        <v>AA-</v>
      </c>
      <c r="H742" t="s">
        <v>1434</v>
      </c>
      <c r="I742" t="s">
        <v>1434</v>
      </c>
      <c r="J742" s="2">
        <v>45369</v>
      </c>
      <c r="K742" t="s">
        <v>2</v>
      </c>
      <c r="L742" t="s">
        <v>1710</v>
      </c>
      <c r="M742" t="s">
        <v>1709</v>
      </c>
      <c r="N742" s="1"/>
      <c r="O742" t="s">
        <v>476</v>
      </c>
      <c r="P742" s="3">
        <f t="shared" si="11"/>
        <v>0.33333333333333331</v>
      </c>
      <c r="Q742" s="3"/>
      <c r="R742" t="s">
        <v>28</v>
      </c>
      <c r="S742" t="s">
        <v>1095</v>
      </c>
      <c r="T742" t="s">
        <v>55</v>
      </c>
      <c r="V742" t="s">
        <v>469</v>
      </c>
    </row>
    <row r="743" spans="1:22" x14ac:dyDescent="0.3">
      <c r="A743" t="s">
        <v>480</v>
      </c>
      <c r="B743" t="str">
        <f ca="1">OFFSET(Industries!C$1,MATCH(Table1[[#This Row],[Ticker]],Industries!$A$2:$A$150,0),0)</f>
        <v>Financials</v>
      </c>
      <c r="C743" t="str">
        <f ca="1">OFFSET(Industries!D$1,MATCH(Table1[[#This Row],[Ticker]],Industries!$A$2:$A$150,0),0)</f>
        <v>Financial Services</v>
      </c>
      <c r="D743" t="str">
        <f ca="1">OFFSET(Industries!E$1,MATCH(Table1[[#This Row],[Ticker]],Industries!$A$2:$A$150,0),0)</f>
        <v>Capital Markets</v>
      </c>
      <c r="E743" t="s">
        <v>481</v>
      </c>
      <c r="F743" t="str">
        <f ca="1">OFFSET(Industries!B$1,MATCH(Table1[[#This Row],[Ticker]],Industries!$A$2:$A$140,0),0)</f>
        <v>Ultra-Cap</v>
      </c>
      <c r="G743" t="str">
        <f ca="1">OFFSET(Industries!F$1,MATCH(Table1[[#This Row],[Ticker]],Industries!$A$2:$A$140,0),0)</f>
        <v>AA-</v>
      </c>
      <c r="H743" t="s">
        <v>1434</v>
      </c>
      <c r="I743" t="s">
        <v>1434</v>
      </c>
      <c r="J743" s="2">
        <v>45369</v>
      </c>
      <c r="K743" t="s">
        <v>2</v>
      </c>
      <c r="L743" t="s">
        <v>1710</v>
      </c>
      <c r="M743" t="s">
        <v>1711</v>
      </c>
      <c r="N743" s="1">
        <f>Table1[[#This Row],[Consideration Weight]]</f>
        <v>0.33333333333333331</v>
      </c>
      <c r="O743" t="s">
        <v>194</v>
      </c>
      <c r="P743" s="3">
        <f t="shared" si="11"/>
        <v>0.33333333333333331</v>
      </c>
      <c r="Q743" s="3"/>
    </row>
    <row r="744" spans="1:22" x14ac:dyDescent="0.3">
      <c r="A744" t="s">
        <v>480</v>
      </c>
      <c r="B744" t="str">
        <f ca="1">OFFSET(Industries!C$1,MATCH(Table1[[#This Row],[Ticker]],Industries!$A$2:$A$150,0),0)</f>
        <v>Financials</v>
      </c>
      <c r="C744" t="str">
        <f ca="1">OFFSET(Industries!D$1,MATCH(Table1[[#This Row],[Ticker]],Industries!$A$2:$A$150,0),0)</f>
        <v>Financial Services</v>
      </c>
      <c r="D744" t="str">
        <f ca="1">OFFSET(Industries!E$1,MATCH(Table1[[#This Row],[Ticker]],Industries!$A$2:$A$150,0),0)</f>
        <v>Capital Markets</v>
      </c>
      <c r="E744" t="s">
        <v>481</v>
      </c>
      <c r="F744" t="str">
        <f ca="1">OFFSET(Industries!B$1,MATCH(Table1[[#This Row],[Ticker]],Industries!$A$2:$A$140,0),0)</f>
        <v>Ultra-Cap</v>
      </c>
      <c r="G744" t="str">
        <f ca="1">OFFSET(Industries!F$1,MATCH(Table1[[#This Row],[Ticker]],Industries!$A$2:$A$140,0),0)</f>
        <v>AA-</v>
      </c>
      <c r="H744" t="s">
        <v>1434</v>
      </c>
      <c r="I744" t="s">
        <v>1434</v>
      </c>
      <c r="J744" s="2">
        <v>45369</v>
      </c>
      <c r="K744" t="s">
        <v>21</v>
      </c>
      <c r="L744" t="s">
        <v>3</v>
      </c>
      <c r="M744" t="s">
        <v>1711</v>
      </c>
      <c r="N744" s="1">
        <f>Table1[[#This Row],[Consideration Weight]]</f>
        <v>0.2</v>
      </c>
      <c r="O744" t="s">
        <v>3</v>
      </c>
      <c r="P744" s="3">
        <v>0.2</v>
      </c>
      <c r="Q744" s="3"/>
    </row>
    <row r="745" spans="1:22" x14ac:dyDescent="0.3">
      <c r="A745" t="s">
        <v>480</v>
      </c>
      <c r="B745" t="str">
        <f ca="1">OFFSET(Industries!C$1,MATCH(Table1[[#This Row],[Ticker]],Industries!$A$2:$A$150,0),0)</f>
        <v>Financials</v>
      </c>
      <c r="C745" t="str">
        <f ca="1">OFFSET(Industries!D$1,MATCH(Table1[[#This Row],[Ticker]],Industries!$A$2:$A$150,0),0)</f>
        <v>Financial Services</v>
      </c>
      <c r="D745" t="str">
        <f ca="1">OFFSET(Industries!E$1,MATCH(Table1[[#This Row],[Ticker]],Industries!$A$2:$A$150,0),0)</f>
        <v>Capital Markets</v>
      </c>
      <c r="E745" t="s">
        <v>481</v>
      </c>
      <c r="F745" t="str">
        <f ca="1">OFFSET(Industries!B$1,MATCH(Table1[[#This Row],[Ticker]],Industries!$A$2:$A$140,0),0)</f>
        <v>Ultra-Cap</v>
      </c>
      <c r="G745" t="str">
        <f ca="1">OFFSET(Industries!F$1,MATCH(Table1[[#This Row],[Ticker]],Industries!$A$2:$A$140,0),0)</f>
        <v>AA-</v>
      </c>
      <c r="H745" t="s">
        <v>1434</v>
      </c>
      <c r="I745" t="s">
        <v>1434</v>
      </c>
      <c r="J745" s="2">
        <v>45369</v>
      </c>
      <c r="K745" t="s">
        <v>21</v>
      </c>
      <c r="L745" t="s">
        <v>1708</v>
      </c>
      <c r="M745" t="s">
        <v>1709</v>
      </c>
      <c r="N745" s="1">
        <f>Table1[[#This Row],[Consideration Weight]]</f>
        <v>0.2</v>
      </c>
      <c r="O745" t="s">
        <v>4</v>
      </c>
      <c r="P745" s="3">
        <v>0.2</v>
      </c>
      <c r="Q745" s="3" t="s">
        <v>1636</v>
      </c>
      <c r="R745" t="s">
        <v>62</v>
      </c>
      <c r="S745" t="s">
        <v>129</v>
      </c>
      <c r="T745" t="s">
        <v>482</v>
      </c>
      <c r="U745" s="1">
        <v>1</v>
      </c>
    </row>
    <row r="746" spans="1:22" x14ac:dyDescent="0.3">
      <c r="A746" t="s">
        <v>480</v>
      </c>
      <c r="B746" t="str">
        <f ca="1">OFFSET(Industries!C$1,MATCH(Table1[[#This Row],[Ticker]],Industries!$A$2:$A$150,0),0)</f>
        <v>Financials</v>
      </c>
      <c r="C746" t="str">
        <f ca="1">OFFSET(Industries!D$1,MATCH(Table1[[#This Row],[Ticker]],Industries!$A$2:$A$150,0),0)</f>
        <v>Financial Services</v>
      </c>
      <c r="D746" t="str">
        <f ca="1">OFFSET(Industries!E$1,MATCH(Table1[[#This Row],[Ticker]],Industries!$A$2:$A$150,0),0)</f>
        <v>Capital Markets</v>
      </c>
      <c r="E746" t="s">
        <v>481</v>
      </c>
      <c r="F746" t="str">
        <f ca="1">OFFSET(Industries!B$1,MATCH(Table1[[#This Row],[Ticker]],Industries!$A$2:$A$140,0),0)</f>
        <v>Ultra-Cap</v>
      </c>
      <c r="G746" t="str">
        <f ca="1">OFFSET(Industries!F$1,MATCH(Table1[[#This Row],[Ticker]],Industries!$A$2:$A$140,0),0)</f>
        <v>AA-</v>
      </c>
      <c r="H746" t="s">
        <v>1434</v>
      </c>
      <c r="I746" t="s">
        <v>1434</v>
      </c>
      <c r="J746" s="2">
        <v>45369</v>
      </c>
      <c r="K746" t="s">
        <v>21</v>
      </c>
      <c r="L746" t="s">
        <v>1708</v>
      </c>
      <c r="M746" t="s">
        <v>1709</v>
      </c>
      <c r="N746" s="1"/>
      <c r="O746" t="s">
        <v>4</v>
      </c>
      <c r="P746" s="3">
        <v>0.2</v>
      </c>
      <c r="Q746" s="3"/>
      <c r="R746" t="s">
        <v>28</v>
      </c>
      <c r="S746" t="s">
        <v>1110</v>
      </c>
      <c r="T746" t="s">
        <v>172</v>
      </c>
    </row>
    <row r="747" spans="1:22" x14ac:dyDescent="0.3">
      <c r="A747" t="s">
        <v>480</v>
      </c>
      <c r="B747" t="str">
        <f ca="1">OFFSET(Industries!C$1,MATCH(Table1[[#This Row],[Ticker]],Industries!$A$2:$A$150,0),0)</f>
        <v>Financials</v>
      </c>
      <c r="C747" t="str">
        <f ca="1">OFFSET(Industries!D$1,MATCH(Table1[[#This Row],[Ticker]],Industries!$A$2:$A$150,0),0)</f>
        <v>Financial Services</v>
      </c>
      <c r="D747" t="str">
        <f ca="1">OFFSET(Industries!E$1,MATCH(Table1[[#This Row],[Ticker]],Industries!$A$2:$A$150,0),0)</f>
        <v>Capital Markets</v>
      </c>
      <c r="E747" t="s">
        <v>481</v>
      </c>
      <c r="F747" t="str">
        <f ca="1">OFFSET(Industries!B$1,MATCH(Table1[[#This Row],[Ticker]],Industries!$A$2:$A$140,0),0)</f>
        <v>Ultra-Cap</v>
      </c>
      <c r="G747" t="str">
        <f ca="1">OFFSET(Industries!F$1,MATCH(Table1[[#This Row],[Ticker]],Industries!$A$2:$A$140,0),0)</f>
        <v>AA-</v>
      </c>
      <c r="H747" t="s">
        <v>1434</v>
      </c>
      <c r="I747" t="s">
        <v>1434</v>
      </c>
      <c r="J747" s="2">
        <v>45369</v>
      </c>
      <c r="K747" t="s">
        <v>21</v>
      </c>
      <c r="L747" t="s">
        <v>1710</v>
      </c>
      <c r="M747" t="s">
        <v>1709</v>
      </c>
      <c r="N747" s="1">
        <f>Table1[[#This Row],[Consideration Weight]]</f>
        <v>0.3</v>
      </c>
      <c r="O747" t="s">
        <v>476</v>
      </c>
      <c r="P747" s="3">
        <v>0.3</v>
      </c>
      <c r="Q747" s="3" t="s">
        <v>1646</v>
      </c>
      <c r="R747" t="s">
        <v>35</v>
      </c>
      <c r="S747" t="s">
        <v>29</v>
      </c>
      <c r="T747" t="s">
        <v>30</v>
      </c>
      <c r="U747" s="1">
        <v>0.5</v>
      </c>
    </row>
    <row r="748" spans="1:22" x14ac:dyDescent="0.3">
      <c r="A748" t="s">
        <v>480</v>
      </c>
      <c r="B748" t="str">
        <f ca="1">OFFSET(Industries!C$1,MATCH(Table1[[#This Row],[Ticker]],Industries!$A$2:$A$150,0),0)</f>
        <v>Financials</v>
      </c>
      <c r="C748" t="str">
        <f ca="1">OFFSET(Industries!D$1,MATCH(Table1[[#This Row],[Ticker]],Industries!$A$2:$A$150,0),0)</f>
        <v>Financial Services</v>
      </c>
      <c r="D748" t="str">
        <f ca="1">OFFSET(Industries!E$1,MATCH(Table1[[#This Row],[Ticker]],Industries!$A$2:$A$150,0),0)</f>
        <v>Capital Markets</v>
      </c>
      <c r="E748" t="s">
        <v>481</v>
      </c>
      <c r="F748" t="str">
        <f ca="1">OFFSET(Industries!B$1,MATCH(Table1[[#This Row],[Ticker]],Industries!$A$2:$A$140,0),0)</f>
        <v>Ultra-Cap</v>
      </c>
      <c r="G748" t="str">
        <f ca="1">OFFSET(Industries!F$1,MATCH(Table1[[#This Row],[Ticker]],Industries!$A$2:$A$140,0),0)</f>
        <v>AA-</v>
      </c>
      <c r="H748" t="s">
        <v>1434</v>
      </c>
      <c r="I748" t="s">
        <v>1434</v>
      </c>
      <c r="J748" s="2">
        <v>45369</v>
      </c>
      <c r="K748" t="s">
        <v>21</v>
      </c>
      <c r="L748" t="s">
        <v>1710</v>
      </c>
      <c r="M748" t="s">
        <v>1709</v>
      </c>
      <c r="N748" s="1"/>
      <c r="O748" t="s">
        <v>476</v>
      </c>
      <c r="P748" s="3">
        <v>0.3</v>
      </c>
      <c r="Q748" s="3" t="s">
        <v>1636</v>
      </c>
      <c r="R748" t="s">
        <v>24</v>
      </c>
      <c r="S748" t="s">
        <v>1135</v>
      </c>
      <c r="T748" t="s">
        <v>485</v>
      </c>
      <c r="U748" s="1">
        <v>0.5</v>
      </c>
    </row>
    <row r="749" spans="1:22" x14ac:dyDescent="0.3">
      <c r="A749" t="s">
        <v>480</v>
      </c>
      <c r="B749" t="str">
        <f ca="1">OFFSET(Industries!C$1,MATCH(Table1[[#This Row],[Ticker]],Industries!$A$2:$A$150,0),0)</f>
        <v>Financials</v>
      </c>
      <c r="C749" t="str">
        <f ca="1">OFFSET(Industries!D$1,MATCH(Table1[[#This Row],[Ticker]],Industries!$A$2:$A$150,0),0)</f>
        <v>Financial Services</v>
      </c>
      <c r="D749" t="str">
        <f ca="1">OFFSET(Industries!E$1,MATCH(Table1[[#This Row],[Ticker]],Industries!$A$2:$A$150,0),0)</f>
        <v>Capital Markets</v>
      </c>
      <c r="E749" t="s">
        <v>481</v>
      </c>
      <c r="F749" t="str">
        <f ca="1">OFFSET(Industries!B$1,MATCH(Table1[[#This Row],[Ticker]],Industries!$A$2:$A$140,0),0)</f>
        <v>Ultra-Cap</v>
      </c>
      <c r="G749" t="str">
        <f ca="1">OFFSET(Industries!F$1,MATCH(Table1[[#This Row],[Ticker]],Industries!$A$2:$A$140,0),0)</f>
        <v>AA-</v>
      </c>
      <c r="H749" t="s">
        <v>1434</v>
      </c>
      <c r="I749" t="s">
        <v>1434</v>
      </c>
      <c r="J749" s="2">
        <v>45369</v>
      </c>
      <c r="K749" t="s">
        <v>21</v>
      </c>
      <c r="L749" t="s">
        <v>1710</v>
      </c>
      <c r="M749" t="s">
        <v>1709</v>
      </c>
      <c r="N749" s="1"/>
      <c r="O749" t="s">
        <v>476</v>
      </c>
      <c r="P749" s="3">
        <v>0.3</v>
      </c>
      <c r="Q749" s="3"/>
      <c r="R749" t="s">
        <v>28</v>
      </c>
      <c r="S749" t="s">
        <v>1095</v>
      </c>
      <c r="T749" t="s">
        <v>55</v>
      </c>
    </row>
    <row r="750" spans="1:22" x14ac:dyDescent="0.3">
      <c r="A750" t="s">
        <v>480</v>
      </c>
      <c r="B750" t="str">
        <f ca="1">OFFSET(Industries!C$1,MATCH(Table1[[#This Row],[Ticker]],Industries!$A$2:$A$150,0),0)</f>
        <v>Financials</v>
      </c>
      <c r="C750" t="str">
        <f ca="1">OFFSET(Industries!D$1,MATCH(Table1[[#This Row],[Ticker]],Industries!$A$2:$A$150,0),0)</f>
        <v>Financial Services</v>
      </c>
      <c r="D750" t="str">
        <f ca="1">OFFSET(Industries!E$1,MATCH(Table1[[#This Row],[Ticker]],Industries!$A$2:$A$150,0),0)</f>
        <v>Capital Markets</v>
      </c>
      <c r="E750" t="s">
        <v>481</v>
      </c>
      <c r="F750" t="str">
        <f ca="1">OFFSET(Industries!B$1,MATCH(Table1[[#This Row],[Ticker]],Industries!$A$2:$A$140,0),0)</f>
        <v>Ultra-Cap</v>
      </c>
      <c r="G750" t="str">
        <f ca="1">OFFSET(Industries!F$1,MATCH(Table1[[#This Row],[Ticker]],Industries!$A$2:$A$140,0),0)</f>
        <v>AA-</v>
      </c>
      <c r="H750" t="s">
        <v>1434</v>
      </c>
      <c r="I750" t="s">
        <v>1434</v>
      </c>
      <c r="J750" s="2">
        <v>45369</v>
      </c>
      <c r="K750" t="s">
        <v>21</v>
      </c>
      <c r="L750" t="s">
        <v>1710</v>
      </c>
      <c r="M750" t="s">
        <v>1711</v>
      </c>
      <c r="N750" s="1">
        <f>Table1[[#This Row],[Consideration Weight]]</f>
        <v>0.3</v>
      </c>
      <c r="O750" t="s">
        <v>194</v>
      </c>
      <c r="P750" s="3">
        <v>0.3</v>
      </c>
      <c r="Q750" s="3"/>
    </row>
    <row r="751" spans="1:22" x14ac:dyDescent="0.3">
      <c r="A751" t="s">
        <v>487</v>
      </c>
      <c r="B751" t="str">
        <f ca="1">OFFSET(Industries!C$1,MATCH(Table1[[#This Row],[Ticker]],Industries!$A$2:$A$150,0),0)</f>
        <v>Consumer Discretionary</v>
      </c>
      <c r="C751" t="str">
        <f ca="1">OFFSET(Industries!D$1,MATCH(Table1[[#This Row],[Ticker]],Industries!$A$2:$A$150,0),0)</f>
        <v>Consumer Discretionary Distribution and Retail</v>
      </c>
      <c r="D751" t="str">
        <f ca="1">OFFSET(Industries!E$1,MATCH(Table1[[#This Row],[Ticker]],Industries!$A$2:$A$150,0),0)</f>
        <v>Broadline Retail</v>
      </c>
      <c r="E751" t="s">
        <v>44</v>
      </c>
      <c r="F751" t="str">
        <f ca="1">OFFSET(Industries!B$1,MATCH(Table1[[#This Row],[Ticker]],Industries!$A$2:$A$140,0),0)</f>
        <v>Ultra-Cap</v>
      </c>
      <c r="G751" t="str">
        <f ca="1">OFFSET(Industries!F$1,MATCH(Table1[[#This Row],[Ticker]],Industries!$A$2:$A$140,0),0)</f>
        <v>BB+</v>
      </c>
      <c r="H751" t="s">
        <v>1434</v>
      </c>
      <c r="I751" t="s">
        <v>1434</v>
      </c>
      <c r="J751" s="2">
        <v>45407</v>
      </c>
      <c r="K751" t="s">
        <v>2</v>
      </c>
      <c r="L751" t="s">
        <v>3</v>
      </c>
      <c r="M751" t="s">
        <v>1711</v>
      </c>
      <c r="N751" s="1">
        <f>Table1[[#This Row],[Consideration Weight]]</f>
        <v>0.05</v>
      </c>
      <c r="O751" t="s">
        <v>3</v>
      </c>
      <c r="P751" s="3">
        <v>0.05</v>
      </c>
      <c r="Q751" s="3"/>
    </row>
    <row r="752" spans="1:22" x14ac:dyDescent="0.3">
      <c r="A752" t="s">
        <v>487</v>
      </c>
      <c r="B752" t="str">
        <f ca="1">OFFSET(Industries!C$1,MATCH(Table1[[#This Row],[Ticker]],Industries!$A$2:$A$150,0),0)</f>
        <v>Consumer Discretionary</v>
      </c>
      <c r="C752" t="str">
        <f ca="1">OFFSET(Industries!D$1,MATCH(Table1[[#This Row],[Ticker]],Industries!$A$2:$A$150,0),0)</f>
        <v>Consumer Discretionary Distribution and Retail</v>
      </c>
      <c r="D752" t="str">
        <f ca="1">OFFSET(Industries!E$1,MATCH(Table1[[#This Row],[Ticker]],Industries!$A$2:$A$150,0),0)</f>
        <v>Broadline Retail</v>
      </c>
      <c r="E752" t="s">
        <v>44</v>
      </c>
      <c r="F752" t="str">
        <f ca="1">OFFSET(Industries!B$1,MATCH(Table1[[#This Row],[Ticker]],Industries!$A$2:$A$140,0),0)</f>
        <v>Ultra-Cap</v>
      </c>
      <c r="G752" t="str">
        <f ca="1">OFFSET(Industries!F$1,MATCH(Table1[[#This Row],[Ticker]],Industries!$A$2:$A$140,0),0)</f>
        <v>BB+</v>
      </c>
      <c r="H752" t="s">
        <v>1434</v>
      </c>
      <c r="I752" t="s">
        <v>1434</v>
      </c>
      <c r="J752" s="2">
        <v>45407</v>
      </c>
      <c r="K752" t="s">
        <v>2</v>
      </c>
      <c r="L752" t="s">
        <v>1708</v>
      </c>
      <c r="M752" t="s">
        <v>1709</v>
      </c>
      <c r="N752" s="1">
        <f>Table1[[#This Row],[Consideration Weight]]</f>
        <v>0.01</v>
      </c>
      <c r="O752" t="s">
        <v>4</v>
      </c>
      <c r="P752" s="1">
        <v>0.01</v>
      </c>
      <c r="Q752" s="1" t="s">
        <v>1636</v>
      </c>
      <c r="R752" t="s">
        <v>23</v>
      </c>
      <c r="S752" t="s">
        <v>1083</v>
      </c>
      <c r="T752" t="s">
        <v>489</v>
      </c>
      <c r="U752" s="1">
        <v>0.4</v>
      </c>
    </row>
    <row r="753" spans="1:22" x14ac:dyDescent="0.3">
      <c r="A753" t="s">
        <v>487</v>
      </c>
      <c r="B753" t="str">
        <f ca="1">OFFSET(Industries!C$1,MATCH(Table1[[#This Row],[Ticker]],Industries!$A$2:$A$150,0),0)</f>
        <v>Consumer Discretionary</v>
      </c>
      <c r="C753" t="str">
        <f ca="1">OFFSET(Industries!D$1,MATCH(Table1[[#This Row],[Ticker]],Industries!$A$2:$A$150,0),0)</f>
        <v>Consumer Discretionary Distribution and Retail</v>
      </c>
      <c r="D753" t="str">
        <f ca="1">OFFSET(Industries!E$1,MATCH(Table1[[#This Row],[Ticker]],Industries!$A$2:$A$150,0),0)</f>
        <v>Broadline Retail</v>
      </c>
      <c r="E753" t="s">
        <v>44</v>
      </c>
      <c r="F753" t="str">
        <f ca="1">OFFSET(Industries!B$1,MATCH(Table1[[#This Row],[Ticker]],Industries!$A$2:$A$140,0),0)</f>
        <v>Ultra-Cap</v>
      </c>
      <c r="G753" t="str">
        <f ca="1">OFFSET(Industries!F$1,MATCH(Table1[[#This Row],[Ticker]],Industries!$A$2:$A$140,0),0)</f>
        <v>BB+</v>
      </c>
      <c r="H753" t="s">
        <v>1434</v>
      </c>
      <c r="I753" t="s">
        <v>1434</v>
      </c>
      <c r="J753" s="2">
        <v>45407</v>
      </c>
      <c r="K753" t="s">
        <v>2</v>
      </c>
      <c r="L753" t="s">
        <v>1708</v>
      </c>
      <c r="M753" t="s">
        <v>1709</v>
      </c>
      <c r="N753" s="1"/>
      <c r="O753" t="s">
        <v>4</v>
      </c>
      <c r="P753" s="1">
        <v>0.01</v>
      </c>
      <c r="Q753" s="1" t="s">
        <v>1636</v>
      </c>
      <c r="R753" t="s">
        <v>24</v>
      </c>
      <c r="S753" t="s">
        <v>90</v>
      </c>
      <c r="T753" t="s">
        <v>8</v>
      </c>
      <c r="U753" s="1">
        <v>0.35</v>
      </c>
    </row>
    <row r="754" spans="1:22" x14ac:dyDescent="0.3">
      <c r="A754" t="s">
        <v>487</v>
      </c>
      <c r="B754" t="str">
        <f ca="1">OFFSET(Industries!C$1,MATCH(Table1[[#This Row],[Ticker]],Industries!$A$2:$A$150,0),0)</f>
        <v>Consumer Discretionary</v>
      </c>
      <c r="C754" t="str">
        <f ca="1">OFFSET(Industries!D$1,MATCH(Table1[[#This Row],[Ticker]],Industries!$A$2:$A$150,0),0)</f>
        <v>Consumer Discretionary Distribution and Retail</v>
      </c>
      <c r="D754" t="str">
        <f ca="1">OFFSET(Industries!E$1,MATCH(Table1[[#This Row],[Ticker]],Industries!$A$2:$A$150,0),0)</f>
        <v>Broadline Retail</v>
      </c>
      <c r="E754" t="s">
        <v>44</v>
      </c>
      <c r="F754" t="str">
        <f ca="1">OFFSET(Industries!B$1,MATCH(Table1[[#This Row],[Ticker]],Industries!$A$2:$A$140,0),0)</f>
        <v>Ultra-Cap</v>
      </c>
      <c r="G754" t="str">
        <f ca="1">OFFSET(Industries!F$1,MATCH(Table1[[#This Row],[Ticker]],Industries!$A$2:$A$140,0),0)</f>
        <v>BB+</v>
      </c>
      <c r="H754" t="s">
        <v>1434</v>
      </c>
      <c r="I754" t="s">
        <v>1434</v>
      </c>
      <c r="J754" s="2">
        <v>45407</v>
      </c>
      <c r="K754" t="s">
        <v>2</v>
      </c>
      <c r="L754" t="s">
        <v>1708</v>
      </c>
      <c r="M754" t="s">
        <v>1709</v>
      </c>
      <c r="N754" s="1"/>
      <c r="O754" t="s">
        <v>4</v>
      </c>
      <c r="P754" s="1">
        <v>0.01</v>
      </c>
      <c r="Q754" s="1" t="s">
        <v>1637</v>
      </c>
      <c r="R754" t="s">
        <v>25</v>
      </c>
      <c r="S754" t="s">
        <v>1130</v>
      </c>
      <c r="T754" t="s">
        <v>494</v>
      </c>
      <c r="U754" s="1">
        <v>0.15</v>
      </c>
    </row>
    <row r="755" spans="1:22" x14ac:dyDescent="0.3">
      <c r="A755" t="s">
        <v>487</v>
      </c>
      <c r="B755" t="str">
        <f ca="1">OFFSET(Industries!C$1,MATCH(Table1[[#This Row],[Ticker]],Industries!$A$2:$A$150,0),0)</f>
        <v>Consumer Discretionary</v>
      </c>
      <c r="C755" t="str">
        <f ca="1">OFFSET(Industries!D$1,MATCH(Table1[[#This Row],[Ticker]],Industries!$A$2:$A$150,0),0)</f>
        <v>Consumer Discretionary Distribution and Retail</v>
      </c>
      <c r="D755" t="str">
        <f ca="1">OFFSET(Industries!E$1,MATCH(Table1[[#This Row],[Ticker]],Industries!$A$2:$A$150,0),0)</f>
        <v>Broadline Retail</v>
      </c>
      <c r="E755" t="s">
        <v>44</v>
      </c>
      <c r="F755" t="str">
        <f ca="1">OFFSET(Industries!B$1,MATCH(Table1[[#This Row],[Ticker]],Industries!$A$2:$A$140,0),0)</f>
        <v>Ultra-Cap</v>
      </c>
      <c r="G755" t="str">
        <f ca="1">OFFSET(Industries!F$1,MATCH(Table1[[#This Row],[Ticker]],Industries!$A$2:$A$140,0),0)</f>
        <v>BB+</v>
      </c>
      <c r="H755" t="s">
        <v>1434</v>
      </c>
      <c r="I755" t="s">
        <v>1434</v>
      </c>
      <c r="J755" s="2">
        <v>45407</v>
      </c>
      <c r="K755" t="s">
        <v>2</v>
      </c>
      <c r="L755" t="s">
        <v>1708</v>
      </c>
      <c r="M755" t="s">
        <v>1709</v>
      </c>
      <c r="N755" s="1"/>
      <c r="O755" t="s">
        <v>4</v>
      </c>
      <c r="P755" s="1">
        <v>0.01</v>
      </c>
      <c r="Q755" s="1" t="s">
        <v>1636</v>
      </c>
      <c r="R755" t="s">
        <v>23</v>
      </c>
      <c r="S755" t="s">
        <v>1090</v>
      </c>
      <c r="T755" t="s">
        <v>490</v>
      </c>
      <c r="U755" s="1">
        <v>0.1</v>
      </c>
    </row>
    <row r="756" spans="1:22" x14ac:dyDescent="0.3">
      <c r="A756" t="s">
        <v>487</v>
      </c>
      <c r="B756" t="str">
        <f ca="1">OFFSET(Industries!C$1,MATCH(Table1[[#This Row],[Ticker]],Industries!$A$2:$A$150,0),0)</f>
        <v>Consumer Discretionary</v>
      </c>
      <c r="C756" t="str">
        <f ca="1">OFFSET(Industries!D$1,MATCH(Table1[[#This Row],[Ticker]],Industries!$A$2:$A$150,0),0)</f>
        <v>Consumer Discretionary Distribution and Retail</v>
      </c>
      <c r="D756" t="str">
        <f ca="1">OFFSET(Industries!E$1,MATCH(Table1[[#This Row],[Ticker]],Industries!$A$2:$A$150,0),0)</f>
        <v>Broadline Retail</v>
      </c>
      <c r="E756" t="s">
        <v>44</v>
      </c>
      <c r="F756" t="str">
        <f ca="1">OFFSET(Industries!B$1,MATCH(Table1[[#This Row],[Ticker]],Industries!$A$2:$A$140,0),0)</f>
        <v>Ultra-Cap</v>
      </c>
      <c r="G756" t="str">
        <f ca="1">OFFSET(Industries!F$1,MATCH(Table1[[#This Row],[Ticker]],Industries!$A$2:$A$140,0),0)</f>
        <v>BB+</v>
      </c>
      <c r="H756" t="s">
        <v>1434</v>
      </c>
      <c r="I756" t="s">
        <v>1434</v>
      </c>
      <c r="J756" s="2">
        <v>45407</v>
      </c>
      <c r="K756" t="s">
        <v>2</v>
      </c>
      <c r="L756" t="s">
        <v>1708</v>
      </c>
      <c r="M756" t="s">
        <v>1709</v>
      </c>
      <c r="N756" s="1"/>
      <c r="O756" t="s">
        <v>4</v>
      </c>
      <c r="P756" s="1">
        <v>0.01</v>
      </c>
      <c r="R756" t="s">
        <v>28</v>
      </c>
      <c r="S756" t="s">
        <v>1087</v>
      </c>
      <c r="T756" t="s">
        <v>40</v>
      </c>
    </row>
    <row r="757" spans="1:22" x14ac:dyDescent="0.3">
      <c r="A757" t="s">
        <v>487</v>
      </c>
      <c r="B757" t="str">
        <f ca="1">OFFSET(Industries!C$1,MATCH(Table1[[#This Row],[Ticker]],Industries!$A$2:$A$150,0),0)</f>
        <v>Consumer Discretionary</v>
      </c>
      <c r="C757" t="str">
        <f ca="1">OFFSET(Industries!D$1,MATCH(Table1[[#This Row],[Ticker]],Industries!$A$2:$A$150,0),0)</f>
        <v>Consumer Discretionary Distribution and Retail</v>
      </c>
      <c r="D757" t="str">
        <f ca="1">OFFSET(Industries!E$1,MATCH(Table1[[#This Row],[Ticker]],Industries!$A$2:$A$150,0),0)</f>
        <v>Broadline Retail</v>
      </c>
      <c r="E757" t="s">
        <v>44</v>
      </c>
      <c r="F757" t="str">
        <f ca="1">OFFSET(Industries!B$1,MATCH(Table1[[#This Row],[Ticker]],Industries!$A$2:$A$140,0),0)</f>
        <v>Ultra-Cap</v>
      </c>
      <c r="G757" t="str">
        <f ca="1">OFFSET(Industries!F$1,MATCH(Table1[[#This Row],[Ticker]],Industries!$A$2:$A$140,0),0)</f>
        <v>BB+</v>
      </c>
      <c r="H757" t="s">
        <v>1434</v>
      </c>
      <c r="I757" t="s">
        <v>1434</v>
      </c>
      <c r="J757" s="2">
        <v>45407</v>
      </c>
      <c r="K757" t="s">
        <v>2</v>
      </c>
      <c r="L757" t="s">
        <v>1710</v>
      </c>
      <c r="M757" t="s">
        <v>1709</v>
      </c>
      <c r="N757" s="1">
        <f>Table1[[#This Row],[Consideration Weight]]</f>
        <v>0.47</v>
      </c>
      <c r="O757" t="s">
        <v>488</v>
      </c>
      <c r="P757" s="1">
        <f>0.94/2</f>
        <v>0.47</v>
      </c>
      <c r="Q757" s="1" t="s">
        <v>1646</v>
      </c>
      <c r="R757" t="s">
        <v>35</v>
      </c>
      <c r="S757" t="s">
        <v>491</v>
      </c>
      <c r="T757" t="s">
        <v>491</v>
      </c>
      <c r="U757" s="1">
        <v>1</v>
      </c>
      <c r="V757" t="s">
        <v>492</v>
      </c>
    </row>
    <row r="758" spans="1:22" x14ac:dyDescent="0.3">
      <c r="A758" t="s">
        <v>487</v>
      </c>
      <c r="B758" t="str">
        <f ca="1">OFFSET(Industries!C$1,MATCH(Table1[[#This Row],[Ticker]],Industries!$A$2:$A$150,0),0)</f>
        <v>Consumer Discretionary</v>
      </c>
      <c r="C758" t="str">
        <f ca="1">OFFSET(Industries!D$1,MATCH(Table1[[#This Row],[Ticker]],Industries!$A$2:$A$150,0),0)</f>
        <v>Consumer Discretionary Distribution and Retail</v>
      </c>
      <c r="D758" t="str">
        <f ca="1">OFFSET(Industries!E$1,MATCH(Table1[[#This Row],[Ticker]],Industries!$A$2:$A$150,0),0)</f>
        <v>Broadline Retail</v>
      </c>
      <c r="E758" t="s">
        <v>44</v>
      </c>
      <c r="F758" t="str">
        <f ca="1">OFFSET(Industries!B$1,MATCH(Table1[[#This Row],[Ticker]],Industries!$A$2:$A$140,0),0)</f>
        <v>Ultra-Cap</v>
      </c>
      <c r="G758" t="str">
        <f ca="1">OFFSET(Industries!F$1,MATCH(Table1[[#This Row],[Ticker]],Industries!$A$2:$A$140,0),0)</f>
        <v>BB+</v>
      </c>
      <c r="H758" t="s">
        <v>1434</v>
      </c>
      <c r="I758" t="s">
        <v>1434</v>
      </c>
      <c r="J758" s="2">
        <v>45407</v>
      </c>
      <c r="K758" t="s">
        <v>2</v>
      </c>
      <c r="L758" t="s">
        <v>1710</v>
      </c>
      <c r="M758" t="s">
        <v>1711</v>
      </c>
      <c r="N758" s="1">
        <f>Table1[[#This Row],[Consideration Weight]]</f>
        <v>0.47</v>
      </c>
      <c r="O758" t="s">
        <v>1666</v>
      </c>
      <c r="P758" s="1">
        <f>P757</f>
        <v>0.47</v>
      </c>
      <c r="Q758" s="1" t="s">
        <v>1637</v>
      </c>
      <c r="V758" t="s">
        <v>493</v>
      </c>
    </row>
    <row r="759" spans="1:22" x14ac:dyDescent="0.3">
      <c r="A759" t="s">
        <v>487</v>
      </c>
      <c r="B759" t="str">
        <f ca="1">OFFSET(Industries!C$1,MATCH(Table1[[#This Row],[Ticker]],Industries!$A$2:$A$150,0),0)</f>
        <v>Consumer Discretionary</v>
      </c>
      <c r="C759" t="str">
        <f ca="1">OFFSET(Industries!D$1,MATCH(Table1[[#This Row],[Ticker]],Industries!$A$2:$A$150,0),0)</f>
        <v>Consumer Discretionary Distribution and Retail</v>
      </c>
      <c r="D759" t="str">
        <f ca="1">OFFSET(Industries!E$1,MATCH(Table1[[#This Row],[Ticker]],Industries!$A$2:$A$150,0),0)</f>
        <v>Broadline Retail</v>
      </c>
      <c r="E759" t="s">
        <v>44</v>
      </c>
      <c r="F759" t="str">
        <f ca="1">OFFSET(Industries!B$1,MATCH(Table1[[#This Row],[Ticker]],Industries!$A$2:$A$140,0),0)</f>
        <v>Ultra-Cap</v>
      </c>
      <c r="G759" t="str">
        <f ca="1">OFFSET(Industries!F$1,MATCH(Table1[[#This Row],[Ticker]],Industries!$A$2:$A$140,0),0)</f>
        <v>BB+</v>
      </c>
      <c r="H759" t="s">
        <v>1434</v>
      </c>
      <c r="I759" t="s">
        <v>1434</v>
      </c>
      <c r="J759" s="2">
        <v>45407</v>
      </c>
      <c r="K759" t="s">
        <v>21</v>
      </c>
      <c r="L759" t="s">
        <v>3</v>
      </c>
      <c r="M759" t="s">
        <v>1711</v>
      </c>
      <c r="N759" s="1">
        <f>Table1[[#This Row],[Consideration Weight]]</f>
        <v>0.15651139863894731</v>
      </c>
      <c r="O759" t="s">
        <v>3</v>
      </c>
      <c r="P759" s="3">
        <v>0.15651139863894731</v>
      </c>
      <c r="Q759" s="3"/>
    </row>
    <row r="760" spans="1:22" x14ac:dyDescent="0.3">
      <c r="A760" t="s">
        <v>487</v>
      </c>
      <c r="B760" t="str">
        <f ca="1">OFFSET(Industries!C$1,MATCH(Table1[[#This Row],[Ticker]],Industries!$A$2:$A$150,0),0)</f>
        <v>Consumer Discretionary</v>
      </c>
      <c r="C760" t="str">
        <f ca="1">OFFSET(Industries!D$1,MATCH(Table1[[#This Row],[Ticker]],Industries!$A$2:$A$150,0),0)</f>
        <v>Consumer Discretionary Distribution and Retail</v>
      </c>
      <c r="D760" t="str">
        <f ca="1">OFFSET(Industries!E$1,MATCH(Table1[[#This Row],[Ticker]],Industries!$A$2:$A$150,0),0)</f>
        <v>Broadline Retail</v>
      </c>
      <c r="E760" t="s">
        <v>44</v>
      </c>
      <c r="F760" t="str">
        <f ca="1">OFFSET(Industries!B$1,MATCH(Table1[[#This Row],[Ticker]],Industries!$A$2:$A$140,0),0)</f>
        <v>Ultra-Cap</v>
      </c>
      <c r="G760" t="str">
        <f ca="1">OFFSET(Industries!F$1,MATCH(Table1[[#This Row],[Ticker]],Industries!$A$2:$A$140,0),0)</f>
        <v>BB+</v>
      </c>
      <c r="H760" t="s">
        <v>1434</v>
      </c>
      <c r="I760" t="s">
        <v>1434</v>
      </c>
      <c r="J760" s="2">
        <v>45407</v>
      </c>
      <c r="K760" t="s">
        <v>21</v>
      </c>
      <c r="L760" t="s">
        <v>1708</v>
      </c>
      <c r="M760" t="s">
        <v>1709</v>
      </c>
      <c r="N760" s="1">
        <f>Table1[[#This Row],[Consideration Weight]]</f>
        <v>3.7676850608329565E-2</v>
      </c>
      <c r="O760" t="s">
        <v>4</v>
      </c>
      <c r="P760" s="1">
        <v>3.7676850608329565E-2</v>
      </c>
      <c r="Q760" s="1" t="s">
        <v>1636</v>
      </c>
      <c r="R760" t="s">
        <v>23</v>
      </c>
      <c r="S760" t="s">
        <v>1083</v>
      </c>
      <c r="T760" t="s">
        <v>489</v>
      </c>
      <c r="U760" s="1">
        <v>0.4</v>
      </c>
    </row>
    <row r="761" spans="1:22" x14ac:dyDescent="0.3">
      <c r="A761" t="s">
        <v>487</v>
      </c>
      <c r="B761" t="str">
        <f ca="1">OFFSET(Industries!C$1,MATCH(Table1[[#This Row],[Ticker]],Industries!$A$2:$A$150,0),0)</f>
        <v>Consumer Discretionary</v>
      </c>
      <c r="C761" t="str">
        <f ca="1">OFFSET(Industries!D$1,MATCH(Table1[[#This Row],[Ticker]],Industries!$A$2:$A$150,0),0)</f>
        <v>Consumer Discretionary Distribution and Retail</v>
      </c>
      <c r="D761" t="str">
        <f ca="1">OFFSET(Industries!E$1,MATCH(Table1[[#This Row],[Ticker]],Industries!$A$2:$A$150,0),0)</f>
        <v>Broadline Retail</v>
      </c>
      <c r="E761" t="s">
        <v>44</v>
      </c>
      <c r="F761" t="str">
        <f ca="1">OFFSET(Industries!B$1,MATCH(Table1[[#This Row],[Ticker]],Industries!$A$2:$A$140,0),0)</f>
        <v>Ultra-Cap</v>
      </c>
      <c r="G761" t="str">
        <f ca="1">OFFSET(Industries!F$1,MATCH(Table1[[#This Row],[Ticker]],Industries!$A$2:$A$140,0),0)</f>
        <v>BB+</v>
      </c>
      <c r="H761" t="s">
        <v>1434</v>
      </c>
      <c r="I761" t="s">
        <v>1434</v>
      </c>
      <c r="J761" s="2">
        <v>45407</v>
      </c>
      <c r="K761" t="s">
        <v>21</v>
      </c>
      <c r="L761" t="s">
        <v>1708</v>
      </c>
      <c r="M761" t="s">
        <v>1709</v>
      </c>
      <c r="N761" s="1"/>
      <c r="O761" t="s">
        <v>4</v>
      </c>
      <c r="P761" s="1">
        <v>3.7676850608329565E-2</v>
      </c>
      <c r="Q761" s="1" t="s">
        <v>1636</v>
      </c>
      <c r="R761" t="s">
        <v>24</v>
      </c>
      <c r="S761" t="s">
        <v>90</v>
      </c>
      <c r="T761" t="s">
        <v>8</v>
      </c>
      <c r="U761" s="1">
        <v>0.35</v>
      </c>
    </row>
    <row r="762" spans="1:22" x14ac:dyDescent="0.3">
      <c r="A762" t="s">
        <v>487</v>
      </c>
      <c r="B762" t="str">
        <f ca="1">OFFSET(Industries!C$1,MATCH(Table1[[#This Row],[Ticker]],Industries!$A$2:$A$150,0),0)</f>
        <v>Consumer Discretionary</v>
      </c>
      <c r="C762" t="str">
        <f ca="1">OFFSET(Industries!D$1,MATCH(Table1[[#This Row],[Ticker]],Industries!$A$2:$A$150,0),0)</f>
        <v>Consumer Discretionary Distribution and Retail</v>
      </c>
      <c r="D762" t="str">
        <f ca="1">OFFSET(Industries!E$1,MATCH(Table1[[#This Row],[Ticker]],Industries!$A$2:$A$150,0),0)</f>
        <v>Broadline Retail</v>
      </c>
      <c r="E762" t="s">
        <v>44</v>
      </c>
      <c r="F762" t="str">
        <f ca="1">OFFSET(Industries!B$1,MATCH(Table1[[#This Row],[Ticker]],Industries!$A$2:$A$140,0),0)</f>
        <v>Ultra-Cap</v>
      </c>
      <c r="G762" t="str">
        <f ca="1">OFFSET(Industries!F$1,MATCH(Table1[[#This Row],[Ticker]],Industries!$A$2:$A$140,0),0)</f>
        <v>BB+</v>
      </c>
      <c r="H762" t="s">
        <v>1434</v>
      </c>
      <c r="I762" t="s">
        <v>1434</v>
      </c>
      <c r="J762" s="2">
        <v>45407</v>
      </c>
      <c r="K762" t="s">
        <v>21</v>
      </c>
      <c r="L762" t="s">
        <v>1708</v>
      </c>
      <c r="M762" t="s">
        <v>1709</v>
      </c>
      <c r="N762" s="1"/>
      <c r="O762" t="s">
        <v>4</v>
      </c>
      <c r="P762" s="1">
        <v>3.7676850608329565E-2</v>
      </c>
      <c r="Q762" s="1" t="s">
        <v>1637</v>
      </c>
      <c r="R762" t="s">
        <v>25</v>
      </c>
      <c r="S762" t="s">
        <v>1130</v>
      </c>
      <c r="T762" t="s">
        <v>494</v>
      </c>
      <c r="U762" s="1">
        <v>0.15</v>
      </c>
    </row>
    <row r="763" spans="1:22" x14ac:dyDescent="0.3">
      <c r="A763" t="s">
        <v>487</v>
      </c>
      <c r="B763" t="str">
        <f ca="1">OFFSET(Industries!C$1,MATCH(Table1[[#This Row],[Ticker]],Industries!$A$2:$A$150,0),0)</f>
        <v>Consumer Discretionary</v>
      </c>
      <c r="C763" t="str">
        <f ca="1">OFFSET(Industries!D$1,MATCH(Table1[[#This Row],[Ticker]],Industries!$A$2:$A$150,0),0)</f>
        <v>Consumer Discretionary Distribution and Retail</v>
      </c>
      <c r="D763" t="str">
        <f ca="1">OFFSET(Industries!E$1,MATCH(Table1[[#This Row],[Ticker]],Industries!$A$2:$A$150,0),0)</f>
        <v>Broadline Retail</v>
      </c>
      <c r="E763" t="s">
        <v>44</v>
      </c>
      <c r="F763" t="str">
        <f ca="1">OFFSET(Industries!B$1,MATCH(Table1[[#This Row],[Ticker]],Industries!$A$2:$A$140,0),0)</f>
        <v>Ultra-Cap</v>
      </c>
      <c r="G763" t="str">
        <f ca="1">OFFSET(Industries!F$1,MATCH(Table1[[#This Row],[Ticker]],Industries!$A$2:$A$140,0),0)</f>
        <v>BB+</v>
      </c>
      <c r="H763" t="s">
        <v>1434</v>
      </c>
      <c r="I763" t="s">
        <v>1434</v>
      </c>
      <c r="J763" s="2">
        <v>45407</v>
      </c>
      <c r="K763" t="s">
        <v>21</v>
      </c>
      <c r="L763" t="s">
        <v>1708</v>
      </c>
      <c r="M763" t="s">
        <v>1709</v>
      </c>
      <c r="N763" s="1"/>
      <c r="O763" t="s">
        <v>4</v>
      </c>
      <c r="P763" s="1">
        <v>3.7676850608329565E-2</v>
      </c>
      <c r="Q763" s="1" t="s">
        <v>1636</v>
      </c>
      <c r="R763" t="s">
        <v>23</v>
      </c>
      <c r="S763" t="s">
        <v>1090</v>
      </c>
      <c r="T763" t="s">
        <v>490</v>
      </c>
      <c r="U763" s="1">
        <v>0.1</v>
      </c>
    </row>
    <row r="764" spans="1:22" x14ac:dyDescent="0.3">
      <c r="A764" t="s">
        <v>487</v>
      </c>
      <c r="B764" t="str">
        <f ca="1">OFFSET(Industries!C$1,MATCH(Table1[[#This Row],[Ticker]],Industries!$A$2:$A$150,0),0)</f>
        <v>Consumer Discretionary</v>
      </c>
      <c r="C764" t="str">
        <f ca="1">OFFSET(Industries!D$1,MATCH(Table1[[#This Row],[Ticker]],Industries!$A$2:$A$150,0),0)</f>
        <v>Consumer Discretionary Distribution and Retail</v>
      </c>
      <c r="D764" t="str">
        <f ca="1">OFFSET(Industries!E$1,MATCH(Table1[[#This Row],[Ticker]],Industries!$A$2:$A$150,0),0)</f>
        <v>Broadline Retail</v>
      </c>
      <c r="E764" t="s">
        <v>44</v>
      </c>
      <c r="F764" t="str">
        <f ca="1">OFFSET(Industries!B$1,MATCH(Table1[[#This Row],[Ticker]],Industries!$A$2:$A$140,0),0)</f>
        <v>Ultra-Cap</v>
      </c>
      <c r="G764" t="str">
        <f ca="1">OFFSET(Industries!F$1,MATCH(Table1[[#This Row],[Ticker]],Industries!$A$2:$A$140,0),0)</f>
        <v>BB+</v>
      </c>
      <c r="H764" t="s">
        <v>1434</v>
      </c>
      <c r="I764" t="s">
        <v>1434</v>
      </c>
      <c r="J764" s="2">
        <v>45407</v>
      </c>
      <c r="K764" t="s">
        <v>21</v>
      </c>
      <c r="L764" t="s">
        <v>1708</v>
      </c>
      <c r="M764" t="s">
        <v>1709</v>
      </c>
      <c r="N764" s="1"/>
      <c r="O764" t="s">
        <v>4</v>
      </c>
      <c r="P764" s="1">
        <v>3.7676850608329565E-2</v>
      </c>
      <c r="R764" t="s">
        <v>28</v>
      </c>
      <c r="S764" t="s">
        <v>1087</v>
      </c>
      <c r="T764" t="s">
        <v>40</v>
      </c>
    </row>
    <row r="765" spans="1:22" x14ac:dyDescent="0.3">
      <c r="A765" t="s">
        <v>487</v>
      </c>
      <c r="B765" t="str">
        <f ca="1">OFFSET(Industries!C$1,MATCH(Table1[[#This Row],[Ticker]],Industries!$A$2:$A$150,0),0)</f>
        <v>Consumer Discretionary</v>
      </c>
      <c r="C765" t="str">
        <f ca="1">OFFSET(Industries!D$1,MATCH(Table1[[#This Row],[Ticker]],Industries!$A$2:$A$150,0),0)</f>
        <v>Consumer Discretionary Distribution and Retail</v>
      </c>
      <c r="D765" t="str">
        <f ca="1">OFFSET(Industries!E$1,MATCH(Table1[[#This Row],[Ticker]],Industries!$A$2:$A$150,0),0)</f>
        <v>Broadline Retail</v>
      </c>
      <c r="E765" t="s">
        <v>44</v>
      </c>
      <c r="F765" t="str">
        <f ca="1">OFFSET(Industries!B$1,MATCH(Table1[[#This Row],[Ticker]],Industries!$A$2:$A$140,0),0)</f>
        <v>Ultra-Cap</v>
      </c>
      <c r="G765" t="str">
        <f ca="1">OFFSET(Industries!F$1,MATCH(Table1[[#This Row],[Ticker]],Industries!$A$2:$A$140,0),0)</f>
        <v>BB+</v>
      </c>
      <c r="H765" t="s">
        <v>1434</v>
      </c>
      <c r="I765" t="s">
        <v>1434</v>
      </c>
      <c r="J765" s="2">
        <v>45407</v>
      </c>
      <c r="K765" t="s">
        <v>21</v>
      </c>
      <c r="L765" t="s">
        <v>1710</v>
      </c>
      <c r="M765" t="s">
        <v>1709</v>
      </c>
      <c r="N765" s="1">
        <f>Table1[[#This Row],[Consideration Weight]]</f>
        <v>0.40290587537636147</v>
      </c>
      <c r="O765" t="s">
        <v>488</v>
      </c>
      <c r="P765" s="1">
        <f>80.5811750752723%/2</f>
        <v>0.40290587537636147</v>
      </c>
      <c r="Q765" s="1" t="s">
        <v>1646</v>
      </c>
      <c r="R765" t="s">
        <v>35</v>
      </c>
      <c r="S765" t="s">
        <v>491</v>
      </c>
      <c r="T765" t="s">
        <v>491</v>
      </c>
      <c r="U765" s="1">
        <v>1</v>
      </c>
    </row>
    <row r="766" spans="1:22" x14ac:dyDescent="0.3">
      <c r="A766" t="s">
        <v>487</v>
      </c>
      <c r="B766" t="str">
        <f ca="1">OFFSET(Industries!C$1,MATCH(Table1[[#This Row],[Ticker]],Industries!$A$2:$A$150,0),0)</f>
        <v>Consumer Discretionary</v>
      </c>
      <c r="C766" t="str">
        <f ca="1">OFFSET(Industries!D$1,MATCH(Table1[[#This Row],[Ticker]],Industries!$A$2:$A$150,0),0)</f>
        <v>Consumer Discretionary Distribution and Retail</v>
      </c>
      <c r="D766" t="str">
        <f ca="1">OFFSET(Industries!E$1,MATCH(Table1[[#This Row],[Ticker]],Industries!$A$2:$A$150,0),0)</f>
        <v>Broadline Retail</v>
      </c>
      <c r="E766" t="s">
        <v>44</v>
      </c>
      <c r="F766" t="str">
        <f ca="1">OFFSET(Industries!B$1,MATCH(Table1[[#This Row],[Ticker]],Industries!$A$2:$A$140,0),0)</f>
        <v>Ultra-Cap</v>
      </c>
      <c r="G766" t="str">
        <f ca="1">OFFSET(Industries!F$1,MATCH(Table1[[#This Row],[Ticker]],Industries!$A$2:$A$140,0),0)</f>
        <v>BB+</v>
      </c>
      <c r="H766" t="s">
        <v>1434</v>
      </c>
      <c r="I766" t="s">
        <v>1434</v>
      </c>
      <c r="J766" s="2">
        <v>45407</v>
      </c>
      <c r="K766" t="s">
        <v>21</v>
      </c>
      <c r="L766" t="s">
        <v>1710</v>
      </c>
      <c r="M766" t="s">
        <v>1711</v>
      </c>
      <c r="N766" s="1">
        <f>Table1[[#This Row],[Consideration Weight]]</f>
        <v>0.40290587537636147</v>
      </c>
      <c r="O766" t="s">
        <v>1666</v>
      </c>
      <c r="P766" s="1">
        <f>80.5811750752723%/2</f>
        <v>0.40290587537636147</v>
      </c>
      <c r="V766" t="s">
        <v>1647</v>
      </c>
    </row>
    <row r="767" spans="1:22" x14ac:dyDescent="0.3">
      <c r="A767" t="s">
        <v>495</v>
      </c>
      <c r="B767" t="str">
        <f ca="1">OFFSET(Industries!C$1,MATCH(Table1[[#This Row],[Ticker]],Industries!$A$2:$A$150,0),0)</f>
        <v>Financials</v>
      </c>
      <c r="C767" t="str">
        <f ca="1">OFFSET(Industries!D$1,MATCH(Table1[[#This Row],[Ticker]],Industries!$A$2:$A$150,0),0)</f>
        <v>Insurance</v>
      </c>
      <c r="D767" t="str">
        <f ca="1">OFFSET(Industries!E$1,MATCH(Table1[[#This Row],[Ticker]],Industries!$A$2:$A$150,0),0)</f>
        <v>Insurance</v>
      </c>
      <c r="E767" t="s">
        <v>496</v>
      </c>
      <c r="F767" t="str">
        <f ca="1">OFFSET(Industries!B$1,MATCH(Table1[[#This Row],[Ticker]],Industries!$A$2:$A$140,0),0)</f>
        <v>Mega-Cap</v>
      </c>
      <c r="G767" t="str">
        <f ca="1">OFFSET(Industries!F$1,MATCH(Table1[[#This Row],[Ticker]],Industries!$A$2:$A$140,0),0)</f>
        <v>A</v>
      </c>
      <c r="H767" t="s">
        <v>1434</v>
      </c>
      <c r="I767" t="s">
        <v>1434</v>
      </c>
      <c r="J767" s="2">
        <v>45383</v>
      </c>
      <c r="K767" t="s">
        <v>2</v>
      </c>
      <c r="L767" t="s">
        <v>3</v>
      </c>
      <c r="M767" t="s">
        <v>1711</v>
      </c>
      <c r="N767" s="1">
        <f>Table1[[#This Row],[Consideration Weight]]</f>
        <v>0.06</v>
      </c>
      <c r="O767" t="s">
        <v>3</v>
      </c>
      <c r="P767" s="1">
        <v>0.06</v>
      </c>
    </row>
    <row r="768" spans="1:22" x14ac:dyDescent="0.3">
      <c r="A768" t="s">
        <v>495</v>
      </c>
      <c r="B768" t="str">
        <f ca="1">OFFSET(Industries!C$1,MATCH(Table1[[#This Row],[Ticker]],Industries!$A$2:$A$150,0),0)</f>
        <v>Financials</v>
      </c>
      <c r="C768" t="str">
        <f ca="1">OFFSET(Industries!D$1,MATCH(Table1[[#This Row],[Ticker]],Industries!$A$2:$A$150,0),0)</f>
        <v>Insurance</v>
      </c>
      <c r="D768" t="str">
        <f ca="1">OFFSET(Industries!E$1,MATCH(Table1[[#This Row],[Ticker]],Industries!$A$2:$A$150,0),0)</f>
        <v>Insurance</v>
      </c>
      <c r="E768" t="s">
        <v>496</v>
      </c>
      <c r="F768" t="str">
        <f ca="1">OFFSET(Industries!B$1,MATCH(Table1[[#This Row],[Ticker]],Industries!$A$2:$A$140,0),0)</f>
        <v>Mega-Cap</v>
      </c>
      <c r="G768" t="str">
        <f ca="1">OFFSET(Industries!F$1,MATCH(Table1[[#This Row],[Ticker]],Industries!$A$2:$A$140,0),0)</f>
        <v>A</v>
      </c>
      <c r="H768" t="s">
        <v>1434</v>
      </c>
      <c r="I768" t="s">
        <v>1434</v>
      </c>
      <c r="J768" s="2">
        <v>45383</v>
      </c>
      <c r="K768" t="s">
        <v>2</v>
      </c>
      <c r="L768" t="s">
        <v>1708</v>
      </c>
      <c r="M768" t="s">
        <v>1709</v>
      </c>
      <c r="N768" s="1">
        <f>Table1[[#This Row],[Consideration Weight]]</f>
        <v>0.32</v>
      </c>
      <c r="O768" t="s">
        <v>4</v>
      </c>
      <c r="P768" s="1">
        <v>0.32</v>
      </c>
      <c r="Q768" s="1" t="s">
        <v>1637</v>
      </c>
      <c r="R768" t="s">
        <v>25</v>
      </c>
      <c r="S768" t="s">
        <v>1086</v>
      </c>
      <c r="T768" t="s">
        <v>497</v>
      </c>
      <c r="U768" s="1">
        <v>0.75</v>
      </c>
      <c r="V768" t="s">
        <v>1667</v>
      </c>
    </row>
    <row r="769" spans="1:22" x14ac:dyDescent="0.3">
      <c r="A769" t="s">
        <v>495</v>
      </c>
      <c r="B769" t="str">
        <f ca="1">OFFSET(Industries!C$1,MATCH(Table1[[#This Row],[Ticker]],Industries!$A$2:$A$150,0),0)</f>
        <v>Financials</v>
      </c>
      <c r="C769" t="str">
        <f ca="1">OFFSET(Industries!D$1,MATCH(Table1[[#This Row],[Ticker]],Industries!$A$2:$A$150,0),0)</f>
        <v>Insurance</v>
      </c>
      <c r="D769" t="str">
        <f ca="1">OFFSET(Industries!E$1,MATCH(Table1[[#This Row],[Ticker]],Industries!$A$2:$A$150,0),0)</f>
        <v>Insurance</v>
      </c>
      <c r="E769" t="s">
        <v>496</v>
      </c>
      <c r="F769" t="str">
        <f ca="1">OFFSET(Industries!B$1,MATCH(Table1[[#This Row],[Ticker]],Industries!$A$2:$A$140,0),0)</f>
        <v>Mega-Cap</v>
      </c>
      <c r="G769" t="str">
        <f ca="1">OFFSET(Industries!F$1,MATCH(Table1[[#This Row],[Ticker]],Industries!$A$2:$A$140,0),0)</f>
        <v>A</v>
      </c>
      <c r="H769" t="s">
        <v>1434</v>
      </c>
      <c r="I769" t="s">
        <v>1434</v>
      </c>
      <c r="J769" s="2">
        <v>45383</v>
      </c>
      <c r="K769" t="s">
        <v>2</v>
      </c>
      <c r="L769" t="s">
        <v>1708</v>
      </c>
      <c r="M769" t="s">
        <v>1709</v>
      </c>
      <c r="N769" s="1"/>
      <c r="O769" t="s">
        <v>4</v>
      </c>
      <c r="P769" s="1">
        <v>0.32</v>
      </c>
      <c r="Q769" s="1" t="s">
        <v>1637</v>
      </c>
      <c r="R769" t="s">
        <v>25</v>
      </c>
      <c r="S769" t="s">
        <v>1086</v>
      </c>
      <c r="T769" t="s">
        <v>498</v>
      </c>
      <c r="U769" s="1">
        <v>0.25</v>
      </c>
      <c r="V769" t="s">
        <v>499</v>
      </c>
    </row>
    <row r="770" spans="1:22" x14ac:dyDescent="0.3">
      <c r="A770" t="s">
        <v>495</v>
      </c>
      <c r="B770" t="str">
        <f ca="1">OFFSET(Industries!C$1,MATCH(Table1[[#This Row],[Ticker]],Industries!$A$2:$A$150,0),0)</f>
        <v>Financials</v>
      </c>
      <c r="C770" t="str">
        <f ca="1">OFFSET(Industries!D$1,MATCH(Table1[[#This Row],[Ticker]],Industries!$A$2:$A$150,0),0)</f>
        <v>Insurance</v>
      </c>
      <c r="D770" t="str">
        <f ca="1">OFFSET(Industries!E$1,MATCH(Table1[[#This Row],[Ticker]],Industries!$A$2:$A$150,0),0)</f>
        <v>Insurance</v>
      </c>
      <c r="E770" t="s">
        <v>496</v>
      </c>
      <c r="F770" t="str">
        <f ca="1">OFFSET(Industries!B$1,MATCH(Table1[[#This Row],[Ticker]],Industries!$A$2:$A$140,0),0)</f>
        <v>Mega-Cap</v>
      </c>
      <c r="G770" t="str">
        <f ca="1">OFFSET(Industries!F$1,MATCH(Table1[[#This Row],[Ticker]],Industries!$A$2:$A$140,0),0)</f>
        <v>A</v>
      </c>
      <c r="H770" t="s">
        <v>1434</v>
      </c>
      <c r="I770" t="s">
        <v>1434</v>
      </c>
      <c r="J770" s="2">
        <v>45383</v>
      </c>
      <c r="K770" t="s">
        <v>2</v>
      </c>
      <c r="L770" t="s">
        <v>1708</v>
      </c>
      <c r="M770" t="s">
        <v>1709</v>
      </c>
      <c r="N770" s="1"/>
      <c r="O770" t="s">
        <v>4</v>
      </c>
      <c r="P770" s="1">
        <v>0.32</v>
      </c>
      <c r="R770" t="s">
        <v>28</v>
      </c>
      <c r="S770" t="s">
        <v>1088</v>
      </c>
      <c r="T770" t="s">
        <v>1745</v>
      </c>
      <c r="V770" t="s">
        <v>506</v>
      </c>
    </row>
    <row r="771" spans="1:22" x14ac:dyDescent="0.3">
      <c r="A771" t="s">
        <v>495</v>
      </c>
      <c r="B771" t="str">
        <f ca="1">OFFSET(Industries!C$1,MATCH(Table1[[#This Row],[Ticker]],Industries!$A$2:$A$150,0),0)</f>
        <v>Financials</v>
      </c>
      <c r="C771" t="str">
        <f ca="1">OFFSET(Industries!D$1,MATCH(Table1[[#This Row],[Ticker]],Industries!$A$2:$A$150,0),0)</f>
        <v>Insurance</v>
      </c>
      <c r="D771" t="str">
        <f ca="1">OFFSET(Industries!E$1,MATCH(Table1[[#This Row],[Ticker]],Industries!$A$2:$A$150,0),0)</f>
        <v>Insurance</v>
      </c>
      <c r="E771" t="s">
        <v>496</v>
      </c>
      <c r="F771" t="str">
        <f ca="1">OFFSET(Industries!B$1,MATCH(Table1[[#This Row],[Ticker]],Industries!$A$2:$A$140,0),0)</f>
        <v>Mega-Cap</v>
      </c>
      <c r="G771" t="str">
        <f ca="1">OFFSET(Industries!F$1,MATCH(Table1[[#This Row],[Ticker]],Industries!$A$2:$A$140,0),0)</f>
        <v>A</v>
      </c>
      <c r="H771" t="s">
        <v>1434</v>
      </c>
      <c r="I771" t="s">
        <v>1434</v>
      </c>
      <c r="J771" s="2">
        <v>45383</v>
      </c>
      <c r="K771" t="s">
        <v>2</v>
      </c>
      <c r="L771" t="s">
        <v>1710</v>
      </c>
      <c r="M771" t="s">
        <v>1709</v>
      </c>
      <c r="N771" s="1">
        <f>Table1[[#This Row],[Consideration Weight]]</f>
        <v>0.62</v>
      </c>
      <c r="O771" t="s">
        <v>476</v>
      </c>
      <c r="P771" s="1">
        <v>0.62</v>
      </c>
      <c r="Q771" s="1" t="s">
        <v>1636</v>
      </c>
      <c r="R771" t="s">
        <v>24</v>
      </c>
      <c r="S771" t="s">
        <v>1086</v>
      </c>
      <c r="T771" t="s">
        <v>500</v>
      </c>
      <c r="U771" s="1">
        <v>0.75</v>
      </c>
      <c r="V771" t="s">
        <v>1739</v>
      </c>
    </row>
    <row r="772" spans="1:22" x14ac:dyDescent="0.3">
      <c r="A772" t="s">
        <v>495</v>
      </c>
      <c r="B772" t="str">
        <f ca="1">OFFSET(Industries!C$1,MATCH(Table1[[#This Row],[Ticker]],Industries!$A$2:$A$150,0),0)</f>
        <v>Financials</v>
      </c>
      <c r="C772" t="str">
        <f ca="1">OFFSET(Industries!D$1,MATCH(Table1[[#This Row],[Ticker]],Industries!$A$2:$A$150,0),0)</f>
        <v>Insurance</v>
      </c>
      <c r="D772" t="str">
        <f ca="1">OFFSET(Industries!E$1,MATCH(Table1[[#This Row],[Ticker]],Industries!$A$2:$A$150,0),0)</f>
        <v>Insurance</v>
      </c>
      <c r="E772" t="s">
        <v>496</v>
      </c>
      <c r="F772" t="str">
        <f ca="1">OFFSET(Industries!B$1,MATCH(Table1[[#This Row],[Ticker]],Industries!$A$2:$A$140,0),0)</f>
        <v>Mega-Cap</v>
      </c>
      <c r="G772" t="str">
        <f ca="1">OFFSET(Industries!F$1,MATCH(Table1[[#This Row],[Ticker]],Industries!$A$2:$A$140,0),0)</f>
        <v>A</v>
      </c>
      <c r="H772" t="s">
        <v>1434</v>
      </c>
      <c r="I772" t="s">
        <v>1434</v>
      </c>
      <c r="J772" s="2">
        <v>45383</v>
      </c>
      <c r="K772" t="s">
        <v>2</v>
      </c>
      <c r="L772" t="s">
        <v>1710</v>
      </c>
      <c r="M772" t="s">
        <v>1709</v>
      </c>
      <c r="N772" s="1"/>
      <c r="O772" t="s">
        <v>476</v>
      </c>
      <c r="P772" s="1">
        <v>0.62</v>
      </c>
      <c r="Q772" s="1" t="s">
        <v>1636</v>
      </c>
      <c r="R772" t="s">
        <v>24</v>
      </c>
      <c r="S772" t="s">
        <v>1086</v>
      </c>
      <c r="T772" t="s">
        <v>501</v>
      </c>
      <c r="U772" s="1">
        <v>0.25</v>
      </c>
      <c r="V772" t="s">
        <v>502</v>
      </c>
    </row>
    <row r="773" spans="1:22" x14ac:dyDescent="0.3">
      <c r="A773" t="s">
        <v>495</v>
      </c>
      <c r="B773" t="str">
        <f ca="1">OFFSET(Industries!C$1,MATCH(Table1[[#This Row],[Ticker]],Industries!$A$2:$A$150,0),0)</f>
        <v>Financials</v>
      </c>
      <c r="C773" t="str">
        <f ca="1">OFFSET(Industries!D$1,MATCH(Table1[[#This Row],[Ticker]],Industries!$A$2:$A$150,0),0)</f>
        <v>Insurance</v>
      </c>
      <c r="D773" t="str">
        <f ca="1">OFFSET(Industries!E$1,MATCH(Table1[[#This Row],[Ticker]],Industries!$A$2:$A$150,0),0)</f>
        <v>Insurance</v>
      </c>
      <c r="E773" t="s">
        <v>496</v>
      </c>
      <c r="F773" t="str">
        <f ca="1">OFFSET(Industries!B$1,MATCH(Table1[[#This Row],[Ticker]],Industries!$A$2:$A$140,0),0)</f>
        <v>Mega-Cap</v>
      </c>
      <c r="G773" t="str">
        <f ca="1">OFFSET(Industries!F$1,MATCH(Table1[[#This Row],[Ticker]],Industries!$A$2:$A$140,0),0)</f>
        <v>A</v>
      </c>
      <c r="H773" t="s">
        <v>1434</v>
      </c>
      <c r="I773" t="s">
        <v>1434</v>
      </c>
      <c r="J773" s="2">
        <v>45383</v>
      </c>
      <c r="K773" t="s">
        <v>2</v>
      </c>
      <c r="L773" t="s">
        <v>1710</v>
      </c>
      <c r="M773" t="s">
        <v>1709</v>
      </c>
      <c r="N773" s="1"/>
      <c r="O773" t="s">
        <v>476</v>
      </c>
      <c r="P773" s="1">
        <v>0.62</v>
      </c>
      <c r="R773" t="s">
        <v>28</v>
      </c>
      <c r="S773" t="s">
        <v>1085</v>
      </c>
      <c r="T773" t="s">
        <v>200</v>
      </c>
      <c r="V773" t="s">
        <v>505</v>
      </c>
    </row>
    <row r="774" spans="1:22" x14ac:dyDescent="0.3">
      <c r="A774" t="s">
        <v>495</v>
      </c>
      <c r="B774" t="str">
        <f ca="1">OFFSET(Industries!C$1,MATCH(Table1[[#This Row],[Ticker]],Industries!$A$2:$A$150,0),0)</f>
        <v>Financials</v>
      </c>
      <c r="C774" t="str">
        <f ca="1">OFFSET(Industries!D$1,MATCH(Table1[[#This Row],[Ticker]],Industries!$A$2:$A$150,0),0)</f>
        <v>Insurance</v>
      </c>
      <c r="D774" t="str">
        <f ca="1">OFFSET(Industries!E$1,MATCH(Table1[[#This Row],[Ticker]],Industries!$A$2:$A$150,0),0)</f>
        <v>Insurance</v>
      </c>
      <c r="E774" t="s">
        <v>496</v>
      </c>
      <c r="F774" t="str">
        <f ca="1">OFFSET(Industries!B$1,MATCH(Table1[[#This Row],[Ticker]],Industries!$A$2:$A$140,0),0)</f>
        <v>Mega-Cap</v>
      </c>
      <c r="G774" t="str">
        <f ca="1">OFFSET(Industries!F$1,MATCH(Table1[[#This Row],[Ticker]],Industries!$A$2:$A$140,0),0)</f>
        <v>A</v>
      </c>
      <c r="H774" t="s">
        <v>1434</v>
      </c>
      <c r="I774" t="s">
        <v>1434</v>
      </c>
      <c r="J774" s="2">
        <v>45383</v>
      </c>
      <c r="K774" t="s">
        <v>21</v>
      </c>
      <c r="L774" t="s">
        <v>3</v>
      </c>
      <c r="M774" t="s">
        <v>1711</v>
      </c>
      <c r="N774" s="1">
        <f>Table1[[#This Row],[Consideration Weight]]</f>
        <v>0.13</v>
      </c>
      <c r="O774" t="s">
        <v>3</v>
      </c>
      <c r="P774" s="1">
        <v>0.13</v>
      </c>
    </row>
    <row r="775" spans="1:22" x14ac:dyDescent="0.3">
      <c r="A775" t="s">
        <v>495</v>
      </c>
      <c r="B775" t="str">
        <f ca="1">OFFSET(Industries!C$1,MATCH(Table1[[#This Row],[Ticker]],Industries!$A$2:$A$150,0),0)</f>
        <v>Financials</v>
      </c>
      <c r="C775" t="str">
        <f ca="1">OFFSET(Industries!D$1,MATCH(Table1[[#This Row],[Ticker]],Industries!$A$2:$A$150,0),0)</f>
        <v>Insurance</v>
      </c>
      <c r="D775" t="str">
        <f ca="1">OFFSET(Industries!E$1,MATCH(Table1[[#This Row],[Ticker]],Industries!$A$2:$A$150,0),0)</f>
        <v>Insurance</v>
      </c>
      <c r="E775" t="s">
        <v>496</v>
      </c>
      <c r="F775" t="str">
        <f ca="1">OFFSET(Industries!B$1,MATCH(Table1[[#This Row],[Ticker]],Industries!$A$2:$A$140,0),0)</f>
        <v>Mega-Cap</v>
      </c>
      <c r="G775" t="str">
        <f ca="1">OFFSET(Industries!F$1,MATCH(Table1[[#This Row],[Ticker]],Industries!$A$2:$A$140,0),0)</f>
        <v>A</v>
      </c>
      <c r="H775" t="s">
        <v>1434</v>
      </c>
      <c r="I775" t="s">
        <v>1434</v>
      </c>
      <c r="J775" s="2">
        <v>45383</v>
      </c>
      <c r="K775" t="s">
        <v>21</v>
      </c>
      <c r="L775" t="s">
        <v>1708</v>
      </c>
      <c r="M775" t="s">
        <v>1709</v>
      </c>
      <c r="N775" s="1">
        <f>Table1[[#This Row],[Consideration Weight]]</f>
        <v>0.3</v>
      </c>
      <c r="O775" t="s">
        <v>4</v>
      </c>
      <c r="P775" s="1">
        <v>0.3</v>
      </c>
      <c r="Q775" s="1" t="s">
        <v>1637</v>
      </c>
      <c r="R775" t="s">
        <v>332</v>
      </c>
      <c r="S775" t="s">
        <v>380</v>
      </c>
      <c r="T775" t="s">
        <v>503</v>
      </c>
      <c r="U775" s="1">
        <v>1</v>
      </c>
      <c r="V775" t="s">
        <v>1741</v>
      </c>
    </row>
    <row r="776" spans="1:22" x14ac:dyDescent="0.3">
      <c r="A776" t="s">
        <v>495</v>
      </c>
      <c r="B776" t="str">
        <f ca="1">OFFSET(Industries!C$1,MATCH(Table1[[#This Row],[Ticker]],Industries!$A$2:$A$150,0),0)</f>
        <v>Financials</v>
      </c>
      <c r="C776" t="str">
        <f ca="1">OFFSET(Industries!D$1,MATCH(Table1[[#This Row],[Ticker]],Industries!$A$2:$A$150,0),0)</f>
        <v>Insurance</v>
      </c>
      <c r="D776" t="str">
        <f ca="1">OFFSET(Industries!E$1,MATCH(Table1[[#This Row],[Ticker]],Industries!$A$2:$A$150,0),0)</f>
        <v>Insurance</v>
      </c>
      <c r="E776" t="s">
        <v>496</v>
      </c>
      <c r="F776" t="str">
        <f ca="1">OFFSET(Industries!B$1,MATCH(Table1[[#This Row],[Ticker]],Industries!$A$2:$A$140,0),0)</f>
        <v>Mega-Cap</v>
      </c>
      <c r="G776" t="str">
        <f ca="1">OFFSET(Industries!F$1,MATCH(Table1[[#This Row],[Ticker]],Industries!$A$2:$A$140,0),0)</f>
        <v>A</v>
      </c>
      <c r="H776" t="s">
        <v>1434</v>
      </c>
      <c r="I776" t="s">
        <v>1434</v>
      </c>
      <c r="J776" s="2">
        <v>45383</v>
      </c>
      <c r="K776" t="s">
        <v>21</v>
      </c>
      <c r="L776" t="s">
        <v>1708</v>
      </c>
      <c r="M776" t="s">
        <v>1709</v>
      </c>
      <c r="N776" s="1"/>
      <c r="O776" t="s">
        <v>4</v>
      </c>
      <c r="P776" s="1">
        <v>0.3</v>
      </c>
      <c r="Q776" s="1" t="s">
        <v>1637</v>
      </c>
      <c r="R776" t="s">
        <v>25</v>
      </c>
      <c r="S776" t="s">
        <v>1086</v>
      </c>
      <c r="T776" t="s">
        <v>503</v>
      </c>
      <c r="V776" t="s">
        <v>504</v>
      </c>
    </row>
    <row r="777" spans="1:22" x14ac:dyDescent="0.3">
      <c r="A777" t="s">
        <v>495</v>
      </c>
      <c r="B777" t="str">
        <f ca="1">OFFSET(Industries!C$1,MATCH(Table1[[#This Row],[Ticker]],Industries!$A$2:$A$150,0),0)</f>
        <v>Financials</v>
      </c>
      <c r="C777" t="str">
        <f ca="1">OFFSET(Industries!D$1,MATCH(Table1[[#This Row],[Ticker]],Industries!$A$2:$A$150,0),0)</f>
        <v>Insurance</v>
      </c>
      <c r="D777" t="str">
        <f ca="1">OFFSET(Industries!E$1,MATCH(Table1[[#This Row],[Ticker]],Industries!$A$2:$A$150,0),0)</f>
        <v>Insurance</v>
      </c>
      <c r="E777" t="s">
        <v>496</v>
      </c>
      <c r="F777" t="str">
        <f ca="1">OFFSET(Industries!B$1,MATCH(Table1[[#This Row],[Ticker]],Industries!$A$2:$A$140,0),0)</f>
        <v>Mega-Cap</v>
      </c>
      <c r="G777" t="str">
        <f ca="1">OFFSET(Industries!F$1,MATCH(Table1[[#This Row],[Ticker]],Industries!$A$2:$A$140,0),0)</f>
        <v>A</v>
      </c>
      <c r="H777" t="s">
        <v>1434</v>
      </c>
      <c r="I777" t="s">
        <v>1434</v>
      </c>
      <c r="J777" s="2">
        <v>45383</v>
      </c>
      <c r="K777" t="s">
        <v>21</v>
      </c>
      <c r="L777" t="s">
        <v>1708</v>
      </c>
      <c r="M777" t="s">
        <v>1709</v>
      </c>
      <c r="N777" s="1"/>
      <c r="O777" t="s">
        <v>4</v>
      </c>
      <c r="P777" s="1">
        <v>0.3</v>
      </c>
      <c r="R777" t="s">
        <v>28</v>
      </c>
      <c r="S777" t="s">
        <v>1088</v>
      </c>
      <c r="T777" t="s">
        <v>1745</v>
      </c>
    </row>
    <row r="778" spans="1:22" x14ac:dyDescent="0.3">
      <c r="A778" t="s">
        <v>495</v>
      </c>
      <c r="B778" t="str">
        <f ca="1">OFFSET(Industries!C$1,MATCH(Table1[[#This Row],[Ticker]],Industries!$A$2:$A$150,0),0)</f>
        <v>Financials</v>
      </c>
      <c r="C778" t="str">
        <f ca="1">OFFSET(Industries!D$1,MATCH(Table1[[#This Row],[Ticker]],Industries!$A$2:$A$150,0),0)</f>
        <v>Insurance</v>
      </c>
      <c r="D778" t="str">
        <f ca="1">OFFSET(Industries!E$1,MATCH(Table1[[#This Row],[Ticker]],Industries!$A$2:$A$150,0),0)</f>
        <v>Insurance</v>
      </c>
      <c r="E778" t="s">
        <v>496</v>
      </c>
      <c r="F778" t="str">
        <f ca="1">OFFSET(Industries!B$1,MATCH(Table1[[#This Row],[Ticker]],Industries!$A$2:$A$140,0),0)</f>
        <v>Mega-Cap</v>
      </c>
      <c r="G778" t="str">
        <f ca="1">OFFSET(Industries!F$1,MATCH(Table1[[#This Row],[Ticker]],Industries!$A$2:$A$140,0),0)</f>
        <v>A</v>
      </c>
      <c r="H778" t="s">
        <v>1434</v>
      </c>
      <c r="I778" t="s">
        <v>1434</v>
      </c>
      <c r="J778" s="2">
        <v>45383</v>
      </c>
      <c r="K778" t="s">
        <v>21</v>
      </c>
      <c r="L778" t="s">
        <v>1710</v>
      </c>
      <c r="M778" t="s">
        <v>1709</v>
      </c>
      <c r="N778" s="1">
        <f>Table1[[#This Row],[Consideration Weight]]</f>
        <v>0.51300000000000001</v>
      </c>
      <c r="O778" t="s">
        <v>476</v>
      </c>
      <c r="P778" s="1">
        <f t="shared" ref="P778:P780" si="12">0.9*0.57</f>
        <v>0.51300000000000001</v>
      </c>
      <c r="Q778" s="1" t="s">
        <v>1636</v>
      </c>
      <c r="R778" t="s">
        <v>24</v>
      </c>
      <c r="S778" t="s">
        <v>1086</v>
      </c>
      <c r="T778" t="s">
        <v>500</v>
      </c>
      <c r="U778" s="1">
        <v>0.75</v>
      </c>
      <c r="V778" t="s">
        <v>1740</v>
      </c>
    </row>
    <row r="779" spans="1:22" x14ac:dyDescent="0.3">
      <c r="A779" t="s">
        <v>495</v>
      </c>
      <c r="B779" t="str">
        <f ca="1">OFFSET(Industries!C$1,MATCH(Table1[[#This Row],[Ticker]],Industries!$A$2:$A$150,0),0)</f>
        <v>Financials</v>
      </c>
      <c r="C779" t="str">
        <f ca="1">OFFSET(Industries!D$1,MATCH(Table1[[#This Row],[Ticker]],Industries!$A$2:$A$150,0),0)</f>
        <v>Insurance</v>
      </c>
      <c r="D779" t="str">
        <f ca="1">OFFSET(Industries!E$1,MATCH(Table1[[#This Row],[Ticker]],Industries!$A$2:$A$150,0),0)</f>
        <v>Insurance</v>
      </c>
      <c r="E779" t="s">
        <v>496</v>
      </c>
      <c r="F779" t="str">
        <f ca="1">OFFSET(Industries!B$1,MATCH(Table1[[#This Row],[Ticker]],Industries!$A$2:$A$140,0),0)</f>
        <v>Mega-Cap</v>
      </c>
      <c r="G779" t="str">
        <f ca="1">OFFSET(Industries!F$1,MATCH(Table1[[#This Row],[Ticker]],Industries!$A$2:$A$140,0),0)</f>
        <v>A</v>
      </c>
      <c r="H779" t="s">
        <v>1434</v>
      </c>
      <c r="I779" t="s">
        <v>1434</v>
      </c>
      <c r="J779" s="2">
        <v>45383</v>
      </c>
      <c r="K779" t="s">
        <v>21</v>
      </c>
      <c r="L779" t="s">
        <v>1710</v>
      </c>
      <c r="M779" t="s">
        <v>1709</v>
      </c>
      <c r="N779" s="1"/>
      <c r="O779" t="s">
        <v>476</v>
      </c>
      <c r="P779" s="1">
        <f t="shared" si="12"/>
        <v>0.51300000000000001</v>
      </c>
      <c r="Q779" s="1" t="s">
        <v>1636</v>
      </c>
      <c r="R779" t="s">
        <v>24</v>
      </c>
      <c r="S779" t="s">
        <v>1086</v>
      </c>
      <c r="T779" t="s">
        <v>501</v>
      </c>
      <c r="U779" s="1">
        <v>0.25</v>
      </c>
      <c r="V779" t="s">
        <v>502</v>
      </c>
    </row>
    <row r="780" spans="1:22" x14ac:dyDescent="0.3">
      <c r="A780" t="s">
        <v>495</v>
      </c>
      <c r="B780" t="str">
        <f ca="1">OFFSET(Industries!C$1,MATCH(Table1[[#This Row],[Ticker]],Industries!$A$2:$A$150,0),0)</f>
        <v>Financials</v>
      </c>
      <c r="C780" t="str">
        <f ca="1">OFFSET(Industries!D$1,MATCH(Table1[[#This Row],[Ticker]],Industries!$A$2:$A$150,0),0)</f>
        <v>Insurance</v>
      </c>
      <c r="D780" t="str">
        <f ca="1">OFFSET(Industries!E$1,MATCH(Table1[[#This Row],[Ticker]],Industries!$A$2:$A$150,0),0)</f>
        <v>Insurance</v>
      </c>
      <c r="E780" t="s">
        <v>496</v>
      </c>
      <c r="F780" t="str">
        <f ca="1">OFFSET(Industries!B$1,MATCH(Table1[[#This Row],[Ticker]],Industries!$A$2:$A$140,0),0)</f>
        <v>Mega-Cap</v>
      </c>
      <c r="G780" t="str">
        <f ca="1">OFFSET(Industries!F$1,MATCH(Table1[[#This Row],[Ticker]],Industries!$A$2:$A$140,0),0)</f>
        <v>A</v>
      </c>
      <c r="H780" t="s">
        <v>1434</v>
      </c>
      <c r="I780" t="s">
        <v>1434</v>
      </c>
      <c r="J780" s="2">
        <v>45383</v>
      </c>
      <c r="K780" t="s">
        <v>21</v>
      </c>
      <c r="L780" t="s">
        <v>1710</v>
      </c>
      <c r="M780" t="s">
        <v>1709</v>
      </c>
      <c r="N780" s="1"/>
      <c r="O780" t="s">
        <v>476</v>
      </c>
      <c r="P780" s="1">
        <f t="shared" si="12"/>
        <v>0.51300000000000001</v>
      </c>
      <c r="R780" t="s">
        <v>28</v>
      </c>
      <c r="S780" t="s">
        <v>1085</v>
      </c>
      <c r="T780" t="s">
        <v>200</v>
      </c>
    </row>
    <row r="781" spans="1:22" x14ac:dyDescent="0.3">
      <c r="A781" t="s">
        <v>495</v>
      </c>
      <c r="B781" t="str">
        <f ca="1">OFFSET(Industries!C$1,MATCH(Table1[[#This Row],[Ticker]],Industries!$A$2:$A$150,0),0)</f>
        <v>Financials</v>
      </c>
      <c r="C781" t="str">
        <f ca="1">OFFSET(Industries!D$1,MATCH(Table1[[#This Row],[Ticker]],Industries!$A$2:$A$150,0),0)</f>
        <v>Insurance</v>
      </c>
      <c r="D781" t="str">
        <f ca="1">OFFSET(Industries!E$1,MATCH(Table1[[#This Row],[Ticker]],Industries!$A$2:$A$150,0),0)</f>
        <v>Insurance</v>
      </c>
      <c r="E781" t="s">
        <v>496</v>
      </c>
      <c r="F781" t="str">
        <f ca="1">OFFSET(Industries!B$1,MATCH(Table1[[#This Row],[Ticker]],Industries!$A$2:$A$140,0),0)</f>
        <v>Mega-Cap</v>
      </c>
      <c r="G781" t="str">
        <f ca="1">OFFSET(Industries!F$1,MATCH(Table1[[#This Row],[Ticker]],Industries!$A$2:$A$140,0),0)</f>
        <v>A</v>
      </c>
      <c r="H781" t="s">
        <v>1434</v>
      </c>
      <c r="I781" t="s">
        <v>1434</v>
      </c>
      <c r="J781" s="2">
        <v>45383</v>
      </c>
      <c r="K781" t="s">
        <v>21</v>
      </c>
      <c r="L781" t="s">
        <v>1710</v>
      </c>
      <c r="M781" t="s">
        <v>1709</v>
      </c>
      <c r="N781" s="1">
        <f>Table1[[#This Row],[Consideration Weight]]</f>
        <v>3.4199999999999994E-2</v>
      </c>
      <c r="O781" t="s">
        <v>87</v>
      </c>
      <c r="P781" s="1">
        <f>0.06*0.57</f>
        <v>3.4199999999999994E-2</v>
      </c>
      <c r="V781" t="s">
        <v>1718</v>
      </c>
    </row>
    <row r="782" spans="1:22" x14ac:dyDescent="0.3">
      <c r="A782" t="s">
        <v>495</v>
      </c>
      <c r="B782" t="str">
        <f ca="1">OFFSET(Industries!C$1,MATCH(Table1[[#This Row],[Ticker]],Industries!$A$2:$A$150,0),0)</f>
        <v>Financials</v>
      </c>
      <c r="C782" t="str">
        <f ca="1">OFFSET(Industries!D$1,MATCH(Table1[[#This Row],[Ticker]],Industries!$A$2:$A$150,0),0)</f>
        <v>Insurance</v>
      </c>
      <c r="D782" t="str">
        <f ca="1">OFFSET(Industries!E$1,MATCH(Table1[[#This Row],[Ticker]],Industries!$A$2:$A$150,0),0)</f>
        <v>Insurance</v>
      </c>
      <c r="E782" t="s">
        <v>496</v>
      </c>
      <c r="F782" t="str">
        <f ca="1">OFFSET(Industries!B$1,MATCH(Table1[[#This Row],[Ticker]],Industries!$A$2:$A$140,0),0)</f>
        <v>Mega-Cap</v>
      </c>
      <c r="G782" t="str">
        <f ca="1">OFFSET(Industries!F$1,MATCH(Table1[[#This Row],[Ticker]],Industries!$A$2:$A$140,0),0)</f>
        <v>A</v>
      </c>
      <c r="H782" t="s">
        <v>1434</v>
      </c>
      <c r="I782" t="s">
        <v>1434</v>
      </c>
      <c r="J782" s="2">
        <v>45383</v>
      </c>
      <c r="K782" t="s">
        <v>21</v>
      </c>
      <c r="L782" t="s">
        <v>1710</v>
      </c>
      <c r="M782" t="s">
        <v>1709</v>
      </c>
      <c r="N782" s="1">
        <f>Table1[[#This Row],[Consideration Weight]]</f>
        <v>2.2799999999999997E-2</v>
      </c>
      <c r="O782" t="s">
        <v>194</v>
      </c>
      <c r="P782" s="1">
        <f>0.04*0.57</f>
        <v>2.2799999999999997E-2</v>
      </c>
      <c r="V782" t="s">
        <v>1718</v>
      </c>
    </row>
    <row r="783" spans="1:22" x14ac:dyDescent="0.3">
      <c r="A783" t="s">
        <v>507</v>
      </c>
      <c r="B783" t="str">
        <f ca="1">OFFSET(Industries!C$1,MATCH(Table1[[#This Row],[Ticker]],Industries!$A$2:$A$150,0),0)</f>
        <v>Information Technology</v>
      </c>
      <c r="C783" t="str">
        <f ca="1">OFFSET(Industries!D$1,MATCH(Table1[[#This Row],[Ticker]],Industries!$A$2:$A$150,0),0)</f>
        <v>Semiconductors</v>
      </c>
      <c r="D783" t="str">
        <f ca="1">OFFSET(Industries!E$1,MATCH(Table1[[#This Row],[Ticker]],Industries!$A$2:$A$150,0),0)</f>
        <v>Semiconductors</v>
      </c>
      <c r="E783" t="s">
        <v>34</v>
      </c>
      <c r="F783" t="str">
        <f ca="1">OFFSET(Industries!B$1,MATCH(Table1[[#This Row],[Ticker]],Industries!$A$2:$A$140,0),0)</f>
        <v>Mega-Cap</v>
      </c>
      <c r="G783" t="str">
        <f ca="1">OFFSET(Industries!F$1,MATCH(Table1[[#This Row],[Ticker]],Industries!$A$2:$A$140,0),0)</f>
        <v>A+</v>
      </c>
      <c r="H783" t="s">
        <v>1434</v>
      </c>
      <c r="I783" t="s">
        <v>1434</v>
      </c>
      <c r="J783" s="2">
        <v>45363</v>
      </c>
      <c r="K783" t="s">
        <v>2</v>
      </c>
      <c r="L783" t="s">
        <v>3</v>
      </c>
      <c r="M783" t="s">
        <v>1711</v>
      </c>
      <c r="N783" s="1">
        <f>Table1[[#This Row],[Consideration Weight]]</f>
        <v>0.05</v>
      </c>
      <c r="O783" t="s">
        <v>3</v>
      </c>
      <c r="P783" s="1">
        <v>0.05</v>
      </c>
    </row>
    <row r="784" spans="1:22" x14ac:dyDescent="0.3">
      <c r="A784" t="s">
        <v>507</v>
      </c>
      <c r="B784" t="str">
        <f ca="1">OFFSET(Industries!C$1,MATCH(Table1[[#This Row],[Ticker]],Industries!$A$2:$A$150,0),0)</f>
        <v>Information Technology</v>
      </c>
      <c r="C784" t="str">
        <f ca="1">OFFSET(Industries!D$1,MATCH(Table1[[#This Row],[Ticker]],Industries!$A$2:$A$150,0),0)</f>
        <v>Semiconductors</v>
      </c>
      <c r="D784" t="str">
        <f ca="1">OFFSET(Industries!E$1,MATCH(Table1[[#This Row],[Ticker]],Industries!$A$2:$A$150,0),0)</f>
        <v>Semiconductors</v>
      </c>
      <c r="E784" t="s">
        <v>34</v>
      </c>
      <c r="F784" t="str">
        <f ca="1">OFFSET(Industries!B$1,MATCH(Table1[[#This Row],[Ticker]],Industries!$A$2:$A$140,0),0)</f>
        <v>Mega-Cap</v>
      </c>
      <c r="G784" t="str">
        <f ca="1">OFFSET(Industries!F$1,MATCH(Table1[[#This Row],[Ticker]],Industries!$A$2:$A$140,0),0)</f>
        <v>A+</v>
      </c>
      <c r="H784" t="s">
        <v>1434</v>
      </c>
      <c r="I784" t="s">
        <v>1434</v>
      </c>
      <c r="J784" s="2">
        <v>45363</v>
      </c>
      <c r="K784" t="s">
        <v>2</v>
      </c>
      <c r="L784" t="s">
        <v>1708</v>
      </c>
      <c r="M784" t="s">
        <v>1709</v>
      </c>
      <c r="N784" s="1">
        <f>Table1[[#This Row],[Consideration Weight]]</f>
        <v>0.12</v>
      </c>
      <c r="O784" t="s">
        <v>4</v>
      </c>
      <c r="P784" s="1">
        <v>0.12</v>
      </c>
      <c r="Q784" s="1" t="s">
        <v>1637</v>
      </c>
      <c r="R784" t="s">
        <v>25</v>
      </c>
      <c r="S784" t="s">
        <v>1086</v>
      </c>
      <c r="T784" t="s">
        <v>1685</v>
      </c>
      <c r="U784" s="1">
        <v>1</v>
      </c>
      <c r="V784" t="s">
        <v>1668</v>
      </c>
    </row>
    <row r="785" spans="1:22" x14ac:dyDescent="0.3">
      <c r="A785" t="s">
        <v>507</v>
      </c>
      <c r="B785" t="str">
        <f ca="1">OFFSET(Industries!C$1,MATCH(Table1[[#This Row],[Ticker]],Industries!$A$2:$A$150,0),0)</f>
        <v>Information Technology</v>
      </c>
      <c r="C785" t="str">
        <f ca="1">OFFSET(Industries!D$1,MATCH(Table1[[#This Row],[Ticker]],Industries!$A$2:$A$150,0),0)</f>
        <v>Semiconductors</v>
      </c>
      <c r="D785" t="str">
        <f ca="1">OFFSET(Industries!E$1,MATCH(Table1[[#This Row],[Ticker]],Industries!$A$2:$A$150,0),0)</f>
        <v>Semiconductors</v>
      </c>
      <c r="E785" t="s">
        <v>34</v>
      </c>
      <c r="F785" t="str">
        <f ca="1">OFFSET(Industries!B$1,MATCH(Table1[[#This Row],[Ticker]],Industries!$A$2:$A$140,0),0)</f>
        <v>Mega-Cap</v>
      </c>
      <c r="G785" t="str">
        <f ca="1">OFFSET(Industries!F$1,MATCH(Table1[[#This Row],[Ticker]],Industries!$A$2:$A$140,0),0)</f>
        <v>A+</v>
      </c>
      <c r="H785" t="s">
        <v>1434</v>
      </c>
      <c r="I785" t="s">
        <v>1434</v>
      </c>
      <c r="J785" s="2">
        <v>45363</v>
      </c>
      <c r="K785" t="s">
        <v>2</v>
      </c>
      <c r="L785" t="s">
        <v>1708</v>
      </c>
      <c r="M785" t="s">
        <v>1709</v>
      </c>
      <c r="N785" s="1"/>
      <c r="O785" t="s">
        <v>4</v>
      </c>
      <c r="P785" s="1">
        <v>0.12</v>
      </c>
      <c r="R785" t="s">
        <v>28</v>
      </c>
      <c r="S785" t="s">
        <v>1087</v>
      </c>
      <c r="T785" t="s">
        <v>40</v>
      </c>
    </row>
    <row r="786" spans="1:22" x14ac:dyDescent="0.3">
      <c r="A786" t="s">
        <v>507</v>
      </c>
      <c r="B786" t="str">
        <f ca="1">OFFSET(Industries!C$1,MATCH(Table1[[#This Row],[Ticker]],Industries!$A$2:$A$150,0),0)</f>
        <v>Information Technology</v>
      </c>
      <c r="C786" t="str">
        <f ca="1">OFFSET(Industries!D$1,MATCH(Table1[[#This Row],[Ticker]],Industries!$A$2:$A$150,0),0)</f>
        <v>Semiconductors</v>
      </c>
      <c r="D786" t="str">
        <f ca="1">OFFSET(Industries!E$1,MATCH(Table1[[#This Row],[Ticker]],Industries!$A$2:$A$150,0),0)</f>
        <v>Semiconductors</v>
      </c>
      <c r="E786" t="s">
        <v>34</v>
      </c>
      <c r="F786" t="str">
        <f ca="1">OFFSET(Industries!B$1,MATCH(Table1[[#This Row],[Ticker]],Industries!$A$2:$A$140,0),0)</f>
        <v>Mega-Cap</v>
      </c>
      <c r="G786" t="str">
        <f ca="1">OFFSET(Industries!F$1,MATCH(Table1[[#This Row],[Ticker]],Industries!$A$2:$A$140,0),0)</f>
        <v>A+</v>
      </c>
      <c r="H786" t="s">
        <v>1434</v>
      </c>
      <c r="I786" t="s">
        <v>1434</v>
      </c>
      <c r="J786" s="2">
        <v>45363</v>
      </c>
      <c r="K786" t="s">
        <v>2</v>
      </c>
      <c r="L786" t="s">
        <v>508</v>
      </c>
      <c r="M786" t="s">
        <v>1709</v>
      </c>
      <c r="N786" s="1">
        <f>Table1[[#This Row],[Consideration Weight]]</f>
        <v>0.01</v>
      </c>
      <c r="O786" t="s">
        <v>508</v>
      </c>
      <c r="P786" s="1">
        <v>0.01</v>
      </c>
      <c r="Q786" s="1" t="s">
        <v>1636</v>
      </c>
      <c r="R786" t="s">
        <v>24</v>
      </c>
      <c r="S786" t="s">
        <v>509</v>
      </c>
      <c r="T786" t="s">
        <v>509</v>
      </c>
      <c r="U786" s="1">
        <v>1</v>
      </c>
      <c r="V786" t="s">
        <v>510</v>
      </c>
    </row>
    <row r="787" spans="1:22" x14ac:dyDescent="0.3">
      <c r="A787" t="s">
        <v>507</v>
      </c>
      <c r="B787" t="str">
        <f ca="1">OFFSET(Industries!C$1,MATCH(Table1[[#This Row],[Ticker]],Industries!$A$2:$A$150,0),0)</f>
        <v>Information Technology</v>
      </c>
      <c r="C787" t="str">
        <f ca="1">OFFSET(Industries!D$1,MATCH(Table1[[#This Row],[Ticker]],Industries!$A$2:$A$150,0),0)</f>
        <v>Semiconductors</v>
      </c>
      <c r="D787" t="str">
        <f ca="1">OFFSET(Industries!E$1,MATCH(Table1[[#This Row],[Ticker]],Industries!$A$2:$A$150,0),0)</f>
        <v>Semiconductors</v>
      </c>
      <c r="E787" t="s">
        <v>34</v>
      </c>
      <c r="F787" t="str">
        <f ca="1">OFFSET(Industries!B$1,MATCH(Table1[[#This Row],[Ticker]],Industries!$A$2:$A$140,0),0)</f>
        <v>Mega-Cap</v>
      </c>
      <c r="G787" t="str">
        <f ca="1">OFFSET(Industries!F$1,MATCH(Table1[[#This Row],[Ticker]],Industries!$A$2:$A$140,0),0)</f>
        <v>A+</v>
      </c>
      <c r="H787" t="s">
        <v>1434</v>
      </c>
      <c r="I787" t="s">
        <v>1434</v>
      </c>
      <c r="J787" s="2">
        <v>45363</v>
      </c>
      <c r="K787" t="s">
        <v>2</v>
      </c>
      <c r="L787" t="s">
        <v>1710</v>
      </c>
      <c r="M787" t="s">
        <v>1711</v>
      </c>
      <c r="N787" s="1">
        <f>Table1[[#This Row],[Consideration Weight]]</f>
        <v>0.41</v>
      </c>
      <c r="O787" t="s">
        <v>87</v>
      </c>
      <c r="P787" s="1">
        <v>0.41</v>
      </c>
    </row>
    <row r="788" spans="1:22" x14ac:dyDescent="0.3">
      <c r="A788" t="s">
        <v>507</v>
      </c>
      <c r="B788" t="str">
        <f ca="1">OFFSET(Industries!C$1,MATCH(Table1[[#This Row],[Ticker]],Industries!$A$2:$A$150,0),0)</f>
        <v>Information Technology</v>
      </c>
      <c r="C788" t="str">
        <f ca="1">OFFSET(Industries!D$1,MATCH(Table1[[#This Row],[Ticker]],Industries!$A$2:$A$150,0),0)</f>
        <v>Semiconductors</v>
      </c>
      <c r="D788" t="str">
        <f ca="1">OFFSET(Industries!E$1,MATCH(Table1[[#This Row],[Ticker]],Industries!$A$2:$A$150,0),0)</f>
        <v>Semiconductors</v>
      </c>
      <c r="E788" t="s">
        <v>34</v>
      </c>
      <c r="F788" t="str">
        <f ca="1">OFFSET(Industries!B$1,MATCH(Table1[[#This Row],[Ticker]],Industries!$A$2:$A$140,0),0)</f>
        <v>Mega-Cap</v>
      </c>
      <c r="G788" t="str">
        <f ca="1">OFFSET(Industries!F$1,MATCH(Table1[[#This Row],[Ticker]],Industries!$A$2:$A$140,0),0)</f>
        <v>A+</v>
      </c>
      <c r="H788" t="s">
        <v>1434</v>
      </c>
      <c r="I788" t="s">
        <v>1434</v>
      </c>
      <c r="J788" s="2">
        <v>45363</v>
      </c>
      <c r="K788" t="s">
        <v>2</v>
      </c>
      <c r="L788" t="s">
        <v>1710</v>
      </c>
      <c r="M788" t="s">
        <v>1711</v>
      </c>
      <c r="N788" s="1">
        <f>Table1[[#This Row],[Consideration Weight]]</f>
        <v>0.41</v>
      </c>
      <c r="O788" t="s">
        <v>194</v>
      </c>
      <c r="P788" s="1">
        <v>0.41</v>
      </c>
    </row>
    <row r="789" spans="1:22" x14ac:dyDescent="0.3">
      <c r="A789" t="s">
        <v>507</v>
      </c>
      <c r="B789" t="str">
        <f ca="1">OFFSET(Industries!C$1,MATCH(Table1[[#This Row],[Ticker]],Industries!$A$2:$A$150,0),0)</f>
        <v>Information Technology</v>
      </c>
      <c r="C789" t="str">
        <f ca="1">OFFSET(Industries!D$1,MATCH(Table1[[#This Row],[Ticker]],Industries!$A$2:$A$150,0),0)</f>
        <v>Semiconductors</v>
      </c>
      <c r="D789" t="str">
        <f ca="1">OFFSET(Industries!E$1,MATCH(Table1[[#This Row],[Ticker]],Industries!$A$2:$A$150,0),0)</f>
        <v>Semiconductors</v>
      </c>
      <c r="E789" t="s">
        <v>34</v>
      </c>
      <c r="F789" t="str">
        <f ca="1">OFFSET(Industries!B$1,MATCH(Table1[[#This Row],[Ticker]],Industries!$A$2:$A$140,0),0)</f>
        <v>Mega-Cap</v>
      </c>
      <c r="G789" t="str">
        <f ca="1">OFFSET(Industries!F$1,MATCH(Table1[[#This Row],[Ticker]],Industries!$A$2:$A$140,0),0)</f>
        <v>A+</v>
      </c>
      <c r="H789" t="s">
        <v>1434</v>
      </c>
      <c r="I789" t="s">
        <v>1434</v>
      </c>
      <c r="J789" s="2">
        <v>45363</v>
      </c>
      <c r="K789" t="s">
        <v>21</v>
      </c>
      <c r="L789" t="s">
        <v>3</v>
      </c>
      <c r="M789" t="s">
        <v>1711</v>
      </c>
      <c r="N789" s="1">
        <f>Table1[[#This Row],[Consideration Weight]]</f>
        <v>0.11</v>
      </c>
      <c r="O789" t="s">
        <v>3</v>
      </c>
      <c r="P789" s="1">
        <v>0.11</v>
      </c>
    </row>
    <row r="790" spans="1:22" x14ac:dyDescent="0.3">
      <c r="A790" t="s">
        <v>507</v>
      </c>
      <c r="B790" t="str">
        <f ca="1">OFFSET(Industries!C$1,MATCH(Table1[[#This Row],[Ticker]],Industries!$A$2:$A$150,0),0)</f>
        <v>Information Technology</v>
      </c>
      <c r="C790" t="str">
        <f ca="1">OFFSET(Industries!D$1,MATCH(Table1[[#This Row],[Ticker]],Industries!$A$2:$A$150,0),0)</f>
        <v>Semiconductors</v>
      </c>
      <c r="D790" t="str">
        <f ca="1">OFFSET(Industries!E$1,MATCH(Table1[[#This Row],[Ticker]],Industries!$A$2:$A$150,0),0)</f>
        <v>Semiconductors</v>
      </c>
      <c r="E790" t="s">
        <v>34</v>
      </c>
      <c r="F790" t="str">
        <f ca="1">OFFSET(Industries!B$1,MATCH(Table1[[#This Row],[Ticker]],Industries!$A$2:$A$140,0),0)</f>
        <v>Mega-Cap</v>
      </c>
      <c r="G790" t="str">
        <f ca="1">OFFSET(Industries!F$1,MATCH(Table1[[#This Row],[Ticker]],Industries!$A$2:$A$140,0),0)</f>
        <v>A+</v>
      </c>
      <c r="H790" t="s">
        <v>1434</v>
      </c>
      <c r="I790" t="s">
        <v>1434</v>
      </c>
      <c r="J790" s="2">
        <v>45363</v>
      </c>
      <c r="K790" t="s">
        <v>21</v>
      </c>
      <c r="L790" t="s">
        <v>1708</v>
      </c>
      <c r="M790" t="s">
        <v>1709</v>
      </c>
      <c r="N790" s="1">
        <f>Table1[[#This Row],[Consideration Weight]]</f>
        <v>0.18</v>
      </c>
      <c r="O790" t="s">
        <v>4</v>
      </c>
      <c r="P790" s="1">
        <v>0.18</v>
      </c>
      <c r="Q790" s="1" t="s">
        <v>1637</v>
      </c>
      <c r="R790" t="s">
        <v>25</v>
      </c>
      <c r="S790" t="s">
        <v>1086</v>
      </c>
      <c r="T790" t="s">
        <v>1685</v>
      </c>
      <c r="U790" s="1">
        <v>1</v>
      </c>
      <c r="V790" t="s">
        <v>1668</v>
      </c>
    </row>
    <row r="791" spans="1:22" x14ac:dyDescent="0.3">
      <c r="A791" t="s">
        <v>507</v>
      </c>
      <c r="B791" t="str">
        <f ca="1">OFFSET(Industries!C$1,MATCH(Table1[[#This Row],[Ticker]],Industries!$A$2:$A$150,0),0)</f>
        <v>Information Technology</v>
      </c>
      <c r="C791" t="str">
        <f ca="1">OFFSET(Industries!D$1,MATCH(Table1[[#This Row],[Ticker]],Industries!$A$2:$A$150,0),0)</f>
        <v>Semiconductors</v>
      </c>
      <c r="D791" t="str">
        <f ca="1">OFFSET(Industries!E$1,MATCH(Table1[[#This Row],[Ticker]],Industries!$A$2:$A$150,0),0)</f>
        <v>Semiconductors</v>
      </c>
      <c r="E791" t="s">
        <v>34</v>
      </c>
      <c r="F791" t="str">
        <f ca="1">OFFSET(Industries!B$1,MATCH(Table1[[#This Row],[Ticker]],Industries!$A$2:$A$140,0),0)</f>
        <v>Mega-Cap</v>
      </c>
      <c r="G791" t="str">
        <f ca="1">OFFSET(Industries!F$1,MATCH(Table1[[#This Row],[Ticker]],Industries!$A$2:$A$140,0),0)</f>
        <v>A+</v>
      </c>
      <c r="H791" t="s">
        <v>1434</v>
      </c>
      <c r="I791" t="s">
        <v>1434</v>
      </c>
      <c r="J791" s="2">
        <v>45363</v>
      </c>
      <c r="K791" t="s">
        <v>21</v>
      </c>
      <c r="L791" t="s">
        <v>1708</v>
      </c>
      <c r="M791" t="s">
        <v>1709</v>
      </c>
      <c r="N791" s="1"/>
      <c r="O791" t="s">
        <v>4</v>
      </c>
      <c r="P791" s="1">
        <v>0.18</v>
      </c>
      <c r="R791" t="s">
        <v>28</v>
      </c>
      <c r="S791" t="s">
        <v>1087</v>
      </c>
      <c r="T791" t="s">
        <v>40</v>
      </c>
    </row>
    <row r="792" spans="1:22" x14ac:dyDescent="0.3">
      <c r="A792" t="s">
        <v>507</v>
      </c>
      <c r="B792" t="str">
        <f ca="1">OFFSET(Industries!C$1,MATCH(Table1[[#This Row],[Ticker]],Industries!$A$2:$A$150,0),0)</f>
        <v>Information Technology</v>
      </c>
      <c r="C792" t="str">
        <f ca="1">OFFSET(Industries!D$1,MATCH(Table1[[#This Row],[Ticker]],Industries!$A$2:$A$150,0),0)</f>
        <v>Semiconductors</v>
      </c>
      <c r="D792" t="str">
        <f ca="1">OFFSET(Industries!E$1,MATCH(Table1[[#This Row],[Ticker]],Industries!$A$2:$A$150,0),0)</f>
        <v>Semiconductors</v>
      </c>
      <c r="E792" t="s">
        <v>34</v>
      </c>
      <c r="F792" t="str">
        <f ca="1">OFFSET(Industries!B$1,MATCH(Table1[[#This Row],[Ticker]],Industries!$A$2:$A$140,0),0)</f>
        <v>Mega-Cap</v>
      </c>
      <c r="G792" t="str">
        <f ca="1">OFFSET(Industries!F$1,MATCH(Table1[[#This Row],[Ticker]],Industries!$A$2:$A$140,0),0)</f>
        <v>A+</v>
      </c>
      <c r="H792" t="s">
        <v>1434</v>
      </c>
      <c r="I792" t="s">
        <v>1434</v>
      </c>
      <c r="J792" s="2">
        <v>45363</v>
      </c>
      <c r="K792" t="s">
        <v>21</v>
      </c>
      <c r="L792" t="s">
        <v>508</v>
      </c>
      <c r="M792" t="s">
        <v>1709</v>
      </c>
      <c r="N792" s="1">
        <f>Table1[[#This Row],[Consideration Weight]]</f>
        <v>0.02</v>
      </c>
      <c r="O792" t="s">
        <v>508</v>
      </c>
      <c r="P792" s="1">
        <v>0.02</v>
      </c>
      <c r="Q792" s="1" t="s">
        <v>1636</v>
      </c>
      <c r="R792" t="s">
        <v>24</v>
      </c>
      <c r="S792" t="s">
        <v>509</v>
      </c>
      <c r="T792" t="s">
        <v>509</v>
      </c>
      <c r="U792" s="1">
        <v>1</v>
      </c>
    </row>
    <row r="793" spans="1:22" x14ac:dyDescent="0.3">
      <c r="A793" t="s">
        <v>507</v>
      </c>
      <c r="B793" t="str">
        <f ca="1">OFFSET(Industries!C$1,MATCH(Table1[[#This Row],[Ticker]],Industries!$A$2:$A$150,0),0)</f>
        <v>Information Technology</v>
      </c>
      <c r="C793" t="str">
        <f ca="1">OFFSET(Industries!D$1,MATCH(Table1[[#This Row],[Ticker]],Industries!$A$2:$A$150,0),0)</f>
        <v>Semiconductors</v>
      </c>
      <c r="D793" t="str">
        <f ca="1">OFFSET(Industries!E$1,MATCH(Table1[[#This Row],[Ticker]],Industries!$A$2:$A$150,0),0)</f>
        <v>Semiconductors</v>
      </c>
      <c r="E793" t="s">
        <v>34</v>
      </c>
      <c r="F793" t="str">
        <f ca="1">OFFSET(Industries!B$1,MATCH(Table1[[#This Row],[Ticker]],Industries!$A$2:$A$140,0),0)</f>
        <v>Mega-Cap</v>
      </c>
      <c r="G793" t="str">
        <f ca="1">OFFSET(Industries!F$1,MATCH(Table1[[#This Row],[Ticker]],Industries!$A$2:$A$140,0),0)</f>
        <v>A+</v>
      </c>
      <c r="H793" t="s">
        <v>1434</v>
      </c>
      <c r="I793" t="s">
        <v>1434</v>
      </c>
      <c r="J793" s="2">
        <v>45363</v>
      </c>
      <c r="K793" t="s">
        <v>21</v>
      </c>
      <c r="L793" t="s">
        <v>1710</v>
      </c>
      <c r="M793" t="s">
        <v>1711</v>
      </c>
      <c r="N793" s="1">
        <f>Table1[[#This Row],[Consideration Weight]]</f>
        <v>0.34499999999999997</v>
      </c>
      <c r="O793" t="s">
        <v>87</v>
      </c>
      <c r="P793" s="1">
        <v>0.34499999999999997</v>
      </c>
    </row>
    <row r="794" spans="1:22" x14ac:dyDescent="0.3">
      <c r="A794" t="s">
        <v>507</v>
      </c>
      <c r="B794" t="str">
        <f ca="1">OFFSET(Industries!C$1,MATCH(Table1[[#This Row],[Ticker]],Industries!$A$2:$A$150,0),0)</f>
        <v>Information Technology</v>
      </c>
      <c r="C794" t="str">
        <f ca="1">OFFSET(Industries!D$1,MATCH(Table1[[#This Row],[Ticker]],Industries!$A$2:$A$150,0),0)</f>
        <v>Semiconductors</v>
      </c>
      <c r="D794" t="str">
        <f ca="1">OFFSET(Industries!E$1,MATCH(Table1[[#This Row],[Ticker]],Industries!$A$2:$A$150,0),0)</f>
        <v>Semiconductors</v>
      </c>
      <c r="E794" t="s">
        <v>34</v>
      </c>
      <c r="F794" t="str">
        <f ca="1">OFFSET(Industries!B$1,MATCH(Table1[[#This Row],[Ticker]],Industries!$A$2:$A$140,0),0)</f>
        <v>Mega-Cap</v>
      </c>
      <c r="G794" t="str">
        <f ca="1">OFFSET(Industries!F$1,MATCH(Table1[[#This Row],[Ticker]],Industries!$A$2:$A$140,0),0)</f>
        <v>A+</v>
      </c>
      <c r="H794" t="s">
        <v>1434</v>
      </c>
      <c r="I794" t="s">
        <v>1434</v>
      </c>
      <c r="J794" s="2">
        <v>45363</v>
      </c>
      <c r="K794" t="s">
        <v>21</v>
      </c>
      <c r="L794" t="s">
        <v>1710</v>
      </c>
      <c r="M794" t="s">
        <v>1711</v>
      </c>
      <c r="N794" s="1">
        <f>Table1[[#This Row],[Consideration Weight]]</f>
        <v>0.34499999999999997</v>
      </c>
      <c r="O794" t="s">
        <v>194</v>
      </c>
      <c r="P794" s="1">
        <v>0.34499999999999997</v>
      </c>
    </row>
    <row r="795" spans="1:22" x14ac:dyDescent="0.3">
      <c r="A795" t="s">
        <v>512</v>
      </c>
      <c r="B795" t="str">
        <f ca="1">OFFSET(Industries!C$1,MATCH(Table1[[#This Row],[Ticker]],Industries!$A$2:$A$150,0),0)</f>
        <v>Industrials</v>
      </c>
      <c r="C795" t="str">
        <f ca="1">OFFSET(Industries!D$1,MATCH(Table1[[#This Row],[Ticker]],Industries!$A$2:$A$150,0),0)</f>
        <v>Capital Goods</v>
      </c>
      <c r="D795" t="str">
        <f ca="1">OFFSET(Industries!E$1,MATCH(Table1[[#This Row],[Ticker]],Industries!$A$2:$A$150,0),0)</f>
        <v>Trading Companies and Distributors</v>
      </c>
      <c r="E795" t="s">
        <v>511</v>
      </c>
      <c r="F795" t="str">
        <f ca="1">OFFSET(Industries!B$1,MATCH(Table1[[#This Row],[Ticker]],Industries!$A$2:$A$140,0),0)</f>
        <v>Large-Cap</v>
      </c>
      <c r="G795" t="str">
        <f ca="1">OFFSET(Industries!F$1,MATCH(Table1[[#This Row],[Ticker]],Industries!$A$2:$A$140,0),0)</f>
        <v>BB+</v>
      </c>
      <c r="H795" t="s">
        <v>1434</v>
      </c>
      <c r="I795" t="s">
        <v>1434</v>
      </c>
      <c r="J795" s="2">
        <v>45378</v>
      </c>
      <c r="K795" t="s">
        <v>2</v>
      </c>
      <c r="L795" t="s">
        <v>3</v>
      </c>
      <c r="M795" t="s">
        <v>1711</v>
      </c>
      <c r="N795" s="1">
        <f>Table1[[#This Row],[Consideration Weight]]</f>
        <v>0.11</v>
      </c>
      <c r="O795" t="s">
        <v>3</v>
      </c>
      <c r="P795" s="1">
        <v>0.11</v>
      </c>
    </row>
    <row r="796" spans="1:22" x14ac:dyDescent="0.3">
      <c r="A796" t="s">
        <v>512</v>
      </c>
      <c r="B796" t="str">
        <f ca="1">OFFSET(Industries!C$1,MATCH(Table1[[#This Row],[Ticker]],Industries!$A$2:$A$150,0),0)</f>
        <v>Industrials</v>
      </c>
      <c r="C796" t="str">
        <f ca="1">OFFSET(Industries!D$1,MATCH(Table1[[#This Row],[Ticker]],Industries!$A$2:$A$150,0),0)</f>
        <v>Capital Goods</v>
      </c>
      <c r="D796" t="str">
        <f ca="1">OFFSET(Industries!E$1,MATCH(Table1[[#This Row],[Ticker]],Industries!$A$2:$A$150,0),0)</f>
        <v>Trading Companies and Distributors</v>
      </c>
      <c r="E796" t="s">
        <v>511</v>
      </c>
      <c r="F796" t="str">
        <f ca="1">OFFSET(Industries!B$1,MATCH(Table1[[#This Row],[Ticker]],Industries!$A$2:$A$140,0),0)</f>
        <v>Large-Cap</v>
      </c>
      <c r="G796" t="str">
        <f ca="1">OFFSET(Industries!F$1,MATCH(Table1[[#This Row],[Ticker]],Industries!$A$2:$A$140,0),0)</f>
        <v>BB+</v>
      </c>
      <c r="H796" t="s">
        <v>1434</v>
      </c>
      <c r="I796" t="s">
        <v>1434</v>
      </c>
      <c r="J796" s="2">
        <v>45378</v>
      </c>
      <c r="K796" t="s">
        <v>2</v>
      </c>
      <c r="L796" t="s">
        <v>1708</v>
      </c>
      <c r="M796" t="s">
        <v>1709</v>
      </c>
      <c r="N796" s="1">
        <f>Table1[[#This Row],[Consideration Weight]]</f>
        <v>9.69E-2</v>
      </c>
      <c r="O796" t="s">
        <v>4</v>
      </c>
      <c r="P796" s="1">
        <f>0.57*0.17</f>
        <v>9.69E-2</v>
      </c>
      <c r="Q796" s="1" t="s">
        <v>1636</v>
      </c>
      <c r="R796" t="s">
        <v>24</v>
      </c>
      <c r="S796" t="s">
        <v>1104</v>
      </c>
      <c r="T796" t="s">
        <v>153</v>
      </c>
      <c r="U796" s="1">
        <v>0.5</v>
      </c>
      <c r="V796" t="s">
        <v>517</v>
      </c>
    </row>
    <row r="797" spans="1:22" x14ac:dyDescent="0.3">
      <c r="A797" t="s">
        <v>512</v>
      </c>
      <c r="B797" t="str">
        <f ca="1">OFFSET(Industries!C$1,MATCH(Table1[[#This Row],[Ticker]],Industries!$A$2:$A$150,0),0)</f>
        <v>Industrials</v>
      </c>
      <c r="C797" t="str">
        <f ca="1">OFFSET(Industries!D$1,MATCH(Table1[[#This Row],[Ticker]],Industries!$A$2:$A$150,0),0)</f>
        <v>Capital Goods</v>
      </c>
      <c r="D797" t="str">
        <f ca="1">OFFSET(Industries!E$1,MATCH(Table1[[#This Row],[Ticker]],Industries!$A$2:$A$150,0),0)</f>
        <v>Trading Companies and Distributors</v>
      </c>
      <c r="E797" t="s">
        <v>511</v>
      </c>
      <c r="F797" t="str">
        <f ca="1">OFFSET(Industries!B$1,MATCH(Table1[[#This Row],[Ticker]],Industries!$A$2:$A$140,0),0)</f>
        <v>Large-Cap</v>
      </c>
      <c r="G797" t="str">
        <f ca="1">OFFSET(Industries!F$1,MATCH(Table1[[#This Row],[Ticker]],Industries!$A$2:$A$140,0),0)</f>
        <v>BB+</v>
      </c>
      <c r="H797" t="s">
        <v>1434</v>
      </c>
      <c r="I797" t="s">
        <v>1434</v>
      </c>
      <c r="J797" s="2">
        <v>45378</v>
      </c>
      <c r="K797" t="s">
        <v>2</v>
      </c>
      <c r="L797" t="s">
        <v>1708</v>
      </c>
      <c r="M797" t="s">
        <v>1709</v>
      </c>
      <c r="N797" s="1"/>
      <c r="O797" t="s">
        <v>4</v>
      </c>
      <c r="P797" s="1">
        <f>0.57*0.17</f>
        <v>9.69E-2</v>
      </c>
      <c r="Q797" s="1" t="s">
        <v>1636</v>
      </c>
      <c r="R797" t="s">
        <v>1059</v>
      </c>
      <c r="S797" t="s">
        <v>1101</v>
      </c>
      <c r="T797" t="s">
        <v>513</v>
      </c>
      <c r="U797" s="1">
        <v>0.5</v>
      </c>
      <c r="V797" t="s">
        <v>519</v>
      </c>
    </row>
    <row r="798" spans="1:22" x14ac:dyDescent="0.3">
      <c r="A798" t="s">
        <v>512</v>
      </c>
      <c r="B798" t="str">
        <f ca="1">OFFSET(Industries!C$1,MATCH(Table1[[#This Row],[Ticker]],Industries!$A$2:$A$150,0),0)</f>
        <v>Industrials</v>
      </c>
      <c r="C798" t="str">
        <f ca="1">OFFSET(Industries!D$1,MATCH(Table1[[#This Row],[Ticker]],Industries!$A$2:$A$150,0),0)</f>
        <v>Capital Goods</v>
      </c>
      <c r="D798" t="str">
        <f ca="1">OFFSET(Industries!E$1,MATCH(Table1[[#This Row],[Ticker]],Industries!$A$2:$A$150,0),0)</f>
        <v>Trading Companies and Distributors</v>
      </c>
      <c r="E798" t="s">
        <v>511</v>
      </c>
      <c r="F798" t="str">
        <f ca="1">OFFSET(Industries!B$1,MATCH(Table1[[#This Row],[Ticker]],Industries!$A$2:$A$140,0),0)</f>
        <v>Large-Cap</v>
      </c>
      <c r="G798" t="str">
        <f ca="1">OFFSET(Industries!F$1,MATCH(Table1[[#This Row],[Ticker]],Industries!$A$2:$A$140,0),0)</f>
        <v>BB+</v>
      </c>
      <c r="H798" t="s">
        <v>1434</v>
      </c>
      <c r="I798" t="s">
        <v>1434</v>
      </c>
      <c r="J798" s="2">
        <v>45378</v>
      </c>
      <c r="K798" t="s">
        <v>2</v>
      </c>
      <c r="L798" t="s">
        <v>1708</v>
      </c>
      <c r="M798" t="s">
        <v>1709</v>
      </c>
      <c r="N798" s="1"/>
      <c r="O798" t="s">
        <v>4</v>
      </c>
      <c r="P798" s="1">
        <f>0.57*0.17</f>
        <v>9.69E-2</v>
      </c>
      <c r="R798" t="s">
        <v>28</v>
      </c>
      <c r="S798" t="s">
        <v>1093</v>
      </c>
      <c r="T798" t="s">
        <v>514</v>
      </c>
      <c r="V798" t="s">
        <v>521</v>
      </c>
    </row>
    <row r="799" spans="1:22" x14ac:dyDescent="0.3">
      <c r="A799" t="s">
        <v>512</v>
      </c>
      <c r="B799" t="str">
        <f ca="1">OFFSET(Industries!C$1,MATCH(Table1[[#This Row],[Ticker]],Industries!$A$2:$A$150,0),0)</f>
        <v>Industrials</v>
      </c>
      <c r="C799" t="str">
        <f ca="1">OFFSET(Industries!D$1,MATCH(Table1[[#This Row],[Ticker]],Industries!$A$2:$A$150,0),0)</f>
        <v>Capital Goods</v>
      </c>
      <c r="D799" t="str">
        <f ca="1">OFFSET(Industries!E$1,MATCH(Table1[[#This Row],[Ticker]],Industries!$A$2:$A$150,0),0)</f>
        <v>Trading Companies and Distributors</v>
      </c>
      <c r="E799" t="s">
        <v>511</v>
      </c>
      <c r="F799" t="str">
        <f ca="1">OFFSET(Industries!B$1,MATCH(Table1[[#This Row],[Ticker]],Industries!$A$2:$A$140,0),0)</f>
        <v>Large-Cap</v>
      </c>
      <c r="G799" t="str">
        <f ca="1">OFFSET(Industries!F$1,MATCH(Table1[[#This Row],[Ticker]],Industries!$A$2:$A$140,0),0)</f>
        <v>BB+</v>
      </c>
      <c r="H799" t="s">
        <v>1434</v>
      </c>
      <c r="I799" t="s">
        <v>1434</v>
      </c>
      <c r="J799" s="2">
        <v>45378</v>
      </c>
      <c r="K799" t="s">
        <v>2</v>
      </c>
      <c r="L799" t="s">
        <v>1708</v>
      </c>
      <c r="M799" t="s">
        <v>1709</v>
      </c>
      <c r="N799" s="1">
        <f>Table1[[#This Row],[Consideration Weight]]</f>
        <v>7.3099999999999998E-2</v>
      </c>
      <c r="O799" t="s">
        <v>518</v>
      </c>
      <c r="P799" s="1">
        <f>0.43*0.17</f>
        <v>7.3099999999999998E-2</v>
      </c>
      <c r="V799" t="s">
        <v>1719</v>
      </c>
    </row>
    <row r="800" spans="1:22" x14ac:dyDescent="0.3">
      <c r="A800" t="s">
        <v>512</v>
      </c>
      <c r="B800" t="str">
        <f ca="1">OFFSET(Industries!C$1,MATCH(Table1[[#This Row],[Ticker]],Industries!$A$2:$A$150,0),0)</f>
        <v>Industrials</v>
      </c>
      <c r="C800" t="str">
        <f ca="1">OFFSET(Industries!D$1,MATCH(Table1[[#This Row],[Ticker]],Industries!$A$2:$A$150,0),0)</f>
        <v>Capital Goods</v>
      </c>
      <c r="D800" t="str">
        <f ca="1">OFFSET(Industries!E$1,MATCH(Table1[[#This Row],[Ticker]],Industries!$A$2:$A$150,0),0)</f>
        <v>Trading Companies and Distributors</v>
      </c>
      <c r="E800" t="s">
        <v>511</v>
      </c>
      <c r="F800" t="str">
        <f ca="1">OFFSET(Industries!B$1,MATCH(Table1[[#This Row],[Ticker]],Industries!$A$2:$A$140,0),0)</f>
        <v>Large-Cap</v>
      </c>
      <c r="G800" t="str">
        <f ca="1">OFFSET(Industries!F$1,MATCH(Table1[[#This Row],[Ticker]],Industries!$A$2:$A$140,0),0)</f>
        <v>BB+</v>
      </c>
      <c r="H800" t="s">
        <v>1434</v>
      </c>
      <c r="I800" t="s">
        <v>1434</v>
      </c>
      <c r="J800" s="2">
        <v>45378</v>
      </c>
      <c r="K800" t="s">
        <v>2</v>
      </c>
      <c r="L800" t="s">
        <v>1710</v>
      </c>
      <c r="M800" t="s">
        <v>1709</v>
      </c>
      <c r="N800" s="1">
        <f>Table1[[#This Row],[Consideration Weight]]</f>
        <v>0.57999999999999996</v>
      </c>
      <c r="O800" t="s">
        <v>476</v>
      </c>
      <c r="P800" s="1">
        <v>0.57999999999999996</v>
      </c>
      <c r="Q800" s="1" t="s">
        <v>1636</v>
      </c>
      <c r="R800" t="s">
        <v>23</v>
      </c>
      <c r="S800" t="s">
        <v>1083</v>
      </c>
      <c r="T800" t="s">
        <v>489</v>
      </c>
      <c r="U800" s="1">
        <v>0.5</v>
      </c>
      <c r="V800" t="s">
        <v>520</v>
      </c>
    </row>
    <row r="801" spans="1:22" x14ac:dyDescent="0.3">
      <c r="A801" t="s">
        <v>512</v>
      </c>
      <c r="B801" t="str">
        <f ca="1">OFFSET(Industries!C$1,MATCH(Table1[[#This Row],[Ticker]],Industries!$A$2:$A$150,0),0)</f>
        <v>Industrials</v>
      </c>
      <c r="C801" t="str">
        <f ca="1">OFFSET(Industries!D$1,MATCH(Table1[[#This Row],[Ticker]],Industries!$A$2:$A$150,0),0)</f>
        <v>Capital Goods</v>
      </c>
      <c r="D801" t="str">
        <f ca="1">OFFSET(Industries!E$1,MATCH(Table1[[#This Row],[Ticker]],Industries!$A$2:$A$150,0),0)</f>
        <v>Trading Companies and Distributors</v>
      </c>
      <c r="E801" t="s">
        <v>511</v>
      </c>
      <c r="F801" t="str">
        <f ca="1">OFFSET(Industries!B$1,MATCH(Table1[[#This Row],[Ticker]],Industries!$A$2:$A$140,0),0)</f>
        <v>Large-Cap</v>
      </c>
      <c r="G801" t="str">
        <f ca="1">OFFSET(Industries!F$1,MATCH(Table1[[#This Row],[Ticker]],Industries!$A$2:$A$140,0),0)</f>
        <v>BB+</v>
      </c>
      <c r="H801" t="s">
        <v>1434</v>
      </c>
      <c r="I801" t="s">
        <v>1434</v>
      </c>
      <c r="J801" s="2">
        <v>45378</v>
      </c>
      <c r="K801" t="s">
        <v>2</v>
      </c>
      <c r="L801" t="s">
        <v>1710</v>
      </c>
      <c r="M801" t="s">
        <v>1709</v>
      </c>
      <c r="N801" s="1"/>
      <c r="O801" t="s">
        <v>476</v>
      </c>
      <c r="P801" s="1">
        <v>0.57999999999999996</v>
      </c>
      <c r="Q801" s="1" t="s">
        <v>1636</v>
      </c>
      <c r="R801" t="s">
        <v>1059</v>
      </c>
      <c r="S801" t="s">
        <v>1101</v>
      </c>
      <c r="T801" t="s">
        <v>515</v>
      </c>
      <c r="U801" s="1">
        <v>0.5</v>
      </c>
      <c r="V801" t="s">
        <v>516</v>
      </c>
    </row>
    <row r="802" spans="1:22" x14ac:dyDescent="0.3">
      <c r="A802" t="s">
        <v>512</v>
      </c>
      <c r="B802" t="str">
        <f ca="1">OFFSET(Industries!C$1,MATCH(Table1[[#This Row],[Ticker]],Industries!$A$2:$A$150,0),0)</f>
        <v>Industrials</v>
      </c>
      <c r="C802" t="str">
        <f ca="1">OFFSET(Industries!D$1,MATCH(Table1[[#This Row],[Ticker]],Industries!$A$2:$A$150,0),0)</f>
        <v>Capital Goods</v>
      </c>
      <c r="D802" t="str">
        <f ca="1">OFFSET(Industries!E$1,MATCH(Table1[[#This Row],[Ticker]],Industries!$A$2:$A$150,0),0)</f>
        <v>Trading Companies and Distributors</v>
      </c>
      <c r="E802" t="s">
        <v>511</v>
      </c>
      <c r="F802" t="str">
        <f ca="1">OFFSET(Industries!B$1,MATCH(Table1[[#This Row],[Ticker]],Industries!$A$2:$A$140,0),0)</f>
        <v>Large-Cap</v>
      </c>
      <c r="G802" t="str">
        <f ca="1">OFFSET(Industries!F$1,MATCH(Table1[[#This Row],[Ticker]],Industries!$A$2:$A$140,0),0)</f>
        <v>BB+</v>
      </c>
      <c r="H802" t="s">
        <v>1434</v>
      </c>
      <c r="I802" t="s">
        <v>1434</v>
      </c>
      <c r="J802" s="2">
        <v>45378</v>
      </c>
      <c r="K802" t="s">
        <v>2</v>
      </c>
      <c r="L802" t="s">
        <v>1710</v>
      </c>
      <c r="M802" t="s">
        <v>1711</v>
      </c>
      <c r="N802" s="1">
        <f>Table1[[#This Row],[Consideration Weight]]</f>
        <v>0.14000000000000001</v>
      </c>
      <c r="O802" t="s">
        <v>194</v>
      </c>
      <c r="P802" s="1">
        <v>0.14000000000000001</v>
      </c>
    </row>
    <row r="803" spans="1:22" x14ac:dyDescent="0.3">
      <c r="A803" t="s">
        <v>512</v>
      </c>
      <c r="B803" t="str">
        <f ca="1">OFFSET(Industries!C$1,MATCH(Table1[[#This Row],[Ticker]],Industries!$A$2:$A$150,0),0)</f>
        <v>Industrials</v>
      </c>
      <c r="C803" t="str">
        <f ca="1">OFFSET(Industries!D$1,MATCH(Table1[[#This Row],[Ticker]],Industries!$A$2:$A$150,0),0)</f>
        <v>Capital Goods</v>
      </c>
      <c r="D803" t="str">
        <f ca="1">OFFSET(Industries!E$1,MATCH(Table1[[#This Row],[Ticker]],Industries!$A$2:$A$150,0),0)</f>
        <v>Trading Companies and Distributors</v>
      </c>
      <c r="E803" t="s">
        <v>511</v>
      </c>
      <c r="F803" t="str">
        <f ca="1">OFFSET(Industries!B$1,MATCH(Table1[[#This Row],[Ticker]],Industries!$A$2:$A$140,0),0)</f>
        <v>Large-Cap</v>
      </c>
      <c r="G803" t="str">
        <f ca="1">OFFSET(Industries!F$1,MATCH(Table1[[#This Row],[Ticker]],Industries!$A$2:$A$140,0),0)</f>
        <v>BB+</v>
      </c>
      <c r="H803" t="s">
        <v>1434</v>
      </c>
      <c r="I803" t="s">
        <v>1434</v>
      </c>
      <c r="J803" s="2">
        <v>45378</v>
      </c>
      <c r="K803" t="s">
        <v>21</v>
      </c>
      <c r="L803" t="s">
        <v>3</v>
      </c>
      <c r="M803" t="s">
        <v>1711</v>
      </c>
      <c r="N803" s="1">
        <f>Table1[[#This Row],[Consideration Weight]]</f>
        <v>0.23</v>
      </c>
      <c r="O803" t="s">
        <v>3</v>
      </c>
      <c r="P803" s="1">
        <v>0.23</v>
      </c>
    </row>
    <row r="804" spans="1:22" x14ac:dyDescent="0.3">
      <c r="A804" t="s">
        <v>512</v>
      </c>
      <c r="B804" t="str">
        <f ca="1">OFFSET(Industries!C$1,MATCH(Table1[[#This Row],[Ticker]],Industries!$A$2:$A$150,0),0)</f>
        <v>Industrials</v>
      </c>
      <c r="C804" t="str">
        <f ca="1">OFFSET(Industries!D$1,MATCH(Table1[[#This Row],[Ticker]],Industries!$A$2:$A$150,0),0)</f>
        <v>Capital Goods</v>
      </c>
      <c r="D804" t="str">
        <f ca="1">OFFSET(Industries!E$1,MATCH(Table1[[#This Row],[Ticker]],Industries!$A$2:$A$150,0),0)</f>
        <v>Trading Companies and Distributors</v>
      </c>
      <c r="E804" t="s">
        <v>511</v>
      </c>
      <c r="F804" t="str">
        <f ca="1">OFFSET(Industries!B$1,MATCH(Table1[[#This Row],[Ticker]],Industries!$A$2:$A$140,0),0)</f>
        <v>Large-Cap</v>
      </c>
      <c r="G804" t="str">
        <f ca="1">OFFSET(Industries!F$1,MATCH(Table1[[#This Row],[Ticker]],Industries!$A$2:$A$140,0),0)</f>
        <v>BB+</v>
      </c>
      <c r="H804" t="s">
        <v>1434</v>
      </c>
      <c r="I804" t="s">
        <v>1434</v>
      </c>
      <c r="J804" s="2">
        <v>45378</v>
      </c>
      <c r="K804" t="s">
        <v>21</v>
      </c>
      <c r="L804" t="s">
        <v>1708</v>
      </c>
      <c r="M804" t="s">
        <v>1709</v>
      </c>
      <c r="N804" s="1">
        <f>Table1[[#This Row],[Consideration Weight]]</f>
        <v>0.11399999999999999</v>
      </c>
      <c r="O804" t="s">
        <v>4</v>
      </c>
      <c r="P804" s="1">
        <f>0.57*0.2</f>
        <v>0.11399999999999999</v>
      </c>
      <c r="Q804" s="1" t="s">
        <v>1636</v>
      </c>
      <c r="R804" t="s">
        <v>24</v>
      </c>
      <c r="S804" t="s">
        <v>1104</v>
      </c>
      <c r="T804" t="s">
        <v>153</v>
      </c>
      <c r="U804" s="1">
        <v>0.5</v>
      </c>
    </row>
    <row r="805" spans="1:22" x14ac:dyDescent="0.3">
      <c r="A805" t="s">
        <v>512</v>
      </c>
      <c r="B805" t="str">
        <f ca="1">OFFSET(Industries!C$1,MATCH(Table1[[#This Row],[Ticker]],Industries!$A$2:$A$150,0),0)</f>
        <v>Industrials</v>
      </c>
      <c r="C805" t="str">
        <f ca="1">OFFSET(Industries!D$1,MATCH(Table1[[#This Row],[Ticker]],Industries!$A$2:$A$150,0),0)</f>
        <v>Capital Goods</v>
      </c>
      <c r="D805" t="str">
        <f ca="1">OFFSET(Industries!E$1,MATCH(Table1[[#This Row],[Ticker]],Industries!$A$2:$A$150,0),0)</f>
        <v>Trading Companies and Distributors</v>
      </c>
      <c r="E805" t="s">
        <v>511</v>
      </c>
      <c r="F805" t="str">
        <f ca="1">OFFSET(Industries!B$1,MATCH(Table1[[#This Row],[Ticker]],Industries!$A$2:$A$140,0),0)</f>
        <v>Large-Cap</v>
      </c>
      <c r="G805" t="str">
        <f ca="1">OFFSET(Industries!F$1,MATCH(Table1[[#This Row],[Ticker]],Industries!$A$2:$A$140,0),0)</f>
        <v>BB+</v>
      </c>
      <c r="H805" t="s">
        <v>1434</v>
      </c>
      <c r="I805" t="s">
        <v>1434</v>
      </c>
      <c r="J805" s="2">
        <v>45378</v>
      </c>
      <c r="K805" t="s">
        <v>21</v>
      </c>
      <c r="L805" t="s">
        <v>1708</v>
      </c>
      <c r="M805" t="s">
        <v>1709</v>
      </c>
      <c r="N805" s="1"/>
      <c r="O805" t="s">
        <v>4</v>
      </c>
      <c r="P805" s="1">
        <f t="shared" ref="P805:P806" si="13">0.57*0.2</f>
        <v>0.11399999999999999</v>
      </c>
      <c r="Q805" s="1" t="s">
        <v>1636</v>
      </c>
      <c r="R805" t="s">
        <v>1059</v>
      </c>
      <c r="S805" t="s">
        <v>1101</v>
      </c>
      <c r="T805" t="s">
        <v>513</v>
      </c>
      <c r="U805" s="1">
        <v>0.5</v>
      </c>
    </row>
    <row r="806" spans="1:22" x14ac:dyDescent="0.3">
      <c r="A806" t="s">
        <v>512</v>
      </c>
      <c r="B806" t="str">
        <f ca="1">OFFSET(Industries!C$1,MATCH(Table1[[#This Row],[Ticker]],Industries!$A$2:$A$150,0),0)</f>
        <v>Industrials</v>
      </c>
      <c r="C806" t="str">
        <f ca="1">OFFSET(Industries!D$1,MATCH(Table1[[#This Row],[Ticker]],Industries!$A$2:$A$150,0),0)</f>
        <v>Capital Goods</v>
      </c>
      <c r="D806" t="str">
        <f ca="1">OFFSET(Industries!E$1,MATCH(Table1[[#This Row],[Ticker]],Industries!$A$2:$A$150,0),0)</f>
        <v>Trading Companies and Distributors</v>
      </c>
      <c r="E806" t="s">
        <v>511</v>
      </c>
      <c r="F806" t="str">
        <f ca="1">OFFSET(Industries!B$1,MATCH(Table1[[#This Row],[Ticker]],Industries!$A$2:$A$140,0),0)</f>
        <v>Large-Cap</v>
      </c>
      <c r="G806" t="str">
        <f ca="1">OFFSET(Industries!F$1,MATCH(Table1[[#This Row],[Ticker]],Industries!$A$2:$A$140,0),0)</f>
        <v>BB+</v>
      </c>
      <c r="H806" t="s">
        <v>1434</v>
      </c>
      <c r="I806" t="s">
        <v>1434</v>
      </c>
      <c r="J806" s="2">
        <v>45378</v>
      </c>
      <c r="K806" t="s">
        <v>21</v>
      </c>
      <c r="L806" t="s">
        <v>1708</v>
      </c>
      <c r="M806" t="s">
        <v>1709</v>
      </c>
      <c r="N806" s="1"/>
      <c r="O806" t="s">
        <v>4</v>
      </c>
      <c r="P806" s="1">
        <f t="shared" si="13"/>
        <v>0.11399999999999999</v>
      </c>
      <c r="R806" t="s">
        <v>28</v>
      </c>
      <c r="S806" t="s">
        <v>1093</v>
      </c>
      <c r="T806" t="s">
        <v>514</v>
      </c>
    </row>
    <row r="807" spans="1:22" x14ac:dyDescent="0.3">
      <c r="A807" t="s">
        <v>512</v>
      </c>
      <c r="B807" t="str">
        <f ca="1">OFFSET(Industries!C$1,MATCH(Table1[[#This Row],[Ticker]],Industries!$A$2:$A$150,0),0)</f>
        <v>Industrials</v>
      </c>
      <c r="C807" t="str">
        <f ca="1">OFFSET(Industries!D$1,MATCH(Table1[[#This Row],[Ticker]],Industries!$A$2:$A$150,0),0)</f>
        <v>Capital Goods</v>
      </c>
      <c r="D807" t="str">
        <f ca="1">OFFSET(Industries!E$1,MATCH(Table1[[#This Row],[Ticker]],Industries!$A$2:$A$150,0),0)</f>
        <v>Trading Companies and Distributors</v>
      </c>
      <c r="E807" t="s">
        <v>511</v>
      </c>
      <c r="F807" t="str">
        <f ca="1">OFFSET(Industries!B$1,MATCH(Table1[[#This Row],[Ticker]],Industries!$A$2:$A$140,0),0)</f>
        <v>Large-Cap</v>
      </c>
      <c r="G807" t="str">
        <f ca="1">OFFSET(Industries!F$1,MATCH(Table1[[#This Row],[Ticker]],Industries!$A$2:$A$140,0),0)</f>
        <v>BB+</v>
      </c>
      <c r="H807" t="s">
        <v>1434</v>
      </c>
      <c r="I807" t="s">
        <v>1434</v>
      </c>
      <c r="J807" s="2">
        <v>45378</v>
      </c>
      <c r="K807" t="s">
        <v>21</v>
      </c>
      <c r="L807" t="s">
        <v>1708</v>
      </c>
      <c r="M807" t="s">
        <v>1709</v>
      </c>
      <c r="N807" s="1">
        <f>Table1[[#This Row],[Consideration Weight]]</f>
        <v>8.6000000000000007E-2</v>
      </c>
      <c r="O807" t="s">
        <v>518</v>
      </c>
      <c r="P807" s="1">
        <f>0.43*0.2</f>
        <v>8.6000000000000007E-2</v>
      </c>
      <c r="V807" t="s">
        <v>1719</v>
      </c>
    </row>
    <row r="808" spans="1:22" x14ac:dyDescent="0.3">
      <c r="A808" t="s">
        <v>512</v>
      </c>
      <c r="B808" t="str">
        <f ca="1">OFFSET(Industries!C$1,MATCH(Table1[[#This Row],[Ticker]],Industries!$A$2:$A$150,0),0)</f>
        <v>Industrials</v>
      </c>
      <c r="C808" t="str">
        <f ca="1">OFFSET(Industries!D$1,MATCH(Table1[[#This Row],[Ticker]],Industries!$A$2:$A$150,0),0)</f>
        <v>Capital Goods</v>
      </c>
      <c r="D808" t="str">
        <f ca="1">OFFSET(Industries!E$1,MATCH(Table1[[#This Row],[Ticker]],Industries!$A$2:$A$150,0),0)</f>
        <v>Trading Companies and Distributors</v>
      </c>
      <c r="E808" t="s">
        <v>511</v>
      </c>
      <c r="F808" t="str">
        <f ca="1">OFFSET(Industries!B$1,MATCH(Table1[[#This Row],[Ticker]],Industries!$A$2:$A$140,0),0)</f>
        <v>Large-Cap</v>
      </c>
      <c r="G808" t="str">
        <f ca="1">OFFSET(Industries!F$1,MATCH(Table1[[#This Row],[Ticker]],Industries!$A$2:$A$140,0),0)</f>
        <v>BB+</v>
      </c>
      <c r="H808" t="s">
        <v>1434</v>
      </c>
      <c r="I808" t="s">
        <v>1434</v>
      </c>
      <c r="J808" s="2">
        <v>45378</v>
      </c>
      <c r="K808" t="s">
        <v>21</v>
      </c>
      <c r="L808" t="s">
        <v>1710</v>
      </c>
      <c r="M808" t="s">
        <v>1709</v>
      </c>
      <c r="N808" s="1">
        <f>Table1[[#This Row],[Consideration Weight]]</f>
        <v>0.4</v>
      </c>
      <c r="O808" t="s">
        <v>476</v>
      </c>
      <c r="P808" s="1">
        <v>0.4</v>
      </c>
      <c r="Q808" s="1" t="s">
        <v>1636</v>
      </c>
      <c r="R808" t="s">
        <v>23</v>
      </c>
      <c r="S808" t="s">
        <v>1083</v>
      </c>
      <c r="T808" t="s">
        <v>489</v>
      </c>
      <c r="U808" s="1">
        <v>0.5</v>
      </c>
    </row>
    <row r="809" spans="1:22" x14ac:dyDescent="0.3">
      <c r="A809" t="s">
        <v>512</v>
      </c>
      <c r="B809" t="str">
        <f ca="1">OFFSET(Industries!C$1,MATCH(Table1[[#This Row],[Ticker]],Industries!$A$2:$A$150,0),0)</f>
        <v>Industrials</v>
      </c>
      <c r="C809" t="str">
        <f ca="1">OFFSET(Industries!D$1,MATCH(Table1[[#This Row],[Ticker]],Industries!$A$2:$A$150,0),0)</f>
        <v>Capital Goods</v>
      </c>
      <c r="D809" t="str">
        <f ca="1">OFFSET(Industries!E$1,MATCH(Table1[[#This Row],[Ticker]],Industries!$A$2:$A$150,0),0)</f>
        <v>Trading Companies and Distributors</v>
      </c>
      <c r="E809" t="s">
        <v>511</v>
      </c>
      <c r="F809" t="str">
        <f ca="1">OFFSET(Industries!B$1,MATCH(Table1[[#This Row],[Ticker]],Industries!$A$2:$A$140,0),0)</f>
        <v>Large-Cap</v>
      </c>
      <c r="G809" t="str">
        <f ca="1">OFFSET(Industries!F$1,MATCH(Table1[[#This Row],[Ticker]],Industries!$A$2:$A$140,0),0)</f>
        <v>BB+</v>
      </c>
      <c r="H809" t="s">
        <v>1434</v>
      </c>
      <c r="I809" t="s">
        <v>1434</v>
      </c>
      <c r="J809" s="2">
        <v>45378</v>
      </c>
      <c r="K809" t="s">
        <v>21</v>
      </c>
      <c r="L809" t="s">
        <v>1710</v>
      </c>
      <c r="M809" t="s">
        <v>1709</v>
      </c>
      <c r="N809" s="1"/>
      <c r="O809" t="s">
        <v>476</v>
      </c>
      <c r="P809" s="1">
        <v>0.4</v>
      </c>
      <c r="Q809" s="1" t="s">
        <v>1636</v>
      </c>
      <c r="R809" t="s">
        <v>1059</v>
      </c>
      <c r="S809" t="s">
        <v>1101</v>
      </c>
      <c r="T809" t="s">
        <v>515</v>
      </c>
      <c r="U809" s="1">
        <v>0.5</v>
      </c>
    </row>
    <row r="810" spans="1:22" x14ac:dyDescent="0.3">
      <c r="A810" t="s">
        <v>512</v>
      </c>
      <c r="B810" t="str">
        <f ca="1">OFFSET(Industries!C$1,MATCH(Table1[[#This Row],[Ticker]],Industries!$A$2:$A$150,0),0)</f>
        <v>Industrials</v>
      </c>
      <c r="C810" t="str">
        <f ca="1">OFFSET(Industries!D$1,MATCH(Table1[[#This Row],[Ticker]],Industries!$A$2:$A$150,0),0)</f>
        <v>Capital Goods</v>
      </c>
      <c r="D810" t="str">
        <f ca="1">OFFSET(Industries!E$1,MATCH(Table1[[#This Row],[Ticker]],Industries!$A$2:$A$150,0),0)</f>
        <v>Trading Companies and Distributors</v>
      </c>
      <c r="E810" t="s">
        <v>511</v>
      </c>
      <c r="F810" t="str">
        <f ca="1">OFFSET(Industries!B$1,MATCH(Table1[[#This Row],[Ticker]],Industries!$A$2:$A$140,0),0)</f>
        <v>Large-Cap</v>
      </c>
      <c r="G810" t="str">
        <f ca="1">OFFSET(Industries!F$1,MATCH(Table1[[#This Row],[Ticker]],Industries!$A$2:$A$140,0),0)</f>
        <v>BB+</v>
      </c>
      <c r="H810" t="s">
        <v>1434</v>
      </c>
      <c r="I810" t="s">
        <v>1434</v>
      </c>
      <c r="J810" s="2">
        <v>45378</v>
      </c>
      <c r="K810" t="s">
        <v>21</v>
      </c>
      <c r="L810" t="s">
        <v>1710</v>
      </c>
      <c r="M810" t="s">
        <v>1711</v>
      </c>
      <c r="N810" s="1">
        <f>Table1[[#This Row],[Consideration Weight]]</f>
        <v>0.17</v>
      </c>
      <c r="O810" t="s">
        <v>194</v>
      </c>
      <c r="P810" s="1">
        <v>0.17</v>
      </c>
    </row>
    <row r="811" spans="1:22" x14ac:dyDescent="0.3">
      <c r="A811" t="s">
        <v>522</v>
      </c>
      <c r="B811" t="str">
        <f ca="1">OFFSET(Industries!C$1,MATCH(Table1[[#This Row],[Ticker]],Industries!$A$2:$A$150,0),0)</f>
        <v>Energy</v>
      </c>
      <c r="C811" t="str">
        <f ca="1">OFFSET(Industries!D$1,MATCH(Table1[[#This Row],[Ticker]],Industries!$A$2:$A$150,0),0)</f>
        <v>Energy</v>
      </c>
      <c r="D811" t="str">
        <f ca="1">OFFSET(Industries!E$1,MATCH(Table1[[#This Row],[Ticker]],Industries!$A$2:$A$150,0),0)</f>
        <v>Oil, Gas and Consumable Fuels</v>
      </c>
      <c r="E811" t="s">
        <v>290</v>
      </c>
      <c r="F811" t="str">
        <f ca="1">OFFSET(Industries!B$1,MATCH(Table1[[#This Row],[Ticker]],Industries!$A$2:$A$140,0),0)</f>
        <v>Mega-Cap</v>
      </c>
      <c r="G811" t="str">
        <f ca="1">OFFSET(Industries!F$1,MATCH(Table1[[#This Row],[Ticker]],Industries!$A$2:$A$140,0),0)</f>
        <v>AA-</v>
      </c>
      <c r="H811" t="s">
        <v>1434</v>
      </c>
      <c r="I811" t="s">
        <v>1434</v>
      </c>
      <c r="J811" s="2">
        <v>45392</v>
      </c>
      <c r="K811" t="s">
        <v>2</v>
      </c>
      <c r="L811" t="s">
        <v>3</v>
      </c>
      <c r="M811" t="s">
        <v>1711</v>
      </c>
      <c r="N811" s="1">
        <f>Table1[[#This Row],[Consideration Weight]]</f>
        <v>0.08</v>
      </c>
      <c r="O811" t="s">
        <v>3</v>
      </c>
      <c r="P811" s="1">
        <v>0.08</v>
      </c>
    </row>
    <row r="812" spans="1:22" x14ac:dyDescent="0.3">
      <c r="A812" t="s">
        <v>522</v>
      </c>
      <c r="B812" t="str">
        <f ca="1">OFFSET(Industries!C$1,MATCH(Table1[[#This Row],[Ticker]],Industries!$A$2:$A$150,0),0)</f>
        <v>Energy</v>
      </c>
      <c r="C812" t="str">
        <f ca="1">OFFSET(Industries!D$1,MATCH(Table1[[#This Row],[Ticker]],Industries!$A$2:$A$150,0),0)</f>
        <v>Energy</v>
      </c>
      <c r="D812" t="str">
        <f ca="1">OFFSET(Industries!E$1,MATCH(Table1[[#This Row],[Ticker]],Industries!$A$2:$A$150,0),0)</f>
        <v>Oil, Gas and Consumable Fuels</v>
      </c>
      <c r="E812" t="s">
        <v>290</v>
      </c>
      <c r="F812" t="str">
        <f ca="1">OFFSET(Industries!B$1,MATCH(Table1[[#This Row],[Ticker]],Industries!$A$2:$A$140,0),0)</f>
        <v>Mega-Cap</v>
      </c>
      <c r="G812" t="str">
        <f ca="1">OFFSET(Industries!F$1,MATCH(Table1[[#This Row],[Ticker]],Industries!$A$2:$A$140,0),0)</f>
        <v>AA-</v>
      </c>
      <c r="H812" t="s">
        <v>1434</v>
      </c>
      <c r="I812" t="s">
        <v>1434</v>
      </c>
      <c r="J812" s="2">
        <v>45392</v>
      </c>
      <c r="K812" t="s">
        <v>2</v>
      </c>
      <c r="L812" t="s">
        <v>1708</v>
      </c>
      <c r="M812" t="s">
        <v>1709</v>
      </c>
      <c r="N812" s="1">
        <f>Table1[[#This Row],[Consideration Weight]]</f>
        <v>0.14000000000000001</v>
      </c>
      <c r="O812" t="s">
        <v>4</v>
      </c>
      <c r="P812" s="1">
        <v>0.14000000000000001</v>
      </c>
      <c r="Q812" s="1" t="s">
        <v>1636</v>
      </c>
      <c r="R812" t="s">
        <v>25</v>
      </c>
      <c r="S812" t="s">
        <v>1086</v>
      </c>
      <c r="T812" t="s">
        <v>497</v>
      </c>
      <c r="U812" s="1">
        <v>0.35</v>
      </c>
      <c r="V812" t="s">
        <v>1669</v>
      </c>
    </row>
    <row r="813" spans="1:22" x14ac:dyDescent="0.3">
      <c r="A813" t="s">
        <v>522</v>
      </c>
      <c r="B813" t="str">
        <f ca="1">OFFSET(Industries!C$1,MATCH(Table1[[#This Row],[Ticker]],Industries!$A$2:$A$150,0),0)</f>
        <v>Energy</v>
      </c>
      <c r="C813" t="str">
        <f ca="1">OFFSET(Industries!D$1,MATCH(Table1[[#This Row],[Ticker]],Industries!$A$2:$A$150,0),0)</f>
        <v>Energy</v>
      </c>
      <c r="D813" t="str">
        <f ca="1">OFFSET(Industries!E$1,MATCH(Table1[[#This Row],[Ticker]],Industries!$A$2:$A$150,0),0)</f>
        <v>Oil, Gas and Consumable Fuels</v>
      </c>
      <c r="E813" t="s">
        <v>290</v>
      </c>
      <c r="F813" t="str">
        <f ca="1">OFFSET(Industries!B$1,MATCH(Table1[[#This Row],[Ticker]],Industries!$A$2:$A$140,0),0)</f>
        <v>Mega-Cap</v>
      </c>
      <c r="G813" t="str">
        <f ca="1">OFFSET(Industries!F$1,MATCH(Table1[[#This Row],[Ticker]],Industries!$A$2:$A$140,0),0)</f>
        <v>AA-</v>
      </c>
      <c r="H813" t="s">
        <v>1434</v>
      </c>
      <c r="I813" t="s">
        <v>1434</v>
      </c>
      <c r="J813" s="2">
        <v>45392</v>
      </c>
      <c r="K813" t="s">
        <v>2</v>
      </c>
      <c r="L813" t="s">
        <v>1708</v>
      </c>
      <c r="M813" t="s">
        <v>1709</v>
      </c>
      <c r="N813" s="1"/>
      <c r="O813" t="s">
        <v>4</v>
      </c>
      <c r="P813" s="1">
        <v>0.14000000000000001</v>
      </c>
      <c r="Q813" s="1" t="s">
        <v>1636</v>
      </c>
      <c r="R813" t="s">
        <v>25</v>
      </c>
      <c r="S813" t="s">
        <v>1086</v>
      </c>
      <c r="T813" t="s">
        <v>523</v>
      </c>
      <c r="U813" s="1">
        <v>0.3</v>
      </c>
      <c r="V813" t="s">
        <v>1670</v>
      </c>
    </row>
    <row r="814" spans="1:22" x14ac:dyDescent="0.3">
      <c r="A814" t="s">
        <v>522</v>
      </c>
      <c r="B814" t="str">
        <f ca="1">OFFSET(Industries!C$1,MATCH(Table1[[#This Row],[Ticker]],Industries!$A$2:$A$150,0),0)</f>
        <v>Energy</v>
      </c>
      <c r="C814" t="str">
        <f ca="1">OFFSET(Industries!D$1,MATCH(Table1[[#This Row],[Ticker]],Industries!$A$2:$A$150,0),0)</f>
        <v>Energy</v>
      </c>
      <c r="D814" t="str">
        <f ca="1">OFFSET(Industries!E$1,MATCH(Table1[[#This Row],[Ticker]],Industries!$A$2:$A$150,0),0)</f>
        <v>Oil, Gas and Consumable Fuels</v>
      </c>
      <c r="E814" t="s">
        <v>290</v>
      </c>
      <c r="F814" t="str">
        <f ca="1">OFFSET(Industries!B$1,MATCH(Table1[[#This Row],[Ticker]],Industries!$A$2:$A$140,0),0)</f>
        <v>Mega-Cap</v>
      </c>
      <c r="G814" t="str">
        <f ca="1">OFFSET(Industries!F$1,MATCH(Table1[[#This Row],[Ticker]],Industries!$A$2:$A$140,0),0)</f>
        <v>AA-</v>
      </c>
      <c r="H814" t="s">
        <v>1434</v>
      </c>
      <c r="I814" t="s">
        <v>1434</v>
      </c>
      <c r="J814" s="2">
        <v>45392</v>
      </c>
      <c r="K814" t="s">
        <v>2</v>
      </c>
      <c r="L814" t="s">
        <v>1708</v>
      </c>
      <c r="M814" t="s">
        <v>1709</v>
      </c>
      <c r="N814" s="1"/>
      <c r="O814" t="s">
        <v>4</v>
      </c>
      <c r="P814" s="1">
        <v>0.14000000000000001</v>
      </c>
      <c r="Q814" s="1" t="s">
        <v>1637</v>
      </c>
      <c r="R814" t="s">
        <v>25</v>
      </c>
      <c r="S814" t="s">
        <v>814</v>
      </c>
      <c r="T814" t="s">
        <v>525</v>
      </c>
      <c r="U814" s="1">
        <v>0.25</v>
      </c>
      <c r="V814" t="s">
        <v>524</v>
      </c>
    </row>
    <row r="815" spans="1:22" x14ac:dyDescent="0.3">
      <c r="A815" t="s">
        <v>522</v>
      </c>
      <c r="B815" t="str">
        <f ca="1">OFFSET(Industries!C$1,MATCH(Table1[[#This Row],[Ticker]],Industries!$A$2:$A$150,0),0)</f>
        <v>Energy</v>
      </c>
      <c r="C815" t="str">
        <f ca="1">OFFSET(Industries!D$1,MATCH(Table1[[#This Row],[Ticker]],Industries!$A$2:$A$150,0),0)</f>
        <v>Energy</v>
      </c>
      <c r="D815" t="str">
        <f ca="1">OFFSET(Industries!E$1,MATCH(Table1[[#This Row],[Ticker]],Industries!$A$2:$A$150,0),0)</f>
        <v>Oil, Gas and Consumable Fuels</v>
      </c>
      <c r="E815" t="s">
        <v>290</v>
      </c>
      <c r="F815" t="str">
        <f ca="1">OFFSET(Industries!B$1,MATCH(Table1[[#This Row],[Ticker]],Industries!$A$2:$A$140,0),0)</f>
        <v>Mega-Cap</v>
      </c>
      <c r="G815" t="str">
        <f ca="1">OFFSET(Industries!F$1,MATCH(Table1[[#This Row],[Ticker]],Industries!$A$2:$A$140,0),0)</f>
        <v>AA-</v>
      </c>
      <c r="H815" t="s">
        <v>1434</v>
      </c>
      <c r="I815" t="s">
        <v>1434</v>
      </c>
      <c r="J815" s="2">
        <v>45392</v>
      </c>
      <c r="K815" t="s">
        <v>2</v>
      </c>
      <c r="L815" t="s">
        <v>1708</v>
      </c>
      <c r="M815" t="s">
        <v>1709</v>
      </c>
      <c r="N815" s="1"/>
      <c r="O815" t="s">
        <v>4</v>
      </c>
      <c r="P815" s="1">
        <v>0.14000000000000001</v>
      </c>
      <c r="Q815" s="1" t="s">
        <v>1637</v>
      </c>
      <c r="R815" t="s">
        <v>26</v>
      </c>
      <c r="S815" t="s">
        <v>26</v>
      </c>
      <c r="T815" t="s">
        <v>526</v>
      </c>
      <c r="U815" s="1">
        <v>0.1</v>
      </c>
      <c r="V815" t="s">
        <v>532</v>
      </c>
    </row>
    <row r="816" spans="1:22" x14ac:dyDescent="0.3">
      <c r="A816" t="s">
        <v>522</v>
      </c>
      <c r="B816" t="str">
        <f ca="1">OFFSET(Industries!C$1,MATCH(Table1[[#This Row],[Ticker]],Industries!$A$2:$A$150,0),0)</f>
        <v>Energy</v>
      </c>
      <c r="C816" t="str">
        <f ca="1">OFFSET(Industries!D$1,MATCH(Table1[[#This Row],[Ticker]],Industries!$A$2:$A$150,0),0)</f>
        <v>Energy</v>
      </c>
      <c r="D816" t="str">
        <f ca="1">OFFSET(Industries!E$1,MATCH(Table1[[#This Row],[Ticker]],Industries!$A$2:$A$150,0),0)</f>
        <v>Oil, Gas and Consumable Fuels</v>
      </c>
      <c r="E816" t="s">
        <v>290</v>
      </c>
      <c r="F816" t="str">
        <f ca="1">OFFSET(Industries!B$1,MATCH(Table1[[#This Row],[Ticker]],Industries!$A$2:$A$140,0),0)</f>
        <v>Mega-Cap</v>
      </c>
      <c r="G816" t="str">
        <f ca="1">OFFSET(Industries!F$1,MATCH(Table1[[#This Row],[Ticker]],Industries!$A$2:$A$140,0),0)</f>
        <v>AA-</v>
      </c>
      <c r="H816" t="s">
        <v>1434</v>
      </c>
      <c r="I816" t="s">
        <v>1434</v>
      </c>
      <c r="J816" s="2">
        <v>45392</v>
      </c>
      <c r="K816" t="s">
        <v>2</v>
      </c>
      <c r="L816" t="s">
        <v>1708</v>
      </c>
      <c r="M816" t="s">
        <v>1709</v>
      </c>
      <c r="N816" s="1"/>
      <c r="O816" t="s">
        <v>4</v>
      </c>
      <c r="P816" s="1">
        <v>0.14000000000000001</v>
      </c>
      <c r="R816" t="s">
        <v>28</v>
      </c>
      <c r="S816" t="s">
        <v>1087</v>
      </c>
      <c r="T816" t="s">
        <v>40</v>
      </c>
      <c r="V816" t="s">
        <v>527</v>
      </c>
    </row>
    <row r="817" spans="1:22" x14ac:dyDescent="0.3">
      <c r="A817" t="s">
        <v>522</v>
      </c>
      <c r="B817" t="str">
        <f ca="1">OFFSET(Industries!C$1,MATCH(Table1[[#This Row],[Ticker]],Industries!$A$2:$A$150,0),0)</f>
        <v>Energy</v>
      </c>
      <c r="C817" t="str">
        <f ca="1">OFFSET(Industries!D$1,MATCH(Table1[[#This Row],[Ticker]],Industries!$A$2:$A$150,0),0)</f>
        <v>Energy</v>
      </c>
      <c r="D817" t="str">
        <f ca="1">OFFSET(Industries!E$1,MATCH(Table1[[#This Row],[Ticker]],Industries!$A$2:$A$150,0),0)</f>
        <v>Oil, Gas and Consumable Fuels</v>
      </c>
      <c r="E817" t="s">
        <v>290</v>
      </c>
      <c r="F817" t="str">
        <f ca="1">OFFSET(Industries!B$1,MATCH(Table1[[#This Row],[Ticker]],Industries!$A$2:$A$140,0),0)</f>
        <v>Mega-Cap</v>
      </c>
      <c r="G817" t="str">
        <f ca="1">OFFSET(Industries!F$1,MATCH(Table1[[#This Row],[Ticker]],Industries!$A$2:$A$140,0),0)</f>
        <v>AA-</v>
      </c>
      <c r="H817" t="s">
        <v>1434</v>
      </c>
      <c r="I817" t="s">
        <v>1434</v>
      </c>
      <c r="J817" s="2">
        <v>45392</v>
      </c>
      <c r="K817" t="s">
        <v>2</v>
      </c>
      <c r="L817" t="s">
        <v>1710</v>
      </c>
      <c r="M817" t="s">
        <v>1709</v>
      </c>
      <c r="N817" s="1">
        <f>Table1[[#This Row],[Consideration Weight]]</f>
        <v>0.39</v>
      </c>
      <c r="O817" t="s">
        <v>476</v>
      </c>
      <c r="P817" s="1">
        <f>0.5*0.78</f>
        <v>0.39</v>
      </c>
      <c r="Q817" s="1" t="s">
        <v>1646</v>
      </c>
      <c r="R817" t="s">
        <v>35</v>
      </c>
      <c r="S817" t="s">
        <v>29</v>
      </c>
      <c r="T817" t="s">
        <v>30</v>
      </c>
      <c r="U817" s="1">
        <v>0.7</v>
      </c>
      <c r="V817" t="s">
        <v>528</v>
      </c>
    </row>
    <row r="818" spans="1:22" x14ac:dyDescent="0.3">
      <c r="A818" t="s">
        <v>522</v>
      </c>
      <c r="B818" t="str">
        <f ca="1">OFFSET(Industries!C$1,MATCH(Table1[[#This Row],[Ticker]],Industries!$A$2:$A$150,0),0)</f>
        <v>Energy</v>
      </c>
      <c r="C818" t="str">
        <f ca="1">OFFSET(Industries!D$1,MATCH(Table1[[#This Row],[Ticker]],Industries!$A$2:$A$150,0),0)</f>
        <v>Energy</v>
      </c>
      <c r="D818" t="str">
        <f ca="1">OFFSET(Industries!E$1,MATCH(Table1[[#This Row],[Ticker]],Industries!$A$2:$A$150,0),0)</f>
        <v>Oil, Gas and Consumable Fuels</v>
      </c>
      <c r="E818" t="s">
        <v>290</v>
      </c>
      <c r="F818" t="str">
        <f ca="1">OFFSET(Industries!B$1,MATCH(Table1[[#This Row],[Ticker]],Industries!$A$2:$A$140,0),0)</f>
        <v>Mega-Cap</v>
      </c>
      <c r="G818" t="str">
        <f ca="1">OFFSET(Industries!F$1,MATCH(Table1[[#This Row],[Ticker]],Industries!$A$2:$A$140,0),0)</f>
        <v>AA-</v>
      </c>
      <c r="H818" t="s">
        <v>1434</v>
      </c>
      <c r="I818" t="s">
        <v>1434</v>
      </c>
      <c r="J818" s="2">
        <v>45392</v>
      </c>
      <c r="K818" t="s">
        <v>2</v>
      </c>
      <c r="L818" t="s">
        <v>1710</v>
      </c>
      <c r="M818" t="s">
        <v>1709</v>
      </c>
      <c r="N818" s="1"/>
      <c r="O818" t="s">
        <v>476</v>
      </c>
      <c r="P818" s="1">
        <f>0.5*0.78</f>
        <v>0.39</v>
      </c>
      <c r="Q818" s="1" t="s">
        <v>1636</v>
      </c>
      <c r="R818" t="s">
        <v>1059</v>
      </c>
      <c r="S818" t="s">
        <v>1137</v>
      </c>
      <c r="T818" t="s">
        <v>529</v>
      </c>
      <c r="U818" s="1">
        <v>0.3</v>
      </c>
      <c r="V818" t="s">
        <v>530</v>
      </c>
    </row>
    <row r="819" spans="1:22" x14ac:dyDescent="0.3">
      <c r="A819" t="s">
        <v>522</v>
      </c>
      <c r="B819" t="str">
        <f ca="1">OFFSET(Industries!C$1,MATCH(Table1[[#This Row],[Ticker]],Industries!$A$2:$A$150,0),0)</f>
        <v>Energy</v>
      </c>
      <c r="C819" t="str">
        <f ca="1">OFFSET(Industries!D$1,MATCH(Table1[[#This Row],[Ticker]],Industries!$A$2:$A$150,0),0)</f>
        <v>Energy</v>
      </c>
      <c r="D819" t="str">
        <f ca="1">OFFSET(Industries!E$1,MATCH(Table1[[#This Row],[Ticker]],Industries!$A$2:$A$150,0),0)</f>
        <v>Oil, Gas and Consumable Fuels</v>
      </c>
      <c r="E819" t="s">
        <v>290</v>
      </c>
      <c r="F819" t="str">
        <f ca="1">OFFSET(Industries!B$1,MATCH(Table1[[#This Row],[Ticker]],Industries!$A$2:$A$140,0),0)</f>
        <v>Mega-Cap</v>
      </c>
      <c r="G819" t="str">
        <f ca="1">OFFSET(Industries!F$1,MATCH(Table1[[#This Row],[Ticker]],Industries!$A$2:$A$140,0),0)</f>
        <v>AA-</v>
      </c>
      <c r="H819" t="s">
        <v>1434</v>
      </c>
      <c r="I819" t="s">
        <v>1434</v>
      </c>
      <c r="J819" s="2">
        <v>45392</v>
      </c>
      <c r="K819" t="s">
        <v>2</v>
      </c>
      <c r="L819" t="s">
        <v>1710</v>
      </c>
      <c r="M819" t="s">
        <v>1709</v>
      </c>
      <c r="N819" s="1"/>
      <c r="O819" t="s">
        <v>476</v>
      </c>
      <c r="P819" s="1">
        <f>0.5*0.78</f>
        <v>0.39</v>
      </c>
      <c r="R819" t="s">
        <v>28</v>
      </c>
      <c r="S819" t="s">
        <v>1088</v>
      </c>
      <c r="T819" t="s">
        <v>55</v>
      </c>
      <c r="V819" t="s">
        <v>531</v>
      </c>
    </row>
    <row r="820" spans="1:22" x14ac:dyDescent="0.3">
      <c r="A820" t="s">
        <v>522</v>
      </c>
      <c r="B820" t="str">
        <f ca="1">OFFSET(Industries!C$1,MATCH(Table1[[#This Row],[Ticker]],Industries!$A$2:$A$150,0),0)</f>
        <v>Energy</v>
      </c>
      <c r="C820" t="str">
        <f ca="1">OFFSET(Industries!D$1,MATCH(Table1[[#This Row],[Ticker]],Industries!$A$2:$A$150,0),0)</f>
        <v>Energy</v>
      </c>
      <c r="D820" t="str">
        <f ca="1">OFFSET(Industries!E$1,MATCH(Table1[[#This Row],[Ticker]],Industries!$A$2:$A$150,0),0)</f>
        <v>Oil, Gas and Consumable Fuels</v>
      </c>
      <c r="E820" t="s">
        <v>290</v>
      </c>
      <c r="F820" t="str">
        <f ca="1">OFFSET(Industries!B$1,MATCH(Table1[[#This Row],[Ticker]],Industries!$A$2:$A$140,0),0)</f>
        <v>Mega-Cap</v>
      </c>
      <c r="G820" t="str">
        <f ca="1">OFFSET(Industries!F$1,MATCH(Table1[[#This Row],[Ticker]],Industries!$A$2:$A$140,0),0)</f>
        <v>AA-</v>
      </c>
      <c r="H820" t="s">
        <v>1434</v>
      </c>
      <c r="I820" t="s">
        <v>1434</v>
      </c>
      <c r="J820" s="2">
        <v>45392</v>
      </c>
      <c r="K820" t="s">
        <v>2</v>
      </c>
      <c r="L820" t="s">
        <v>508</v>
      </c>
      <c r="M820" t="s">
        <v>1711</v>
      </c>
      <c r="N820" s="1">
        <f>Table1[[#This Row],[Consideration Weight]]</f>
        <v>0.19500000000000001</v>
      </c>
      <c r="O820" t="s">
        <v>194</v>
      </c>
      <c r="P820" s="1">
        <f>0.25*0.78</f>
        <v>0.19500000000000001</v>
      </c>
    </row>
    <row r="821" spans="1:22" x14ac:dyDescent="0.3">
      <c r="A821" t="s">
        <v>522</v>
      </c>
      <c r="B821" t="str">
        <f ca="1">OFFSET(Industries!C$1,MATCH(Table1[[#This Row],[Ticker]],Industries!$A$2:$A$150,0),0)</f>
        <v>Energy</v>
      </c>
      <c r="C821" t="str">
        <f ca="1">OFFSET(Industries!D$1,MATCH(Table1[[#This Row],[Ticker]],Industries!$A$2:$A$150,0),0)</f>
        <v>Energy</v>
      </c>
      <c r="D821" t="str">
        <f ca="1">OFFSET(Industries!E$1,MATCH(Table1[[#This Row],[Ticker]],Industries!$A$2:$A$150,0),0)</f>
        <v>Oil, Gas and Consumable Fuels</v>
      </c>
      <c r="E821" t="s">
        <v>290</v>
      </c>
      <c r="F821" t="str">
        <f ca="1">OFFSET(Industries!B$1,MATCH(Table1[[#This Row],[Ticker]],Industries!$A$2:$A$140,0),0)</f>
        <v>Mega-Cap</v>
      </c>
      <c r="G821" t="str">
        <f ca="1">OFFSET(Industries!F$1,MATCH(Table1[[#This Row],[Ticker]],Industries!$A$2:$A$140,0),0)</f>
        <v>AA-</v>
      </c>
      <c r="H821" t="s">
        <v>1434</v>
      </c>
      <c r="I821" t="s">
        <v>1434</v>
      </c>
      <c r="J821" s="2">
        <v>45392</v>
      </c>
      <c r="K821" t="s">
        <v>2</v>
      </c>
      <c r="L821" t="s">
        <v>508</v>
      </c>
      <c r="M821" t="s">
        <v>1711</v>
      </c>
      <c r="N821" s="1">
        <f>Table1[[#This Row],[Consideration Weight]]</f>
        <v>0.19500000000000001</v>
      </c>
      <c r="O821" t="s">
        <v>87</v>
      </c>
      <c r="P821" s="1">
        <f>0.25*0.78</f>
        <v>0.19500000000000001</v>
      </c>
    </row>
    <row r="822" spans="1:22" x14ac:dyDescent="0.3">
      <c r="A822" t="s">
        <v>522</v>
      </c>
      <c r="B822" t="str">
        <f ca="1">OFFSET(Industries!C$1,MATCH(Table1[[#This Row],[Ticker]],Industries!$A$2:$A$150,0),0)</f>
        <v>Energy</v>
      </c>
      <c r="C822" t="str">
        <f ca="1">OFFSET(Industries!D$1,MATCH(Table1[[#This Row],[Ticker]],Industries!$A$2:$A$150,0),0)</f>
        <v>Energy</v>
      </c>
      <c r="D822" t="str">
        <f ca="1">OFFSET(Industries!E$1,MATCH(Table1[[#This Row],[Ticker]],Industries!$A$2:$A$150,0),0)</f>
        <v>Oil, Gas and Consumable Fuels</v>
      </c>
      <c r="E822" t="s">
        <v>290</v>
      </c>
      <c r="F822" t="str">
        <f ca="1">OFFSET(Industries!B$1,MATCH(Table1[[#This Row],[Ticker]],Industries!$A$2:$A$140,0),0)</f>
        <v>Mega-Cap</v>
      </c>
      <c r="G822" t="str">
        <f ca="1">OFFSET(Industries!F$1,MATCH(Table1[[#This Row],[Ticker]],Industries!$A$2:$A$140,0),0)</f>
        <v>AA-</v>
      </c>
      <c r="H822" t="s">
        <v>1434</v>
      </c>
      <c r="I822" t="s">
        <v>1434</v>
      </c>
      <c r="J822" s="2">
        <v>45392</v>
      </c>
      <c r="K822" t="s">
        <v>21</v>
      </c>
      <c r="L822" t="s">
        <v>3</v>
      </c>
      <c r="M822" t="s">
        <v>1711</v>
      </c>
      <c r="N822" s="1">
        <f>Table1[[#This Row],[Consideration Weight]]</f>
        <v>0.15</v>
      </c>
      <c r="O822" t="s">
        <v>3</v>
      </c>
      <c r="P822" s="1">
        <v>0.15</v>
      </c>
    </row>
    <row r="823" spans="1:22" x14ac:dyDescent="0.3">
      <c r="A823" t="s">
        <v>522</v>
      </c>
      <c r="B823" t="str">
        <f ca="1">OFFSET(Industries!C$1,MATCH(Table1[[#This Row],[Ticker]],Industries!$A$2:$A$150,0),0)</f>
        <v>Energy</v>
      </c>
      <c r="C823" t="str">
        <f ca="1">OFFSET(Industries!D$1,MATCH(Table1[[#This Row],[Ticker]],Industries!$A$2:$A$150,0),0)</f>
        <v>Energy</v>
      </c>
      <c r="D823" t="str">
        <f ca="1">OFFSET(Industries!E$1,MATCH(Table1[[#This Row],[Ticker]],Industries!$A$2:$A$150,0),0)</f>
        <v>Oil, Gas and Consumable Fuels</v>
      </c>
      <c r="E823" t="s">
        <v>290</v>
      </c>
      <c r="F823" t="str">
        <f ca="1">OFFSET(Industries!B$1,MATCH(Table1[[#This Row],[Ticker]],Industries!$A$2:$A$140,0),0)</f>
        <v>Mega-Cap</v>
      </c>
      <c r="G823" t="str">
        <f ca="1">OFFSET(Industries!F$1,MATCH(Table1[[#This Row],[Ticker]],Industries!$A$2:$A$140,0),0)</f>
        <v>AA-</v>
      </c>
      <c r="H823" t="s">
        <v>1434</v>
      </c>
      <c r="I823" t="s">
        <v>1434</v>
      </c>
      <c r="J823" s="2">
        <v>45392</v>
      </c>
      <c r="K823" t="s">
        <v>21</v>
      </c>
      <c r="L823" t="s">
        <v>1708</v>
      </c>
      <c r="M823" t="s">
        <v>1709</v>
      </c>
      <c r="N823" s="1">
        <f>Table1[[#This Row],[Consideration Weight]]</f>
        <v>0.18</v>
      </c>
      <c r="O823" t="s">
        <v>4</v>
      </c>
      <c r="P823" s="1">
        <v>0.18</v>
      </c>
      <c r="Q823" s="1" t="s">
        <v>1636</v>
      </c>
      <c r="R823" t="s">
        <v>25</v>
      </c>
      <c r="S823" t="s">
        <v>1086</v>
      </c>
      <c r="T823" t="s">
        <v>497</v>
      </c>
      <c r="U823" s="1">
        <v>0.35</v>
      </c>
    </row>
    <row r="824" spans="1:22" x14ac:dyDescent="0.3">
      <c r="A824" t="s">
        <v>522</v>
      </c>
      <c r="B824" t="str">
        <f ca="1">OFFSET(Industries!C$1,MATCH(Table1[[#This Row],[Ticker]],Industries!$A$2:$A$150,0),0)</f>
        <v>Energy</v>
      </c>
      <c r="C824" t="str">
        <f ca="1">OFFSET(Industries!D$1,MATCH(Table1[[#This Row],[Ticker]],Industries!$A$2:$A$150,0),0)</f>
        <v>Energy</v>
      </c>
      <c r="D824" t="str">
        <f ca="1">OFFSET(Industries!E$1,MATCH(Table1[[#This Row],[Ticker]],Industries!$A$2:$A$150,0),0)</f>
        <v>Oil, Gas and Consumable Fuels</v>
      </c>
      <c r="E824" t="s">
        <v>290</v>
      </c>
      <c r="F824" t="str">
        <f ca="1">OFFSET(Industries!B$1,MATCH(Table1[[#This Row],[Ticker]],Industries!$A$2:$A$140,0),0)</f>
        <v>Mega-Cap</v>
      </c>
      <c r="G824" t="str">
        <f ca="1">OFFSET(Industries!F$1,MATCH(Table1[[#This Row],[Ticker]],Industries!$A$2:$A$140,0),0)</f>
        <v>AA-</v>
      </c>
      <c r="H824" t="s">
        <v>1434</v>
      </c>
      <c r="I824" t="s">
        <v>1434</v>
      </c>
      <c r="J824" s="2">
        <v>45392</v>
      </c>
      <c r="K824" t="s">
        <v>21</v>
      </c>
      <c r="L824" t="s">
        <v>1708</v>
      </c>
      <c r="M824" t="s">
        <v>1709</v>
      </c>
      <c r="N824" s="1"/>
      <c r="O824" t="s">
        <v>4</v>
      </c>
      <c r="P824" s="1">
        <v>0.18</v>
      </c>
      <c r="Q824" s="1" t="s">
        <v>1636</v>
      </c>
      <c r="R824" t="s">
        <v>25</v>
      </c>
      <c r="S824" t="s">
        <v>1086</v>
      </c>
      <c r="T824" t="s">
        <v>523</v>
      </c>
      <c r="U824" s="1">
        <v>0.3</v>
      </c>
    </row>
    <row r="825" spans="1:22" x14ac:dyDescent="0.3">
      <c r="A825" t="s">
        <v>522</v>
      </c>
      <c r="B825" t="str">
        <f ca="1">OFFSET(Industries!C$1,MATCH(Table1[[#This Row],[Ticker]],Industries!$A$2:$A$150,0),0)</f>
        <v>Energy</v>
      </c>
      <c r="C825" t="str">
        <f ca="1">OFFSET(Industries!D$1,MATCH(Table1[[#This Row],[Ticker]],Industries!$A$2:$A$150,0),0)</f>
        <v>Energy</v>
      </c>
      <c r="D825" t="str">
        <f ca="1">OFFSET(Industries!E$1,MATCH(Table1[[#This Row],[Ticker]],Industries!$A$2:$A$150,0),0)</f>
        <v>Oil, Gas and Consumable Fuels</v>
      </c>
      <c r="E825" t="s">
        <v>290</v>
      </c>
      <c r="F825" t="str">
        <f ca="1">OFFSET(Industries!B$1,MATCH(Table1[[#This Row],[Ticker]],Industries!$A$2:$A$140,0),0)</f>
        <v>Mega-Cap</v>
      </c>
      <c r="G825" t="str">
        <f ca="1">OFFSET(Industries!F$1,MATCH(Table1[[#This Row],[Ticker]],Industries!$A$2:$A$140,0),0)</f>
        <v>AA-</v>
      </c>
      <c r="H825" t="s">
        <v>1434</v>
      </c>
      <c r="I825" t="s">
        <v>1434</v>
      </c>
      <c r="J825" s="2">
        <v>45392</v>
      </c>
      <c r="K825" t="s">
        <v>21</v>
      </c>
      <c r="L825" t="s">
        <v>1708</v>
      </c>
      <c r="M825" t="s">
        <v>1709</v>
      </c>
      <c r="N825" s="1"/>
      <c r="O825" t="s">
        <v>4</v>
      </c>
      <c r="P825" s="1">
        <v>0.18</v>
      </c>
      <c r="Q825" s="1" t="s">
        <v>1637</v>
      </c>
      <c r="R825" t="s">
        <v>25</v>
      </c>
      <c r="S825" t="s">
        <v>814</v>
      </c>
      <c r="T825" t="s">
        <v>525</v>
      </c>
      <c r="U825" s="1">
        <v>0.25</v>
      </c>
    </row>
    <row r="826" spans="1:22" x14ac:dyDescent="0.3">
      <c r="A826" t="s">
        <v>522</v>
      </c>
      <c r="B826" t="str">
        <f ca="1">OFFSET(Industries!C$1,MATCH(Table1[[#This Row],[Ticker]],Industries!$A$2:$A$150,0),0)</f>
        <v>Energy</v>
      </c>
      <c r="C826" t="str">
        <f ca="1">OFFSET(Industries!D$1,MATCH(Table1[[#This Row],[Ticker]],Industries!$A$2:$A$150,0),0)</f>
        <v>Energy</v>
      </c>
      <c r="D826" t="str">
        <f ca="1">OFFSET(Industries!E$1,MATCH(Table1[[#This Row],[Ticker]],Industries!$A$2:$A$150,0),0)</f>
        <v>Oil, Gas and Consumable Fuels</v>
      </c>
      <c r="E826" t="s">
        <v>290</v>
      </c>
      <c r="F826" t="str">
        <f ca="1">OFFSET(Industries!B$1,MATCH(Table1[[#This Row],[Ticker]],Industries!$A$2:$A$140,0),0)</f>
        <v>Mega-Cap</v>
      </c>
      <c r="G826" t="str">
        <f ca="1">OFFSET(Industries!F$1,MATCH(Table1[[#This Row],[Ticker]],Industries!$A$2:$A$140,0),0)</f>
        <v>AA-</v>
      </c>
      <c r="H826" t="s">
        <v>1434</v>
      </c>
      <c r="I826" t="s">
        <v>1434</v>
      </c>
      <c r="J826" s="2">
        <v>45392</v>
      </c>
      <c r="K826" t="s">
        <v>21</v>
      </c>
      <c r="L826" t="s">
        <v>1708</v>
      </c>
      <c r="M826" t="s">
        <v>1709</v>
      </c>
      <c r="N826" s="1"/>
      <c r="O826" t="s">
        <v>4</v>
      </c>
      <c r="P826" s="1">
        <v>0.18</v>
      </c>
      <c r="Q826" s="1" t="s">
        <v>1637</v>
      </c>
      <c r="R826" t="s">
        <v>26</v>
      </c>
      <c r="S826" t="s">
        <v>26</v>
      </c>
      <c r="T826" t="s">
        <v>526</v>
      </c>
      <c r="U826" s="1">
        <v>0.1</v>
      </c>
    </row>
    <row r="827" spans="1:22" x14ac:dyDescent="0.3">
      <c r="A827" t="s">
        <v>522</v>
      </c>
      <c r="B827" t="str">
        <f ca="1">OFFSET(Industries!C$1,MATCH(Table1[[#This Row],[Ticker]],Industries!$A$2:$A$150,0),0)</f>
        <v>Energy</v>
      </c>
      <c r="C827" t="str">
        <f ca="1">OFFSET(Industries!D$1,MATCH(Table1[[#This Row],[Ticker]],Industries!$A$2:$A$150,0),0)</f>
        <v>Energy</v>
      </c>
      <c r="D827" t="str">
        <f ca="1">OFFSET(Industries!E$1,MATCH(Table1[[#This Row],[Ticker]],Industries!$A$2:$A$150,0),0)</f>
        <v>Oil, Gas and Consumable Fuels</v>
      </c>
      <c r="E827" t="s">
        <v>290</v>
      </c>
      <c r="F827" t="str">
        <f ca="1">OFFSET(Industries!B$1,MATCH(Table1[[#This Row],[Ticker]],Industries!$A$2:$A$140,0),0)</f>
        <v>Mega-Cap</v>
      </c>
      <c r="G827" t="str">
        <f ca="1">OFFSET(Industries!F$1,MATCH(Table1[[#This Row],[Ticker]],Industries!$A$2:$A$140,0),0)</f>
        <v>AA-</v>
      </c>
      <c r="H827" t="s">
        <v>1434</v>
      </c>
      <c r="I827" t="s">
        <v>1434</v>
      </c>
      <c r="J827" s="2">
        <v>45392</v>
      </c>
      <c r="K827" t="s">
        <v>21</v>
      </c>
      <c r="L827" t="s">
        <v>1708</v>
      </c>
      <c r="M827" t="s">
        <v>1709</v>
      </c>
      <c r="N827" s="1"/>
      <c r="O827" t="s">
        <v>4</v>
      </c>
      <c r="P827" s="1">
        <v>0.18</v>
      </c>
      <c r="R827" t="s">
        <v>28</v>
      </c>
      <c r="S827" t="s">
        <v>1087</v>
      </c>
      <c r="T827" t="s">
        <v>40</v>
      </c>
    </row>
    <row r="828" spans="1:22" x14ac:dyDescent="0.3">
      <c r="A828" t="s">
        <v>522</v>
      </c>
      <c r="B828" t="str">
        <f ca="1">OFFSET(Industries!C$1,MATCH(Table1[[#This Row],[Ticker]],Industries!$A$2:$A$150,0),0)</f>
        <v>Energy</v>
      </c>
      <c r="C828" t="str">
        <f ca="1">OFFSET(Industries!D$1,MATCH(Table1[[#This Row],[Ticker]],Industries!$A$2:$A$150,0),0)</f>
        <v>Energy</v>
      </c>
      <c r="D828" t="str">
        <f ca="1">OFFSET(Industries!E$1,MATCH(Table1[[#This Row],[Ticker]],Industries!$A$2:$A$150,0),0)</f>
        <v>Oil, Gas and Consumable Fuels</v>
      </c>
      <c r="E828" t="s">
        <v>290</v>
      </c>
      <c r="F828" t="str">
        <f ca="1">OFFSET(Industries!B$1,MATCH(Table1[[#This Row],[Ticker]],Industries!$A$2:$A$140,0),0)</f>
        <v>Mega-Cap</v>
      </c>
      <c r="G828" t="str">
        <f ca="1">OFFSET(Industries!F$1,MATCH(Table1[[#This Row],[Ticker]],Industries!$A$2:$A$140,0),0)</f>
        <v>AA-</v>
      </c>
      <c r="H828" t="s">
        <v>1434</v>
      </c>
      <c r="I828" t="s">
        <v>1434</v>
      </c>
      <c r="J828" s="2">
        <v>45392</v>
      </c>
      <c r="K828" t="s">
        <v>21</v>
      </c>
      <c r="L828" t="s">
        <v>1710</v>
      </c>
      <c r="M828" t="s">
        <v>1709</v>
      </c>
      <c r="N828" s="1">
        <f>Table1[[#This Row],[Consideration Weight]]</f>
        <v>0.33500000000000002</v>
      </c>
      <c r="O828" t="s">
        <v>476</v>
      </c>
      <c r="P828" s="1">
        <f>0.5*0.67</f>
        <v>0.33500000000000002</v>
      </c>
      <c r="Q828" s="1" t="s">
        <v>1646</v>
      </c>
      <c r="R828" t="s">
        <v>35</v>
      </c>
      <c r="S828" t="s">
        <v>29</v>
      </c>
      <c r="T828" t="s">
        <v>30</v>
      </c>
      <c r="U828" s="1">
        <v>0.7</v>
      </c>
    </row>
    <row r="829" spans="1:22" x14ac:dyDescent="0.3">
      <c r="A829" t="s">
        <v>522</v>
      </c>
      <c r="B829" t="str">
        <f ca="1">OFFSET(Industries!C$1,MATCH(Table1[[#This Row],[Ticker]],Industries!$A$2:$A$150,0),0)</f>
        <v>Energy</v>
      </c>
      <c r="C829" t="str">
        <f ca="1">OFFSET(Industries!D$1,MATCH(Table1[[#This Row],[Ticker]],Industries!$A$2:$A$150,0),0)</f>
        <v>Energy</v>
      </c>
      <c r="D829" t="str">
        <f ca="1">OFFSET(Industries!E$1,MATCH(Table1[[#This Row],[Ticker]],Industries!$A$2:$A$150,0),0)</f>
        <v>Oil, Gas and Consumable Fuels</v>
      </c>
      <c r="E829" t="s">
        <v>290</v>
      </c>
      <c r="F829" t="str">
        <f ca="1">OFFSET(Industries!B$1,MATCH(Table1[[#This Row],[Ticker]],Industries!$A$2:$A$140,0),0)</f>
        <v>Mega-Cap</v>
      </c>
      <c r="G829" t="str">
        <f ca="1">OFFSET(Industries!F$1,MATCH(Table1[[#This Row],[Ticker]],Industries!$A$2:$A$140,0),0)</f>
        <v>AA-</v>
      </c>
      <c r="H829" t="s">
        <v>1434</v>
      </c>
      <c r="I829" t="s">
        <v>1434</v>
      </c>
      <c r="J829" s="2">
        <v>45392</v>
      </c>
      <c r="K829" t="s">
        <v>21</v>
      </c>
      <c r="L829" t="s">
        <v>1710</v>
      </c>
      <c r="M829" t="s">
        <v>1709</v>
      </c>
      <c r="N829" s="1"/>
      <c r="O829" t="s">
        <v>476</v>
      </c>
      <c r="P829" s="1">
        <f>0.5*0.67</f>
        <v>0.33500000000000002</v>
      </c>
      <c r="Q829" s="1" t="s">
        <v>1636</v>
      </c>
      <c r="R829" t="s">
        <v>1059</v>
      </c>
      <c r="S829" t="s">
        <v>1137</v>
      </c>
      <c r="T829" t="s">
        <v>529</v>
      </c>
      <c r="U829" s="1">
        <v>0.3</v>
      </c>
    </row>
    <row r="830" spans="1:22" x14ac:dyDescent="0.3">
      <c r="A830" t="s">
        <v>522</v>
      </c>
      <c r="B830" t="str">
        <f ca="1">OFFSET(Industries!C$1,MATCH(Table1[[#This Row],[Ticker]],Industries!$A$2:$A$150,0),0)</f>
        <v>Energy</v>
      </c>
      <c r="C830" t="str">
        <f ca="1">OFFSET(Industries!D$1,MATCH(Table1[[#This Row],[Ticker]],Industries!$A$2:$A$150,0),0)</f>
        <v>Energy</v>
      </c>
      <c r="D830" t="str">
        <f ca="1">OFFSET(Industries!E$1,MATCH(Table1[[#This Row],[Ticker]],Industries!$A$2:$A$150,0),0)</f>
        <v>Oil, Gas and Consumable Fuels</v>
      </c>
      <c r="E830" t="s">
        <v>290</v>
      </c>
      <c r="F830" t="str">
        <f ca="1">OFFSET(Industries!B$1,MATCH(Table1[[#This Row],[Ticker]],Industries!$A$2:$A$140,0),0)</f>
        <v>Mega-Cap</v>
      </c>
      <c r="G830" t="str">
        <f ca="1">OFFSET(Industries!F$1,MATCH(Table1[[#This Row],[Ticker]],Industries!$A$2:$A$140,0),0)</f>
        <v>AA-</v>
      </c>
      <c r="H830" t="s">
        <v>1434</v>
      </c>
      <c r="I830" t="s">
        <v>1434</v>
      </c>
      <c r="J830" s="2">
        <v>45392</v>
      </c>
      <c r="K830" t="s">
        <v>2</v>
      </c>
      <c r="L830" t="s">
        <v>1710</v>
      </c>
      <c r="M830" t="s">
        <v>1709</v>
      </c>
      <c r="N830" s="1"/>
      <c r="O830" t="s">
        <v>476</v>
      </c>
      <c r="P830" s="1">
        <f>0.5*0.78</f>
        <v>0.39</v>
      </c>
      <c r="R830" t="s">
        <v>28</v>
      </c>
      <c r="S830" t="s">
        <v>1088</v>
      </c>
      <c r="T830" t="s">
        <v>55</v>
      </c>
      <c r="V830" t="s">
        <v>531</v>
      </c>
    </row>
    <row r="831" spans="1:22" x14ac:dyDescent="0.3">
      <c r="A831" t="s">
        <v>522</v>
      </c>
      <c r="B831" t="str">
        <f ca="1">OFFSET(Industries!C$1,MATCH(Table1[[#This Row],[Ticker]],Industries!$A$2:$A$150,0),0)</f>
        <v>Energy</v>
      </c>
      <c r="C831" t="str">
        <f ca="1">OFFSET(Industries!D$1,MATCH(Table1[[#This Row],[Ticker]],Industries!$A$2:$A$150,0),0)</f>
        <v>Energy</v>
      </c>
      <c r="D831" t="str">
        <f ca="1">OFFSET(Industries!E$1,MATCH(Table1[[#This Row],[Ticker]],Industries!$A$2:$A$150,0),0)</f>
        <v>Oil, Gas and Consumable Fuels</v>
      </c>
      <c r="E831" t="s">
        <v>290</v>
      </c>
      <c r="F831" t="str">
        <f ca="1">OFFSET(Industries!B$1,MATCH(Table1[[#This Row],[Ticker]],Industries!$A$2:$A$140,0),0)</f>
        <v>Mega-Cap</v>
      </c>
      <c r="G831" t="str">
        <f ca="1">OFFSET(Industries!F$1,MATCH(Table1[[#This Row],[Ticker]],Industries!$A$2:$A$140,0),0)</f>
        <v>AA-</v>
      </c>
      <c r="H831" t="s">
        <v>1434</v>
      </c>
      <c r="I831" t="s">
        <v>1434</v>
      </c>
      <c r="J831" s="2">
        <v>45392</v>
      </c>
      <c r="K831" t="s">
        <v>21</v>
      </c>
      <c r="L831" t="s">
        <v>1710</v>
      </c>
      <c r="M831" t="s">
        <v>1711</v>
      </c>
      <c r="N831" s="1">
        <f>Table1[[#This Row],[Consideration Weight]]</f>
        <v>0.16750000000000001</v>
      </c>
      <c r="O831" t="s">
        <v>194</v>
      </c>
      <c r="P831" s="1">
        <f>0.25*0.67</f>
        <v>0.16750000000000001</v>
      </c>
    </row>
    <row r="832" spans="1:22" x14ac:dyDescent="0.3">
      <c r="A832" t="s">
        <v>522</v>
      </c>
      <c r="B832" t="str">
        <f ca="1">OFFSET(Industries!C$1,MATCH(Table1[[#This Row],[Ticker]],Industries!$A$2:$A$150,0),0)</f>
        <v>Energy</v>
      </c>
      <c r="C832" t="str">
        <f ca="1">OFFSET(Industries!D$1,MATCH(Table1[[#This Row],[Ticker]],Industries!$A$2:$A$150,0),0)</f>
        <v>Energy</v>
      </c>
      <c r="D832" t="str">
        <f ca="1">OFFSET(Industries!E$1,MATCH(Table1[[#This Row],[Ticker]],Industries!$A$2:$A$150,0),0)</f>
        <v>Oil, Gas and Consumable Fuels</v>
      </c>
      <c r="E832" t="s">
        <v>290</v>
      </c>
      <c r="F832" t="str">
        <f ca="1">OFFSET(Industries!B$1,MATCH(Table1[[#This Row],[Ticker]],Industries!$A$2:$A$140,0),0)</f>
        <v>Mega-Cap</v>
      </c>
      <c r="G832" t="str">
        <f ca="1">OFFSET(Industries!F$1,MATCH(Table1[[#This Row],[Ticker]],Industries!$A$2:$A$140,0),0)</f>
        <v>AA-</v>
      </c>
      <c r="H832" t="s">
        <v>1434</v>
      </c>
      <c r="I832" t="s">
        <v>1434</v>
      </c>
      <c r="J832" s="2">
        <v>45392</v>
      </c>
      <c r="K832" t="s">
        <v>21</v>
      </c>
      <c r="L832" t="s">
        <v>1710</v>
      </c>
      <c r="M832" t="s">
        <v>1711</v>
      </c>
      <c r="N832" s="1">
        <f>Table1[[#This Row],[Consideration Weight]]</f>
        <v>0.16750000000000001</v>
      </c>
      <c r="O832" t="s">
        <v>87</v>
      </c>
      <c r="P832" s="1">
        <f>0.25*0.67</f>
        <v>0.16750000000000001</v>
      </c>
    </row>
    <row r="833" spans="1:22" x14ac:dyDescent="0.3">
      <c r="A833" t="s">
        <v>533</v>
      </c>
      <c r="B833" t="str">
        <f ca="1">OFFSET(Industries!C$1,MATCH(Table1[[#This Row],[Ticker]],Industries!$A$2:$A$150,0),0)</f>
        <v>Health Care</v>
      </c>
      <c r="C833" t="str">
        <f ca="1">OFFSET(Industries!D$1,MATCH(Table1[[#This Row],[Ticker]],Industries!$A$2:$A$150,0),0)</f>
        <v>Health Care Equipment and Services</v>
      </c>
      <c r="D833" t="str">
        <f ca="1">OFFSET(Industries!E$1,MATCH(Table1[[#This Row],[Ticker]],Industries!$A$2:$A$150,0),0)</f>
        <v>Health Care Providers and Services</v>
      </c>
      <c r="E833" t="s">
        <v>534</v>
      </c>
      <c r="F833" t="str">
        <f ca="1">OFFSET(Industries!B$1,MATCH(Table1[[#This Row],[Ticker]],Industries!$A$2:$A$140,0),0)</f>
        <v>Ultra-Cap</v>
      </c>
      <c r="G833" t="str">
        <f ca="1">OFFSET(Industries!F$1,MATCH(Table1[[#This Row],[Ticker]],Industries!$A$2:$A$140,0),0)</f>
        <v>BBB</v>
      </c>
      <c r="H833" t="s">
        <v>1434</v>
      </c>
      <c r="I833" t="s">
        <v>1434</v>
      </c>
      <c r="J833" s="2">
        <v>45387</v>
      </c>
      <c r="K833" t="s">
        <v>2</v>
      </c>
      <c r="L833" t="s">
        <v>3</v>
      </c>
      <c r="M833" t="s">
        <v>1711</v>
      </c>
      <c r="N833" s="1">
        <f>Table1[[#This Row],[Consideration Weight]]</f>
        <v>0.08</v>
      </c>
      <c r="O833" t="s">
        <v>3</v>
      </c>
      <c r="P833" s="1">
        <v>0.08</v>
      </c>
    </row>
    <row r="834" spans="1:22" x14ac:dyDescent="0.3">
      <c r="A834" t="s">
        <v>533</v>
      </c>
      <c r="B834" t="str">
        <f ca="1">OFFSET(Industries!C$1,MATCH(Table1[[#This Row],[Ticker]],Industries!$A$2:$A$150,0),0)</f>
        <v>Health Care</v>
      </c>
      <c r="C834" t="str">
        <f ca="1">OFFSET(Industries!D$1,MATCH(Table1[[#This Row],[Ticker]],Industries!$A$2:$A$150,0),0)</f>
        <v>Health Care Equipment and Services</v>
      </c>
      <c r="D834" t="str">
        <f ca="1">OFFSET(Industries!E$1,MATCH(Table1[[#This Row],[Ticker]],Industries!$A$2:$A$150,0),0)</f>
        <v>Health Care Providers and Services</v>
      </c>
      <c r="E834" t="s">
        <v>534</v>
      </c>
      <c r="F834" t="str">
        <f ca="1">OFFSET(Industries!B$1,MATCH(Table1[[#This Row],[Ticker]],Industries!$A$2:$A$140,0),0)</f>
        <v>Ultra-Cap</v>
      </c>
      <c r="G834" t="str">
        <f ca="1">OFFSET(Industries!F$1,MATCH(Table1[[#This Row],[Ticker]],Industries!$A$2:$A$140,0),0)</f>
        <v>BBB</v>
      </c>
      <c r="H834" t="s">
        <v>1434</v>
      </c>
      <c r="I834" t="s">
        <v>1434</v>
      </c>
      <c r="J834" s="2">
        <v>45387</v>
      </c>
      <c r="K834" t="s">
        <v>2</v>
      </c>
      <c r="L834" t="s">
        <v>1708</v>
      </c>
      <c r="M834" t="s">
        <v>1709</v>
      </c>
      <c r="N834" s="1">
        <f>Table1[[#This Row],[Consideration Weight]]</f>
        <v>0.15</v>
      </c>
      <c r="O834" t="s">
        <v>4</v>
      </c>
      <c r="P834" s="1">
        <v>0.15</v>
      </c>
      <c r="Q834" s="1" t="s">
        <v>1636</v>
      </c>
      <c r="R834" t="s">
        <v>24</v>
      </c>
      <c r="S834" t="s">
        <v>90</v>
      </c>
      <c r="T834" t="s">
        <v>8</v>
      </c>
      <c r="U834" s="1">
        <v>0.8</v>
      </c>
      <c r="V834" t="s">
        <v>536</v>
      </c>
    </row>
    <row r="835" spans="1:22" x14ac:dyDescent="0.3">
      <c r="A835" t="s">
        <v>533</v>
      </c>
      <c r="B835" t="str">
        <f ca="1">OFFSET(Industries!C$1,MATCH(Table1[[#This Row],[Ticker]],Industries!$A$2:$A$150,0),0)</f>
        <v>Health Care</v>
      </c>
      <c r="C835" t="str">
        <f ca="1">OFFSET(Industries!D$1,MATCH(Table1[[#This Row],[Ticker]],Industries!$A$2:$A$150,0),0)</f>
        <v>Health Care Equipment and Services</v>
      </c>
      <c r="D835" t="str">
        <f ca="1">OFFSET(Industries!E$1,MATCH(Table1[[#This Row],[Ticker]],Industries!$A$2:$A$150,0),0)</f>
        <v>Health Care Providers and Services</v>
      </c>
      <c r="E835" t="s">
        <v>534</v>
      </c>
      <c r="F835" t="str">
        <f ca="1">OFFSET(Industries!B$1,MATCH(Table1[[#This Row],[Ticker]],Industries!$A$2:$A$140,0),0)</f>
        <v>Ultra-Cap</v>
      </c>
      <c r="G835" t="str">
        <f ca="1">OFFSET(Industries!F$1,MATCH(Table1[[#This Row],[Ticker]],Industries!$A$2:$A$140,0),0)</f>
        <v>BBB</v>
      </c>
      <c r="H835" t="s">
        <v>1434</v>
      </c>
      <c r="I835" t="s">
        <v>1434</v>
      </c>
      <c r="J835" s="2">
        <v>45387</v>
      </c>
      <c r="K835" t="s">
        <v>2</v>
      </c>
      <c r="L835" t="s">
        <v>1708</v>
      </c>
      <c r="M835" t="s">
        <v>1709</v>
      </c>
      <c r="N835" s="1"/>
      <c r="O835" t="s">
        <v>4</v>
      </c>
      <c r="P835" s="1">
        <v>0.15</v>
      </c>
      <c r="Q835" s="1" t="s">
        <v>1637</v>
      </c>
      <c r="R835" t="s">
        <v>25</v>
      </c>
      <c r="S835" t="s">
        <v>1130</v>
      </c>
      <c r="T835" t="s">
        <v>535</v>
      </c>
      <c r="U835" s="1">
        <v>0.2</v>
      </c>
    </row>
    <row r="836" spans="1:22" x14ac:dyDescent="0.3">
      <c r="A836" t="s">
        <v>533</v>
      </c>
      <c r="B836" t="str">
        <f ca="1">OFFSET(Industries!C$1,MATCH(Table1[[#This Row],[Ticker]],Industries!$A$2:$A$150,0),0)</f>
        <v>Health Care</v>
      </c>
      <c r="C836" t="str">
        <f ca="1">OFFSET(Industries!D$1,MATCH(Table1[[#This Row],[Ticker]],Industries!$A$2:$A$150,0),0)</f>
        <v>Health Care Equipment and Services</v>
      </c>
      <c r="D836" t="str">
        <f ca="1">OFFSET(Industries!E$1,MATCH(Table1[[#This Row],[Ticker]],Industries!$A$2:$A$150,0),0)</f>
        <v>Health Care Providers and Services</v>
      </c>
      <c r="E836" t="s">
        <v>534</v>
      </c>
      <c r="F836" t="str">
        <f ca="1">OFFSET(Industries!B$1,MATCH(Table1[[#This Row],[Ticker]],Industries!$A$2:$A$140,0),0)</f>
        <v>Ultra-Cap</v>
      </c>
      <c r="G836" t="str">
        <f ca="1">OFFSET(Industries!F$1,MATCH(Table1[[#This Row],[Ticker]],Industries!$A$2:$A$140,0),0)</f>
        <v>BBB</v>
      </c>
      <c r="H836" t="s">
        <v>1434</v>
      </c>
      <c r="I836" t="s">
        <v>1434</v>
      </c>
      <c r="J836" s="2">
        <v>45387</v>
      </c>
      <c r="K836" t="s">
        <v>2</v>
      </c>
      <c r="L836" t="s">
        <v>1708</v>
      </c>
      <c r="M836" t="s">
        <v>1709</v>
      </c>
      <c r="N836" s="1"/>
      <c r="O836" t="s">
        <v>4</v>
      </c>
      <c r="P836" s="1">
        <v>0.15</v>
      </c>
      <c r="R836" t="s">
        <v>28</v>
      </c>
      <c r="S836" t="s">
        <v>1087</v>
      </c>
      <c r="T836" t="s">
        <v>40</v>
      </c>
      <c r="V836" t="s">
        <v>537</v>
      </c>
    </row>
    <row r="837" spans="1:22" x14ac:dyDescent="0.3">
      <c r="A837" t="s">
        <v>533</v>
      </c>
      <c r="B837" t="str">
        <f ca="1">OFFSET(Industries!C$1,MATCH(Table1[[#This Row],[Ticker]],Industries!$A$2:$A$150,0),0)</f>
        <v>Health Care</v>
      </c>
      <c r="C837" t="str">
        <f ca="1">OFFSET(Industries!D$1,MATCH(Table1[[#This Row],[Ticker]],Industries!$A$2:$A$150,0),0)</f>
        <v>Health Care Equipment and Services</v>
      </c>
      <c r="D837" t="str">
        <f ca="1">OFFSET(Industries!E$1,MATCH(Table1[[#This Row],[Ticker]],Industries!$A$2:$A$150,0),0)</f>
        <v>Health Care Providers and Services</v>
      </c>
      <c r="E837" t="s">
        <v>534</v>
      </c>
      <c r="F837" t="str">
        <f ca="1">OFFSET(Industries!B$1,MATCH(Table1[[#This Row],[Ticker]],Industries!$A$2:$A$140,0),0)</f>
        <v>Ultra-Cap</v>
      </c>
      <c r="G837" t="str">
        <f ca="1">OFFSET(Industries!F$1,MATCH(Table1[[#This Row],[Ticker]],Industries!$A$2:$A$140,0),0)</f>
        <v>BBB</v>
      </c>
      <c r="H837" t="s">
        <v>1434</v>
      </c>
      <c r="I837" t="s">
        <v>1434</v>
      </c>
      <c r="J837" s="2">
        <v>45387</v>
      </c>
      <c r="K837" t="s">
        <v>2</v>
      </c>
      <c r="L837" t="s">
        <v>1708</v>
      </c>
      <c r="M837" t="s">
        <v>1709</v>
      </c>
      <c r="N837" s="1"/>
      <c r="O837" t="s">
        <v>4</v>
      </c>
      <c r="P837" s="1">
        <v>0.15</v>
      </c>
      <c r="R837" t="s">
        <v>28</v>
      </c>
      <c r="S837" t="s">
        <v>1093</v>
      </c>
      <c r="T837" t="s">
        <v>538</v>
      </c>
      <c r="V837" t="s">
        <v>1773</v>
      </c>
    </row>
    <row r="838" spans="1:22" x14ac:dyDescent="0.3">
      <c r="A838" t="s">
        <v>533</v>
      </c>
      <c r="B838" t="str">
        <f ca="1">OFFSET(Industries!C$1,MATCH(Table1[[#This Row],[Ticker]],Industries!$A$2:$A$150,0),0)</f>
        <v>Health Care</v>
      </c>
      <c r="C838" t="str">
        <f ca="1">OFFSET(Industries!D$1,MATCH(Table1[[#This Row],[Ticker]],Industries!$A$2:$A$150,0),0)</f>
        <v>Health Care Equipment and Services</v>
      </c>
      <c r="D838" t="str">
        <f ca="1">OFFSET(Industries!E$1,MATCH(Table1[[#This Row],[Ticker]],Industries!$A$2:$A$150,0),0)</f>
        <v>Health Care Providers and Services</v>
      </c>
      <c r="E838" t="s">
        <v>534</v>
      </c>
      <c r="F838" t="str">
        <f ca="1">OFFSET(Industries!B$1,MATCH(Table1[[#This Row],[Ticker]],Industries!$A$2:$A$140,0),0)</f>
        <v>Ultra-Cap</v>
      </c>
      <c r="G838" t="str">
        <f ca="1">OFFSET(Industries!F$1,MATCH(Table1[[#This Row],[Ticker]],Industries!$A$2:$A$140,0),0)</f>
        <v>BBB</v>
      </c>
      <c r="H838" t="s">
        <v>1434</v>
      </c>
      <c r="I838" t="s">
        <v>1434</v>
      </c>
      <c r="J838" s="2">
        <v>45387</v>
      </c>
      <c r="K838" t="s">
        <v>2</v>
      </c>
      <c r="L838" t="s">
        <v>1710</v>
      </c>
      <c r="M838" t="s">
        <v>1709</v>
      </c>
      <c r="N838" s="1">
        <f>Table1[[#This Row],[Consideration Weight]]</f>
        <v>0.46199999999999997</v>
      </c>
      <c r="O838" t="s">
        <v>476</v>
      </c>
      <c r="P838" s="1">
        <f>0.77*0.6</f>
        <v>0.46199999999999997</v>
      </c>
      <c r="Q838" s="1" t="s">
        <v>1636</v>
      </c>
      <c r="R838" t="s">
        <v>24</v>
      </c>
      <c r="S838" t="s">
        <v>1089</v>
      </c>
      <c r="T838" t="s">
        <v>539</v>
      </c>
      <c r="U838" s="1">
        <v>0.7</v>
      </c>
      <c r="V838" t="s">
        <v>540</v>
      </c>
    </row>
    <row r="839" spans="1:22" x14ac:dyDescent="0.3">
      <c r="A839" t="s">
        <v>533</v>
      </c>
      <c r="B839" t="str">
        <f ca="1">OFFSET(Industries!C$1,MATCH(Table1[[#This Row],[Ticker]],Industries!$A$2:$A$150,0),0)</f>
        <v>Health Care</v>
      </c>
      <c r="C839" t="str">
        <f ca="1">OFFSET(Industries!D$1,MATCH(Table1[[#This Row],[Ticker]],Industries!$A$2:$A$150,0),0)</f>
        <v>Health Care Equipment and Services</v>
      </c>
      <c r="D839" t="str">
        <f ca="1">OFFSET(Industries!E$1,MATCH(Table1[[#This Row],[Ticker]],Industries!$A$2:$A$150,0),0)</f>
        <v>Health Care Providers and Services</v>
      </c>
      <c r="E839" t="s">
        <v>534</v>
      </c>
      <c r="F839" t="str">
        <f ca="1">OFFSET(Industries!B$1,MATCH(Table1[[#This Row],[Ticker]],Industries!$A$2:$A$140,0),0)</f>
        <v>Ultra-Cap</v>
      </c>
      <c r="G839" t="str">
        <f ca="1">OFFSET(Industries!F$1,MATCH(Table1[[#This Row],[Ticker]],Industries!$A$2:$A$140,0),0)</f>
        <v>BBB</v>
      </c>
      <c r="H839" t="s">
        <v>1434</v>
      </c>
      <c r="I839" t="s">
        <v>1434</v>
      </c>
      <c r="J839" s="2">
        <v>45387</v>
      </c>
      <c r="K839" t="s">
        <v>2</v>
      </c>
      <c r="L839" t="s">
        <v>1710</v>
      </c>
      <c r="M839" t="s">
        <v>1709</v>
      </c>
      <c r="N839" s="1"/>
      <c r="O839" t="s">
        <v>476</v>
      </c>
      <c r="P839" s="1">
        <f>0.77*0.6</f>
        <v>0.46199999999999997</v>
      </c>
      <c r="Q839" s="1" t="s">
        <v>1637</v>
      </c>
      <c r="R839" t="s">
        <v>25</v>
      </c>
      <c r="S839" t="s">
        <v>1086</v>
      </c>
      <c r="T839" t="s">
        <v>64</v>
      </c>
      <c r="U839" s="1">
        <v>0.3</v>
      </c>
      <c r="V839" t="s">
        <v>542</v>
      </c>
    </row>
    <row r="840" spans="1:22" x14ac:dyDescent="0.3">
      <c r="A840" t="s">
        <v>533</v>
      </c>
      <c r="B840" t="str">
        <f ca="1">OFFSET(Industries!C$1,MATCH(Table1[[#This Row],[Ticker]],Industries!$A$2:$A$150,0),0)</f>
        <v>Health Care</v>
      </c>
      <c r="C840" t="str">
        <f ca="1">OFFSET(Industries!D$1,MATCH(Table1[[#This Row],[Ticker]],Industries!$A$2:$A$150,0),0)</f>
        <v>Health Care Equipment and Services</v>
      </c>
      <c r="D840" t="str">
        <f ca="1">OFFSET(Industries!E$1,MATCH(Table1[[#This Row],[Ticker]],Industries!$A$2:$A$150,0),0)</f>
        <v>Health Care Providers and Services</v>
      </c>
      <c r="E840" t="s">
        <v>534</v>
      </c>
      <c r="F840" t="str">
        <f ca="1">OFFSET(Industries!B$1,MATCH(Table1[[#This Row],[Ticker]],Industries!$A$2:$A$140,0),0)</f>
        <v>Ultra-Cap</v>
      </c>
      <c r="G840" t="str">
        <f ca="1">OFFSET(Industries!F$1,MATCH(Table1[[#This Row],[Ticker]],Industries!$A$2:$A$140,0),0)</f>
        <v>BBB</v>
      </c>
      <c r="H840" t="s">
        <v>1434</v>
      </c>
      <c r="I840" t="s">
        <v>1434</v>
      </c>
      <c r="J840" s="2">
        <v>45387</v>
      </c>
      <c r="K840" t="s">
        <v>2</v>
      </c>
      <c r="L840" t="s">
        <v>1710</v>
      </c>
      <c r="M840" t="s">
        <v>1709</v>
      </c>
      <c r="N840" s="1"/>
      <c r="O840" t="s">
        <v>476</v>
      </c>
      <c r="P840" s="1">
        <f>0.77*0.6</f>
        <v>0.46199999999999997</v>
      </c>
      <c r="R840" t="s">
        <v>28</v>
      </c>
      <c r="S840" t="s">
        <v>1085</v>
      </c>
      <c r="T840" t="s">
        <v>30</v>
      </c>
      <c r="V840" t="s">
        <v>543</v>
      </c>
    </row>
    <row r="841" spans="1:22" x14ac:dyDescent="0.3">
      <c r="A841" t="s">
        <v>533</v>
      </c>
      <c r="B841" t="str">
        <f ca="1">OFFSET(Industries!C$1,MATCH(Table1[[#This Row],[Ticker]],Industries!$A$2:$A$150,0),0)</f>
        <v>Health Care</v>
      </c>
      <c r="C841" t="str">
        <f ca="1">OFFSET(Industries!D$1,MATCH(Table1[[#This Row],[Ticker]],Industries!$A$2:$A$150,0),0)</f>
        <v>Health Care Equipment and Services</v>
      </c>
      <c r="D841" t="str">
        <f ca="1">OFFSET(Industries!E$1,MATCH(Table1[[#This Row],[Ticker]],Industries!$A$2:$A$150,0),0)</f>
        <v>Health Care Providers and Services</v>
      </c>
      <c r="E841" t="s">
        <v>534</v>
      </c>
      <c r="F841" t="str">
        <f ca="1">OFFSET(Industries!B$1,MATCH(Table1[[#This Row],[Ticker]],Industries!$A$2:$A$140,0),0)</f>
        <v>Ultra-Cap</v>
      </c>
      <c r="G841" t="str">
        <f ca="1">OFFSET(Industries!F$1,MATCH(Table1[[#This Row],[Ticker]],Industries!$A$2:$A$140,0),0)</f>
        <v>BBB</v>
      </c>
      <c r="H841" t="s">
        <v>1434</v>
      </c>
      <c r="I841" t="s">
        <v>1434</v>
      </c>
      <c r="J841" s="2">
        <v>45387</v>
      </c>
      <c r="K841" t="s">
        <v>2</v>
      </c>
      <c r="L841" t="s">
        <v>1710</v>
      </c>
      <c r="M841" t="s">
        <v>1709</v>
      </c>
      <c r="N841" s="1"/>
      <c r="O841" t="s">
        <v>476</v>
      </c>
      <c r="P841" s="1">
        <f>0.77*0.6</f>
        <v>0.46199999999999997</v>
      </c>
      <c r="R841" t="s">
        <v>28</v>
      </c>
      <c r="S841" t="s">
        <v>1095</v>
      </c>
      <c r="T841" t="s">
        <v>55</v>
      </c>
      <c r="V841" t="s">
        <v>541</v>
      </c>
    </row>
    <row r="842" spans="1:22" x14ac:dyDescent="0.3">
      <c r="A842" t="s">
        <v>533</v>
      </c>
      <c r="B842" t="str">
        <f ca="1">OFFSET(Industries!C$1,MATCH(Table1[[#This Row],[Ticker]],Industries!$A$2:$A$150,0),0)</f>
        <v>Health Care</v>
      </c>
      <c r="C842" t="str">
        <f ca="1">OFFSET(Industries!D$1,MATCH(Table1[[#This Row],[Ticker]],Industries!$A$2:$A$150,0),0)</f>
        <v>Health Care Equipment and Services</v>
      </c>
      <c r="D842" t="str">
        <f ca="1">OFFSET(Industries!E$1,MATCH(Table1[[#This Row],[Ticker]],Industries!$A$2:$A$150,0),0)</f>
        <v>Health Care Providers and Services</v>
      </c>
      <c r="E842" t="s">
        <v>534</v>
      </c>
      <c r="F842" t="str">
        <f ca="1">OFFSET(Industries!B$1,MATCH(Table1[[#This Row],[Ticker]],Industries!$A$2:$A$140,0),0)</f>
        <v>Ultra-Cap</v>
      </c>
      <c r="G842" t="str">
        <f ca="1">OFFSET(Industries!F$1,MATCH(Table1[[#This Row],[Ticker]],Industries!$A$2:$A$140,0),0)</f>
        <v>BBB</v>
      </c>
      <c r="H842" t="s">
        <v>1434</v>
      </c>
      <c r="I842" t="s">
        <v>1434</v>
      </c>
      <c r="J842" s="2">
        <v>45387</v>
      </c>
      <c r="K842" t="s">
        <v>2</v>
      </c>
      <c r="L842" t="s">
        <v>1710</v>
      </c>
      <c r="M842" t="s">
        <v>1711</v>
      </c>
      <c r="N842" s="1">
        <f>Table1[[#This Row],[Consideration Weight]]</f>
        <v>0.15400000000000003</v>
      </c>
      <c r="O842" t="s">
        <v>194</v>
      </c>
      <c r="P842" s="1">
        <f>0.77*0.2</f>
        <v>0.15400000000000003</v>
      </c>
    </row>
    <row r="843" spans="1:22" x14ac:dyDescent="0.3">
      <c r="A843" t="s">
        <v>533</v>
      </c>
      <c r="B843" t="str">
        <f ca="1">OFFSET(Industries!C$1,MATCH(Table1[[#This Row],[Ticker]],Industries!$A$2:$A$150,0),0)</f>
        <v>Health Care</v>
      </c>
      <c r="C843" t="str">
        <f ca="1">OFFSET(Industries!D$1,MATCH(Table1[[#This Row],[Ticker]],Industries!$A$2:$A$150,0),0)</f>
        <v>Health Care Equipment and Services</v>
      </c>
      <c r="D843" t="str">
        <f ca="1">OFFSET(Industries!E$1,MATCH(Table1[[#This Row],[Ticker]],Industries!$A$2:$A$150,0),0)</f>
        <v>Health Care Providers and Services</v>
      </c>
      <c r="E843" t="s">
        <v>534</v>
      </c>
      <c r="F843" t="str">
        <f ca="1">OFFSET(Industries!B$1,MATCH(Table1[[#This Row],[Ticker]],Industries!$A$2:$A$140,0),0)</f>
        <v>Ultra-Cap</v>
      </c>
      <c r="G843" t="str">
        <f ca="1">OFFSET(Industries!F$1,MATCH(Table1[[#This Row],[Ticker]],Industries!$A$2:$A$140,0),0)</f>
        <v>BBB</v>
      </c>
      <c r="H843" t="s">
        <v>1434</v>
      </c>
      <c r="I843" t="s">
        <v>1434</v>
      </c>
      <c r="J843" s="2">
        <v>45387</v>
      </c>
      <c r="K843" t="s">
        <v>2</v>
      </c>
      <c r="L843" t="s">
        <v>1710</v>
      </c>
      <c r="M843" t="s">
        <v>1711</v>
      </c>
      <c r="N843" s="1">
        <f>Table1[[#This Row],[Consideration Weight]]</f>
        <v>0.15400000000000003</v>
      </c>
      <c r="O843" t="s">
        <v>87</v>
      </c>
      <c r="P843" s="1">
        <f>0.77*0.2</f>
        <v>0.15400000000000003</v>
      </c>
    </row>
    <row r="844" spans="1:22" x14ac:dyDescent="0.3">
      <c r="A844" t="s">
        <v>533</v>
      </c>
      <c r="B844" t="str">
        <f ca="1">OFFSET(Industries!C$1,MATCH(Table1[[#This Row],[Ticker]],Industries!$A$2:$A$150,0),0)</f>
        <v>Health Care</v>
      </c>
      <c r="C844" t="str">
        <f ca="1">OFFSET(Industries!D$1,MATCH(Table1[[#This Row],[Ticker]],Industries!$A$2:$A$150,0),0)</f>
        <v>Health Care Equipment and Services</v>
      </c>
      <c r="D844" t="str">
        <f ca="1">OFFSET(Industries!E$1,MATCH(Table1[[#This Row],[Ticker]],Industries!$A$2:$A$150,0),0)</f>
        <v>Health Care Providers and Services</v>
      </c>
      <c r="E844" t="s">
        <v>534</v>
      </c>
      <c r="F844" t="str">
        <f ca="1">OFFSET(Industries!B$1,MATCH(Table1[[#This Row],[Ticker]],Industries!$A$2:$A$140,0),0)</f>
        <v>Ultra-Cap</v>
      </c>
      <c r="G844" t="str">
        <f ca="1">OFFSET(Industries!F$1,MATCH(Table1[[#This Row],[Ticker]],Industries!$A$2:$A$140,0),0)</f>
        <v>BBB</v>
      </c>
      <c r="H844" t="s">
        <v>1434</v>
      </c>
      <c r="I844" t="s">
        <v>1434</v>
      </c>
      <c r="J844" s="2">
        <v>45387</v>
      </c>
      <c r="K844" t="s">
        <v>21</v>
      </c>
      <c r="L844" t="s">
        <v>3</v>
      </c>
      <c r="M844" t="s">
        <v>1711</v>
      </c>
      <c r="N844" s="1">
        <f>Table1[[#This Row],[Consideration Weight]]</f>
        <v>0.13</v>
      </c>
      <c r="O844" t="s">
        <v>3</v>
      </c>
      <c r="P844" s="1">
        <v>0.13</v>
      </c>
    </row>
    <row r="845" spans="1:22" x14ac:dyDescent="0.3">
      <c r="A845" t="s">
        <v>533</v>
      </c>
      <c r="B845" t="str">
        <f ca="1">OFFSET(Industries!C$1,MATCH(Table1[[#This Row],[Ticker]],Industries!$A$2:$A$150,0),0)</f>
        <v>Health Care</v>
      </c>
      <c r="C845" t="str">
        <f ca="1">OFFSET(Industries!D$1,MATCH(Table1[[#This Row],[Ticker]],Industries!$A$2:$A$150,0),0)</f>
        <v>Health Care Equipment and Services</v>
      </c>
      <c r="D845" t="str">
        <f ca="1">OFFSET(Industries!E$1,MATCH(Table1[[#This Row],[Ticker]],Industries!$A$2:$A$150,0),0)</f>
        <v>Health Care Providers and Services</v>
      </c>
      <c r="E845" t="s">
        <v>534</v>
      </c>
      <c r="F845" t="str">
        <f ca="1">OFFSET(Industries!B$1,MATCH(Table1[[#This Row],[Ticker]],Industries!$A$2:$A$140,0),0)</f>
        <v>Ultra-Cap</v>
      </c>
      <c r="G845" t="str">
        <f ca="1">OFFSET(Industries!F$1,MATCH(Table1[[#This Row],[Ticker]],Industries!$A$2:$A$140,0),0)</f>
        <v>BBB</v>
      </c>
      <c r="H845" t="s">
        <v>1434</v>
      </c>
      <c r="I845" t="s">
        <v>1434</v>
      </c>
      <c r="J845" s="2">
        <v>45387</v>
      </c>
      <c r="K845" t="s">
        <v>21</v>
      </c>
      <c r="L845" t="s">
        <v>1708</v>
      </c>
      <c r="M845" t="s">
        <v>1709</v>
      </c>
      <c r="N845" s="1">
        <f>Table1[[#This Row],[Consideration Weight]]</f>
        <v>0.2</v>
      </c>
      <c r="O845" t="s">
        <v>4</v>
      </c>
      <c r="P845" s="1">
        <v>0.2</v>
      </c>
      <c r="Q845" s="1" t="s">
        <v>1636</v>
      </c>
      <c r="R845" t="s">
        <v>24</v>
      </c>
      <c r="S845" t="s">
        <v>90</v>
      </c>
      <c r="T845" t="s">
        <v>8</v>
      </c>
      <c r="U845" s="1">
        <v>0.8</v>
      </c>
    </row>
    <row r="846" spans="1:22" x14ac:dyDescent="0.3">
      <c r="A846" t="s">
        <v>533</v>
      </c>
      <c r="B846" t="str">
        <f ca="1">OFFSET(Industries!C$1,MATCH(Table1[[#This Row],[Ticker]],Industries!$A$2:$A$150,0),0)</f>
        <v>Health Care</v>
      </c>
      <c r="C846" t="str">
        <f ca="1">OFFSET(Industries!D$1,MATCH(Table1[[#This Row],[Ticker]],Industries!$A$2:$A$150,0),0)</f>
        <v>Health Care Equipment and Services</v>
      </c>
      <c r="D846" t="str">
        <f ca="1">OFFSET(Industries!E$1,MATCH(Table1[[#This Row],[Ticker]],Industries!$A$2:$A$150,0),0)</f>
        <v>Health Care Providers and Services</v>
      </c>
      <c r="E846" t="s">
        <v>534</v>
      </c>
      <c r="F846" t="str">
        <f ca="1">OFFSET(Industries!B$1,MATCH(Table1[[#This Row],[Ticker]],Industries!$A$2:$A$140,0),0)</f>
        <v>Ultra-Cap</v>
      </c>
      <c r="G846" t="str">
        <f ca="1">OFFSET(Industries!F$1,MATCH(Table1[[#This Row],[Ticker]],Industries!$A$2:$A$140,0),0)</f>
        <v>BBB</v>
      </c>
      <c r="H846" t="s">
        <v>1434</v>
      </c>
      <c r="I846" t="s">
        <v>1434</v>
      </c>
      <c r="J846" s="2">
        <v>45387</v>
      </c>
      <c r="K846" t="s">
        <v>21</v>
      </c>
      <c r="L846" t="s">
        <v>1708</v>
      </c>
      <c r="M846" t="s">
        <v>1709</v>
      </c>
      <c r="N846" s="1"/>
      <c r="O846" t="s">
        <v>4</v>
      </c>
      <c r="P846" s="1">
        <v>0.2</v>
      </c>
      <c r="Q846" s="1" t="s">
        <v>1637</v>
      </c>
      <c r="R846" t="s">
        <v>25</v>
      </c>
      <c r="S846" t="s">
        <v>1130</v>
      </c>
      <c r="T846" t="s">
        <v>535</v>
      </c>
      <c r="U846" s="1">
        <v>0.2</v>
      </c>
    </row>
    <row r="847" spans="1:22" x14ac:dyDescent="0.3">
      <c r="A847" t="s">
        <v>533</v>
      </c>
      <c r="B847" t="str">
        <f ca="1">OFFSET(Industries!C$1,MATCH(Table1[[#This Row],[Ticker]],Industries!$A$2:$A$150,0),0)</f>
        <v>Health Care</v>
      </c>
      <c r="C847" t="str">
        <f ca="1">OFFSET(Industries!D$1,MATCH(Table1[[#This Row],[Ticker]],Industries!$A$2:$A$150,0),0)</f>
        <v>Health Care Equipment and Services</v>
      </c>
      <c r="D847" t="str">
        <f ca="1">OFFSET(Industries!E$1,MATCH(Table1[[#This Row],[Ticker]],Industries!$A$2:$A$150,0),0)</f>
        <v>Health Care Providers and Services</v>
      </c>
      <c r="E847" t="s">
        <v>534</v>
      </c>
      <c r="F847" t="str">
        <f ca="1">OFFSET(Industries!B$1,MATCH(Table1[[#This Row],[Ticker]],Industries!$A$2:$A$140,0),0)</f>
        <v>Ultra-Cap</v>
      </c>
      <c r="G847" t="str">
        <f ca="1">OFFSET(Industries!F$1,MATCH(Table1[[#This Row],[Ticker]],Industries!$A$2:$A$140,0),0)</f>
        <v>BBB</v>
      </c>
      <c r="H847" t="s">
        <v>1434</v>
      </c>
      <c r="I847" t="s">
        <v>1434</v>
      </c>
      <c r="J847" s="2">
        <v>45387</v>
      </c>
      <c r="K847" t="s">
        <v>21</v>
      </c>
      <c r="L847" t="s">
        <v>1708</v>
      </c>
      <c r="M847" t="s">
        <v>1709</v>
      </c>
      <c r="N847" s="1"/>
      <c r="O847" t="s">
        <v>4</v>
      </c>
      <c r="P847" s="1">
        <v>0.2</v>
      </c>
      <c r="R847" t="s">
        <v>28</v>
      </c>
      <c r="S847" t="s">
        <v>1087</v>
      </c>
      <c r="T847" t="s">
        <v>40</v>
      </c>
    </row>
    <row r="848" spans="1:22" x14ac:dyDescent="0.3">
      <c r="A848" t="s">
        <v>533</v>
      </c>
      <c r="B848" t="str">
        <f ca="1">OFFSET(Industries!C$1,MATCH(Table1[[#This Row],[Ticker]],Industries!$A$2:$A$150,0),0)</f>
        <v>Health Care</v>
      </c>
      <c r="C848" t="str">
        <f ca="1">OFFSET(Industries!D$1,MATCH(Table1[[#This Row],[Ticker]],Industries!$A$2:$A$150,0),0)</f>
        <v>Health Care Equipment and Services</v>
      </c>
      <c r="D848" t="str">
        <f ca="1">OFFSET(Industries!E$1,MATCH(Table1[[#This Row],[Ticker]],Industries!$A$2:$A$150,0),0)</f>
        <v>Health Care Providers and Services</v>
      </c>
      <c r="E848" t="s">
        <v>534</v>
      </c>
      <c r="F848" t="str">
        <f ca="1">OFFSET(Industries!B$1,MATCH(Table1[[#This Row],[Ticker]],Industries!$A$2:$A$140,0),0)</f>
        <v>Ultra-Cap</v>
      </c>
      <c r="G848" t="str">
        <f ca="1">OFFSET(Industries!F$1,MATCH(Table1[[#This Row],[Ticker]],Industries!$A$2:$A$140,0),0)</f>
        <v>BBB</v>
      </c>
      <c r="H848" t="s">
        <v>1434</v>
      </c>
      <c r="I848" t="s">
        <v>1434</v>
      </c>
      <c r="J848" s="2">
        <v>45387</v>
      </c>
      <c r="K848" t="s">
        <v>21</v>
      </c>
      <c r="L848" t="s">
        <v>1708</v>
      </c>
      <c r="M848" t="s">
        <v>1709</v>
      </c>
      <c r="N848" s="1"/>
      <c r="O848" t="s">
        <v>4</v>
      </c>
      <c r="P848" s="1">
        <v>0.2</v>
      </c>
      <c r="R848" t="s">
        <v>28</v>
      </c>
      <c r="S848" t="s">
        <v>1093</v>
      </c>
      <c r="T848" t="s">
        <v>538</v>
      </c>
    </row>
    <row r="849" spans="1:22" x14ac:dyDescent="0.3">
      <c r="A849" t="s">
        <v>533</v>
      </c>
      <c r="B849" t="str">
        <f ca="1">OFFSET(Industries!C$1,MATCH(Table1[[#This Row],[Ticker]],Industries!$A$2:$A$150,0),0)</f>
        <v>Health Care</v>
      </c>
      <c r="C849" t="str">
        <f ca="1">OFFSET(Industries!D$1,MATCH(Table1[[#This Row],[Ticker]],Industries!$A$2:$A$150,0),0)</f>
        <v>Health Care Equipment and Services</v>
      </c>
      <c r="D849" t="str">
        <f ca="1">OFFSET(Industries!E$1,MATCH(Table1[[#This Row],[Ticker]],Industries!$A$2:$A$150,0),0)</f>
        <v>Health Care Providers and Services</v>
      </c>
      <c r="E849" t="s">
        <v>534</v>
      </c>
      <c r="F849" t="str">
        <f ca="1">OFFSET(Industries!B$1,MATCH(Table1[[#This Row],[Ticker]],Industries!$A$2:$A$140,0),0)</f>
        <v>Ultra-Cap</v>
      </c>
      <c r="G849" t="str">
        <f ca="1">OFFSET(Industries!F$1,MATCH(Table1[[#This Row],[Ticker]],Industries!$A$2:$A$140,0),0)</f>
        <v>BBB</v>
      </c>
      <c r="H849" t="s">
        <v>1434</v>
      </c>
      <c r="I849" t="s">
        <v>1434</v>
      </c>
      <c r="J849" s="2">
        <v>45387</v>
      </c>
      <c r="K849" t="s">
        <v>21</v>
      </c>
      <c r="L849" t="s">
        <v>1710</v>
      </c>
      <c r="M849" t="s">
        <v>1709</v>
      </c>
      <c r="N849" s="1">
        <f>Table1[[#This Row],[Consideration Weight]]</f>
        <v>0.40200000000000002</v>
      </c>
      <c r="O849" t="s">
        <v>476</v>
      </c>
      <c r="P849" s="1">
        <f>0.67*0.6</f>
        <v>0.40200000000000002</v>
      </c>
      <c r="Q849" s="1" t="s">
        <v>1636</v>
      </c>
      <c r="R849" t="s">
        <v>24</v>
      </c>
      <c r="S849" t="s">
        <v>1089</v>
      </c>
      <c r="T849" t="s">
        <v>539</v>
      </c>
      <c r="U849" s="1">
        <v>0.7</v>
      </c>
    </row>
    <row r="850" spans="1:22" x14ac:dyDescent="0.3">
      <c r="A850" t="s">
        <v>533</v>
      </c>
      <c r="B850" t="str">
        <f ca="1">OFFSET(Industries!C$1,MATCH(Table1[[#This Row],[Ticker]],Industries!$A$2:$A$150,0),0)</f>
        <v>Health Care</v>
      </c>
      <c r="C850" t="str">
        <f ca="1">OFFSET(Industries!D$1,MATCH(Table1[[#This Row],[Ticker]],Industries!$A$2:$A$150,0),0)</f>
        <v>Health Care Equipment and Services</v>
      </c>
      <c r="D850" t="str">
        <f ca="1">OFFSET(Industries!E$1,MATCH(Table1[[#This Row],[Ticker]],Industries!$A$2:$A$150,0),0)</f>
        <v>Health Care Providers and Services</v>
      </c>
      <c r="E850" t="s">
        <v>534</v>
      </c>
      <c r="F850" t="str">
        <f ca="1">OFFSET(Industries!B$1,MATCH(Table1[[#This Row],[Ticker]],Industries!$A$2:$A$140,0),0)</f>
        <v>Ultra-Cap</v>
      </c>
      <c r="G850" t="str">
        <f ca="1">OFFSET(Industries!F$1,MATCH(Table1[[#This Row],[Ticker]],Industries!$A$2:$A$140,0),0)</f>
        <v>BBB</v>
      </c>
      <c r="H850" t="s">
        <v>1434</v>
      </c>
      <c r="I850" t="s">
        <v>1434</v>
      </c>
      <c r="J850" s="2">
        <v>45387</v>
      </c>
      <c r="K850" t="s">
        <v>21</v>
      </c>
      <c r="L850" t="s">
        <v>1710</v>
      </c>
      <c r="M850" t="s">
        <v>1709</v>
      </c>
      <c r="N850" s="1"/>
      <c r="O850" t="s">
        <v>476</v>
      </c>
      <c r="P850" s="1">
        <f t="shared" ref="P850:P852" si="14">0.67*0.6</f>
        <v>0.40200000000000002</v>
      </c>
      <c r="Q850" s="1" t="s">
        <v>1637</v>
      </c>
      <c r="R850" t="s">
        <v>25</v>
      </c>
      <c r="S850" t="s">
        <v>1086</v>
      </c>
      <c r="T850" t="s">
        <v>64</v>
      </c>
      <c r="U850" s="1">
        <v>0.3</v>
      </c>
    </row>
    <row r="851" spans="1:22" x14ac:dyDescent="0.3">
      <c r="A851" t="s">
        <v>533</v>
      </c>
      <c r="B851" t="str">
        <f ca="1">OFFSET(Industries!C$1,MATCH(Table1[[#This Row],[Ticker]],Industries!$A$2:$A$150,0),0)</f>
        <v>Health Care</v>
      </c>
      <c r="C851" t="str">
        <f ca="1">OFFSET(Industries!D$1,MATCH(Table1[[#This Row],[Ticker]],Industries!$A$2:$A$150,0),0)</f>
        <v>Health Care Equipment and Services</v>
      </c>
      <c r="D851" t="str">
        <f ca="1">OFFSET(Industries!E$1,MATCH(Table1[[#This Row],[Ticker]],Industries!$A$2:$A$150,0),0)</f>
        <v>Health Care Providers and Services</v>
      </c>
      <c r="E851" t="s">
        <v>534</v>
      </c>
      <c r="F851" t="str">
        <f ca="1">OFFSET(Industries!B$1,MATCH(Table1[[#This Row],[Ticker]],Industries!$A$2:$A$140,0),0)</f>
        <v>Ultra-Cap</v>
      </c>
      <c r="G851" t="str">
        <f ca="1">OFFSET(Industries!F$1,MATCH(Table1[[#This Row],[Ticker]],Industries!$A$2:$A$140,0),0)</f>
        <v>BBB</v>
      </c>
      <c r="H851" t="s">
        <v>1434</v>
      </c>
      <c r="I851" t="s">
        <v>1434</v>
      </c>
      <c r="J851" s="2">
        <v>45387</v>
      </c>
      <c r="K851" t="s">
        <v>21</v>
      </c>
      <c r="L851" t="s">
        <v>1710</v>
      </c>
      <c r="M851" t="s">
        <v>1709</v>
      </c>
      <c r="N851" s="1"/>
      <c r="O851" t="s">
        <v>476</v>
      </c>
      <c r="P851" s="1">
        <f t="shared" si="14"/>
        <v>0.40200000000000002</v>
      </c>
      <c r="R851" t="s">
        <v>28</v>
      </c>
      <c r="S851" t="s">
        <v>1085</v>
      </c>
      <c r="T851" t="s">
        <v>30</v>
      </c>
    </row>
    <row r="852" spans="1:22" x14ac:dyDescent="0.3">
      <c r="A852" t="s">
        <v>533</v>
      </c>
      <c r="B852" t="str">
        <f ca="1">OFFSET(Industries!C$1,MATCH(Table1[[#This Row],[Ticker]],Industries!$A$2:$A$150,0),0)</f>
        <v>Health Care</v>
      </c>
      <c r="C852" t="str">
        <f ca="1">OFFSET(Industries!D$1,MATCH(Table1[[#This Row],[Ticker]],Industries!$A$2:$A$150,0),0)</f>
        <v>Health Care Equipment and Services</v>
      </c>
      <c r="D852" t="str">
        <f ca="1">OFFSET(Industries!E$1,MATCH(Table1[[#This Row],[Ticker]],Industries!$A$2:$A$150,0),0)</f>
        <v>Health Care Providers and Services</v>
      </c>
      <c r="E852" t="s">
        <v>534</v>
      </c>
      <c r="F852" t="str">
        <f ca="1">OFFSET(Industries!B$1,MATCH(Table1[[#This Row],[Ticker]],Industries!$A$2:$A$140,0),0)</f>
        <v>Ultra-Cap</v>
      </c>
      <c r="G852" t="str">
        <f ca="1">OFFSET(Industries!F$1,MATCH(Table1[[#This Row],[Ticker]],Industries!$A$2:$A$140,0),0)</f>
        <v>BBB</v>
      </c>
      <c r="H852" t="s">
        <v>1434</v>
      </c>
      <c r="I852" t="s">
        <v>1434</v>
      </c>
      <c r="J852" s="2">
        <v>45387</v>
      </c>
      <c r="K852" t="s">
        <v>21</v>
      </c>
      <c r="L852" t="s">
        <v>1710</v>
      </c>
      <c r="M852" t="s">
        <v>1709</v>
      </c>
      <c r="N852" s="1"/>
      <c r="O852" t="s">
        <v>476</v>
      </c>
      <c r="P852" s="1">
        <f t="shared" si="14"/>
        <v>0.40200000000000002</v>
      </c>
      <c r="R852" t="s">
        <v>28</v>
      </c>
      <c r="S852" t="s">
        <v>1095</v>
      </c>
      <c r="T852" t="s">
        <v>55</v>
      </c>
    </row>
    <row r="853" spans="1:22" x14ac:dyDescent="0.3">
      <c r="A853" t="s">
        <v>533</v>
      </c>
      <c r="B853" t="str">
        <f ca="1">OFFSET(Industries!C$1,MATCH(Table1[[#This Row],[Ticker]],Industries!$A$2:$A$150,0),0)</f>
        <v>Health Care</v>
      </c>
      <c r="C853" t="str">
        <f ca="1">OFFSET(Industries!D$1,MATCH(Table1[[#This Row],[Ticker]],Industries!$A$2:$A$150,0),0)</f>
        <v>Health Care Equipment and Services</v>
      </c>
      <c r="D853" t="str">
        <f ca="1">OFFSET(Industries!E$1,MATCH(Table1[[#This Row],[Ticker]],Industries!$A$2:$A$150,0),0)</f>
        <v>Health Care Providers and Services</v>
      </c>
      <c r="E853" t="s">
        <v>534</v>
      </c>
      <c r="F853" t="str">
        <f ca="1">OFFSET(Industries!B$1,MATCH(Table1[[#This Row],[Ticker]],Industries!$A$2:$A$140,0),0)</f>
        <v>Ultra-Cap</v>
      </c>
      <c r="G853" t="str">
        <f ca="1">OFFSET(Industries!F$1,MATCH(Table1[[#This Row],[Ticker]],Industries!$A$2:$A$140,0),0)</f>
        <v>BBB</v>
      </c>
      <c r="H853" t="s">
        <v>1434</v>
      </c>
      <c r="I853" t="s">
        <v>1434</v>
      </c>
      <c r="J853" s="2">
        <v>45387</v>
      </c>
      <c r="K853" t="s">
        <v>21</v>
      </c>
      <c r="L853" t="s">
        <v>1710</v>
      </c>
      <c r="M853" t="s">
        <v>1711</v>
      </c>
      <c r="N853" s="1">
        <f>Table1[[#This Row],[Consideration Weight]]</f>
        <v>0.13400000000000001</v>
      </c>
      <c r="O853" t="s">
        <v>194</v>
      </c>
      <c r="P853" s="1">
        <f>0.67*0.2</f>
        <v>0.13400000000000001</v>
      </c>
    </row>
    <row r="854" spans="1:22" x14ac:dyDescent="0.3">
      <c r="A854" t="s">
        <v>533</v>
      </c>
      <c r="B854" t="str">
        <f ca="1">OFFSET(Industries!C$1,MATCH(Table1[[#This Row],[Ticker]],Industries!$A$2:$A$150,0),0)</f>
        <v>Health Care</v>
      </c>
      <c r="C854" t="str">
        <f ca="1">OFFSET(Industries!D$1,MATCH(Table1[[#This Row],[Ticker]],Industries!$A$2:$A$150,0),0)</f>
        <v>Health Care Equipment and Services</v>
      </c>
      <c r="D854" t="str">
        <f ca="1">OFFSET(Industries!E$1,MATCH(Table1[[#This Row],[Ticker]],Industries!$A$2:$A$150,0),0)</f>
        <v>Health Care Providers and Services</v>
      </c>
      <c r="E854" t="s">
        <v>534</v>
      </c>
      <c r="F854" t="str">
        <f ca="1">OFFSET(Industries!B$1,MATCH(Table1[[#This Row],[Ticker]],Industries!$A$2:$A$140,0),0)</f>
        <v>Ultra-Cap</v>
      </c>
      <c r="G854" t="str">
        <f ca="1">OFFSET(Industries!F$1,MATCH(Table1[[#This Row],[Ticker]],Industries!$A$2:$A$140,0),0)</f>
        <v>BBB</v>
      </c>
      <c r="H854" t="s">
        <v>1434</v>
      </c>
      <c r="I854" t="s">
        <v>1434</v>
      </c>
      <c r="J854" s="2">
        <v>45387</v>
      </c>
      <c r="K854" t="s">
        <v>21</v>
      </c>
      <c r="L854" t="s">
        <v>1710</v>
      </c>
      <c r="M854" t="s">
        <v>1711</v>
      </c>
      <c r="N854" s="1">
        <f>Table1[[#This Row],[Consideration Weight]]</f>
        <v>0.13400000000000001</v>
      </c>
      <c r="O854" t="s">
        <v>87</v>
      </c>
      <c r="P854" s="1">
        <f>0.67*0.2</f>
        <v>0.13400000000000001</v>
      </c>
    </row>
    <row r="855" spans="1:22" x14ac:dyDescent="0.3">
      <c r="A855" t="s">
        <v>544</v>
      </c>
      <c r="B855" t="str">
        <f ca="1">OFFSET(Industries!C$1,MATCH(Table1[[#This Row],[Ticker]],Industries!$A$2:$A$150,0),0)</f>
        <v>Materials</v>
      </c>
      <c r="C855" t="str">
        <f ca="1">OFFSET(Industries!D$1,MATCH(Table1[[#This Row],[Ticker]],Industries!$A$2:$A$150,0),0)</f>
        <v>Materials</v>
      </c>
      <c r="D855" t="str">
        <f ca="1">OFFSET(Industries!E$1,MATCH(Table1[[#This Row],[Ticker]],Industries!$A$2:$A$150,0),0)</f>
        <v>Metals and Mining</v>
      </c>
      <c r="E855" t="s">
        <v>545</v>
      </c>
      <c r="F855" t="str">
        <f ca="1">OFFSET(Industries!B$1,MATCH(Table1[[#This Row],[Ticker]],Industries!$A$2:$A$140,0),0)</f>
        <v>Ultra-Cap</v>
      </c>
      <c r="G855" t="str">
        <f ca="1">OFFSET(Industries!F$1,MATCH(Table1[[#This Row],[Ticker]],Industries!$A$2:$A$140,0),0)</f>
        <v>BBB-</v>
      </c>
      <c r="H855" t="s">
        <v>1434</v>
      </c>
      <c r="I855" t="s">
        <v>1434</v>
      </c>
      <c r="J855" s="2">
        <v>45408</v>
      </c>
      <c r="K855" t="s">
        <v>2</v>
      </c>
      <c r="L855" t="s">
        <v>3</v>
      </c>
      <c r="M855" t="s">
        <v>1711</v>
      </c>
      <c r="N855" s="1">
        <f>Table1[[#This Row],[Consideration Weight]]</f>
        <v>0.1</v>
      </c>
      <c r="O855" t="s">
        <v>3</v>
      </c>
      <c r="P855" s="1">
        <v>0.1</v>
      </c>
    </row>
    <row r="856" spans="1:22" x14ac:dyDescent="0.3">
      <c r="A856" t="s">
        <v>544</v>
      </c>
      <c r="B856" t="str">
        <f ca="1">OFFSET(Industries!C$1,MATCH(Table1[[#This Row],[Ticker]],Industries!$A$2:$A$150,0),0)</f>
        <v>Materials</v>
      </c>
      <c r="C856" t="str">
        <f ca="1">OFFSET(Industries!D$1,MATCH(Table1[[#This Row],[Ticker]],Industries!$A$2:$A$150,0),0)</f>
        <v>Materials</v>
      </c>
      <c r="D856" t="str">
        <f ca="1">OFFSET(Industries!E$1,MATCH(Table1[[#This Row],[Ticker]],Industries!$A$2:$A$150,0),0)</f>
        <v>Metals and Mining</v>
      </c>
      <c r="E856" t="s">
        <v>545</v>
      </c>
      <c r="F856" t="str">
        <f ca="1">OFFSET(Industries!B$1,MATCH(Table1[[#This Row],[Ticker]],Industries!$A$2:$A$140,0),0)</f>
        <v>Ultra-Cap</v>
      </c>
      <c r="G856" t="str">
        <f ca="1">OFFSET(Industries!F$1,MATCH(Table1[[#This Row],[Ticker]],Industries!$A$2:$A$140,0),0)</f>
        <v>BBB-</v>
      </c>
      <c r="H856" t="s">
        <v>1434</v>
      </c>
      <c r="I856" t="s">
        <v>1434</v>
      </c>
      <c r="J856" s="2">
        <v>45408</v>
      </c>
      <c r="K856" t="s">
        <v>2</v>
      </c>
      <c r="L856" t="s">
        <v>1708</v>
      </c>
      <c r="M856" t="s">
        <v>1709</v>
      </c>
      <c r="N856" s="1">
        <f>Table1[[#This Row],[Consideration Weight]]</f>
        <v>0.18</v>
      </c>
      <c r="O856" t="s">
        <v>4</v>
      </c>
      <c r="P856" s="1">
        <v>0.18</v>
      </c>
      <c r="Q856" s="1" t="s">
        <v>1636</v>
      </c>
      <c r="R856" t="s">
        <v>24</v>
      </c>
      <c r="S856" t="s">
        <v>1104</v>
      </c>
      <c r="T856" t="s">
        <v>153</v>
      </c>
      <c r="U856" s="1">
        <v>0.3</v>
      </c>
      <c r="V856" t="s">
        <v>554</v>
      </c>
    </row>
    <row r="857" spans="1:22" x14ac:dyDescent="0.3">
      <c r="A857" t="s">
        <v>544</v>
      </c>
      <c r="B857" t="str">
        <f ca="1">OFFSET(Industries!C$1,MATCH(Table1[[#This Row],[Ticker]],Industries!$A$2:$A$150,0),0)</f>
        <v>Materials</v>
      </c>
      <c r="C857" t="str">
        <f ca="1">OFFSET(Industries!D$1,MATCH(Table1[[#This Row],[Ticker]],Industries!$A$2:$A$150,0),0)</f>
        <v>Materials</v>
      </c>
      <c r="D857" t="str">
        <f ca="1">OFFSET(Industries!E$1,MATCH(Table1[[#This Row],[Ticker]],Industries!$A$2:$A$150,0),0)</f>
        <v>Metals and Mining</v>
      </c>
      <c r="E857" t="s">
        <v>545</v>
      </c>
      <c r="F857" t="str">
        <f ca="1">OFFSET(Industries!B$1,MATCH(Table1[[#This Row],[Ticker]],Industries!$A$2:$A$140,0),0)</f>
        <v>Ultra-Cap</v>
      </c>
      <c r="G857" t="str">
        <f ca="1">OFFSET(Industries!F$1,MATCH(Table1[[#This Row],[Ticker]],Industries!$A$2:$A$140,0),0)</f>
        <v>BBB-</v>
      </c>
      <c r="H857" t="s">
        <v>1434</v>
      </c>
      <c r="I857" t="s">
        <v>1434</v>
      </c>
      <c r="J857" s="2">
        <v>45408</v>
      </c>
      <c r="K857" t="s">
        <v>2</v>
      </c>
      <c r="L857" t="s">
        <v>1708</v>
      </c>
      <c r="M857" t="s">
        <v>1709</v>
      </c>
      <c r="N857" s="1"/>
      <c r="O857" t="s">
        <v>4</v>
      </c>
      <c r="P857" s="1">
        <v>0.18</v>
      </c>
      <c r="Q857" s="1" t="s">
        <v>1636</v>
      </c>
      <c r="R857" t="s">
        <v>23</v>
      </c>
      <c r="S857" t="s">
        <v>1090</v>
      </c>
      <c r="T857" t="s">
        <v>546</v>
      </c>
      <c r="U857" s="1">
        <v>0.2</v>
      </c>
    </row>
    <row r="858" spans="1:22" x14ac:dyDescent="0.3">
      <c r="A858" t="s">
        <v>544</v>
      </c>
      <c r="B858" t="str">
        <f ca="1">OFFSET(Industries!C$1,MATCH(Table1[[#This Row],[Ticker]],Industries!$A$2:$A$150,0),0)</f>
        <v>Materials</v>
      </c>
      <c r="C858" t="str">
        <f ca="1">OFFSET(Industries!D$1,MATCH(Table1[[#This Row],[Ticker]],Industries!$A$2:$A$150,0),0)</f>
        <v>Materials</v>
      </c>
      <c r="D858" t="str">
        <f ca="1">OFFSET(Industries!E$1,MATCH(Table1[[#This Row],[Ticker]],Industries!$A$2:$A$150,0),0)</f>
        <v>Metals and Mining</v>
      </c>
      <c r="E858" t="s">
        <v>545</v>
      </c>
      <c r="F858" t="str">
        <f ca="1">OFFSET(Industries!B$1,MATCH(Table1[[#This Row],[Ticker]],Industries!$A$2:$A$140,0),0)</f>
        <v>Ultra-Cap</v>
      </c>
      <c r="G858" t="str">
        <f ca="1">OFFSET(Industries!F$1,MATCH(Table1[[#This Row],[Ticker]],Industries!$A$2:$A$140,0),0)</f>
        <v>BBB-</v>
      </c>
      <c r="H858" t="s">
        <v>1434</v>
      </c>
      <c r="I858" t="s">
        <v>1434</v>
      </c>
      <c r="J858" s="2">
        <v>45408</v>
      </c>
      <c r="K858" t="s">
        <v>2</v>
      </c>
      <c r="L858" t="s">
        <v>1708</v>
      </c>
      <c r="M858" t="s">
        <v>1709</v>
      </c>
      <c r="N858" s="1"/>
      <c r="O858" t="s">
        <v>4</v>
      </c>
      <c r="P858" s="1">
        <v>0.18</v>
      </c>
      <c r="Q858" s="1" t="s">
        <v>1637</v>
      </c>
      <c r="R858" t="s">
        <v>26</v>
      </c>
      <c r="S858" t="s">
        <v>814</v>
      </c>
      <c r="T858" t="s">
        <v>295</v>
      </c>
      <c r="U858" s="1">
        <v>0.15</v>
      </c>
    </row>
    <row r="859" spans="1:22" x14ac:dyDescent="0.3">
      <c r="A859" t="s">
        <v>544</v>
      </c>
      <c r="B859" t="str">
        <f ca="1">OFFSET(Industries!C$1,MATCH(Table1[[#This Row],[Ticker]],Industries!$A$2:$A$150,0),0)</f>
        <v>Materials</v>
      </c>
      <c r="C859" t="str">
        <f ca="1">OFFSET(Industries!D$1,MATCH(Table1[[#This Row],[Ticker]],Industries!$A$2:$A$150,0),0)</f>
        <v>Materials</v>
      </c>
      <c r="D859" t="str">
        <f ca="1">OFFSET(Industries!E$1,MATCH(Table1[[#This Row],[Ticker]],Industries!$A$2:$A$150,0),0)</f>
        <v>Metals and Mining</v>
      </c>
      <c r="E859" t="s">
        <v>545</v>
      </c>
      <c r="F859" t="str">
        <f ca="1">OFFSET(Industries!B$1,MATCH(Table1[[#This Row],[Ticker]],Industries!$A$2:$A$140,0),0)</f>
        <v>Ultra-Cap</v>
      </c>
      <c r="G859" t="str">
        <f ca="1">OFFSET(Industries!F$1,MATCH(Table1[[#This Row],[Ticker]],Industries!$A$2:$A$140,0),0)</f>
        <v>BBB-</v>
      </c>
      <c r="H859" t="s">
        <v>1434</v>
      </c>
      <c r="I859" t="s">
        <v>1434</v>
      </c>
      <c r="J859" s="2">
        <v>45408</v>
      </c>
      <c r="K859" t="s">
        <v>2</v>
      </c>
      <c r="L859" t="s">
        <v>1708</v>
      </c>
      <c r="M859" t="s">
        <v>1709</v>
      </c>
      <c r="N859" s="1"/>
      <c r="O859" t="s">
        <v>4</v>
      </c>
      <c r="P859" s="1">
        <v>0.18</v>
      </c>
      <c r="Q859" s="1" t="s">
        <v>1637</v>
      </c>
      <c r="R859" t="s">
        <v>26</v>
      </c>
      <c r="S859" t="s">
        <v>26</v>
      </c>
      <c r="T859" t="s">
        <v>547</v>
      </c>
      <c r="U859" s="1">
        <v>0.1</v>
      </c>
      <c r="V859" t="s">
        <v>557</v>
      </c>
    </row>
    <row r="860" spans="1:22" x14ac:dyDescent="0.3">
      <c r="A860" t="s">
        <v>544</v>
      </c>
      <c r="B860" t="str">
        <f ca="1">OFFSET(Industries!C$1,MATCH(Table1[[#This Row],[Ticker]],Industries!$A$2:$A$150,0),0)</f>
        <v>Materials</v>
      </c>
      <c r="C860" t="str">
        <f ca="1">OFFSET(Industries!D$1,MATCH(Table1[[#This Row],[Ticker]],Industries!$A$2:$A$150,0),0)</f>
        <v>Materials</v>
      </c>
      <c r="D860" t="str">
        <f ca="1">OFFSET(Industries!E$1,MATCH(Table1[[#This Row],[Ticker]],Industries!$A$2:$A$150,0),0)</f>
        <v>Metals and Mining</v>
      </c>
      <c r="E860" t="s">
        <v>545</v>
      </c>
      <c r="F860" t="str">
        <f ca="1">OFFSET(Industries!B$1,MATCH(Table1[[#This Row],[Ticker]],Industries!$A$2:$A$140,0),0)</f>
        <v>Ultra-Cap</v>
      </c>
      <c r="G860" t="str">
        <f ca="1">OFFSET(Industries!F$1,MATCH(Table1[[#This Row],[Ticker]],Industries!$A$2:$A$140,0),0)</f>
        <v>BBB-</v>
      </c>
      <c r="H860" t="s">
        <v>1434</v>
      </c>
      <c r="I860" t="s">
        <v>1434</v>
      </c>
      <c r="J860" s="2">
        <v>45408</v>
      </c>
      <c r="K860" t="s">
        <v>2</v>
      </c>
      <c r="L860" t="s">
        <v>1708</v>
      </c>
      <c r="M860" t="s">
        <v>1709</v>
      </c>
      <c r="N860" s="1"/>
      <c r="O860" t="s">
        <v>4</v>
      </c>
      <c r="P860" s="1">
        <v>0.18</v>
      </c>
      <c r="Q860" s="1" t="s">
        <v>1636</v>
      </c>
      <c r="R860" t="s">
        <v>24</v>
      </c>
      <c r="S860" t="s">
        <v>1086</v>
      </c>
      <c r="T860" t="s">
        <v>548</v>
      </c>
      <c r="U860" s="1">
        <v>0.1</v>
      </c>
      <c r="V860" t="s">
        <v>556</v>
      </c>
    </row>
    <row r="861" spans="1:22" x14ac:dyDescent="0.3">
      <c r="A861" t="s">
        <v>544</v>
      </c>
      <c r="B861" t="str">
        <f ca="1">OFFSET(Industries!C$1,MATCH(Table1[[#This Row],[Ticker]],Industries!$A$2:$A$150,0),0)</f>
        <v>Materials</v>
      </c>
      <c r="C861" t="str">
        <f ca="1">OFFSET(Industries!D$1,MATCH(Table1[[#This Row],[Ticker]],Industries!$A$2:$A$150,0),0)</f>
        <v>Materials</v>
      </c>
      <c r="D861" t="str">
        <f ca="1">OFFSET(Industries!E$1,MATCH(Table1[[#This Row],[Ticker]],Industries!$A$2:$A$150,0),0)</f>
        <v>Metals and Mining</v>
      </c>
      <c r="E861" t="s">
        <v>545</v>
      </c>
      <c r="F861" t="str">
        <f ca="1">OFFSET(Industries!B$1,MATCH(Table1[[#This Row],[Ticker]],Industries!$A$2:$A$140,0),0)</f>
        <v>Ultra-Cap</v>
      </c>
      <c r="G861" t="str">
        <f ca="1">OFFSET(Industries!F$1,MATCH(Table1[[#This Row],[Ticker]],Industries!$A$2:$A$140,0),0)</f>
        <v>BBB-</v>
      </c>
      <c r="H861" t="s">
        <v>1434</v>
      </c>
      <c r="I861" t="s">
        <v>1434</v>
      </c>
      <c r="J861" s="2">
        <v>45408</v>
      </c>
      <c r="K861" t="s">
        <v>2</v>
      </c>
      <c r="L861" t="s">
        <v>1708</v>
      </c>
      <c r="M861" t="s">
        <v>1709</v>
      </c>
      <c r="N861" s="1"/>
      <c r="O861" t="s">
        <v>4</v>
      </c>
      <c r="P861" s="1">
        <v>0.18</v>
      </c>
      <c r="Q861" s="1" t="s">
        <v>1636</v>
      </c>
      <c r="R861" t="s">
        <v>23</v>
      </c>
      <c r="S861" t="s">
        <v>1090</v>
      </c>
      <c r="T861" t="s">
        <v>549</v>
      </c>
      <c r="U861" s="1">
        <v>7.4999999999999997E-2</v>
      </c>
    </row>
    <row r="862" spans="1:22" x14ac:dyDescent="0.3">
      <c r="A862" t="s">
        <v>544</v>
      </c>
      <c r="B862" t="str">
        <f ca="1">OFFSET(Industries!C$1,MATCH(Table1[[#This Row],[Ticker]],Industries!$A$2:$A$150,0),0)</f>
        <v>Materials</v>
      </c>
      <c r="C862" t="str">
        <f ca="1">OFFSET(Industries!D$1,MATCH(Table1[[#This Row],[Ticker]],Industries!$A$2:$A$150,0),0)</f>
        <v>Materials</v>
      </c>
      <c r="D862" t="str">
        <f ca="1">OFFSET(Industries!E$1,MATCH(Table1[[#This Row],[Ticker]],Industries!$A$2:$A$150,0),0)</f>
        <v>Metals and Mining</v>
      </c>
      <c r="E862" t="s">
        <v>545</v>
      </c>
      <c r="F862" t="str">
        <f ca="1">OFFSET(Industries!B$1,MATCH(Table1[[#This Row],[Ticker]],Industries!$A$2:$A$140,0),0)</f>
        <v>Ultra-Cap</v>
      </c>
      <c r="G862" t="str">
        <f ca="1">OFFSET(Industries!F$1,MATCH(Table1[[#This Row],[Ticker]],Industries!$A$2:$A$140,0),0)</f>
        <v>BBB-</v>
      </c>
      <c r="H862" t="s">
        <v>1434</v>
      </c>
      <c r="I862" t="s">
        <v>1434</v>
      </c>
      <c r="J862" s="2">
        <v>45408</v>
      </c>
      <c r="K862" t="s">
        <v>2</v>
      </c>
      <c r="L862" t="s">
        <v>1708</v>
      </c>
      <c r="M862" t="s">
        <v>1709</v>
      </c>
      <c r="N862" s="1"/>
      <c r="O862" t="s">
        <v>4</v>
      </c>
      <c r="P862" s="1">
        <v>0.18</v>
      </c>
      <c r="Q862" s="1" t="s">
        <v>1637</v>
      </c>
      <c r="R862" t="s">
        <v>25</v>
      </c>
      <c r="S862" t="s">
        <v>1086</v>
      </c>
      <c r="T862" t="s">
        <v>550</v>
      </c>
      <c r="U862" s="1">
        <v>7.4999999999999997E-2</v>
      </c>
    </row>
    <row r="863" spans="1:22" x14ac:dyDescent="0.3">
      <c r="A863" t="s">
        <v>544</v>
      </c>
      <c r="B863" t="str">
        <f ca="1">OFFSET(Industries!C$1,MATCH(Table1[[#This Row],[Ticker]],Industries!$A$2:$A$150,0),0)</f>
        <v>Materials</v>
      </c>
      <c r="C863" t="str">
        <f ca="1">OFFSET(Industries!D$1,MATCH(Table1[[#This Row],[Ticker]],Industries!$A$2:$A$150,0),0)</f>
        <v>Materials</v>
      </c>
      <c r="D863" t="str">
        <f ca="1">OFFSET(Industries!E$1,MATCH(Table1[[#This Row],[Ticker]],Industries!$A$2:$A$150,0),0)</f>
        <v>Metals and Mining</v>
      </c>
      <c r="E863" t="s">
        <v>545</v>
      </c>
      <c r="F863" t="str">
        <f ca="1">OFFSET(Industries!B$1,MATCH(Table1[[#This Row],[Ticker]],Industries!$A$2:$A$140,0),0)</f>
        <v>Ultra-Cap</v>
      </c>
      <c r="G863" t="str">
        <f ca="1">OFFSET(Industries!F$1,MATCH(Table1[[#This Row],[Ticker]],Industries!$A$2:$A$140,0),0)</f>
        <v>BBB-</v>
      </c>
      <c r="H863" t="s">
        <v>1434</v>
      </c>
      <c r="I863" t="s">
        <v>1434</v>
      </c>
      <c r="J863" s="2">
        <v>45408</v>
      </c>
      <c r="K863" t="s">
        <v>2</v>
      </c>
      <c r="L863" t="s">
        <v>1708</v>
      </c>
      <c r="M863" t="s">
        <v>1709</v>
      </c>
      <c r="N863" s="1"/>
      <c r="O863" t="s">
        <v>4</v>
      </c>
      <c r="P863" s="1">
        <v>0.18</v>
      </c>
      <c r="R863" t="s">
        <v>28</v>
      </c>
      <c r="S863" t="s">
        <v>1110</v>
      </c>
      <c r="T863" t="s">
        <v>172</v>
      </c>
      <c r="V863" t="s">
        <v>551</v>
      </c>
    </row>
    <row r="864" spans="1:22" x14ac:dyDescent="0.3">
      <c r="A864" t="s">
        <v>544</v>
      </c>
      <c r="B864" t="str">
        <f ca="1">OFFSET(Industries!C$1,MATCH(Table1[[#This Row],[Ticker]],Industries!$A$2:$A$150,0),0)</f>
        <v>Materials</v>
      </c>
      <c r="C864" t="str">
        <f ca="1">OFFSET(Industries!D$1,MATCH(Table1[[#This Row],[Ticker]],Industries!$A$2:$A$150,0),0)</f>
        <v>Materials</v>
      </c>
      <c r="D864" t="str">
        <f ca="1">OFFSET(Industries!E$1,MATCH(Table1[[#This Row],[Ticker]],Industries!$A$2:$A$150,0),0)</f>
        <v>Metals and Mining</v>
      </c>
      <c r="E864" t="s">
        <v>545</v>
      </c>
      <c r="F864" t="str">
        <f ca="1">OFFSET(Industries!B$1,MATCH(Table1[[#This Row],[Ticker]],Industries!$A$2:$A$140,0),0)</f>
        <v>Ultra-Cap</v>
      </c>
      <c r="G864" t="str">
        <f ca="1">OFFSET(Industries!F$1,MATCH(Table1[[#This Row],[Ticker]],Industries!$A$2:$A$140,0),0)</f>
        <v>BBB-</v>
      </c>
      <c r="H864" t="s">
        <v>1434</v>
      </c>
      <c r="I864" t="s">
        <v>1434</v>
      </c>
      <c r="J864" s="2">
        <v>45408</v>
      </c>
      <c r="K864" t="s">
        <v>2</v>
      </c>
      <c r="L864" t="s">
        <v>1710</v>
      </c>
      <c r="M864" t="s">
        <v>1709</v>
      </c>
      <c r="N864" s="1">
        <f>Table1[[#This Row],[Consideration Weight]]</f>
        <v>0.54</v>
      </c>
      <c r="O864" t="s">
        <v>476</v>
      </c>
      <c r="P864" s="1">
        <v>0.54</v>
      </c>
      <c r="Q864" s="1" t="s">
        <v>1636</v>
      </c>
      <c r="R864" t="s">
        <v>1059</v>
      </c>
      <c r="S864" t="s">
        <v>1138</v>
      </c>
      <c r="T864" t="s">
        <v>552</v>
      </c>
      <c r="U864" s="1">
        <v>1</v>
      </c>
      <c r="V864" t="s">
        <v>555</v>
      </c>
    </row>
    <row r="865" spans="1:22" x14ac:dyDescent="0.3">
      <c r="A865" t="s">
        <v>544</v>
      </c>
      <c r="B865" t="str">
        <f ca="1">OFFSET(Industries!C$1,MATCH(Table1[[#This Row],[Ticker]],Industries!$A$2:$A$150,0),0)</f>
        <v>Materials</v>
      </c>
      <c r="C865" t="str">
        <f ca="1">OFFSET(Industries!D$1,MATCH(Table1[[#This Row],[Ticker]],Industries!$A$2:$A$150,0),0)</f>
        <v>Materials</v>
      </c>
      <c r="D865" t="str">
        <f ca="1">OFFSET(Industries!E$1,MATCH(Table1[[#This Row],[Ticker]],Industries!$A$2:$A$150,0),0)</f>
        <v>Metals and Mining</v>
      </c>
      <c r="E865" t="s">
        <v>545</v>
      </c>
      <c r="F865" t="str">
        <f ca="1">OFFSET(Industries!B$1,MATCH(Table1[[#This Row],[Ticker]],Industries!$A$2:$A$140,0),0)</f>
        <v>Ultra-Cap</v>
      </c>
      <c r="G865" t="str">
        <f ca="1">OFFSET(Industries!F$1,MATCH(Table1[[#This Row],[Ticker]],Industries!$A$2:$A$140,0),0)</f>
        <v>BBB-</v>
      </c>
      <c r="H865" t="s">
        <v>1434</v>
      </c>
      <c r="I865" t="s">
        <v>1434</v>
      </c>
      <c r="J865" s="2">
        <v>45408</v>
      </c>
      <c r="K865" t="s">
        <v>2</v>
      </c>
      <c r="L865" t="s">
        <v>1710</v>
      </c>
      <c r="M865" t="s">
        <v>1709</v>
      </c>
      <c r="N865" s="1"/>
      <c r="O865" t="s">
        <v>476</v>
      </c>
      <c r="P865" s="1">
        <v>0.54</v>
      </c>
      <c r="R865" t="s">
        <v>28</v>
      </c>
      <c r="S865" t="s">
        <v>1085</v>
      </c>
      <c r="T865" t="s">
        <v>200</v>
      </c>
      <c r="V865" t="s">
        <v>553</v>
      </c>
    </row>
    <row r="866" spans="1:22" x14ac:dyDescent="0.3">
      <c r="A866" t="s">
        <v>544</v>
      </c>
      <c r="B866" t="str">
        <f ca="1">OFFSET(Industries!C$1,MATCH(Table1[[#This Row],[Ticker]],Industries!$A$2:$A$150,0),0)</f>
        <v>Materials</v>
      </c>
      <c r="C866" t="str">
        <f ca="1">OFFSET(Industries!D$1,MATCH(Table1[[#This Row],[Ticker]],Industries!$A$2:$A$150,0),0)</f>
        <v>Materials</v>
      </c>
      <c r="D866" t="str">
        <f ca="1">OFFSET(Industries!E$1,MATCH(Table1[[#This Row],[Ticker]],Industries!$A$2:$A$150,0),0)</f>
        <v>Metals and Mining</v>
      </c>
      <c r="E866" t="s">
        <v>545</v>
      </c>
      <c r="F866" t="str">
        <f ca="1">OFFSET(Industries!B$1,MATCH(Table1[[#This Row],[Ticker]],Industries!$A$2:$A$140,0),0)</f>
        <v>Ultra-Cap</v>
      </c>
      <c r="G866" t="str">
        <f ca="1">OFFSET(Industries!F$1,MATCH(Table1[[#This Row],[Ticker]],Industries!$A$2:$A$140,0),0)</f>
        <v>BBB-</v>
      </c>
      <c r="H866" t="s">
        <v>1434</v>
      </c>
      <c r="I866" t="s">
        <v>1434</v>
      </c>
      <c r="J866" s="2">
        <v>45408</v>
      </c>
      <c r="K866" t="s">
        <v>2</v>
      </c>
      <c r="L866" t="s">
        <v>1710</v>
      </c>
      <c r="M866" t="s">
        <v>1711</v>
      </c>
      <c r="N866" s="1">
        <f>Table1[[#This Row],[Consideration Weight]]</f>
        <v>0.18</v>
      </c>
      <c r="O866" t="s">
        <v>194</v>
      </c>
      <c r="P866" s="1">
        <v>0.18</v>
      </c>
    </row>
    <row r="867" spans="1:22" x14ac:dyDescent="0.3">
      <c r="A867" t="s">
        <v>544</v>
      </c>
      <c r="B867" t="str">
        <f ca="1">OFFSET(Industries!C$1,MATCH(Table1[[#This Row],[Ticker]],Industries!$A$2:$A$150,0),0)</f>
        <v>Materials</v>
      </c>
      <c r="C867" t="str">
        <f ca="1">OFFSET(Industries!D$1,MATCH(Table1[[#This Row],[Ticker]],Industries!$A$2:$A$150,0),0)</f>
        <v>Materials</v>
      </c>
      <c r="D867" t="str">
        <f ca="1">OFFSET(Industries!E$1,MATCH(Table1[[#This Row],[Ticker]],Industries!$A$2:$A$150,0),0)</f>
        <v>Metals and Mining</v>
      </c>
      <c r="E867" t="s">
        <v>545</v>
      </c>
      <c r="F867" t="str">
        <f ca="1">OFFSET(Industries!B$1,MATCH(Table1[[#This Row],[Ticker]],Industries!$A$2:$A$140,0),0)</f>
        <v>Ultra-Cap</v>
      </c>
      <c r="G867" t="str">
        <f ca="1">OFFSET(Industries!F$1,MATCH(Table1[[#This Row],[Ticker]],Industries!$A$2:$A$140,0),0)</f>
        <v>BBB-</v>
      </c>
      <c r="H867" t="s">
        <v>1434</v>
      </c>
      <c r="I867" t="s">
        <v>1434</v>
      </c>
      <c r="J867" s="2">
        <v>45408</v>
      </c>
      <c r="K867" t="s">
        <v>21</v>
      </c>
      <c r="L867" t="s">
        <v>3</v>
      </c>
      <c r="M867" t="s">
        <v>1711</v>
      </c>
      <c r="N867" s="1">
        <f>Table1[[#This Row],[Consideration Weight]]</f>
        <v>0.16</v>
      </c>
      <c r="O867" t="s">
        <v>3</v>
      </c>
      <c r="P867" s="1">
        <v>0.16</v>
      </c>
    </row>
    <row r="868" spans="1:22" x14ac:dyDescent="0.3">
      <c r="A868" t="s">
        <v>544</v>
      </c>
      <c r="B868" t="str">
        <f ca="1">OFFSET(Industries!C$1,MATCH(Table1[[#This Row],[Ticker]],Industries!$A$2:$A$150,0),0)</f>
        <v>Materials</v>
      </c>
      <c r="C868" t="str">
        <f ca="1">OFFSET(Industries!D$1,MATCH(Table1[[#This Row],[Ticker]],Industries!$A$2:$A$150,0),0)</f>
        <v>Materials</v>
      </c>
      <c r="D868" t="str">
        <f ca="1">OFFSET(Industries!E$1,MATCH(Table1[[#This Row],[Ticker]],Industries!$A$2:$A$150,0),0)</f>
        <v>Metals and Mining</v>
      </c>
      <c r="E868" t="s">
        <v>545</v>
      </c>
      <c r="F868" t="str">
        <f ca="1">OFFSET(Industries!B$1,MATCH(Table1[[#This Row],[Ticker]],Industries!$A$2:$A$140,0),0)</f>
        <v>Ultra-Cap</v>
      </c>
      <c r="G868" t="str">
        <f ca="1">OFFSET(Industries!F$1,MATCH(Table1[[#This Row],[Ticker]],Industries!$A$2:$A$140,0),0)</f>
        <v>BBB-</v>
      </c>
      <c r="H868" t="s">
        <v>1434</v>
      </c>
      <c r="I868" t="s">
        <v>1434</v>
      </c>
      <c r="J868" s="2">
        <v>45408</v>
      </c>
      <c r="K868" t="s">
        <v>21</v>
      </c>
      <c r="L868" t="s">
        <v>1708</v>
      </c>
      <c r="M868" t="s">
        <v>1709</v>
      </c>
      <c r="N868" s="1">
        <f>Table1[[#This Row],[Consideration Weight]]</f>
        <v>0.22</v>
      </c>
      <c r="O868" t="s">
        <v>4</v>
      </c>
      <c r="P868" s="1">
        <v>0.22</v>
      </c>
      <c r="Q868" s="1" t="s">
        <v>1636</v>
      </c>
      <c r="R868" t="s">
        <v>24</v>
      </c>
      <c r="S868" t="s">
        <v>1104</v>
      </c>
      <c r="T868" t="s">
        <v>153</v>
      </c>
      <c r="U868" s="1">
        <v>0.3</v>
      </c>
    </row>
    <row r="869" spans="1:22" x14ac:dyDescent="0.3">
      <c r="A869" t="s">
        <v>544</v>
      </c>
      <c r="B869" t="str">
        <f ca="1">OFFSET(Industries!C$1,MATCH(Table1[[#This Row],[Ticker]],Industries!$A$2:$A$150,0),0)</f>
        <v>Materials</v>
      </c>
      <c r="C869" t="str">
        <f ca="1">OFFSET(Industries!D$1,MATCH(Table1[[#This Row],[Ticker]],Industries!$A$2:$A$150,0),0)</f>
        <v>Materials</v>
      </c>
      <c r="D869" t="str">
        <f ca="1">OFFSET(Industries!E$1,MATCH(Table1[[#This Row],[Ticker]],Industries!$A$2:$A$150,0),0)</f>
        <v>Metals and Mining</v>
      </c>
      <c r="E869" t="s">
        <v>545</v>
      </c>
      <c r="F869" t="str">
        <f ca="1">OFFSET(Industries!B$1,MATCH(Table1[[#This Row],[Ticker]],Industries!$A$2:$A$140,0),0)</f>
        <v>Ultra-Cap</v>
      </c>
      <c r="G869" t="str">
        <f ca="1">OFFSET(Industries!F$1,MATCH(Table1[[#This Row],[Ticker]],Industries!$A$2:$A$140,0),0)</f>
        <v>BBB-</v>
      </c>
      <c r="H869" t="s">
        <v>1434</v>
      </c>
      <c r="I869" t="s">
        <v>1434</v>
      </c>
      <c r="J869" s="2">
        <v>45408</v>
      </c>
      <c r="K869" t="s">
        <v>21</v>
      </c>
      <c r="L869" t="s">
        <v>1708</v>
      </c>
      <c r="M869" t="s">
        <v>1709</v>
      </c>
      <c r="N869" s="1"/>
      <c r="O869" t="s">
        <v>4</v>
      </c>
      <c r="P869" s="1">
        <v>0.22</v>
      </c>
      <c r="Q869" s="1" t="s">
        <v>1636</v>
      </c>
      <c r="R869" t="s">
        <v>23</v>
      </c>
      <c r="S869" t="s">
        <v>1090</v>
      </c>
      <c r="T869" t="s">
        <v>546</v>
      </c>
      <c r="U869" s="1">
        <v>0.2</v>
      </c>
    </row>
    <row r="870" spans="1:22" x14ac:dyDescent="0.3">
      <c r="A870" t="s">
        <v>544</v>
      </c>
      <c r="B870" t="str">
        <f ca="1">OFFSET(Industries!C$1,MATCH(Table1[[#This Row],[Ticker]],Industries!$A$2:$A$150,0),0)</f>
        <v>Materials</v>
      </c>
      <c r="C870" t="str">
        <f ca="1">OFFSET(Industries!D$1,MATCH(Table1[[#This Row],[Ticker]],Industries!$A$2:$A$150,0),0)</f>
        <v>Materials</v>
      </c>
      <c r="D870" t="str">
        <f ca="1">OFFSET(Industries!E$1,MATCH(Table1[[#This Row],[Ticker]],Industries!$A$2:$A$150,0),0)</f>
        <v>Metals and Mining</v>
      </c>
      <c r="E870" t="s">
        <v>545</v>
      </c>
      <c r="F870" t="str">
        <f ca="1">OFFSET(Industries!B$1,MATCH(Table1[[#This Row],[Ticker]],Industries!$A$2:$A$140,0),0)</f>
        <v>Ultra-Cap</v>
      </c>
      <c r="G870" t="str">
        <f ca="1">OFFSET(Industries!F$1,MATCH(Table1[[#This Row],[Ticker]],Industries!$A$2:$A$140,0),0)</f>
        <v>BBB-</v>
      </c>
      <c r="H870" t="s">
        <v>1434</v>
      </c>
      <c r="I870" t="s">
        <v>1434</v>
      </c>
      <c r="J870" s="2">
        <v>45408</v>
      </c>
      <c r="K870" t="s">
        <v>21</v>
      </c>
      <c r="L870" t="s">
        <v>1708</v>
      </c>
      <c r="M870" t="s">
        <v>1709</v>
      </c>
      <c r="N870" s="1"/>
      <c r="O870" t="s">
        <v>4</v>
      </c>
      <c r="P870" s="1">
        <v>0.22</v>
      </c>
      <c r="Q870" s="1" t="s">
        <v>1637</v>
      </c>
      <c r="R870" t="s">
        <v>26</v>
      </c>
      <c r="S870" t="s">
        <v>814</v>
      </c>
      <c r="T870" t="s">
        <v>295</v>
      </c>
      <c r="U870" s="1">
        <v>0.15</v>
      </c>
    </row>
    <row r="871" spans="1:22" x14ac:dyDescent="0.3">
      <c r="A871" t="s">
        <v>544</v>
      </c>
      <c r="B871" t="str">
        <f ca="1">OFFSET(Industries!C$1,MATCH(Table1[[#This Row],[Ticker]],Industries!$A$2:$A$150,0),0)</f>
        <v>Materials</v>
      </c>
      <c r="C871" t="str">
        <f ca="1">OFFSET(Industries!D$1,MATCH(Table1[[#This Row],[Ticker]],Industries!$A$2:$A$150,0),0)</f>
        <v>Materials</v>
      </c>
      <c r="D871" t="str">
        <f ca="1">OFFSET(Industries!E$1,MATCH(Table1[[#This Row],[Ticker]],Industries!$A$2:$A$150,0),0)</f>
        <v>Metals and Mining</v>
      </c>
      <c r="E871" t="s">
        <v>545</v>
      </c>
      <c r="F871" t="str">
        <f ca="1">OFFSET(Industries!B$1,MATCH(Table1[[#This Row],[Ticker]],Industries!$A$2:$A$140,0),0)</f>
        <v>Ultra-Cap</v>
      </c>
      <c r="G871" t="str">
        <f ca="1">OFFSET(Industries!F$1,MATCH(Table1[[#This Row],[Ticker]],Industries!$A$2:$A$140,0),0)</f>
        <v>BBB-</v>
      </c>
      <c r="H871" t="s">
        <v>1434</v>
      </c>
      <c r="I871" t="s">
        <v>1434</v>
      </c>
      <c r="J871" s="2">
        <v>45408</v>
      </c>
      <c r="K871" t="s">
        <v>21</v>
      </c>
      <c r="L871" t="s">
        <v>1708</v>
      </c>
      <c r="M871" t="s">
        <v>1709</v>
      </c>
      <c r="N871" s="1"/>
      <c r="O871" t="s">
        <v>4</v>
      </c>
      <c r="P871" s="1">
        <v>0.22</v>
      </c>
      <c r="Q871" s="1" t="s">
        <v>1637</v>
      </c>
      <c r="R871" t="s">
        <v>26</v>
      </c>
      <c r="S871" t="s">
        <v>26</v>
      </c>
      <c r="T871" t="s">
        <v>547</v>
      </c>
      <c r="U871" s="1">
        <v>0.1</v>
      </c>
    </row>
    <row r="872" spans="1:22" x14ac:dyDescent="0.3">
      <c r="A872" t="s">
        <v>544</v>
      </c>
      <c r="B872" t="str">
        <f ca="1">OFFSET(Industries!C$1,MATCH(Table1[[#This Row],[Ticker]],Industries!$A$2:$A$150,0),0)</f>
        <v>Materials</v>
      </c>
      <c r="C872" t="str">
        <f ca="1">OFFSET(Industries!D$1,MATCH(Table1[[#This Row],[Ticker]],Industries!$A$2:$A$150,0),0)</f>
        <v>Materials</v>
      </c>
      <c r="D872" t="str">
        <f ca="1">OFFSET(Industries!E$1,MATCH(Table1[[#This Row],[Ticker]],Industries!$A$2:$A$150,0),0)</f>
        <v>Metals and Mining</v>
      </c>
      <c r="E872" t="s">
        <v>545</v>
      </c>
      <c r="F872" t="str">
        <f ca="1">OFFSET(Industries!B$1,MATCH(Table1[[#This Row],[Ticker]],Industries!$A$2:$A$140,0),0)</f>
        <v>Ultra-Cap</v>
      </c>
      <c r="G872" t="str">
        <f ca="1">OFFSET(Industries!F$1,MATCH(Table1[[#This Row],[Ticker]],Industries!$A$2:$A$140,0),0)</f>
        <v>BBB-</v>
      </c>
      <c r="H872" t="s">
        <v>1434</v>
      </c>
      <c r="I872" t="s">
        <v>1434</v>
      </c>
      <c r="J872" s="2">
        <v>45408</v>
      </c>
      <c r="K872" t="s">
        <v>21</v>
      </c>
      <c r="L872" t="s">
        <v>1708</v>
      </c>
      <c r="M872" t="s">
        <v>1709</v>
      </c>
      <c r="N872" s="1"/>
      <c r="O872" t="s">
        <v>4</v>
      </c>
      <c r="P872" s="1">
        <v>0.22</v>
      </c>
      <c r="Q872" s="1" t="s">
        <v>1636</v>
      </c>
      <c r="R872" t="s">
        <v>24</v>
      </c>
      <c r="S872" t="s">
        <v>1086</v>
      </c>
      <c r="T872" t="s">
        <v>548</v>
      </c>
      <c r="U872" s="1">
        <v>0.1</v>
      </c>
    </row>
    <row r="873" spans="1:22" x14ac:dyDescent="0.3">
      <c r="A873" t="s">
        <v>544</v>
      </c>
      <c r="B873" t="str">
        <f ca="1">OFFSET(Industries!C$1,MATCH(Table1[[#This Row],[Ticker]],Industries!$A$2:$A$150,0),0)</f>
        <v>Materials</v>
      </c>
      <c r="C873" t="str">
        <f ca="1">OFFSET(Industries!D$1,MATCH(Table1[[#This Row],[Ticker]],Industries!$A$2:$A$150,0),0)</f>
        <v>Materials</v>
      </c>
      <c r="D873" t="str">
        <f ca="1">OFFSET(Industries!E$1,MATCH(Table1[[#This Row],[Ticker]],Industries!$A$2:$A$150,0),0)</f>
        <v>Metals and Mining</v>
      </c>
      <c r="E873" t="s">
        <v>545</v>
      </c>
      <c r="F873" t="str">
        <f ca="1">OFFSET(Industries!B$1,MATCH(Table1[[#This Row],[Ticker]],Industries!$A$2:$A$140,0),0)</f>
        <v>Ultra-Cap</v>
      </c>
      <c r="G873" t="str">
        <f ca="1">OFFSET(Industries!F$1,MATCH(Table1[[#This Row],[Ticker]],Industries!$A$2:$A$140,0),0)</f>
        <v>BBB-</v>
      </c>
      <c r="H873" t="s">
        <v>1434</v>
      </c>
      <c r="I873" t="s">
        <v>1434</v>
      </c>
      <c r="J873" s="2">
        <v>45408</v>
      </c>
      <c r="K873" t="s">
        <v>21</v>
      </c>
      <c r="L873" t="s">
        <v>1708</v>
      </c>
      <c r="M873" t="s">
        <v>1709</v>
      </c>
      <c r="N873" s="1"/>
      <c r="O873" t="s">
        <v>4</v>
      </c>
      <c r="P873" s="1">
        <v>0.22</v>
      </c>
      <c r="Q873" s="1" t="s">
        <v>1636</v>
      </c>
      <c r="R873" t="s">
        <v>23</v>
      </c>
      <c r="S873" t="s">
        <v>1090</v>
      </c>
      <c r="T873" t="s">
        <v>549</v>
      </c>
      <c r="U873" s="1">
        <v>7.4999999999999997E-2</v>
      </c>
    </row>
    <row r="874" spans="1:22" x14ac:dyDescent="0.3">
      <c r="A874" t="s">
        <v>544</v>
      </c>
      <c r="B874" t="str">
        <f ca="1">OFFSET(Industries!C$1,MATCH(Table1[[#This Row],[Ticker]],Industries!$A$2:$A$150,0),0)</f>
        <v>Materials</v>
      </c>
      <c r="C874" t="str">
        <f ca="1">OFFSET(Industries!D$1,MATCH(Table1[[#This Row],[Ticker]],Industries!$A$2:$A$150,0),0)</f>
        <v>Materials</v>
      </c>
      <c r="D874" t="str">
        <f ca="1">OFFSET(Industries!E$1,MATCH(Table1[[#This Row],[Ticker]],Industries!$A$2:$A$150,0),0)</f>
        <v>Metals and Mining</v>
      </c>
      <c r="E874" t="s">
        <v>545</v>
      </c>
      <c r="F874" t="str">
        <f ca="1">OFFSET(Industries!B$1,MATCH(Table1[[#This Row],[Ticker]],Industries!$A$2:$A$140,0),0)</f>
        <v>Ultra-Cap</v>
      </c>
      <c r="G874" t="str">
        <f ca="1">OFFSET(Industries!F$1,MATCH(Table1[[#This Row],[Ticker]],Industries!$A$2:$A$140,0),0)</f>
        <v>BBB-</v>
      </c>
      <c r="H874" t="s">
        <v>1434</v>
      </c>
      <c r="I874" t="s">
        <v>1434</v>
      </c>
      <c r="J874" s="2">
        <v>45408</v>
      </c>
      <c r="K874" t="s">
        <v>21</v>
      </c>
      <c r="L874" t="s">
        <v>1708</v>
      </c>
      <c r="M874" t="s">
        <v>1709</v>
      </c>
      <c r="N874" s="1"/>
      <c r="O874" t="s">
        <v>4</v>
      </c>
      <c r="P874" s="1">
        <v>0.22</v>
      </c>
      <c r="Q874" s="1" t="s">
        <v>1637</v>
      </c>
      <c r="R874" t="s">
        <v>25</v>
      </c>
      <c r="S874" t="s">
        <v>1086</v>
      </c>
      <c r="T874" t="s">
        <v>550</v>
      </c>
      <c r="U874" s="1">
        <v>7.4999999999999997E-2</v>
      </c>
    </row>
    <row r="875" spans="1:22" x14ac:dyDescent="0.3">
      <c r="A875" t="s">
        <v>544</v>
      </c>
      <c r="B875" t="str">
        <f ca="1">OFFSET(Industries!C$1,MATCH(Table1[[#This Row],[Ticker]],Industries!$A$2:$A$150,0),0)</f>
        <v>Materials</v>
      </c>
      <c r="C875" t="str">
        <f ca="1">OFFSET(Industries!D$1,MATCH(Table1[[#This Row],[Ticker]],Industries!$A$2:$A$150,0),0)</f>
        <v>Materials</v>
      </c>
      <c r="D875" t="str">
        <f ca="1">OFFSET(Industries!E$1,MATCH(Table1[[#This Row],[Ticker]],Industries!$A$2:$A$150,0),0)</f>
        <v>Metals and Mining</v>
      </c>
      <c r="E875" t="s">
        <v>545</v>
      </c>
      <c r="F875" t="str">
        <f ca="1">OFFSET(Industries!B$1,MATCH(Table1[[#This Row],[Ticker]],Industries!$A$2:$A$140,0),0)</f>
        <v>Ultra-Cap</v>
      </c>
      <c r="G875" t="str">
        <f ca="1">OFFSET(Industries!F$1,MATCH(Table1[[#This Row],[Ticker]],Industries!$A$2:$A$140,0),0)</f>
        <v>BBB-</v>
      </c>
      <c r="H875" t="s">
        <v>1434</v>
      </c>
      <c r="I875" t="s">
        <v>1434</v>
      </c>
      <c r="J875" s="2">
        <v>45408</v>
      </c>
      <c r="K875" t="s">
        <v>21</v>
      </c>
      <c r="L875" t="s">
        <v>1708</v>
      </c>
      <c r="M875" t="s">
        <v>1709</v>
      </c>
      <c r="N875" s="1"/>
      <c r="O875" t="s">
        <v>4</v>
      </c>
      <c r="P875" s="1">
        <v>0.22</v>
      </c>
      <c r="R875" t="s">
        <v>28</v>
      </c>
      <c r="S875" t="s">
        <v>1110</v>
      </c>
      <c r="T875" t="s">
        <v>172</v>
      </c>
    </row>
    <row r="876" spans="1:22" x14ac:dyDescent="0.3">
      <c r="A876" t="s">
        <v>544</v>
      </c>
      <c r="B876" t="str">
        <f ca="1">OFFSET(Industries!C$1,MATCH(Table1[[#This Row],[Ticker]],Industries!$A$2:$A$150,0),0)</f>
        <v>Materials</v>
      </c>
      <c r="C876" t="str">
        <f ca="1">OFFSET(Industries!D$1,MATCH(Table1[[#This Row],[Ticker]],Industries!$A$2:$A$150,0),0)</f>
        <v>Materials</v>
      </c>
      <c r="D876" t="str">
        <f ca="1">OFFSET(Industries!E$1,MATCH(Table1[[#This Row],[Ticker]],Industries!$A$2:$A$150,0),0)</f>
        <v>Metals and Mining</v>
      </c>
      <c r="E876" t="s">
        <v>545</v>
      </c>
      <c r="F876" t="str">
        <f ca="1">OFFSET(Industries!B$1,MATCH(Table1[[#This Row],[Ticker]],Industries!$A$2:$A$140,0),0)</f>
        <v>Ultra-Cap</v>
      </c>
      <c r="G876" t="str">
        <f ca="1">OFFSET(Industries!F$1,MATCH(Table1[[#This Row],[Ticker]],Industries!$A$2:$A$140,0),0)</f>
        <v>BBB-</v>
      </c>
      <c r="H876" t="s">
        <v>1434</v>
      </c>
      <c r="I876" t="s">
        <v>1434</v>
      </c>
      <c r="J876" s="2">
        <v>45408</v>
      </c>
      <c r="K876" t="s">
        <v>21</v>
      </c>
      <c r="L876" t="s">
        <v>1710</v>
      </c>
      <c r="M876" t="s">
        <v>1709</v>
      </c>
      <c r="N876" s="1">
        <f>Table1[[#This Row],[Consideration Weight]]</f>
        <v>0.34</v>
      </c>
      <c r="O876" t="s">
        <v>476</v>
      </c>
      <c r="P876" s="1">
        <v>0.34</v>
      </c>
      <c r="Q876" s="1" t="s">
        <v>1636</v>
      </c>
      <c r="R876" t="s">
        <v>1059</v>
      </c>
      <c r="S876" t="s">
        <v>1138</v>
      </c>
      <c r="T876" t="s">
        <v>552</v>
      </c>
      <c r="U876" s="1">
        <v>1</v>
      </c>
    </row>
    <row r="877" spans="1:22" x14ac:dyDescent="0.3">
      <c r="A877" t="s">
        <v>544</v>
      </c>
      <c r="B877" t="str">
        <f ca="1">OFFSET(Industries!C$1,MATCH(Table1[[#This Row],[Ticker]],Industries!$A$2:$A$150,0),0)</f>
        <v>Materials</v>
      </c>
      <c r="C877" t="str">
        <f ca="1">OFFSET(Industries!D$1,MATCH(Table1[[#This Row],[Ticker]],Industries!$A$2:$A$150,0),0)</f>
        <v>Materials</v>
      </c>
      <c r="D877" t="str">
        <f ca="1">OFFSET(Industries!E$1,MATCH(Table1[[#This Row],[Ticker]],Industries!$A$2:$A$150,0),0)</f>
        <v>Metals and Mining</v>
      </c>
      <c r="E877" t="s">
        <v>545</v>
      </c>
      <c r="F877" t="str">
        <f ca="1">OFFSET(Industries!B$1,MATCH(Table1[[#This Row],[Ticker]],Industries!$A$2:$A$140,0),0)</f>
        <v>Ultra-Cap</v>
      </c>
      <c r="G877" t="str">
        <f ca="1">OFFSET(Industries!F$1,MATCH(Table1[[#This Row],[Ticker]],Industries!$A$2:$A$140,0),0)</f>
        <v>BBB-</v>
      </c>
      <c r="H877" t="s">
        <v>1434</v>
      </c>
      <c r="I877" t="s">
        <v>1434</v>
      </c>
      <c r="J877" s="2">
        <v>45408</v>
      </c>
      <c r="K877" t="s">
        <v>21</v>
      </c>
      <c r="L877" t="s">
        <v>1710</v>
      </c>
      <c r="M877" t="s">
        <v>1709</v>
      </c>
      <c r="N877" s="1"/>
      <c r="O877" t="s">
        <v>476</v>
      </c>
      <c r="P877" s="1">
        <v>0.34</v>
      </c>
      <c r="R877" t="s">
        <v>28</v>
      </c>
      <c r="S877" t="s">
        <v>1085</v>
      </c>
      <c r="T877" t="s">
        <v>200</v>
      </c>
    </row>
    <row r="878" spans="1:22" x14ac:dyDescent="0.3">
      <c r="A878" t="s">
        <v>544</v>
      </c>
      <c r="B878" t="str">
        <f ca="1">OFFSET(Industries!C$1,MATCH(Table1[[#This Row],[Ticker]],Industries!$A$2:$A$150,0),0)</f>
        <v>Materials</v>
      </c>
      <c r="C878" t="str">
        <f ca="1">OFFSET(Industries!D$1,MATCH(Table1[[#This Row],[Ticker]],Industries!$A$2:$A$150,0),0)</f>
        <v>Materials</v>
      </c>
      <c r="D878" t="str">
        <f ca="1">OFFSET(Industries!E$1,MATCH(Table1[[#This Row],[Ticker]],Industries!$A$2:$A$150,0),0)</f>
        <v>Metals and Mining</v>
      </c>
      <c r="E878" t="s">
        <v>545</v>
      </c>
      <c r="F878" t="str">
        <f ca="1">OFFSET(Industries!B$1,MATCH(Table1[[#This Row],[Ticker]],Industries!$A$2:$A$140,0),0)</f>
        <v>Ultra-Cap</v>
      </c>
      <c r="G878" t="str">
        <f ca="1">OFFSET(Industries!F$1,MATCH(Table1[[#This Row],[Ticker]],Industries!$A$2:$A$140,0),0)</f>
        <v>BBB-</v>
      </c>
      <c r="H878" t="s">
        <v>1434</v>
      </c>
      <c r="I878" t="s">
        <v>1434</v>
      </c>
      <c r="J878" s="2">
        <v>45408</v>
      </c>
      <c r="K878" t="s">
        <v>21</v>
      </c>
      <c r="L878" t="s">
        <v>1710</v>
      </c>
      <c r="M878" t="s">
        <v>1711</v>
      </c>
      <c r="N878" s="1">
        <f>Table1[[#This Row],[Consideration Weight]]</f>
        <v>0.28000000000000003</v>
      </c>
      <c r="O878" t="s">
        <v>194</v>
      </c>
      <c r="P878" s="1">
        <v>0.28000000000000003</v>
      </c>
    </row>
    <row r="879" spans="1:22" x14ac:dyDescent="0.3">
      <c r="A879" t="s">
        <v>558</v>
      </c>
      <c r="B879" t="str">
        <f ca="1">OFFSET(Industries!C$1,MATCH(Table1[[#This Row],[Ticker]],Industries!$A$2:$A$150,0),0)</f>
        <v>Consumer Discretionary</v>
      </c>
      <c r="C879" t="str">
        <f ca="1">OFFSET(Industries!D$1,MATCH(Table1[[#This Row],[Ticker]],Industries!$A$2:$A$150,0),0)</f>
        <v>Consumer Services</v>
      </c>
      <c r="D879" t="str">
        <f ca="1">OFFSET(Industries!E$1,MATCH(Table1[[#This Row],[Ticker]],Industries!$A$2:$A$150,0),0)</f>
        <v>Hotels, Restaurants and Leisure</v>
      </c>
      <c r="E879" t="s">
        <v>559</v>
      </c>
      <c r="F879" t="str">
        <f ca="1">OFFSET(Industries!B$1,MATCH(Table1[[#This Row],[Ticker]],Industries!$A$2:$A$140,0),0)</f>
        <v>Ultra-Cap</v>
      </c>
      <c r="H879" t="s">
        <v>1434</v>
      </c>
      <c r="I879" t="s">
        <v>1434</v>
      </c>
      <c r="J879" s="2">
        <v>45405</v>
      </c>
      <c r="K879" t="s">
        <v>2</v>
      </c>
      <c r="L879" t="s">
        <v>3</v>
      </c>
      <c r="M879" t="s">
        <v>1711</v>
      </c>
      <c r="N879" s="1">
        <f>Table1[[#This Row],[Consideration Weight]]</f>
        <v>7.0000000000000007E-2</v>
      </c>
      <c r="O879" t="s">
        <v>3</v>
      </c>
      <c r="P879" s="1">
        <v>7.0000000000000007E-2</v>
      </c>
    </row>
    <row r="880" spans="1:22" x14ac:dyDescent="0.3">
      <c r="A880" t="s">
        <v>558</v>
      </c>
      <c r="B880" t="str">
        <f ca="1">OFFSET(Industries!C$1,MATCH(Table1[[#This Row],[Ticker]],Industries!$A$2:$A$150,0),0)</f>
        <v>Consumer Discretionary</v>
      </c>
      <c r="C880" t="str">
        <f ca="1">OFFSET(Industries!D$1,MATCH(Table1[[#This Row],[Ticker]],Industries!$A$2:$A$150,0),0)</f>
        <v>Consumer Services</v>
      </c>
      <c r="D880" t="str">
        <f ca="1">OFFSET(Industries!E$1,MATCH(Table1[[#This Row],[Ticker]],Industries!$A$2:$A$150,0),0)</f>
        <v>Hotels, Restaurants and Leisure</v>
      </c>
      <c r="E880" t="s">
        <v>559</v>
      </c>
      <c r="F880" t="str">
        <f ca="1">OFFSET(Industries!B$1,MATCH(Table1[[#This Row],[Ticker]],Industries!$A$2:$A$140,0),0)</f>
        <v>Ultra-Cap</v>
      </c>
      <c r="H880" t="s">
        <v>1434</v>
      </c>
      <c r="I880" t="s">
        <v>1434</v>
      </c>
      <c r="J880" s="2">
        <v>45405</v>
      </c>
      <c r="K880" t="s">
        <v>2</v>
      </c>
      <c r="L880" t="s">
        <v>1708</v>
      </c>
      <c r="M880" t="s">
        <v>1709</v>
      </c>
      <c r="N880" s="1">
        <f>Table1[[#This Row],[Consideration Weight]]</f>
        <v>0.13</v>
      </c>
      <c r="O880" t="s">
        <v>4</v>
      </c>
      <c r="P880" s="1">
        <v>0.13</v>
      </c>
      <c r="Q880" s="1" t="s">
        <v>1636</v>
      </c>
      <c r="R880" t="s">
        <v>23</v>
      </c>
      <c r="S880" t="s">
        <v>1139</v>
      </c>
      <c r="T880" t="s">
        <v>572</v>
      </c>
      <c r="U880" s="1">
        <f>0.4*0.75</f>
        <v>0.30000000000000004</v>
      </c>
    </row>
    <row r="881" spans="1:22" x14ac:dyDescent="0.3">
      <c r="A881" t="s">
        <v>558</v>
      </c>
      <c r="B881" t="str">
        <f ca="1">OFFSET(Industries!C$1,MATCH(Table1[[#This Row],[Ticker]],Industries!$A$2:$A$150,0),0)</f>
        <v>Consumer Discretionary</v>
      </c>
      <c r="C881" t="str">
        <f ca="1">OFFSET(Industries!D$1,MATCH(Table1[[#This Row],[Ticker]],Industries!$A$2:$A$150,0),0)</f>
        <v>Consumer Services</v>
      </c>
      <c r="D881" t="str">
        <f ca="1">OFFSET(Industries!E$1,MATCH(Table1[[#This Row],[Ticker]],Industries!$A$2:$A$150,0),0)</f>
        <v>Hotels, Restaurants and Leisure</v>
      </c>
      <c r="E881" t="s">
        <v>559</v>
      </c>
      <c r="F881" t="str">
        <f ca="1">OFFSET(Industries!B$1,MATCH(Table1[[#This Row],[Ticker]],Industries!$A$2:$A$140,0),0)</f>
        <v>Ultra-Cap</v>
      </c>
      <c r="H881" t="s">
        <v>1434</v>
      </c>
      <c r="I881" t="s">
        <v>1434</v>
      </c>
      <c r="J881" s="2">
        <v>45405</v>
      </c>
      <c r="K881" t="s">
        <v>2</v>
      </c>
      <c r="L881" t="s">
        <v>1708</v>
      </c>
      <c r="M881" t="s">
        <v>1709</v>
      </c>
      <c r="N881" s="1"/>
      <c r="O881" t="s">
        <v>4</v>
      </c>
      <c r="P881" s="1">
        <v>0.13</v>
      </c>
      <c r="Q881" s="1" t="s">
        <v>1636</v>
      </c>
      <c r="R881" t="s">
        <v>62</v>
      </c>
      <c r="S881" t="s">
        <v>1140</v>
      </c>
      <c r="T881" t="s">
        <v>560</v>
      </c>
      <c r="U881" s="1">
        <f>0.4*0.75</f>
        <v>0.30000000000000004</v>
      </c>
    </row>
    <row r="882" spans="1:22" x14ac:dyDescent="0.3">
      <c r="A882" t="s">
        <v>558</v>
      </c>
      <c r="B882" t="str">
        <f ca="1">OFFSET(Industries!C$1,MATCH(Table1[[#This Row],[Ticker]],Industries!$A$2:$A$150,0),0)</f>
        <v>Consumer Discretionary</v>
      </c>
      <c r="C882" t="str">
        <f ca="1">OFFSET(Industries!D$1,MATCH(Table1[[#This Row],[Ticker]],Industries!$A$2:$A$150,0),0)</f>
        <v>Consumer Services</v>
      </c>
      <c r="D882" t="str">
        <f ca="1">OFFSET(Industries!E$1,MATCH(Table1[[#This Row],[Ticker]],Industries!$A$2:$A$150,0),0)</f>
        <v>Hotels, Restaurants and Leisure</v>
      </c>
      <c r="E882" t="s">
        <v>559</v>
      </c>
      <c r="F882" t="str">
        <f ca="1">OFFSET(Industries!B$1,MATCH(Table1[[#This Row],[Ticker]],Industries!$A$2:$A$140,0),0)</f>
        <v>Ultra-Cap</v>
      </c>
      <c r="H882" t="s">
        <v>1434</v>
      </c>
      <c r="I882" t="s">
        <v>1434</v>
      </c>
      <c r="J882" s="2">
        <v>45405</v>
      </c>
      <c r="K882" t="s">
        <v>2</v>
      </c>
      <c r="L882" t="s">
        <v>1708</v>
      </c>
      <c r="M882" t="s">
        <v>1709</v>
      </c>
      <c r="N882" s="1"/>
      <c r="O882" t="s">
        <v>4</v>
      </c>
      <c r="P882" s="1">
        <v>0.13</v>
      </c>
      <c r="Q882" s="1" t="s">
        <v>1637</v>
      </c>
      <c r="R882" t="s">
        <v>332</v>
      </c>
      <c r="S882" t="s">
        <v>380</v>
      </c>
      <c r="T882" t="s">
        <v>380</v>
      </c>
      <c r="U882" s="1">
        <v>0.25</v>
      </c>
    </row>
    <row r="883" spans="1:22" x14ac:dyDescent="0.3">
      <c r="A883" t="s">
        <v>558</v>
      </c>
      <c r="B883" t="str">
        <f ca="1">OFFSET(Industries!C$1,MATCH(Table1[[#This Row],[Ticker]],Industries!$A$2:$A$150,0),0)</f>
        <v>Consumer Discretionary</v>
      </c>
      <c r="C883" t="str">
        <f ca="1">OFFSET(Industries!D$1,MATCH(Table1[[#This Row],[Ticker]],Industries!$A$2:$A$150,0),0)</f>
        <v>Consumer Services</v>
      </c>
      <c r="D883" t="str">
        <f ca="1">OFFSET(Industries!E$1,MATCH(Table1[[#This Row],[Ticker]],Industries!$A$2:$A$150,0),0)</f>
        <v>Hotels, Restaurants and Leisure</v>
      </c>
      <c r="E883" t="s">
        <v>559</v>
      </c>
      <c r="F883" t="str">
        <f ca="1">OFFSET(Industries!B$1,MATCH(Table1[[#This Row],[Ticker]],Industries!$A$2:$A$140,0),0)</f>
        <v>Ultra-Cap</v>
      </c>
      <c r="H883" t="s">
        <v>1434</v>
      </c>
      <c r="I883" t="s">
        <v>1434</v>
      </c>
      <c r="J883" s="2">
        <v>45405</v>
      </c>
      <c r="K883" t="s">
        <v>2</v>
      </c>
      <c r="L883" t="s">
        <v>1708</v>
      </c>
      <c r="M883" t="s">
        <v>1709</v>
      </c>
      <c r="N883" s="1"/>
      <c r="O883" t="s">
        <v>4</v>
      </c>
      <c r="P883" s="1">
        <v>0.13</v>
      </c>
      <c r="Q883" s="1" t="s">
        <v>1636</v>
      </c>
      <c r="R883" t="s">
        <v>23</v>
      </c>
      <c r="S883" t="s">
        <v>1141</v>
      </c>
      <c r="T883" t="s">
        <v>561</v>
      </c>
      <c r="U883" s="1">
        <f>0.2*0.75</f>
        <v>0.15000000000000002</v>
      </c>
      <c r="V883" t="s">
        <v>562</v>
      </c>
    </row>
    <row r="884" spans="1:22" x14ac:dyDescent="0.3">
      <c r="A884" t="s">
        <v>558</v>
      </c>
      <c r="B884" t="str">
        <f ca="1">OFFSET(Industries!C$1,MATCH(Table1[[#This Row],[Ticker]],Industries!$A$2:$A$150,0),0)</f>
        <v>Consumer Discretionary</v>
      </c>
      <c r="C884" t="str">
        <f ca="1">OFFSET(Industries!D$1,MATCH(Table1[[#This Row],[Ticker]],Industries!$A$2:$A$150,0),0)</f>
        <v>Consumer Services</v>
      </c>
      <c r="D884" t="str">
        <f ca="1">OFFSET(Industries!E$1,MATCH(Table1[[#This Row],[Ticker]],Industries!$A$2:$A$150,0),0)</f>
        <v>Hotels, Restaurants and Leisure</v>
      </c>
      <c r="E884" t="s">
        <v>559</v>
      </c>
      <c r="F884" t="str">
        <f ca="1">OFFSET(Industries!B$1,MATCH(Table1[[#This Row],[Ticker]],Industries!$A$2:$A$140,0),0)</f>
        <v>Ultra-Cap</v>
      </c>
      <c r="H884" t="s">
        <v>1434</v>
      </c>
      <c r="I884" t="s">
        <v>1434</v>
      </c>
      <c r="J884" s="2">
        <v>45405</v>
      </c>
      <c r="K884" t="s">
        <v>2</v>
      </c>
      <c r="L884" t="s">
        <v>1708</v>
      </c>
      <c r="M884" t="s">
        <v>1709</v>
      </c>
      <c r="N884" s="1"/>
      <c r="O884" t="s">
        <v>4</v>
      </c>
      <c r="P884" s="1">
        <v>0.13</v>
      </c>
      <c r="R884" t="s">
        <v>28</v>
      </c>
      <c r="S884" t="s">
        <v>1086</v>
      </c>
      <c r="T884" t="s">
        <v>563</v>
      </c>
      <c r="V884" t="s">
        <v>564</v>
      </c>
    </row>
    <row r="885" spans="1:22" x14ac:dyDescent="0.3">
      <c r="A885" t="s">
        <v>558</v>
      </c>
      <c r="B885" t="str">
        <f ca="1">OFFSET(Industries!C$1,MATCH(Table1[[#This Row],[Ticker]],Industries!$A$2:$A$150,0),0)</f>
        <v>Consumer Discretionary</v>
      </c>
      <c r="C885" t="str">
        <f ca="1">OFFSET(Industries!D$1,MATCH(Table1[[#This Row],[Ticker]],Industries!$A$2:$A$150,0),0)</f>
        <v>Consumer Services</v>
      </c>
      <c r="D885" t="str">
        <f ca="1">OFFSET(Industries!E$1,MATCH(Table1[[#This Row],[Ticker]],Industries!$A$2:$A$150,0),0)</f>
        <v>Hotels, Restaurants and Leisure</v>
      </c>
      <c r="E885" t="s">
        <v>559</v>
      </c>
      <c r="F885" t="str">
        <f ca="1">OFFSET(Industries!B$1,MATCH(Table1[[#This Row],[Ticker]],Industries!$A$2:$A$140,0),0)</f>
        <v>Ultra-Cap</v>
      </c>
      <c r="H885" t="s">
        <v>1434</v>
      </c>
      <c r="I885" t="s">
        <v>1434</v>
      </c>
      <c r="J885" s="2">
        <v>45405</v>
      </c>
      <c r="K885" t="s">
        <v>2</v>
      </c>
      <c r="L885" t="s">
        <v>1708</v>
      </c>
      <c r="M885" t="s">
        <v>1709</v>
      </c>
      <c r="N885" s="1"/>
      <c r="O885" t="s">
        <v>4</v>
      </c>
      <c r="P885" s="1">
        <v>0.13</v>
      </c>
      <c r="R885" t="s">
        <v>28</v>
      </c>
      <c r="S885" t="s">
        <v>1120</v>
      </c>
      <c r="T885" t="s">
        <v>565</v>
      </c>
      <c r="V885" t="s">
        <v>566</v>
      </c>
    </row>
    <row r="886" spans="1:22" x14ac:dyDescent="0.3">
      <c r="A886" t="s">
        <v>558</v>
      </c>
      <c r="B886" t="str">
        <f ca="1">OFFSET(Industries!C$1,MATCH(Table1[[#This Row],[Ticker]],Industries!$A$2:$A$150,0),0)</f>
        <v>Consumer Discretionary</v>
      </c>
      <c r="C886" t="str">
        <f ca="1">OFFSET(Industries!D$1,MATCH(Table1[[#This Row],[Ticker]],Industries!$A$2:$A$150,0),0)</f>
        <v>Consumer Services</v>
      </c>
      <c r="D886" t="str">
        <f ca="1">OFFSET(Industries!E$1,MATCH(Table1[[#This Row],[Ticker]],Industries!$A$2:$A$150,0),0)</f>
        <v>Hotels, Restaurants and Leisure</v>
      </c>
      <c r="E886" t="s">
        <v>559</v>
      </c>
      <c r="F886" t="str">
        <f ca="1">OFFSET(Industries!B$1,MATCH(Table1[[#This Row],[Ticker]],Industries!$A$2:$A$140,0),0)</f>
        <v>Ultra-Cap</v>
      </c>
      <c r="H886" t="s">
        <v>1434</v>
      </c>
      <c r="I886" t="s">
        <v>1434</v>
      </c>
      <c r="J886" s="2">
        <v>45405</v>
      </c>
      <c r="K886" t="s">
        <v>2</v>
      </c>
      <c r="L886" t="s">
        <v>1708</v>
      </c>
      <c r="M886" t="s">
        <v>1709</v>
      </c>
      <c r="N886" s="1"/>
      <c r="O886" t="s">
        <v>518</v>
      </c>
      <c r="V886" t="s">
        <v>569</v>
      </c>
    </row>
    <row r="887" spans="1:22" x14ac:dyDescent="0.3">
      <c r="A887" t="s">
        <v>558</v>
      </c>
      <c r="B887" t="str">
        <f ca="1">OFFSET(Industries!C$1,MATCH(Table1[[#This Row],[Ticker]],Industries!$A$2:$A$150,0),0)</f>
        <v>Consumer Discretionary</v>
      </c>
      <c r="C887" t="str">
        <f ca="1">OFFSET(Industries!D$1,MATCH(Table1[[#This Row],[Ticker]],Industries!$A$2:$A$150,0),0)</f>
        <v>Consumer Services</v>
      </c>
      <c r="D887" t="str">
        <f ca="1">OFFSET(Industries!E$1,MATCH(Table1[[#This Row],[Ticker]],Industries!$A$2:$A$150,0),0)</f>
        <v>Hotels, Restaurants and Leisure</v>
      </c>
      <c r="E887" t="s">
        <v>559</v>
      </c>
      <c r="F887" t="str">
        <f ca="1">OFFSET(Industries!B$1,MATCH(Table1[[#This Row],[Ticker]],Industries!$A$2:$A$140,0),0)</f>
        <v>Ultra-Cap</v>
      </c>
      <c r="H887" t="s">
        <v>1434</v>
      </c>
      <c r="I887" t="s">
        <v>1434</v>
      </c>
      <c r="J887" s="2">
        <v>45405</v>
      </c>
      <c r="K887" t="s">
        <v>2</v>
      </c>
      <c r="L887" t="s">
        <v>1710</v>
      </c>
      <c r="M887" t="s">
        <v>1709</v>
      </c>
      <c r="N887" s="1">
        <f>Table1[[#This Row],[Consideration Weight]]</f>
        <v>0.48</v>
      </c>
      <c r="O887" t="s">
        <v>476</v>
      </c>
      <c r="P887" s="1">
        <v>0.48</v>
      </c>
      <c r="Q887" s="1" t="s">
        <v>1636</v>
      </c>
      <c r="R887" t="s">
        <v>62</v>
      </c>
      <c r="S887" t="s">
        <v>1142</v>
      </c>
      <c r="T887" t="s">
        <v>573</v>
      </c>
      <c r="U887" s="1">
        <v>0.9</v>
      </c>
      <c r="V887" t="s">
        <v>567</v>
      </c>
    </row>
    <row r="888" spans="1:22" x14ac:dyDescent="0.3">
      <c r="A888" t="s">
        <v>558</v>
      </c>
      <c r="B888" t="str">
        <f ca="1">OFFSET(Industries!C$1,MATCH(Table1[[#This Row],[Ticker]],Industries!$A$2:$A$150,0),0)</f>
        <v>Consumer Discretionary</v>
      </c>
      <c r="C888" t="str">
        <f ca="1">OFFSET(Industries!D$1,MATCH(Table1[[#This Row],[Ticker]],Industries!$A$2:$A$150,0),0)</f>
        <v>Consumer Services</v>
      </c>
      <c r="D888" t="str">
        <f ca="1">OFFSET(Industries!E$1,MATCH(Table1[[#This Row],[Ticker]],Industries!$A$2:$A$150,0),0)</f>
        <v>Hotels, Restaurants and Leisure</v>
      </c>
      <c r="E888" t="s">
        <v>559</v>
      </c>
      <c r="F888" t="str">
        <f ca="1">OFFSET(Industries!B$1,MATCH(Table1[[#This Row],[Ticker]],Industries!$A$2:$A$140,0),0)</f>
        <v>Ultra-Cap</v>
      </c>
      <c r="H888" t="s">
        <v>1434</v>
      </c>
      <c r="I888" t="s">
        <v>1434</v>
      </c>
      <c r="J888" s="2">
        <v>45405</v>
      </c>
      <c r="K888" t="s">
        <v>2</v>
      </c>
      <c r="L888" t="s">
        <v>1710</v>
      </c>
      <c r="M888" t="s">
        <v>1709</v>
      </c>
      <c r="N888" s="1"/>
      <c r="O888" t="s">
        <v>476</v>
      </c>
      <c r="P888" s="1">
        <v>0.48</v>
      </c>
      <c r="Q888" s="1" t="s">
        <v>1636</v>
      </c>
      <c r="R888" t="s">
        <v>23</v>
      </c>
      <c r="S888" t="s">
        <v>1141</v>
      </c>
      <c r="T888" t="s">
        <v>745</v>
      </c>
      <c r="U888" s="1">
        <v>0.1</v>
      </c>
    </row>
    <row r="889" spans="1:22" x14ac:dyDescent="0.3">
      <c r="A889" t="s">
        <v>558</v>
      </c>
      <c r="B889" t="str">
        <f ca="1">OFFSET(Industries!C$1,MATCH(Table1[[#This Row],[Ticker]],Industries!$A$2:$A$150,0),0)</f>
        <v>Consumer Discretionary</v>
      </c>
      <c r="C889" t="str">
        <f ca="1">OFFSET(Industries!D$1,MATCH(Table1[[#This Row],[Ticker]],Industries!$A$2:$A$150,0),0)</f>
        <v>Consumer Services</v>
      </c>
      <c r="D889" t="str">
        <f ca="1">OFFSET(Industries!E$1,MATCH(Table1[[#This Row],[Ticker]],Industries!$A$2:$A$150,0),0)</f>
        <v>Hotels, Restaurants and Leisure</v>
      </c>
      <c r="E889" t="s">
        <v>559</v>
      </c>
      <c r="F889" t="str">
        <f ca="1">OFFSET(Industries!B$1,MATCH(Table1[[#This Row],[Ticker]],Industries!$A$2:$A$140,0),0)</f>
        <v>Ultra-Cap</v>
      </c>
      <c r="H889" t="s">
        <v>1434</v>
      </c>
      <c r="I889" t="s">
        <v>1434</v>
      </c>
      <c r="J889" s="2">
        <v>45405</v>
      </c>
      <c r="K889" t="s">
        <v>2</v>
      </c>
      <c r="L889" t="s">
        <v>1710</v>
      </c>
      <c r="M889" t="s">
        <v>1709</v>
      </c>
      <c r="N889" s="1"/>
      <c r="O889" t="s">
        <v>476</v>
      </c>
      <c r="P889" s="1">
        <v>0.48</v>
      </c>
      <c r="R889" t="s">
        <v>28</v>
      </c>
      <c r="S889" t="s">
        <v>1768</v>
      </c>
      <c r="T889" t="s">
        <v>30</v>
      </c>
      <c r="V889" t="s">
        <v>1775</v>
      </c>
    </row>
    <row r="890" spans="1:22" x14ac:dyDescent="0.3">
      <c r="A890" t="s">
        <v>558</v>
      </c>
      <c r="B890" t="str">
        <f ca="1">OFFSET(Industries!C$1,MATCH(Table1[[#This Row],[Ticker]],Industries!$A$2:$A$150,0),0)</f>
        <v>Consumer Discretionary</v>
      </c>
      <c r="C890" t="str">
        <f ca="1">OFFSET(Industries!D$1,MATCH(Table1[[#This Row],[Ticker]],Industries!$A$2:$A$150,0),0)</f>
        <v>Consumer Services</v>
      </c>
      <c r="D890" t="str">
        <f ca="1">OFFSET(Industries!E$1,MATCH(Table1[[#This Row],[Ticker]],Industries!$A$2:$A$150,0),0)</f>
        <v>Hotels, Restaurants and Leisure</v>
      </c>
      <c r="E890" t="s">
        <v>559</v>
      </c>
      <c r="F890" t="str">
        <f ca="1">OFFSET(Industries!B$1,MATCH(Table1[[#This Row],[Ticker]],Industries!$A$2:$A$140,0),0)</f>
        <v>Ultra-Cap</v>
      </c>
      <c r="H890" t="s">
        <v>1434</v>
      </c>
      <c r="I890" t="s">
        <v>1434</v>
      </c>
      <c r="J890" s="2">
        <v>45405</v>
      </c>
      <c r="K890" t="s">
        <v>2</v>
      </c>
      <c r="L890" t="s">
        <v>1710</v>
      </c>
      <c r="M890" t="s">
        <v>1711</v>
      </c>
      <c r="N890" s="1">
        <f>Table1[[#This Row],[Consideration Weight]]</f>
        <v>0.32</v>
      </c>
      <c r="O890" t="s">
        <v>455</v>
      </c>
      <c r="P890" s="1">
        <v>0.32</v>
      </c>
      <c r="V890" t="s">
        <v>570</v>
      </c>
    </row>
    <row r="891" spans="1:22" x14ac:dyDescent="0.3">
      <c r="A891" t="s">
        <v>558</v>
      </c>
      <c r="B891" t="str">
        <f ca="1">OFFSET(Industries!C$1,MATCH(Table1[[#This Row],[Ticker]],Industries!$A$2:$A$150,0),0)</f>
        <v>Consumer Discretionary</v>
      </c>
      <c r="C891" t="str">
        <f ca="1">OFFSET(Industries!D$1,MATCH(Table1[[#This Row],[Ticker]],Industries!$A$2:$A$150,0),0)</f>
        <v>Consumer Services</v>
      </c>
      <c r="D891" t="str">
        <f ca="1">OFFSET(Industries!E$1,MATCH(Table1[[#This Row],[Ticker]],Industries!$A$2:$A$150,0),0)</f>
        <v>Hotels, Restaurants and Leisure</v>
      </c>
      <c r="E891" t="s">
        <v>559</v>
      </c>
      <c r="F891" t="str">
        <f ca="1">OFFSET(Industries!B$1,MATCH(Table1[[#This Row],[Ticker]],Industries!$A$2:$A$140,0),0)</f>
        <v>Ultra-Cap</v>
      </c>
      <c r="H891" t="s">
        <v>1434</v>
      </c>
      <c r="I891" t="s">
        <v>1434</v>
      </c>
      <c r="J891" s="2">
        <v>45405</v>
      </c>
      <c r="K891" t="s">
        <v>21</v>
      </c>
      <c r="L891" t="s">
        <v>3</v>
      </c>
      <c r="M891" t="s">
        <v>1711</v>
      </c>
      <c r="N891" s="1">
        <f>Table1[[#This Row],[Consideration Weight]]</f>
        <v>0.1184548193813913</v>
      </c>
      <c r="O891" t="s">
        <v>3</v>
      </c>
      <c r="P891" s="1">
        <v>0.1184548193813913</v>
      </c>
    </row>
    <row r="892" spans="1:22" x14ac:dyDescent="0.3">
      <c r="A892" t="s">
        <v>558</v>
      </c>
      <c r="B892" t="str">
        <f ca="1">OFFSET(Industries!C$1,MATCH(Table1[[#This Row],[Ticker]],Industries!$A$2:$A$150,0),0)</f>
        <v>Consumer Discretionary</v>
      </c>
      <c r="C892" t="str">
        <f ca="1">OFFSET(Industries!D$1,MATCH(Table1[[#This Row],[Ticker]],Industries!$A$2:$A$150,0),0)</f>
        <v>Consumer Services</v>
      </c>
      <c r="D892" t="str">
        <f ca="1">OFFSET(Industries!E$1,MATCH(Table1[[#This Row],[Ticker]],Industries!$A$2:$A$150,0),0)</f>
        <v>Hotels, Restaurants and Leisure</v>
      </c>
      <c r="E892" t="s">
        <v>559</v>
      </c>
      <c r="F892" t="str">
        <f ca="1">OFFSET(Industries!B$1,MATCH(Table1[[#This Row],[Ticker]],Industries!$A$2:$A$140,0),0)</f>
        <v>Ultra-Cap</v>
      </c>
      <c r="H892" t="s">
        <v>1434</v>
      </c>
      <c r="I892" t="s">
        <v>1434</v>
      </c>
      <c r="J892" s="2">
        <v>45405</v>
      </c>
      <c r="K892" t="s">
        <v>21</v>
      </c>
      <c r="L892" t="s">
        <v>1708</v>
      </c>
      <c r="M892" t="s">
        <v>1709</v>
      </c>
      <c r="N892" s="1">
        <f>Table1[[#This Row],[Consideration Weight]]</f>
        <v>0.11549319480374541</v>
      </c>
      <c r="O892" t="s">
        <v>4</v>
      </c>
      <c r="P892" s="1">
        <v>0.11549319480374541</v>
      </c>
      <c r="Q892" s="1" t="s">
        <v>1636</v>
      </c>
      <c r="R892" t="s">
        <v>23</v>
      </c>
      <c r="S892" t="s">
        <v>1139</v>
      </c>
      <c r="T892" t="s">
        <v>572</v>
      </c>
      <c r="U892" s="1">
        <f>0.4*0.75</f>
        <v>0.30000000000000004</v>
      </c>
    </row>
    <row r="893" spans="1:22" x14ac:dyDescent="0.3">
      <c r="A893" t="s">
        <v>558</v>
      </c>
      <c r="B893" t="str">
        <f ca="1">OFFSET(Industries!C$1,MATCH(Table1[[#This Row],[Ticker]],Industries!$A$2:$A$150,0),0)</f>
        <v>Consumer Discretionary</v>
      </c>
      <c r="C893" t="str">
        <f ca="1">OFFSET(Industries!D$1,MATCH(Table1[[#This Row],[Ticker]],Industries!$A$2:$A$150,0),0)</f>
        <v>Consumer Services</v>
      </c>
      <c r="D893" t="str">
        <f ca="1">OFFSET(Industries!E$1,MATCH(Table1[[#This Row],[Ticker]],Industries!$A$2:$A$150,0),0)</f>
        <v>Hotels, Restaurants and Leisure</v>
      </c>
      <c r="E893" t="s">
        <v>559</v>
      </c>
      <c r="F893" t="str">
        <f ca="1">OFFSET(Industries!B$1,MATCH(Table1[[#This Row],[Ticker]],Industries!$A$2:$A$140,0),0)</f>
        <v>Ultra-Cap</v>
      </c>
      <c r="H893" t="s">
        <v>1434</v>
      </c>
      <c r="I893" t="s">
        <v>1434</v>
      </c>
      <c r="J893" s="2">
        <v>45405</v>
      </c>
      <c r="K893" t="s">
        <v>21</v>
      </c>
      <c r="L893" t="s">
        <v>1708</v>
      </c>
      <c r="M893" t="s">
        <v>1709</v>
      </c>
      <c r="N893" s="1"/>
      <c r="O893" t="s">
        <v>4</v>
      </c>
      <c r="P893" s="1">
        <v>0.11549319480374541</v>
      </c>
      <c r="Q893" s="1" t="s">
        <v>1636</v>
      </c>
      <c r="R893" t="s">
        <v>62</v>
      </c>
      <c r="S893" t="s">
        <v>1140</v>
      </c>
      <c r="T893" t="s">
        <v>560</v>
      </c>
      <c r="U893" s="1">
        <f>0.4*0.75</f>
        <v>0.30000000000000004</v>
      </c>
    </row>
    <row r="894" spans="1:22" x14ac:dyDescent="0.3">
      <c r="A894" t="s">
        <v>558</v>
      </c>
      <c r="B894" t="str">
        <f ca="1">OFFSET(Industries!C$1,MATCH(Table1[[#This Row],[Ticker]],Industries!$A$2:$A$150,0),0)</f>
        <v>Consumer Discretionary</v>
      </c>
      <c r="C894" t="str">
        <f ca="1">OFFSET(Industries!D$1,MATCH(Table1[[#This Row],[Ticker]],Industries!$A$2:$A$150,0),0)</f>
        <v>Consumer Services</v>
      </c>
      <c r="D894" t="str">
        <f ca="1">OFFSET(Industries!E$1,MATCH(Table1[[#This Row],[Ticker]],Industries!$A$2:$A$150,0),0)</f>
        <v>Hotels, Restaurants and Leisure</v>
      </c>
      <c r="E894" t="s">
        <v>559</v>
      </c>
      <c r="F894" t="str">
        <f ca="1">OFFSET(Industries!B$1,MATCH(Table1[[#This Row],[Ticker]],Industries!$A$2:$A$140,0),0)</f>
        <v>Ultra-Cap</v>
      </c>
      <c r="H894" t="s">
        <v>1434</v>
      </c>
      <c r="I894" t="s">
        <v>1434</v>
      </c>
      <c r="J894" s="2">
        <v>45405</v>
      </c>
      <c r="K894" t="s">
        <v>21</v>
      </c>
      <c r="L894" t="s">
        <v>1708</v>
      </c>
      <c r="M894" t="s">
        <v>1709</v>
      </c>
      <c r="N894" s="1"/>
      <c r="O894" t="s">
        <v>4</v>
      </c>
      <c r="P894" s="1">
        <v>0.11549319480374541</v>
      </c>
      <c r="Q894" s="1" t="s">
        <v>1637</v>
      </c>
      <c r="R894" t="s">
        <v>332</v>
      </c>
      <c r="S894" t="s">
        <v>380</v>
      </c>
      <c r="T894" t="s">
        <v>380</v>
      </c>
      <c r="U894" s="1">
        <v>0.25</v>
      </c>
    </row>
    <row r="895" spans="1:22" x14ac:dyDescent="0.3">
      <c r="A895" t="s">
        <v>558</v>
      </c>
      <c r="B895" t="str">
        <f ca="1">OFFSET(Industries!C$1,MATCH(Table1[[#This Row],[Ticker]],Industries!$A$2:$A$150,0),0)</f>
        <v>Consumer Discretionary</v>
      </c>
      <c r="C895" t="str">
        <f ca="1">OFFSET(Industries!D$1,MATCH(Table1[[#This Row],[Ticker]],Industries!$A$2:$A$150,0),0)</f>
        <v>Consumer Services</v>
      </c>
      <c r="D895" t="str">
        <f ca="1">OFFSET(Industries!E$1,MATCH(Table1[[#This Row],[Ticker]],Industries!$A$2:$A$150,0),0)</f>
        <v>Hotels, Restaurants and Leisure</v>
      </c>
      <c r="E895" t="s">
        <v>559</v>
      </c>
      <c r="F895" t="str">
        <f ca="1">OFFSET(Industries!B$1,MATCH(Table1[[#This Row],[Ticker]],Industries!$A$2:$A$140,0),0)</f>
        <v>Ultra-Cap</v>
      </c>
      <c r="H895" t="s">
        <v>1434</v>
      </c>
      <c r="I895" t="s">
        <v>1434</v>
      </c>
      <c r="J895" s="2">
        <v>45405</v>
      </c>
      <c r="K895" t="s">
        <v>21</v>
      </c>
      <c r="L895" t="s">
        <v>1708</v>
      </c>
      <c r="M895" t="s">
        <v>1709</v>
      </c>
      <c r="N895" s="1"/>
      <c r="O895" t="s">
        <v>4</v>
      </c>
      <c r="P895" s="1">
        <v>0.11549319480374541</v>
      </c>
      <c r="Q895" s="1" t="s">
        <v>1636</v>
      </c>
      <c r="R895" t="s">
        <v>23</v>
      </c>
      <c r="S895" t="s">
        <v>1141</v>
      </c>
      <c r="T895" t="s">
        <v>561</v>
      </c>
      <c r="U895" s="1">
        <f>0.2*0.75</f>
        <v>0.15000000000000002</v>
      </c>
    </row>
    <row r="896" spans="1:22" x14ac:dyDescent="0.3">
      <c r="A896" t="s">
        <v>558</v>
      </c>
      <c r="B896" t="str">
        <f ca="1">OFFSET(Industries!C$1,MATCH(Table1[[#This Row],[Ticker]],Industries!$A$2:$A$150,0),0)</f>
        <v>Consumer Discretionary</v>
      </c>
      <c r="C896" t="str">
        <f ca="1">OFFSET(Industries!D$1,MATCH(Table1[[#This Row],[Ticker]],Industries!$A$2:$A$150,0),0)</f>
        <v>Consumer Services</v>
      </c>
      <c r="D896" t="str">
        <f ca="1">OFFSET(Industries!E$1,MATCH(Table1[[#This Row],[Ticker]],Industries!$A$2:$A$150,0),0)</f>
        <v>Hotels, Restaurants and Leisure</v>
      </c>
      <c r="E896" t="s">
        <v>559</v>
      </c>
      <c r="F896" t="str">
        <f ca="1">OFFSET(Industries!B$1,MATCH(Table1[[#This Row],[Ticker]],Industries!$A$2:$A$140,0),0)</f>
        <v>Ultra-Cap</v>
      </c>
      <c r="H896" t="s">
        <v>1434</v>
      </c>
      <c r="I896" t="s">
        <v>1434</v>
      </c>
      <c r="J896" s="2">
        <v>45405</v>
      </c>
      <c r="K896" t="s">
        <v>21</v>
      </c>
      <c r="L896" t="s">
        <v>1708</v>
      </c>
      <c r="M896" t="s">
        <v>1709</v>
      </c>
      <c r="N896" s="1"/>
      <c r="O896" t="s">
        <v>4</v>
      </c>
      <c r="P896" s="1">
        <v>0.11549319480374541</v>
      </c>
      <c r="R896" t="s">
        <v>28</v>
      </c>
      <c r="S896" t="s">
        <v>1086</v>
      </c>
      <c r="T896" t="s">
        <v>563</v>
      </c>
    </row>
    <row r="897" spans="1:22" x14ac:dyDescent="0.3">
      <c r="A897" t="s">
        <v>558</v>
      </c>
      <c r="B897" t="str">
        <f ca="1">OFFSET(Industries!C$1,MATCH(Table1[[#This Row],[Ticker]],Industries!$A$2:$A$150,0),0)</f>
        <v>Consumer Discretionary</v>
      </c>
      <c r="C897" t="str">
        <f ca="1">OFFSET(Industries!D$1,MATCH(Table1[[#This Row],[Ticker]],Industries!$A$2:$A$150,0),0)</f>
        <v>Consumer Services</v>
      </c>
      <c r="D897" t="str">
        <f ca="1">OFFSET(Industries!E$1,MATCH(Table1[[#This Row],[Ticker]],Industries!$A$2:$A$150,0),0)</f>
        <v>Hotels, Restaurants and Leisure</v>
      </c>
      <c r="E897" t="s">
        <v>559</v>
      </c>
      <c r="F897" t="str">
        <f ca="1">OFFSET(Industries!B$1,MATCH(Table1[[#This Row],[Ticker]],Industries!$A$2:$A$140,0),0)</f>
        <v>Ultra-Cap</v>
      </c>
      <c r="H897" t="s">
        <v>1434</v>
      </c>
      <c r="I897" t="s">
        <v>1434</v>
      </c>
      <c r="J897" s="2">
        <v>45405</v>
      </c>
      <c r="K897" t="s">
        <v>21</v>
      </c>
      <c r="L897" t="s">
        <v>1708</v>
      </c>
      <c r="M897" t="s">
        <v>1709</v>
      </c>
      <c r="N897" s="1"/>
      <c r="O897" t="s">
        <v>4</v>
      </c>
      <c r="P897" s="1">
        <v>0.11549319480374541</v>
      </c>
      <c r="R897" t="s">
        <v>28</v>
      </c>
      <c r="S897" t="s">
        <v>1120</v>
      </c>
      <c r="T897" t="s">
        <v>565</v>
      </c>
    </row>
    <row r="898" spans="1:22" x14ac:dyDescent="0.3">
      <c r="A898" t="s">
        <v>558</v>
      </c>
      <c r="B898" t="str">
        <f ca="1">OFFSET(Industries!C$1,MATCH(Table1[[#This Row],[Ticker]],Industries!$A$2:$A$150,0),0)</f>
        <v>Consumer Discretionary</v>
      </c>
      <c r="C898" t="str">
        <f ca="1">OFFSET(Industries!D$1,MATCH(Table1[[#This Row],[Ticker]],Industries!$A$2:$A$150,0),0)</f>
        <v>Consumer Services</v>
      </c>
      <c r="D898" t="str">
        <f ca="1">OFFSET(Industries!E$1,MATCH(Table1[[#This Row],[Ticker]],Industries!$A$2:$A$150,0),0)</f>
        <v>Hotels, Restaurants and Leisure</v>
      </c>
      <c r="E898" t="s">
        <v>559</v>
      </c>
      <c r="F898" t="str">
        <f ca="1">OFFSET(Industries!B$1,MATCH(Table1[[#This Row],[Ticker]],Industries!$A$2:$A$140,0),0)</f>
        <v>Ultra-Cap</v>
      </c>
      <c r="H898" t="s">
        <v>1434</v>
      </c>
      <c r="I898" t="s">
        <v>1434</v>
      </c>
      <c r="J898" s="2">
        <v>45405</v>
      </c>
      <c r="K898" t="s">
        <v>21</v>
      </c>
      <c r="L898" t="s">
        <v>1708</v>
      </c>
      <c r="M898" t="s">
        <v>1709</v>
      </c>
      <c r="N898" s="1"/>
      <c r="O898" t="s">
        <v>518</v>
      </c>
    </row>
    <row r="899" spans="1:22" x14ac:dyDescent="0.3">
      <c r="A899" t="s">
        <v>558</v>
      </c>
      <c r="B899" t="str">
        <f ca="1">OFFSET(Industries!C$1,MATCH(Table1[[#This Row],[Ticker]],Industries!$A$2:$A$150,0),0)</f>
        <v>Consumer Discretionary</v>
      </c>
      <c r="C899" t="str">
        <f ca="1">OFFSET(Industries!D$1,MATCH(Table1[[#This Row],[Ticker]],Industries!$A$2:$A$150,0),0)</f>
        <v>Consumer Services</v>
      </c>
      <c r="D899" t="str">
        <f ca="1">OFFSET(Industries!E$1,MATCH(Table1[[#This Row],[Ticker]],Industries!$A$2:$A$150,0),0)</f>
        <v>Hotels, Restaurants and Leisure</v>
      </c>
      <c r="E899" t="s">
        <v>559</v>
      </c>
      <c r="F899" t="str">
        <f ca="1">OFFSET(Industries!B$1,MATCH(Table1[[#This Row],[Ticker]],Industries!$A$2:$A$140,0),0)</f>
        <v>Ultra-Cap</v>
      </c>
      <c r="H899" t="s">
        <v>1434</v>
      </c>
      <c r="I899" t="s">
        <v>1434</v>
      </c>
      <c r="J899" s="2">
        <v>45405</v>
      </c>
      <c r="K899" t="s">
        <v>21</v>
      </c>
      <c r="L899" t="s">
        <v>1710</v>
      </c>
      <c r="M899" t="s">
        <v>1709</v>
      </c>
      <c r="N899" s="1">
        <f>Table1[[#This Row],[Consideration Weight]]</f>
        <v>0.45963119148891801</v>
      </c>
      <c r="O899" t="s">
        <v>476</v>
      </c>
      <c r="P899" s="1">
        <v>0.45963119148891801</v>
      </c>
      <c r="Q899" s="1" t="s">
        <v>1636</v>
      </c>
      <c r="R899" t="s">
        <v>62</v>
      </c>
      <c r="S899" t="s">
        <v>1142</v>
      </c>
      <c r="T899" t="s">
        <v>573</v>
      </c>
      <c r="U899" s="1">
        <v>0.9</v>
      </c>
    </row>
    <row r="900" spans="1:22" x14ac:dyDescent="0.3">
      <c r="A900" t="s">
        <v>558</v>
      </c>
      <c r="B900" t="str">
        <f ca="1">OFFSET(Industries!C$1,MATCH(Table1[[#This Row],[Ticker]],Industries!$A$2:$A$150,0),0)</f>
        <v>Consumer Discretionary</v>
      </c>
      <c r="C900" t="str">
        <f ca="1">OFFSET(Industries!D$1,MATCH(Table1[[#This Row],[Ticker]],Industries!$A$2:$A$150,0),0)</f>
        <v>Consumer Services</v>
      </c>
      <c r="D900" t="str">
        <f ca="1">OFFSET(Industries!E$1,MATCH(Table1[[#This Row],[Ticker]],Industries!$A$2:$A$150,0),0)</f>
        <v>Hotels, Restaurants and Leisure</v>
      </c>
      <c r="E900" t="s">
        <v>559</v>
      </c>
      <c r="F900" t="str">
        <f ca="1">OFFSET(Industries!B$1,MATCH(Table1[[#This Row],[Ticker]],Industries!$A$2:$A$140,0),0)</f>
        <v>Ultra-Cap</v>
      </c>
      <c r="H900" t="s">
        <v>1434</v>
      </c>
      <c r="I900" t="s">
        <v>1434</v>
      </c>
      <c r="J900" s="2">
        <v>45405</v>
      </c>
      <c r="K900" t="s">
        <v>21</v>
      </c>
      <c r="L900" t="s">
        <v>1710</v>
      </c>
      <c r="M900" t="s">
        <v>1709</v>
      </c>
      <c r="N900" s="1"/>
      <c r="O900" t="s">
        <v>476</v>
      </c>
      <c r="P900" s="1">
        <v>0.45963119148891801</v>
      </c>
      <c r="Q900" s="1" t="s">
        <v>1636</v>
      </c>
      <c r="R900" t="s">
        <v>23</v>
      </c>
      <c r="S900" t="s">
        <v>1141</v>
      </c>
      <c r="T900" t="s">
        <v>568</v>
      </c>
      <c r="U900" s="1">
        <v>0.1</v>
      </c>
    </row>
    <row r="901" spans="1:22" x14ac:dyDescent="0.3">
      <c r="A901" t="s">
        <v>558</v>
      </c>
      <c r="B901" t="str">
        <f ca="1">OFFSET(Industries!C$1,MATCH(Table1[[#This Row],[Ticker]],Industries!$A$2:$A$150,0),0)</f>
        <v>Consumer Discretionary</v>
      </c>
      <c r="C901" t="str">
        <f ca="1">OFFSET(Industries!D$1,MATCH(Table1[[#This Row],[Ticker]],Industries!$A$2:$A$150,0),0)</f>
        <v>Consumer Services</v>
      </c>
      <c r="D901" t="str">
        <f ca="1">OFFSET(Industries!E$1,MATCH(Table1[[#This Row],[Ticker]],Industries!$A$2:$A$150,0),0)</f>
        <v>Hotels, Restaurants and Leisure</v>
      </c>
      <c r="E901" t="s">
        <v>559</v>
      </c>
      <c r="F901" t="str">
        <f ca="1">OFFSET(Industries!B$1,MATCH(Table1[[#This Row],[Ticker]],Industries!$A$2:$A$140,0),0)</f>
        <v>Ultra-Cap</v>
      </c>
      <c r="H901" t="s">
        <v>1434</v>
      </c>
      <c r="I901" t="s">
        <v>1434</v>
      </c>
      <c r="J901" s="2">
        <v>45405</v>
      </c>
      <c r="K901" t="s">
        <v>21</v>
      </c>
      <c r="L901" t="s">
        <v>1710</v>
      </c>
      <c r="M901" t="s">
        <v>1709</v>
      </c>
      <c r="N901" s="1"/>
      <c r="O901" t="s">
        <v>476</v>
      </c>
      <c r="P901" s="1">
        <v>0.45963119148891801</v>
      </c>
      <c r="R901" t="s">
        <v>28</v>
      </c>
      <c r="S901" t="s">
        <v>1768</v>
      </c>
      <c r="T901" t="s">
        <v>30</v>
      </c>
      <c r="V901" t="s">
        <v>1775</v>
      </c>
    </row>
    <row r="902" spans="1:22" x14ac:dyDescent="0.3">
      <c r="A902" t="s">
        <v>558</v>
      </c>
      <c r="B902" t="str">
        <f ca="1">OFFSET(Industries!C$1,MATCH(Table1[[#This Row],[Ticker]],Industries!$A$2:$A$150,0),0)</f>
        <v>Consumer Discretionary</v>
      </c>
      <c r="C902" t="str">
        <f ca="1">OFFSET(Industries!D$1,MATCH(Table1[[#This Row],[Ticker]],Industries!$A$2:$A$150,0),0)</f>
        <v>Consumer Services</v>
      </c>
      <c r="D902" t="str">
        <f ca="1">OFFSET(Industries!E$1,MATCH(Table1[[#This Row],[Ticker]],Industries!$A$2:$A$150,0),0)</f>
        <v>Hotels, Restaurants and Leisure</v>
      </c>
      <c r="E902" t="s">
        <v>559</v>
      </c>
      <c r="F902" t="str">
        <f ca="1">OFFSET(Industries!B$1,MATCH(Table1[[#This Row],[Ticker]],Industries!$A$2:$A$140,0),0)</f>
        <v>Ultra-Cap</v>
      </c>
      <c r="H902" t="s">
        <v>1434</v>
      </c>
      <c r="I902" t="s">
        <v>1434</v>
      </c>
      <c r="J902" s="2">
        <v>45405</v>
      </c>
      <c r="K902" t="s">
        <v>21</v>
      </c>
      <c r="L902" t="s">
        <v>1710</v>
      </c>
      <c r="M902" t="s">
        <v>1711</v>
      </c>
      <c r="N902" s="1">
        <f>Table1[[#This Row],[Consideration Weight]]</f>
        <v>0.22890643085227833</v>
      </c>
      <c r="O902" t="s">
        <v>455</v>
      </c>
      <c r="P902" s="1">
        <v>0.22890643085227833</v>
      </c>
      <c r="V902" t="s">
        <v>571</v>
      </c>
    </row>
    <row r="903" spans="1:22" x14ac:dyDescent="0.3">
      <c r="A903" t="s">
        <v>558</v>
      </c>
      <c r="B903" t="str">
        <f ca="1">OFFSET(Industries!C$1,MATCH(Table1[[#This Row],[Ticker]],Industries!$A$2:$A$150,0),0)</f>
        <v>Consumer Discretionary</v>
      </c>
      <c r="C903" t="str">
        <f ca="1">OFFSET(Industries!D$1,MATCH(Table1[[#This Row],[Ticker]],Industries!$A$2:$A$150,0),0)</f>
        <v>Consumer Services</v>
      </c>
      <c r="D903" t="str">
        <f ca="1">OFFSET(Industries!E$1,MATCH(Table1[[#This Row],[Ticker]],Industries!$A$2:$A$150,0),0)</f>
        <v>Hotels, Restaurants and Leisure</v>
      </c>
      <c r="E903" t="s">
        <v>559</v>
      </c>
      <c r="F903" t="str">
        <f ca="1">OFFSET(Industries!B$1,MATCH(Table1[[#This Row],[Ticker]],Industries!$A$2:$A$140,0),0)</f>
        <v>Ultra-Cap</v>
      </c>
      <c r="H903" t="s">
        <v>1434</v>
      </c>
      <c r="I903" t="s">
        <v>1434</v>
      </c>
      <c r="J903" s="2">
        <v>45405</v>
      </c>
      <c r="K903" t="s">
        <v>21</v>
      </c>
      <c r="L903" t="s">
        <v>1710</v>
      </c>
      <c r="M903" t="s">
        <v>1711</v>
      </c>
      <c r="N903" s="1">
        <f>Table1[[#This Row],[Consideration Weight]]</f>
        <v>7.7514363473666997E-2</v>
      </c>
      <c r="O903" t="s">
        <v>194</v>
      </c>
      <c r="P903" s="1">
        <v>7.7514363473666997E-2</v>
      </c>
    </row>
    <row r="904" spans="1:22" x14ac:dyDescent="0.3">
      <c r="A904" t="s">
        <v>574</v>
      </c>
      <c r="B904" t="str">
        <f ca="1">OFFSET(Industries!C$1,MATCH(Table1[[#This Row],[Ticker]],Industries!$A$2:$A$150,0),0)</f>
        <v>Consumer Discretionary</v>
      </c>
      <c r="C904" t="str">
        <f ca="1">OFFSET(Industries!D$1,MATCH(Table1[[#This Row],[Ticker]],Industries!$A$2:$A$150,0),0)</f>
        <v>Consumer Services</v>
      </c>
      <c r="D904" t="str">
        <f ca="1">OFFSET(Industries!E$1,MATCH(Table1[[#This Row],[Ticker]],Industries!$A$2:$A$150,0),0)</f>
        <v>Hotels, Restaurants and Leisure</v>
      </c>
      <c r="E904" t="s">
        <v>43</v>
      </c>
      <c r="F904" t="str">
        <f ca="1">OFFSET(Industries!B$1,MATCH(Table1[[#This Row],[Ticker]],Industries!$A$2:$A$140,0),0)</f>
        <v>Mega-Cap</v>
      </c>
      <c r="G904" t="str">
        <f ca="1">OFFSET(Industries!F$1,MATCH(Table1[[#This Row],[Ticker]],Industries!$A$2:$A$140,0),0)</f>
        <v>A-</v>
      </c>
      <c r="H904" t="s">
        <v>1434</v>
      </c>
      <c r="I904" t="s">
        <v>1434</v>
      </c>
      <c r="J904" s="2">
        <v>45405</v>
      </c>
      <c r="K904" t="s">
        <v>2</v>
      </c>
      <c r="L904" t="s">
        <v>3</v>
      </c>
      <c r="M904" t="s">
        <v>1711</v>
      </c>
      <c r="N904" s="1">
        <f>Table1[[#This Row],[Consideration Weight]]</f>
        <v>0.03</v>
      </c>
      <c r="O904" t="s">
        <v>3</v>
      </c>
      <c r="P904" s="1">
        <v>0.03</v>
      </c>
    </row>
    <row r="905" spans="1:22" x14ac:dyDescent="0.3">
      <c r="A905" t="s">
        <v>574</v>
      </c>
      <c r="B905" t="str">
        <f ca="1">OFFSET(Industries!C$1,MATCH(Table1[[#This Row],[Ticker]],Industries!$A$2:$A$150,0),0)</f>
        <v>Consumer Discretionary</v>
      </c>
      <c r="C905" t="str">
        <f ca="1">OFFSET(Industries!D$1,MATCH(Table1[[#This Row],[Ticker]],Industries!$A$2:$A$150,0),0)</f>
        <v>Consumer Services</v>
      </c>
      <c r="D905" t="str">
        <f ca="1">OFFSET(Industries!E$1,MATCH(Table1[[#This Row],[Ticker]],Industries!$A$2:$A$150,0),0)</f>
        <v>Hotels, Restaurants and Leisure</v>
      </c>
      <c r="E905" t="s">
        <v>43</v>
      </c>
      <c r="F905" t="str">
        <f ca="1">OFFSET(Industries!B$1,MATCH(Table1[[#This Row],[Ticker]],Industries!$A$2:$A$140,0),0)</f>
        <v>Mega-Cap</v>
      </c>
      <c r="G905" t="str">
        <f ca="1">OFFSET(Industries!F$1,MATCH(Table1[[#This Row],[Ticker]],Industries!$A$2:$A$140,0),0)</f>
        <v>A-</v>
      </c>
      <c r="H905" t="s">
        <v>1434</v>
      </c>
      <c r="I905" t="s">
        <v>1434</v>
      </c>
      <c r="J905" s="2">
        <v>45405</v>
      </c>
      <c r="K905" t="s">
        <v>2</v>
      </c>
      <c r="L905" t="s">
        <v>1708</v>
      </c>
      <c r="M905" t="s">
        <v>1709</v>
      </c>
      <c r="N905" s="1">
        <f>Table1[[#This Row],[Consideration Weight]]</f>
        <v>7.0000000000000007E-2</v>
      </c>
      <c r="O905" t="s">
        <v>4</v>
      </c>
      <c r="P905" s="1">
        <v>7.0000000000000007E-2</v>
      </c>
      <c r="Q905" s="1" t="s">
        <v>1636</v>
      </c>
      <c r="R905" t="s">
        <v>24</v>
      </c>
      <c r="S905" t="s">
        <v>1104</v>
      </c>
      <c r="T905" t="s">
        <v>153</v>
      </c>
      <c r="U905" s="1">
        <v>0.5</v>
      </c>
      <c r="V905" t="s">
        <v>575</v>
      </c>
    </row>
    <row r="906" spans="1:22" x14ac:dyDescent="0.3">
      <c r="A906" t="s">
        <v>574</v>
      </c>
      <c r="B906" t="str">
        <f ca="1">OFFSET(Industries!C$1,MATCH(Table1[[#This Row],[Ticker]],Industries!$A$2:$A$150,0),0)</f>
        <v>Consumer Discretionary</v>
      </c>
      <c r="C906" t="str">
        <f ca="1">OFFSET(Industries!D$1,MATCH(Table1[[#This Row],[Ticker]],Industries!$A$2:$A$150,0),0)</f>
        <v>Consumer Services</v>
      </c>
      <c r="D906" t="str">
        <f ca="1">OFFSET(Industries!E$1,MATCH(Table1[[#This Row],[Ticker]],Industries!$A$2:$A$150,0),0)</f>
        <v>Hotels, Restaurants and Leisure</v>
      </c>
      <c r="E906" t="s">
        <v>43</v>
      </c>
      <c r="F906" t="str">
        <f ca="1">OFFSET(Industries!B$1,MATCH(Table1[[#This Row],[Ticker]],Industries!$A$2:$A$140,0),0)</f>
        <v>Mega-Cap</v>
      </c>
      <c r="G906" t="str">
        <f ca="1">OFFSET(Industries!F$1,MATCH(Table1[[#This Row],[Ticker]],Industries!$A$2:$A$140,0),0)</f>
        <v>A-</v>
      </c>
      <c r="H906" t="s">
        <v>1434</v>
      </c>
      <c r="I906" t="s">
        <v>1434</v>
      </c>
      <c r="J906" s="2">
        <v>45405</v>
      </c>
      <c r="K906" t="s">
        <v>2</v>
      </c>
      <c r="L906" t="s">
        <v>1708</v>
      </c>
      <c r="M906" t="s">
        <v>1709</v>
      </c>
      <c r="N906" s="1"/>
      <c r="O906" t="s">
        <v>4</v>
      </c>
      <c r="P906" s="1">
        <v>7.0000000000000007E-2</v>
      </c>
      <c r="Q906" s="1" t="s">
        <v>1636</v>
      </c>
      <c r="R906" t="s">
        <v>23</v>
      </c>
      <c r="S906" t="s">
        <v>1083</v>
      </c>
      <c r="T906" t="s">
        <v>7</v>
      </c>
      <c r="U906" s="1">
        <v>0.5</v>
      </c>
      <c r="V906" t="s">
        <v>576</v>
      </c>
    </row>
    <row r="907" spans="1:22" x14ac:dyDescent="0.3">
      <c r="A907" t="s">
        <v>574</v>
      </c>
      <c r="B907" t="str">
        <f ca="1">OFFSET(Industries!C$1,MATCH(Table1[[#This Row],[Ticker]],Industries!$A$2:$A$150,0),0)</f>
        <v>Consumer Discretionary</v>
      </c>
      <c r="C907" t="str">
        <f ca="1">OFFSET(Industries!D$1,MATCH(Table1[[#This Row],[Ticker]],Industries!$A$2:$A$150,0),0)</f>
        <v>Consumer Services</v>
      </c>
      <c r="D907" t="str">
        <f ca="1">OFFSET(Industries!E$1,MATCH(Table1[[#This Row],[Ticker]],Industries!$A$2:$A$150,0),0)</f>
        <v>Hotels, Restaurants and Leisure</v>
      </c>
      <c r="E907" t="s">
        <v>43</v>
      </c>
      <c r="F907" t="str">
        <f ca="1">OFFSET(Industries!B$1,MATCH(Table1[[#This Row],[Ticker]],Industries!$A$2:$A$140,0),0)</f>
        <v>Mega-Cap</v>
      </c>
      <c r="G907" t="str">
        <f ca="1">OFFSET(Industries!F$1,MATCH(Table1[[#This Row],[Ticker]],Industries!$A$2:$A$140,0),0)</f>
        <v>A-</v>
      </c>
      <c r="H907" t="s">
        <v>1434</v>
      </c>
      <c r="I907" t="s">
        <v>1434</v>
      </c>
      <c r="J907" s="2">
        <v>45405</v>
      </c>
      <c r="K907" t="s">
        <v>2</v>
      </c>
      <c r="L907" t="s">
        <v>1708</v>
      </c>
      <c r="M907" t="s">
        <v>1709</v>
      </c>
      <c r="N907" s="1"/>
      <c r="O907" t="s">
        <v>4</v>
      </c>
      <c r="P907" s="1">
        <v>7.0000000000000007E-2</v>
      </c>
      <c r="R907" t="s">
        <v>28</v>
      </c>
      <c r="S907" t="s">
        <v>1110</v>
      </c>
      <c r="T907" t="s">
        <v>172</v>
      </c>
      <c r="V907" t="s">
        <v>581</v>
      </c>
    </row>
    <row r="908" spans="1:22" x14ac:dyDescent="0.3">
      <c r="A908" t="s">
        <v>574</v>
      </c>
      <c r="B908" t="str">
        <f ca="1">OFFSET(Industries!C$1,MATCH(Table1[[#This Row],[Ticker]],Industries!$A$2:$A$150,0),0)</f>
        <v>Consumer Discretionary</v>
      </c>
      <c r="C908" t="str">
        <f ca="1">OFFSET(Industries!D$1,MATCH(Table1[[#This Row],[Ticker]],Industries!$A$2:$A$150,0),0)</f>
        <v>Consumer Services</v>
      </c>
      <c r="D908" t="str">
        <f ca="1">OFFSET(Industries!E$1,MATCH(Table1[[#This Row],[Ticker]],Industries!$A$2:$A$150,0),0)</f>
        <v>Hotels, Restaurants and Leisure</v>
      </c>
      <c r="E908" t="s">
        <v>43</v>
      </c>
      <c r="F908" t="str">
        <f ca="1">OFFSET(Industries!B$1,MATCH(Table1[[#This Row],[Ticker]],Industries!$A$2:$A$140,0),0)</f>
        <v>Mega-Cap</v>
      </c>
      <c r="G908" t="str">
        <f ca="1">OFFSET(Industries!F$1,MATCH(Table1[[#This Row],[Ticker]],Industries!$A$2:$A$140,0),0)</f>
        <v>A-</v>
      </c>
      <c r="H908" t="s">
        <v>1434</v>
      </c>
      <c r="I908" t="s">
        <v>1434</v>
      </c>
      <c r="J908" s="2">
        <v>45405</v>
      </c>
      <c r="K908" t="s">
        <v>2</v>
      </c>
      <c r="L908" t="s">
        <v>1710</v>
      </c>
      <c r="M908" t="s">
        <v>1709</v>
      </c>
      <c r="N908" s="1">
        <f>Table1[[#This Row],[Consideration Weight]]</f>
        <v>0.54</v>
      </c>
      <c r="O908" t="s">
        <v>476</v>
      </c>
      <c r="P908" s="1">
        <f>0.9*0.6</f>
        <v>0.54</v>
      </c>
      <c r="Q908" s="1" t="s">
        <v>1636</v>
      </c>
      <c r="R908" t="s">
        <v>24</v>
      </c>
      <c r="S908" t="s">
        <v>1104</v>
      </c>
      <c r="T908" t="s">
        <v>577</v>
      </c>
      <c r="U908" s="1">
        <v>0.5</v>
      </c>
    </row>
    <row r="909" spans="1:22" x14ac:dyDescent="0.3">
      <c r="A909" t="s">
        <v>574</v>
      </c>
      <c r="B909" t="str">
        <f ca="1">OFFSET(Industries!C$1,MATCH(Table1[[#This Row],[Ticker]],Industries!$A$2:$A$150,0),0)</f>
        <v>Consumer Discretionary</v>
      </c>
      <c r="C909" t="str">
        <f ca="1">OFFSET(Industries!D$1,MATCH(Table1[[#This Row],[Ticker]],Industries!$A$2:$A$150,0),0)</f>
        <v>Consumer Services</v>
      </c>
      <c r="D909" t="str">
        <f ca="1">OFFSET(Industries!E$1,MATCH(Table1[[#This Row],[Ticker]],Industries!$A$2:$A$150,0),0)</f>
        <v>Hotels, Restaurants and Leisure</v>
      </c>
      <c r="E909" t="s">
        <v>43</v>
      </c>
      <c r="F909" t="str">
        <f ca="1">OFFSET(Industries!B$1,MATCH(Table1[[#This Row],[Ticker]],Industries!$A$2:$A$140,0),0)</f>
        <v>Mega-Cap</v>
      </c>
      <c r="G909" t="str">
        <f ca="1">OFFSET(Industries!F$1,MATCH(Table1[[#This Row],[Ticker]],Industries!$A$2:$A$140,0),0)</f>
        <v>A-</v>
      </c>
      <c r="H909" t="s">
        <v>1434</v>
      </c>
      <c r="I909" t="s">
        <v>1434</v>
      </c>
      <c r="J909" s="2">
        <v>45405</v>
      </c>
      <c r="K909" t="s">
        <v>2</v>
      </c>
      <c r="L909" t="s">
        <v>1710</v>
      </c>
      <c r="M909" t="s">
        <v>1709</v>
      </c>
      <c r="N909" s="1"/>
      <c r="O909" t="s">
        <v>476</v>
      </c>
      <c r="P909" s="1">
        <f>0.9*0.6</f>
        <v>0.54</v>
      </c>
      <c r="Q909" s="1" t="s">
        <v>1636</v>
      </c>
      <c r="R909" t="s">
        <v>23</v>
      </c>
      <c r="S909" t="s">
        <v>1083</v>
      </c>
      <c r="T909" t="s">
        <v>578</v>
      </c>
      <c r="U909" s="1">
        <v>0.5</v>
      </c>
    </row>
    <row r="910" spans="1:22" x14ac:dyDescent="0.3">
      <c r="A910" t="s">
        <v>574</v>
      </c>
      <c r="B910" t="str">
        <f ca="1">OFFSET(Industries!C$1,MATCH(Table1[[#This Row],[Ticker]],Industries!$A$2:$A$150,0),0)</f>
        <v>Consumer Discretionary</v>
      </c>
      <c r="C910" t="str">
        <f ca="1">OFFSET(Industries!D$1,MATCH(Table1[[#This Row],[Ticker]],Industries!$A$2:$A$150,0),0)</f>
        <v>Consumer Services</v>
      </c>
      <c r="D910" t="str">
        <f ca="1">OFFSET(Industries!E$1,MATCH(Table1[[#This Row],[Ticker]],Industries!$A$2:$A$150,0),0)</f>
        <v>Hotels, Restaurants and Leisure</v>
      </c>
      <c r="E910" t="s">
        <v>43</v>
      </c>
      <c r="F910" t="str">
        <f ca="1">OFFSET(Industries!B$1,MATCH(Table1[[#This Row],[Ticker]],Industries!$A$2:$A$140,0),0)</f>
        <v>Mega-Cap</v>
      </c>
      <c r="G910" t="str">
        <f ca="1">OFFSET(Industries!F$1,MATCH(Table1[[#This Row],[Ticker]],Industries!$A$2:$A$140,0),0)</f>
        <v>A-</v>
      </c>
      <c r="H910" t="s">
        <v>1434</v>
      </c>
      <c r="I910" t="s">
        <v>1434</v>
      </c>
      <c r="J910" s="2">
        <v>45405</v>
      </c>
      <c r="K910" t="s">
        <v>2</v>
      </c>
      <c r="L910" t="s">
        <v>1710</v>
      </c>
      <c r="M910" t="s">
        <v>1709</v>
      </c>
      <c r="N910" s="1"/>
      <c r="O910" t="s">
        <v>476</v>
      </c>
      <c r="P910" s="1">
        <f>0.9*0.6</f>
        <v>0.54</v>
      </c>
      <c r="R910" t="s">
        <v>28</v>
      </c>
      <c r="S910" t="s">
        <v>1085</v>
      </c>
      <c r="T910" t="s">
        <v>200</v>
      </c>
      <c r="V910" t="s">
        <v>579</v>
      </c>
    </row>
    <row r="911" spans="1:22" x14ac:dyDescent="0.3">
      <c r="A911" t="s">
        <v>574</v>
      </c>
      <c r="B911" t="str">
        <f ca="1">OFFSET(Industries!C$1,MATCH(Table1[[#This Row],[Ticker]],Industries!$A$2:$A$150,0),0)</f>
        <v>Consumer Discretionary</v>
      </c>
      <c r="C911" t="str">
        <f ca="1">OFFSET(Industries!D$1,MATCH(Table1[[#This Row],[Ticker]],Industries!$A$2:$A$150,0),0)</f>
        <v>Consumer Services</v>
      </c>
      <c r="D911" t="str">
        <f ca="1">OFFSET(Industries!E$1,MATCH(Table1[[#This Row],[Ticker]],Industries!$A$2:$A$150,0),0)</f>
        <v>Hotels, Restaurants and Leisure</v>
      </c>
      <c r="E911" t="s">
        <v>43</v>
      </c>
      <c r="F911" t="str">
        <f ca="1">OFFSET(Industries!B$1,MATCH(Table1[[#This Row],[Ticker]],Industries!$A$2:$A$140,0),0)</f>
        <v>Mega-Cap</v>
      </c>
      <c r="G911" t="str">
        <f ca="1">OFFSET(Industries!F$1,MATCH(Table1[[#This Row],[Ticker]],Industries!$A$2:$A$140,0),0)</f>
        <v>A-</v>
      </c>
      <c r="H911" t="s">
        <v>1434</v>
      </c>
      <c r="I911" t="s">
        <v>1434</v>
      </c>
      <c r="J911" s="2">
        <v>45405</v>
      </c>
      <c r="K911" t="s">
        <v>2</v>
      </c>
      <c r="L911" t="s">
        <v>1710</v>
      </c>
      <c r="M911" t="s">
        <v>1709</v>
      </c>
      <c r="N911" s="1"/>
      <c r="O911" t="s">
        <v>476</v>
      </c>
      <c r="P911" s="1">
        <f>0.9*0.6</f>
        <v>0.54</v>
      </c>
      <c r="R911" t="s">
        <v>28</v>
      </c>
      <c r="S911" t="s">
        <v>1095</v>
      </c>
      <c r="T911" t="s">
        <v>55</v>
      </c>
      <c r="V911" t="s">
        <v>580</v>
      </c>
    </row>
    <row r="912" spans="1:22" x14ac:dyDescent="0.3">
      <c r="A912" t="s">
        <v>574</v>
      </c>
      <c r="B912" t="str">
        <f ca="1">OFFSET(Industries!C$1,MATCH(Table1[[#This Row],[Ticker]],Industries!$A$2:$A$150,0),0)</f>
        <v>Consumer Discretionary</v>
      </c>
      <c r="C912" t="str">
        <f ca="1">OFFSET(Industries!D$1,MATCH(Table1[[#This Row],[Ticker]],Industries!$A$2:$A$150,0),0)</f>
        <v>Consumer Services</v>
      </c>
      <c r="D912" t="str">
        <f ca="1">OFFSET(Industries!E$1,MATCH(Table1[[#This Row],[Ticker]],Industries!$A$2:$A$150,0),0)</f>
        <v>Hotels, Restaurants and Leisure</v>
      </c>
      <c r="E912" t="s">
        <v>43</v>
      </c>
      <c r="F912" t="str">
        <f ca="1">OFFSET(Industries!B$1,MATCH(Table1[[#This Row],[Ticker]],Industries!$A$2:$A$140,0),0)</f>
        <v>Mega-Cap</v>
      </c>
      <c r="G912" t="str">
        <f ca="1">OFFSET(Industries!F$1,MATCH(Table1[[#This Row],[Ticker]],Industries!$A$2:$A$140,0),0)</f>
        <v>A-</v>
      </c>
      <c r="H912" t="s">
        <v>1434</v>
      </c>
      <c r="I912" t="s">
        <v>1434</v>
      </c>
      <c r="J912" s="2">
        <v>45405</v>
      </c>
      <c r="K912" t="s">
        <v>2</v>
      </c>
      <c r="L912" t="s">
        <v>1710</v>
      </c>
      <c r="M912" t="s">
        <v>1711</v>
      </c>
      <c r="N912" s="1">
        <f>Table1[[#This Row],[Consideration Weight]]</f>
        <v>0.36000000000000004</v>
      </c>
      <c r="O912" t="s">
        <v>194</v>
      </c>
      <c r="P912" s="1">
        <f>0.9*0.4</f>
        <v>0.36000000000000004</v>
      </c>
    </row>
    <row r="913" spans="1:22" x14ac:dyDescent="0.3">
      <c r="A913" t="s">
        <v>574</v>
      </c>
      <c r="B913" t="str">
        <f ca="1">OFFSET(Industries!C$1,MATCH(Table1[[#This Row],[Ticker]],Industries!$A$2:$A$150,0),0)</f>
        <v>Consumer Discretionary</v>
      </c>
      <c r="C913" t="str">
        <f ca="1">OFFSET(Industries!D$1,MATCH(Table1[[#This Row],[Ticker]],Industries!$A$2:$A$150,0),0)</f>
        <v>Consumer Services</v>
      </c>
      <c r="D913" t="str">
        <f ca="1">OFFSET(Industries!E$1,MATCH(Table1[[#This Row],[Ticker]],Industries!$A$2:$A$150,0),0)</f>
        <v>Hotels, Restaurants and Leisure</v>
      </c>
      <c r="E913" t="s">
        <v>43</v>
      </c>
      <c r="F913" t="str">
        <f ca="1">OFFSET(Industries!B$1,MATCH(Table1[[#This Row],[Ticker]],Industries!$A$2:$A$140,0),0)</f>
        <v>Mega-Cap</v>
      </c>
      <c r="G913" t="str">
        <f ca="1">OFFSET(Industries!F$1,MATCH(Table1[[#This Row],[Ticker]],Industries!$A$2:$A$140,0),0)</f>
        <v>A-</v>
      </c>
      <c r="H913" t="s">
        <v>1434</v>
      </c>
      <c r="I913" t="s">
        <v>1434</v>
      </c>
      <c r="J913" s="2">
        <v>45405</v>
      </c>
      <c r="K913" t="s">
        <v>21</v>
      </c>
      <c r="L913" t="s">
        <v>3</v>
      </c>
      <c r="M913" t="s">
        <v>1711</v>
      </c>
      <c r="N913" s="1">
        <f>Table1[[#This Row],[Consideration Weight]]</f>
        <v>0.06</v>
      </c>
      <c r="O913" t="s">
        <v>3</v>
      </c>
      <c r="P913" s="1">
        <v>0.06</v>
      </c>
    </row>
    <row r="914" spans="1:22" x14ac:dyDescent="0.3">
      <c r="A914" t="s">
        <v>574</v>
      </c>
      <c r="B914" t="str">
        <f ca="1">OFFSET(Industries!C$1,MATCH(Table1[[#This Row],[Ticker]],Industries!$A$2:$A$150,0),0)</f>
        <v>Consumer Discretionary</v>
      </c>
      <c r="C914" t="str">
        <f ca="1">OFFSET(Industries!D$1,MATCH(Table1[[#This Row],[Ticker]],Industries!$A$2:$A$150,0),0)</f>
        <v>Consumer Services</v>
      </c>
      <c r="D914" t="str">
        <f ca="1">OFFSET(Industries!E$1,MATCH(Table1[[#This Row],[Ticker]],Industries!$A$2:$A$150,0),0)</f>
        <v>Hotels, Restaurants and Leisure</v>
      </c>
      <c r="E914" t="s">
        <v>43</v>
      </c>
      <c r="F914" t="str">
        <f ca="1">OFFSET(Industries!B$1,MATCH(Table1[[#This Row],[Ticker]],Industries!$A$2:$A$140,0),0)</f>
        <v>Mega-Cap</v>
      </c>
      <c r="G914" t="str">
        <f ca="1">OFFSET(Industries!F$1,MATCH(Table1[[#This Row],[Ticker]],Industries!$A$2:$A$140,0),0)</f>
        <v>A-</v>
      </c>
      <c r="H914" t="s">
        <v>1434</v>
      </c>
      <c r="I914" t="s">
        <v>1434</v>
      </c>
      <c r="J914" s="2">
        <v>45405</v>
      </c>
      <c r="K914" t="s">
        <v>21</v>
      </c>
      <c r="L914" t="s">
        <v>1708</v>
      </c>
      <c r="M914" t="s">
        <v>1709</v>
      </c>
      <c r="N914" s="1">
        <f>Table1[[#This Row],[Consideration Weight]]</f>
        <v>0.11</v>
      </c>
      <c r="O914" t="s">
        <v>4</v>
      </c>
      <c r="P914" s="1">
        <v>0.11</v>
      </c>
      <c r="Q914" s="1" t="s">
        <v>1636</v>
      </c>
      <c r="R914" t="s">
        <v>24</v>
      </c>
      <c r="S914" t="s">
        <v>1104</v>
      </c>
      <c r="T914" t="s">
        <v>153</v>
      </c>
      <c r="U914" s="1">
        <v>0.5</v>
      </c>
    </row>
    <row r="915" spans="1:22" x14ac:dyDescent="0.3">
      <c r="A915" t="s">
        <v>574</v>
      </c>
      <c r="B915" t="str">
        <f ca="1">OFFSET(Industries!C$1,MATCH(Table1[[#This Row],[Ticker]],Industries!$A$2:$A$150,0),0)</f>
        <v>Consumer Discretionary</v>
      </c>
      <c r="C915" t="str">
        <f ca="1">OFFSET(Industries!D$1,MATCH(Table1[[#This Row],[Ticker]],Industries!$A$2:$A$150,0),0)</f>
        <v>Consumer Services</v>
      </c>
      <c r="D915" t="str">
        <f ca="1">OFFSET(Industries!E$1,MATCH(Table1[[#This Row],[Ticker]],Industries!$A$2:$A$150,0),0)</f>
        <v>Hotels, Restaurants and Leisure</v>
      </c>
      <c r="E915" t="s">
        <v>43</v>
      </c>
      <c r="F915" t="str">
        <f ca="1">OFFSET(Industries!B$1,MATCH(Table1[[#This Row],[Ticker]],Industries!$A$2:$A$140,0),0)</f>
        <v>Mega-Cap</v>
      </c>
      <c r="G915" t="str">
        <f ca="1">OFFSET(Industries!F$1,MATCH(Table1[[#This Row],[Ticker]],Industries!$A$2:$A$140,0),0)</f>
        <v>A-</v>
      </c>
      <c r="H915" t="s">
        <v>1434</v>
      </c>
      <c r="I915" t="s">
        <v>1434</v>
      </c>
      <c r="J915" s="2">
        <v>45405</v>
      </c>
      <c r="K915" t="s">
        <v>21</v>
      </c>
      <c r="L915" t="s">
        <v>1708</v>
      </c>
      <c r="M915" t="s">
        <v>1709</v>
      </c>
      <c r="N915" s="1"/>
      <c r="O915" t="s">
        <v>4</v>
      </c>
      <c r="P915" s="1">
        <v>0.11</v>
      </c>
      <c r="Q915" s="1" t="s">
        <v>1636</v>
      </c>
      <c r="R915" t="s">
        <v>23</v>
      </c>
      <c r="S915" t="s">
        <v>1083</v>
      </c>
      <c r="T915" t="s">
        <v>7</v>
      </c>
      <c r="U915" s="1">
        <v>0.5</v>
      </c>
    </row>
    <row r="916" spans="1:22" x14ac:dyDescent="0.3">
      <c r="A916" t="s">
        <v>574</v>
      </c>
      <c r="B916" t="str">
        <f ca="1">OFFSET(Industries!C$1,MATCH(Table1[[#This Row],[Ticker]],Industries!$A$2:$A$150,0),0)</f>
        <v>Consumer Discretionary</v>
      </c>
      <c r="C916" t="str">
        <f ca="1">OFFSET(Industries!D$1,MATCH(Table1[[#This Row],[Ticker]],Industries!$A$2:$A$150,0),0)</f>
        <v>Consumer Services</v>
      </c>
      <c r="D916" t="str">
        <f ca="1">OFFSET(Industries!E$1,MATCH(Table1[[#This Row],[Ticker]],Industries!$A$2:$A$150,0),0)</f>
        <v>Hotels, Restaurants and Leisure</v>
      </c>
      <c r="E916" t="s">
        <v>43</v>
      </c>
      <c r="F916" t="str">
        <f ca="1">OFFSET(Industries!B$1,MATCH(Table1[[#This Row],[Ticker]],Industries!$A$2:$A$140,0),0)</f>
        <v>Mega-Cap</v>
      </c>
      <c r="G916" t="str">
        <f ca="1">OFFSET(Industries!F$1,MATCH(Table1[[#This Row],[Ticker]],Industries!$A$2:$A$140,0),0)</f>
        <v>A-</v>
      </c>
      <c r="H916" t="s">
        <v>1434</v>
      </c>
      <c r="I916" t="s">
        <v>1434</v>
      </c>
      <c r="J916" s="2">
        <v>45405</v>
      </c>
      <c r="K916" t="s">
        <v>21</v>
      </c>
      <c r="L916" t="s">
        <v>1708</v>
      </c>
      <c r="M916" t="s">
        <v>1709</v>
      </c>
      <c r="N916" s="1"/>
      <c r="O916" t="s">
        <v>4</v>
      </c>
      <c r="P916" s="1">
        <v>0.11</v>
      </c>
      <c r="R916" t="s">
        <v>28</v>
      </c>
      <c r="S916" t="s">
        <v>1110</v>
      </c>
      <c r="T916" t="s">
        <v>172</v>
      </c>
    </row>
    <row r="917" spans="1:22" x14ac:dyDescent="0.3">
      <c r="A917" t="s">
        <v>574</v>
      </c>
      <c r="B917" t="str">
        <f ca="1">OFFSET(Industries!C$1,MATCH(Table1[[#This Row],[Ticker]],Industries!$A$2:$A$150,0),0)</f>
        <v>Consumer Discretionary</v>
      </c>
      <c r="C917" t="str">
        <f ca="1">OFFSET(Industries!D$1,MATCH(Table1[[#This Row],[Ticker]],Industries!$A$2:$A$150,0),0)</f>
        <v>Consumer Services</v>
      </c>
      <c r="D917" t="str">
        <f ca="1">OFFSET(Industries!E$1,MATCH(Table1[[#This Row],[Ticker]],Industries!$A$2:$A$150,0),0)</f>
        <v>Hotels, Restaurants and Leisure</v>
      </c>
      <c r="E917" t="s">
        <v>43</v>
      </c>
      <c r="F917" t="str">
        <f ca="1">OFFSET(Industries!B$1,MATCH(Table1[[#This Row],[Ticker]],Industries!$A$2:$A$140,0),0)</f>
        <v>Mega-Cap</v>
      </c>
      <c r="G917" t="str">
        <f ca="1">OFFSET(Industries!F$1,MATCH(Table1[[#This Row],[Ticker]],Industries!$A$2:$A$140,0),0)</f>
        <v>A-</v>
      </c>
      <c r="H917" t="s">
        <v>1434</v>
      </c>
      <c r="I917" t="s">
        <v>1434</v>
      </c>
      <c r="J917" s="2">
        <v>45405</v>
      </c>
      <c r="K917" t="s">
        <v>21</v>
      </c>
      <c r="L917" t="s">
        <v>1710</v>
      </c>
      <c r="M917" t="s">
        <v>1709</v>
      </c>
      <c r="N917" s="1">
        <f>Table1[[#This Row],[Consideration Weight]]</f>
        <v>0.49799999999999994</v>
      </c>
      <c r="O917" t="s">
        <v>476</v>
      </c>
      <c r="P917" s="1">
        <f>0.83*0.6</f>
        <v>0.49799999999999994</v>
      </c>
      <c r="Q917" s="1" t="s">
        <v>1636</v>
      </c>
      <c r="R917" t="s">
        <v>24</v>
      </c>
      <c r="S917" t="s">
        <v>1104</v>
      </c>
      <c r="T917" t="s">
        <v>577</v>
      </c>
      <c r="U917" s="1">
        <v>0.5</v>
      </c>
    </row>
    <row r="918" spans="1:22" x14ac:dyDescent="0.3">
      <c r="A918" t="s">
        <v>574</v>
      </c>
      <c r="B918" t="str">
        <f ca="1">OFFSET(Industries!C$1,MATCH(Table1[[#This Row],[Ticker]],Industries!$A$2:$A$150,0),0)</f>
        <v>Consumer Discretionary</v>
      </c>
      <c r="C918" t="str">
        <f ca="1">OFFSET(Industries!D$1,MATCH(Table1[[#This Row],[Ticker]],Industries!$A$2:$A$150,0),0)</f>
        <v>Consumer Services</v>
      </c>
      <c r="D918" t="str">
        <f ca="1">OFFSET(Industries!E$1,MATCH(Table1[[#This Row],[Ticker]],Industries!$A$2:$A$150,0),0)</f>
        <v>Hotels, Restaurants and Leisure</v>
      </c>
      <c r="E918" t="s">
        <v>43</v>
      </c>
      <c r="F918" t="str">
        <f ca="1">OFFSET(Industries!B$1,MATCH(Table1[[#This Row],[Ticker]],Industries!$A$2:$A$140,0),0)</f>
        <v>Mega-Cap</v>
      </c>
      <c r="G918" t="str">
        <f ca="1">OFFSET(Industries!F$1,MATCH(Table1[[#This Row],[Ticker]],Industries!$A$2:$A$140,0),0)</f>
        <v>A-</v>
      </c>
      <c r="H918" t="s">
        <v>1434</v>
      </c>
      <c r="I918" t="s">
        <v>1434</v>
      </c>
      <c r="J918" s="2">
        <v>45405</v>
      </c>
      <c r="K918" t="s">
        <v>21</v>
      </c>
      <c r="L918" t="s">
        <v>1710</v>
      </c>
      <c r="M918" t="s">
        <v>1709</v>
      </c>
      <c r="N918" s="1"/>
      <c r="O918" t="s">
        <v>476</v>
      </c>
      <c r="P918" s="1">
        <f>0.83*0.6</f>
        <v>0.49799999999999994</v>
      </c>
      <c r="Q918" s="1" t="s">
        <v>1636</v>
      </c>
      <c r="R918" t="s">
        <v>23</v>
      </c>
      <c r="S918" t="s">
        <v>1083</v>
      </c>
      <c r="T918" t="s">
        <v>578</v>
      </c>
      <c r="U918" s="1">
        <v>0.5</v>
      </c>
    </row>
    <row r="919" spans="1:22" x14ac:dyDescent="0.3">
      <c r="A919" t="s">
        <v>574</v>
      </c>
      <c r="B919" t="str">
        <f ca="1">OFFSET(Industries!C$1,MATCH(Table1[[#This Row],[Ticker]],Industries!$A$2:$A$150,0),0)</f>
        <v>Consumer Discretionary</v>
      </c>
      <c r="C919" t="str">
        <f ca="1">OFFSET(Industries!D$1,MATCH(Table1[[#This Row],[Ticker]],Industries!$A$2:$A$150,0),0)</f>
        <v>Consumer Services</v>
      </c>
      <c r="D919" t="str">
        <f ca="1">OFFSET(Industries!E$1,MATCH(Table1[[#This Row],[Ticker]],Industries!$A$2:$A$150,0),0)</f>
        <v>Hotels, Restaurants and Leisure</v>
      </c>
      <c r="E919" t="s">
        <v>43</v>
      </c>
      <c r="F919" t="str">
        <f ca="1">OFFSET(Industries!B$1,MATCH(Table1[[#This Row],[Ticker]],Industries!$A$2:$A$140,0),0)</f>
        <v>Mega-Cap</v>
      </c>
      <c r="G919" t="str">
        <f ca="1">OFFSET(Industries!F$1,MATCH(Table1[[#This Row],[Ticker]],Industries!$A$2:$A$140,0),0)</f>
        <v>A-</v>
      </c>
      <c r="H919" t="s">
        <v>1434</v>
      </c>
      <c r="I919" t="s">
        <v>1434</v>
      </c>
      <c r="J919" s="2">
        <v>45405</v>
      </c>
      <c r="K919" t="s">
        <v>2</v>
      </c>
      <c r="L919" t="s">
        <v>1710</v>
      </c>
      <c r="M919" t="s">
        <v>1709</v>
      </c>
      <c r="N919" s="1"/>
      <c r="O919" t="s">
        <v>476</v>
      </c>
      <c r="P919" s="1">
        <f>0.9*0.6</f>
        <v>0.54</v>
      </c>
      <c r="R919" t="s">
        <v>28</v>
      </c>
      <c r="S919" t="s">
        <v>1085</v>
      </c>
      <c r="T919" t="s">
        <v>200</v>
      </c>
    </row>
    <row r="920" spans="1:22" x14ac:dyDescent="0.3">
      <c r="A920" t="s">
        <v>574</v>
      </c>
      <c r="B920" t="str">
        <f ca="1">OFFSET(Industries!C$1,MATCH(Table1[[#This Row],[Ticker]],Industries!$A$2:$A$150,0),0)</f>
        <v>Consumer Discretionary</v>
      </c>
      <c r="C920" t="str">
        <f ca="1">OFFSET(Industries!D$1,MATCH(Table1[[#This Row],[Ticker]],Industries!$A$2:$A$150,0),0)</f>
        <v>Consumer Services</v>
      </c>
      <c r="D920" t="str">
        <f ca="1">OFFSET(Industries!E$1,MATCH(Table1[[#This Row],[Ticker]],Industries!$A$2:$A$150,0),0)</f>
        <v>Hotels, Restaurants and Leisure</v>
      </c>
      <c r="E920" t="s">
        <v>43</v>
      </c>
      <c r="F920" t="str">
        <f ca="1">OFFSET(Industries!B$1,MATCH(Table1[[#This Row],[Ticker]],Industries!$A$2:$A$140,0),0)</f>
        <v>Mega-Cap</v>
      </c>
      <c r="G920" t="str">
        <f ca="1">OFFSET(Industries!F$1,MATCH(Table1[[#This Row],[Ticker]],Industries!$A$2:$A$140,0),0)</f>
        <v>A-</v>
      </c>
      <c r="H920" t="s">
        <v>1434</v>
      </c>
      <c r="I920" t="s">
        <v>1434</v>
      </c>
      <c r="J920" s="2">
        <v>45405</v>
      </c>
      <c r="K920" t="s">
        <v>2</v>
      </c>
      <c r="L920" t="s">
        <v>1710</v>
      </c>
      <c r="M920" t="s">
        <v>1709</v>
      </c>
      <c r="N920" s="1"/>
      <c r="O920" t="s">
        <v>476</v>
      </c>
      <c r="P920" s="1">
        <f>0.9*0.6</f>
        <v>0.54</v>
      </c>
      <c r="R920" t="s">
        <v>28</v>
      </c>
      <c r="S920" t="s">
        <v>1095</v>
      </c>
      <c r="T920" t="s">
        <v>55</v>
      </c>
    </row>
    <row r="921" spans="1:22" x14ac:dyDescent="0.3">
      <c r="A921" t="s">
        <v>574</v>
      </c>
      <c r="B921" t="str">
        <f ca="1">OFFSET(Industries!C$1,MATCH(Table1[[#This Row],[Ticker]],Industries!$A$2:$A$150,0),0)</f>
        <v>Consumer Discretionary</v>
      </c>
      <c r="C921" t="str">
        <f ca="1">OFFSET(Industries!D$1,MATCH(Table1[[#This Row],[Ticker]],Industries!$A$2:$A$150,0),0)</f>
        <v>Consumer Services</v>
      </c>
      <c r="D921" t="str">
        <f ca="1">OFFSET(Industries!E$1,MATCH(Table1[[#This Row],[Ticker]],Industries!$A$2:$A$150,0),0)</f>
        <v>Hotels, Restaurants and Leisure</v>
      </c>
      <c r="E921" t="s">
        <v>43</v>
      </c>
      <c r="F921" t="str">
        <f ca="1">OFFSET(Industries!B$1,MATCH(Table1[[#This Row],[Ticker]],Industries!$A$2:$A$140,0),0)</f>
        <v>Mega-Cap</v>
      </c>
      <c r="G921" t="str">
        <f ca="1">OFFSET(Industries!F$1,MATCH(Table1[[#This Row],[Ticker]],Industries!$A$2:$A$140,0),0)</f>
        <v>A-</v>
      </c>
      <c r="H921" t="s">
        <v>1434</v>
      </c>
      <c r="I921" t="s">
        <v>1434</v>
      </c>
      <c r="J921" s="2">
        <v>45405</v>
      </c>
      <c r="K921" t="s">
        <v>21</v>
      </c>
      <c r="L921" t="s">
        <v>1710</v>
      </c>
      <c r="M921" t="s">
        <v>1711</v>
      </c>
      <c r="N921" s="1">
        <f>Table1[[#This Row],[Consideration Weight]]</f>
        <v>0.33200000000000002</v>
      </c>
      <c r="O921" t="s">
        <v>194</v>
      </c>
      <c r="P921" s="1">
        <f>0.83*0.4</f>
        <v>0.33200000000000002</v>
      </c>
    </row>
    <row r="922" spans="1:22" x14ac:dyDescent="0.3">
      <c r="A922" t="s">
        <v>582</v>
      </c>
      <c r="B922" t="str">
        <f ca="1">OFFSET(Industries!C$1,MATCH(Table1[[#This Row],[Ticker]],Industries!$A$2:$A$150,0),0)</f>
        <v>Consumer Staples</v>
      </c>
      <c r="C922" t="str">
        <f ca="1">OFFSET(Industries!D$1,MATCH(Table1[[#This Row],[Ticker]],Industries!$A$2:$A$150,0),0)</f>
        <v>Food, Beverage and Tobacco</v>
      </c>
      <c r="D922" t="str">
        <f ca="1">OFFSET(Industries!E$1,MATCH(Table1[[#This Row],[Ticker]],Industries!$A$2:$A$150,0),0)</f>
        <v>Beverages</v>
      </c>
      <c r="E922" t="s">
        <v>583</v>
      </c>
      <c r="F922" t="str">
        <f ca="1">OFFSET(Industries!B$1,MATCH(Table1[[#This Row],[Ticker]],Industries!$A$2:$A$140,0),0)</f>
        <v>Large-Cap</v>
      </c>
      <c r="G922" t="str">
        <f ca="1">OFFSET(Industries!F$1,MATCH(Table1[[#This Row],[Ticker]],Industries!$A$2:$A$140,0),0)</f>
        <v>BBB</v>
      </c>
      <c r="H922" t="s">
        <v>1434</v>
      </c>
      <c r="I922" t="s">
        <v>1434</v>
      </c>
      <c r="J922" s="2">
        <v>45408</v>
      </c>
      <c r="K922" t="s">
        <v>2</v>
      </c>
      <c r="L922" t="s">
        <v>3</v>
      </c>
      <c r="M922" t="s">
        <v>1711</v>
      </c>
      <c r="N922" s="1">
        <f>Table1[[#This Row],[Consideration Weight]]</f>
        <v>0.17799999999999999</v>
      </c>
      <c r="O922" t="s">
        <v>3</v>
      </c>
      <c r="P922" s="1">
        <v>0.17799999999999999</v>
      </c>
    </row>
    <row r="923" spans="1:22" x14ac:dyDescent="0.3">
      <c r="A923" t="s">
        <v>582</v>
      </c>
      <c r="B923" t="str">
        <f ca="1">OFFSET(Industries!C$1,MATCH(Table1[[#This Row],[Ticker]],Industries!$A$2:$A$150,0),0)</f>
        <v>Consumer Staples</v>
      </c>
      <c r="C923" t="str">
        <f ca="1">OFFSET(Industries!D$1,MATCH(Table1[[#This Row],[Ticker]],Industries!$A$2:$A$150,0),0)</f>
        <v>Food, Beverage and Tobacco</v>
      </c>
      <c r="D923" t="str">
        <f ca="1">OFFSET(Industries!E$1,MATCH(Table1[[#This Row],[Ticker]],Industries!$A$2:$A$150,0),0)</f>
        <v>Beverages</v>
      </c>
      <c r="E923" t="s">
        <v>583</v>
      </c>
      <c r="F923" t="str">
        <f ca="1">OFFSET(Industries!B$1,MATCH(Table1[[#This Row],[Ticker]],Industries!$A$2:$A$140,0),0)</f>
        <v>Large-Cap</v>
      </c>
      <c r="G923" t="str">
        <f ca="1">OFFSET(Industries!F$1,MATCH(Table1[[#This Row],[Ticker]],Industries!$A$2:$A$140,0),0)</f>
        <v>BBB</v>
      </c>
      <c r="H923" t="s">
        <v>1434</v>
      </c>
      <c r="I923" t="s">
        <v>1434</v>
      </c>
      <c r="J923" s="2">
        <v>45408</v>
      </c>
      <c r="K923" t="s">
        <v>2</v>
      </c>
      <c r="L923" t="s">
        <v>1708</v>
      </c>
      <c r="M923" t="s">
        <v>1709</v>
      </c>
      <c r="N923" s="1">
        <f>Table1[[#This Row],[Consideration Weight]]</f>
        <v>0.26600000000000001</v>
      </c>
      <c r="O923" t="s">
        <v>4</v>
      </c>
      <c r="P923" s="1">
        <v>0.26600000000000001</v>
      </c>
      <c r="Q923" s="1" t="s">
        <v>1636</v>
      </c>
      <c r="R923" t="s">
        <v>24</v>
      </c>
      <c r="S923" t="s">
        <v>90</v>
      </c>
      <c r="T923" t="s">
        <v>8</v>
      </c>
      <c r="U923" s="1">
        <v>0.6</v>
      </c>
      <c r="V923" t="s">
        <v>585</v>
      </c>
    </row>
    <row r="924" spans="1:22" x14ac:dyDescent="0.3">
      <c r="A924" t="s">
        <v>582</v>
      </c>
      <c r="B924" t="str">
        <f ca="1">OFFSET(Industries!C$1,MATCH(Table1[[#This Row],[Ticker]],Industries!$A$2:$A$150,0),0)</f>
        <v>Consumer Staples</v>
      </c>
      <c r="C924" t="str">
        <f ca="1">OFFSET(Industries!D$1,MATCH(Table1[[#This Row],[Ticker]],Industries!$A$2:$A$150,0),0)</f>
        <v>Food, Beverage and Tobacco</v>
      </c>
      <c r="D924" t="str">
        <f ca="1">OFFSET(Industries!E$1,MATCH(Table1[[#This Row],[Ticker]],Industries!$A$2:$A$150,0),0)</f>
        <v>Beverages</v>
      </c>
      <c r="E924" t="s">
        <v>583</v>
      </c>
      <c r="F924" t="str">
        <f ca="1">OFFSET(Industries!B$1,MATCH(Table1[[#This Row],[Ticker]],Industries!$A$2:$A$140,0),0)</f>
        <v>Large-Cap</v>
      </c>
      <c r="G924" t="str">
        <f ca="1">OFFSET(Industries!F$1,MATCH(Table1[[#This Row],[Ticker]],Industries!$A$2:$A$140,0),0)</f>
        <v>BBB</v>
      </c>
      <c r="H924" t="s">
        <v>1434</v>
      </c>
      <c r="I924" t="s">
        <v>1434</v>
      </c>
      <c r="J924" s="2">
        <v>45408</v>
      </c>
      <c r="K924" t="s">
        <v>2</v>
      </c>
      <c r="L924" t="s">
        <v>1708</v>
      </c>
      <c r="M924" t="s">
        <v>1709</v>
      </c>
      <c r="N924" s="1"/>
      <c r="O924" t="s">
        <v>4</v>
      </c>
      <c r="P924" s="1">
        <v>0.26600000000000001</v>
      </c>
      <c r="Q924" s="1" t="s">
        <v>1636</v>
      </c>
      <c r="R924" t="s">
        <v>23</v>
      </c>
      <c r="S924" t="s">
        <v>1083</v>
      </c>
      <c r="T924" t="s">
        <v>7</v>
      </c>
      <c r="U924" s="1">
        <v>0.3</v>
      </c>
      <c r="V924" t="s">
        <v>584</v>
      </c>
    </row>
    <row r="925" spans="1:22" x14ac:dyDescent="0.3">
      <c r="A925" t="s">
        <v>582</v>
      </c>
      <c r="B925" t="str">
        <f ca="1">OFFSET(Industries!C$1,MATCH(Table1[[#This Row],[Ticker]],Industries!$A$2:$A$150,0),0)</f>
        <v>Consumer Staples</v>
      </c>
      <c r="C925" t="str">
        <f ca="1">OFFSET(Industries!D$1,MATCH(Table1[[#This Row],[Ticker]],Industries!$A$2:$A$150,0),0)</f>
        <v>Food, Beverage and Tobacco</v>
      </c>
      <c r="D925" t="str">
        <f ca="1">OFFSET(Industries!E$1,MATCH(Table1[[#This Row],[Ticker]],Industries!$A$2:$A$150,0),0)</f>
        <v>Beverages</v>
      </c>
      <c r="E925" t="s">
        <v>583</v>
      </c>
      <c r="F925" t="str">
        <f ca="1">OFFSET(Industries!B$1,MATCH(Table1[[#This Row],[Ticker]],Industries!$A$2:$A$140,0),0)</f>
        <v>Large-Cap</v>
      </c>
      <c r="G925" t="str">
        <f ca="1">OFFSET(Industries!F$1,MATCH(Table1[[#This Row],[Ticker]],Industries!$A$2:$A$140,0),0)</f>
        <v>BBB</v>
      </c>
      <c r="H925" t="s">
        <v>1434</v>
      </c>
      <c r="I925" t="s">
        <v>1434</v>
      </c>
      <c r="J925" s="2">
        <v>45408</v>
      </c>
      <c r="K925" t="s">
        <v>2</v>
      </c>
      <c r="L925" t="s">
        <v>1708</v>
      </c>
      <c r="M925" t="s">
        <v>1709</v>
      </c>
      <c r="N925" s="1"/>
      <c r="O925" t="s">
        <v>4</v>
      </c>
      <c r="P925" s="1">
        <v>0.26600000000000001</v>
      </c>
      <c r="Q925" s="1" t="s">
        <v>1636</v>
      </c>
      <c r="R925" t="s">
        <v>62</v>
      </c>
      <c r="S925" t="s">
        <v>129</v>
      </c>
      <c r="T925" t="s">
        <v>129</v>
      </c>
      <c r="U925" s="1">
        <v>0.1</v>
      </c>
    </row>
    <row r="926" spans="1:22" x14ac:dyDescent="0.3">
      <c r="A926" t="s">
        <v>582</v>
      </c>
      <c r="B926" t="str">
        <f ca="1">OFFSET(Industries!C$1,MATCH(Table1[[#This Row],[Ticker]],Industries!$A$2:$A$150,0),0)</f>
        <v>Consumer Staples</v>
      </c>
      <c r="C926" t="str">
        <f ca="1">OFFSET(Industries!D$1,MATCH(Table1[[#This Row],[Ticker]],Industries!$A$2:$A$150,0),0)</f>
        <v>Food, Beverage and Tobacco</v>
      </c>
      <c r="D926" t="str">
        <f ca="1">OFFSET(Industries!E$1,MATCH(Table1[[#This Row],[Ticker]],Industries!$A$2:$A$150,0),0)</f>
        <v>Beverages</v>
      </c>
      <c r="E926" t="s">
        <v>583</v>
      </c>
      <c r="F926" t="str">
        <f ca="1">OFFSET(Industries!B$1,MATCH(Table1[[#This Row],[Ticker]],Industries!$A$2:$A$140,0),0)</f>
        <v>Large-Cap</v>
      </c>
      <c r="G926" t="str">
        <f ca="1">OFFSET(Industries!F$1,MATCH(Table1[[#This Row],[Ticker]],Industries!$A$2:$A$140,0),0)</f>
        <v>BBB</v>
      </c>
      <c r="H926" t="s">
        <v>1434</v>
      </c>
      <c r="I926" t="s">
        <v>1434</v>
      </c>
      <c r="J926" s="2">
        <v>45408</v>
      </c>
      <c r="K926" t="s">
        <v>2</v>
      </c>
      <c r="L926" t="s">
        <v>1710</v>
      </c>
      <c r="M926" t="s">
        <v>1711</v>
      </c>
      <c r="N926" s="1">
        <f>Table1[[#This Row],[Consideration Weight]]</f>
        <v>0.55600000000000005</v>
      </c>
      <c r="O926" t="s">
        <v>194</v>
      </c>
      <c r="P926" s="1">
        <v>0.55600000000000005</v>
      </c>
      <c r="V926" t="s">
        <v>586</v>
      </c>
    </row>
    <row r="927" spans="1:22" x14ac:dyDescent="0.3">
      <c r="A927" t="s">
        <v>582</v>
      </c>
      <c r="B927" t="str">
        <f ca="1">OFFSET(Industries!C$1,MATCH(Table1[[#This Row],[Ticker]],Industries!$A$2:$A$150,0),0)</f>
        <v>Consumer Staples</v>
      </c>
      <c r="C927" t="str">
        <f ca="1">OFFSET(Industries!D$1,MATCH(Table1[[#This Row],[Ticker]],Industries!$A$2:$A$150,0),0)</f>
        <v>Food, Beverage and Tobacco</v>
      </c>
      <c r="D927" t="str">
        <f ca="1">OFFSET(Industries!E$1,MATCH(Table1[[#This Row],[Ticker]],Industries!$A$2:$A$150,0),0)</f>
        <v>Beverages</v>
      </c>
      <c r="E927" t="s">
        <v>583</v>
      </c>
      <c r="F927" t="str">
        <f ca="1">OFFSET(Industries!B$1,MATCH(Table1[[#This Row],[Ticker]],Industries!$A$2:$A$140,0),0)</f>
        <v>Large-Cap</v>
      </c>
      <c r="G927" t="str">
        <f ca="1">OFFSET(Industries!F$1,MATCH(Table1[[#This Row],[Ticker]],Industries!$A$2:$A$140,0),0)</f>
        <v>BBB</v>
      </c>
      <c r="H927" t="s">
        <v>1434</v>
      </c>
      <c r="I927" t="s">
        <v>1434</v>
      </c>
      <c r="J927" s="2">
        <v>45408</v>
      </c>
      <c r="K927" t="s">
        <v>21</v>
      </c>
      <c r="L927" t="s">
        <v>3</v>
      </c>
      <c r="M927" t="s">
        <v>1711</v>
      </c>
      <c r="N927" s="1">
        <f>Table1[[#This Row],[Consideration Weight]]</f>
        <v>0.27400000000000002</v>
      </c>
      <c r="O927" t="s">
        <v>3</v>
      </c>
      <c r="P927" s="1">
        <v>0.27400000000000002</v>
      </c>
    </row>
    <row r="928" spans="1:22" x14ac:dyDescent="0.3">
      <c r="A928" t="s">
        <v>582</v>
      </c>
      <c r="B928" t="str">
        <f ca="1">OFFSET(Industries!C$1,MATCH(Table1[[#This Row],[Ticker]],Industries!$A$2:$A$150,0),0)</f>
        <v>Consumer Staples</v>
      </c>
      <c r="C928" t="str">
        <f ca="1">OFFSET(Industries!D$1,MATCH(Table1[[#This Row],[Ticker]],Industries!$A$2:$A$150,0),0)</f>
        <v>Food, Beverage and Tobacco</v>
      </c>
      <c r="D928" t="str">
        <f ca="1">OFFSET(Industries!E$1,MATCH(Table1[[#This Row],[Ticker]],Industries!$A$2:$A$150,0),0)</f>
        <v>Beverages</v>
      </c>
      <c r="E928" t="s">
        <v>583</v>
      </c>
      <c r="F928" t="str">
        <f ca="1">OFFSET(Industries!B$1,MATCH(Table1[[#This Row],[Ticker]],Industries!$A$2:$A$140,0),0)</f>
        <v>Large-Cap</v>
      </c>
      <c r="G928" t="str">
        <f ca="1">OFFSET(Industries!F$1,MATCH(Table1[[#This Row],[Ticker]],Industries!$A$2:$A$140,0),0)</f>
        <v>BBB</v>
      </c>
      <c r="H928" t="s">
        <v>1434</v>
      </c>
      <c r="I928" t="s">
        <v>1434</v>
      </c>
      <c r="J928" s="2">
        <v>45408</v>
      </c>
      <c r="K928" t="s">
        <v>21</v>
      </c>
      <c r="L928" t="s">
        <v>1708</v>
      </c>
      <c r="M928" t="s">
        <v>1709</v>
      </c>
      <c r="N928" s="1">
        <f>Table1[[#This Row],[Consideration Weight]]</f>
        <v>0.20899999999999999</v>
      </c>
      <c r="O928" t="s">
        <v>4</v>
      </c>
      <c r="P928" s="1">
        <v>0.20899999999999999</v>
      </c>
      <c r="Q928" s="1" t="s">
        <v>1636</v>
      </c>
      <c r="R928" t="s">
        <v>24</v>
      </c>
      <c r="S928" t="s">
        <v>90</v>
      </c>
      <c r="T928" t="s">
        <v>8</v>
      </c>
      <c r="U928" s="1">
        <v>0.6</v>
      </c>
      <c r="V928" t="s">
        <v>587</v>
      </c>
    </row>
    <row r="929" spans="1:22" x14ac:dyDescent="0.3">
      <c r="A929" t="s">
        <v>582</v>
      </c>
      <c r="B929" t="str">
        <f ca="1">OFFSET(Industries!C$1,MATCH(Table1[[#This Row],[Ticker]],Industries!$A$2:$A$150,0),0)</f>
        <v>Consumer Staples</v>
      </c>
      <c r="C929" t="str">
        <f ca="1">OFFSET(Industries!D$1,MATCH(Table1[[#This Row],[Ticker]],Industries!$A$2:$A$150,0),0)</f>
        <v>Food, Beverage and Tobacco</v>
      </c>
      <c r="D929" t="str">
        <f ca="1">OFFSET(Industries!E$1,MATCH(Table1[[#This Row],[Ticker]],Industries!$A$2:$A$150,0),0)</f>
        <v>Beverages</v>
      </c>
      <c r="E929" t="s">
        <v>583</v>
      </c>
      <c r="F929" t="str">
        <f ca="1">OFFSET(Industries!B$1,MATCH(Table1[[#This Row],[Ticker]],Industries!$A$2:$A$140,0),0)</f>
        <v>Large-Cap</v>
      </c>
      <c r="G929" t="str">
        <f ca="1">OFFSET(Industries!F$1,MATCH(Table1[[#This Row],[Ticker]],Industries!$A$2:$A$140,0),0)</f>
        <v>BBB</v>
      </c>
      <c r="H929" t="s">
        <v>1434</v>
      </c>
      <c r="I929" t="s">
        <v>1434</v>
      </c>
      <c r="J929" s="2">
        <v>45408</v>
      </c>
      <c r="K929" t="s">
        <v>21</v>
      </c>
      <c r="L929" t="s">
        <v>1708</v>
      </c>
      <c r="M929" t="s">
        <v>1709</v>
      </c>
      <c r="N929" s="1"/>
      <c r="O929" t="s">
        <v>4</v>
      </c>
      <c r="P929" s="1">
        <v>0.20899999999999999</v>
      </c>
      <c r="Q929" s="1" t="s">
        <v>1636</v>
      </c>
      <c r="R929" t="s">
        <v>23</v>
      </c>
      <c r="S929" t="s">
        <v>1083</v>
      </c>
      <c r="T929" t="s">
        <v>7</v>
      </c>
      <c r="U929" s="1">
        <v>0.3</v>
      </c>
      <c r="V929" t="s">
        <v>587</v>
      </c>
    </row>
    <row r="930" spans="1:22" x14ac:dyDescent="0.3">
      <c r="A930" t="s">
        <v>582</v>
      </c>
      <c r="B930" t="str">
        <f ca="1">OFFSET(Industries!C$1,MATCH(Table1[[#This Row],[Ticker]],Industries!$A$2:$A$150,0),0)</f>
        <v>Consumer Staples</v>
      </c>
      <c r="C930" t="str">
        <f ca="1">OFFSET(Industries!D$1,MATCH(Table1[[#This Row],[Ticker]],Industries!$A$2:$A$150,0),0)</f>
        <v>Food, Beverage and Tobacco</v>
      </c>
      <c r="D930" t="str">
        <f ca="1">OFFSET(Industries!E$1,MATCH(Table1[[#This Row],[Ticker]],Industries!$A$2:$A$150,0),0)</f>
        <v>Beverages</v>
      </c>
      <c r="E930" t="s">
        <v>583</v>
      </c>
      <c r="F930" t="str">
        <f ca="1">OFFSET(Industries!B$1,MATCH(Table1[[#This Row],[Ticker]],Industries!$A$2:$A$140,0),0)</f>
        <v>Large-Cap</v>
      </c>
      <c r="G930" t="str">
        <f ca="1">OFFSET(Industries!F$1,MATCH(Table1[[#This Row],[Ticker]],Industries!$A$2:$A$140,0),0)</f>
        <v>BBB</v>
      </c>
      <c r="H930" t="s">
        <v>1434</v>
      </c>
      <c r="I930" t="s">
        <v>1434</v>
      </c>
      <c r="J930" s="2">
        <v>45408</v>
      </c>
      <c r="K930" t="s">
        <v>21</v>
      </c>
      <c r="L930" t="s">
        <v>1708</v>
      </c>
      <c r="M930" t="s">
        <v>1709</v>
      </c>
      <c r="N930" s="1"/>
      <c r="O930" t="s">
        <v>4</v>
      </c>
      <c r="P930" s="1">
        <v>0.20899999999999999</v>
      </c>
      <c r="Q930" s="1" t="s">
        <v>1636</v>
      </c>
      <c r="R930" t="s">
        <v>62</v>
      </c>
      <c r="S930" t="s">
        <v>129</v>
      </c>
      <c r="T930" t="s">
        <v>129</v>
      </c>
      <c r="U930" s="1">
        <v>0.1</v>
      </c>
      <c r="V930" t="s">
        <v>587</v>
      </c>
    </row>
    <row r="931" spans="1:22" x14ac:dyDescent="0.3">
      <c r="A931" t="s">
        <v>582</v>
      </c>
      <c r="B931" t="str">
        <f ca="1">OFFSET(Industries!C$1,MATCH(Table1[[#This Row],[Ticker]],Industries!$A$2:$A$150,0),0)</f>
        <v>Consumer Staples</v>
      </c>
      <c r="C931" t="str">
        <f ca="1">OFFSET(Industries!D$1,MATCH(Table1[[#This Row],[Ticker]],Industries!$A$2:$A$150,0),0)</f>
        <v>Food, Beverage and Tobacco</v>
      </c>
      <c r="D931" t="str">
        <f ca="1">OFFSET(Industries!E$1,MATCH(Table1[[#This Row],[Ticker]],Industries!$A$2:$A$150,0),0)</f>
        <v>Beverages</v>
      </c>
      <c r="E931" t="s">
        <v>583</v>
      </c>
      <c r="F931" t="str">
        <f ca="1">OFFSET(Industries!B$1,MATCH(Table1[[#This Row],[Ticker]],Industries!$A$2:$A$140,0),0)</f>
        <v>Large-Cap</v>
      </c>
      <c r="G931" t="str">
        <f ca="1">OFFSET(Industries!F$1,MATCH(Table1[[#This Row],[Ticker]],Industries!$A$2:$A$140,0),0)</f>
        <v>BBB</v>
      </c>
      <c r="H931" t="s">
        <v>1434</v>
      </c>
      <c r="I931" t="s">
        <v>1434</v>
      </c>
      <c r="J931" s="2">
        <v>45408</v>
      </c>
      <c r="K931" t="s">
        <v>21</v>
      </c>
      <c r="L931" t="s">
        <v>1710</v>
      </c>
      <c r="M931" t="s">
        <v>1711</v>
      </c>
      <c r="N931" s="1">
        <f>Table1[[#This Row],[Consideration Weight]]</f>
        <v>0.51700000000000002</v>
      </c>
      <c r="O931" t="s">
        <v>194</v>
      </c>
      <c r="P931" s="1">
        <v>0.51700000000000002</v>
      </c>
      <c r="V931" t="s">
        <v>588</v>
      </c>
    </row>
    <row r="932" spans="1:22" x14ac:dyDescent="0.3">
      <c r="A932" t="s">
        <v>589</v>
      </c>
      <c r="B932" t="str">
        <f ca="1">OFFSET(Industries!C$1,MATCH(Table1[[#This Row],[Ticker]],Industries!$A$2:$A$150,0),0)</f>
        <v>Industrials</v>
      </c>
      <c r="C932" t="str">
        <f ca="1">OFFSET(Industries!D$1,MATCH(Table1[[#This Row],[Ticker]],Industries!$A$2:$A$150,0),0)</f>
        <v>Transportation</v>
      </c>
      <c r="D932" t="str">
        <f ca="1">OFFSET(Industries!E$1,MATCH(Table1[[#This Row],[Ticker]],Industries!$A$2:$A$150,0),0)</f>
        <v>Ground Transportation</v>
      </c>
      <c r="E932" t="s">
        <v>590</v>
      </c>
      <c r="F932" t="str">
        <f ca="1">OFFSET(Industries!B$1,MATCH(Table1[[#This Row],[Ticker]],Industries!$A$2:$A$140,0),0)</f>
        <v>Mega-Cap</v>
      </c>
      <c r="G932" t="str">
        <f ca="1">OFFSET(Industries!F$1,MATCH(Table1[[#This Row],[Ticker]],Industries!$A$2:$A$140,0),0)</f>
        <v>A-</v>
      </c>
      <c r="H932" t="s">
        <v>1434</v>
      </c>
      <c r="I932" t="s">
        <v>1434</v>
      </c>
      <c r="J932" s="2">
        <v>45377</v>
      </c>
      <c r="K932" t="s">
        <v>2</v>
      </c>
      <c r="L932" t="s">
        <v>3</v>
      </c>
      <c r="M932" t="s">
        <v>1711</v>
      </c>
      <c r="N932" s="1">
        <f>Table1[[#This Row],[Consideration Weight]]</f>
        <v>8.4260731319554846E-2</v>
      </c>
      <c r="O932" t="s">
        <v>3</v>
      </c>
      <c r="P932" s="1">
        <v>8.4260731319554846E-2</v>
      </c>
    </row>
    <row r="933" spans="1:22" x14ac:dyDescent="0.3">
      <c r="A933" t="s">
        <v>589</v>
      </c>
      <c r="B933" t="str">
        <f ca="1">OFFSET(Industries!C$1,MATCH(Table1[[#This Row],[Ticker]],Industries!$A$2:$A$150,0),0)</f>
        <v>Industrials</v>
      </c>
      <c r="C933" t="str">
        <f ca="1">OFFSET(Industries!D$1,MATCH(Table1[[#This Row],[Ticker]],Industries!$A$2:$A$150,0),0)</f>
        <v>Transportation</v>
      </c>
      <c r="D933" t="str">
        <f ca="1">OFFSET(Industries!E$1,MATCH(Table1[[#This Row],[Ticker]],Industries!$A$2:$A$150,0),0)</f>
        <v>Ground Transportation</v>
      </c>
      <c r="E933" t="s">
        <v>590</v>
      </c>
      <c r="F933" t="str">
        <f ca="1">OFFSET(Industries!B$1,MATCH(Table1[[#This Row],[Ticker]],Industries!$A$2:$A$140,0),0)</f>
        <v>Mega-Cap</v>
      </c>
      <c r="G933" t="str">
        <f ca="1">OFFSET(Industries!F$1,MATCH(Table1[[#This Row],[Ticker]],Industries!$A$2:$A$140,0),0)</f>
        <v>A-</v>
      </c>
      <c r="H933" t="s">
        <v>1434</v>
      </c>
      <c r="I933" t="s">
        <v>1434</v>
      </c>
      <c r="J933" s="2">
        <v>45377</v>
      </c>
      <c r="K933" t="s">
        <v>2</v>
      </c>
      <c r="L933" t="s">
        <v>1708</v>
      </c>
      <c r="M933" t="s">
        <v>1709</v>
      </c>
      <c r="N933" s="1">
        <f>Table1[[#This Row],[Consideration Weight]]</f>
        <v>0.15262321144674085</v>
      </c>
      <c r="O933" t="s">
        <v>4</v>
      </c>
      <c r="P933" s="1">
        <v>0.15262321144674085</v>
      </c>
      <c r="Q933" s="1" t="s">
        <v>1636</v>
      </c>
      <c r="R933" t="s">
        <v>24</v>
      </c>
      <c r="S933" t="s">
        <v>90</v>
      </c>
      <c r="T933" t="s">
        <v>90</v>
      </c>
      <c r="U933" s="1">
        <v>0.35</v>
      </c>
    </row>
    <row r="934" spans="1:22" x14ac:dyDescent="0.3">
      <c r="A934" t="s">
        <v>589</v>
      </c>
      <c r="B934" t="str">
        <f ca="1">OFFSET(Industries!C$1,MATCH(Table1[[#This Row],[Ticker]],Industries!$A$2:$A$150,0),0)</f>
        <v>Industrials</v>
      </c>
      <c r="C934" t="str">
        <f ca="1">OFFSET(Industries!D$1,MATCH(Table1[[#This Row],[Ticker]],Industries!$A$2:$A$150,0),0)</f>
        <v>Transportation</v>
      </c>
      <c r="D934" t="str">
        <f ca="1">OFFSET(Industries!E$1,MATCH(Table1[[#This Row],[Ticker]],Industries!$A$2:$A$150,0),0)</f>
        <v>Ground Transportation</v>
      </c>
      <c r="E934" t="s">
        <v>590</v>
      </c>
      <c r="F934" t="str">
        <f ca="1">OFFSET(Industries!B$1,MATCH(Table1[[#This Row],[Ticker]],Industries!$A$2:$A$140,0),0)</f>
        <v>Mega-Cap</v>
      </c>
      <c r="G934" t="str">
        <f ca="1">OFFSET(Industries!F$1,MATCH(Table1[[#This Row],[Ticker]],Industries!$A$2:$A$140,0),0)</f>
        <v>A-</v>
      </c>
      <c r="H934" t="s">
        <v>1434</v>
      </c>
      <c r="I934" t="s">
        <v>1434</v>
      </c>
      <c r="J934" s="2">
        <v>45377</v>
      </c>
      <c r="K934" t="s">
        <v>2</v>
      </c>
      <c r="L934" t="s">
        <v>1708</v>
      </c>
      <c r="M934" t="s">
        <v>1709</v>
      </c>
      <c r="N934" s="1"/>
      <c r="O934" t="s">
        <v>4</v>
      </c>
      <c r="P934" s="1">
        <v>0.15262321144674085</v>
      </c>
      <c r="Q934" s="1" t="s">
        <v>1636</v>
      </c>
      <c r="R934" t="s">
        <v>24</v>
      </c>
      <c r="S934" t="s">
        <v>1086</v>
      </c>
      <c r="T934" t="s">
        <v>591</v>
      </c>
      <c r="U934" s="1">
        <v>0.35</v>
      </c>
      <c r="V934" t="s">
        <v>592</v>
      </c>
    </row>
    <row r="935" spans="1:22" x14ac:dyDescent="0.3">
      <c r="A935" t="s">
        <v>589</v>
      </c>
      <c r="B935" t="str">
        <f ca="1">OFFSET(Industries!C$1,MATCH(Table1[[#This Row],[Ticker]],Industries!$A$2:$A$150,0),0)</f>
        <v>Industrials</v>
      </c>
      <c r="C935" t="str">
        <f ca="1">OFFSET(Industries!D$1,MATCH(Table1[[#This Row],[Ticker]],Industries!$A$2:$A$150,0),0)</f>
        <v>Transportation</v>
      </c>
      <c r="D935" t="str">
        <f ca="1">OFFSET(Industries!E$1,MATCH(Table1[[#This Row],[Ticker]],Industries!$A$2:$A$150,0),0)</f>
        <v>Ground Transportation</v>
      </c>
      <c r="E935" t="s">
        <v>590</v>
      </c>
      <c r="F935" t="str">
        <f ca="1">OFFSET(Industries!B$1,MATCH(Table1[[#This Row],[Ticker]],Industries!$A$2:$A$140,0),0)</f>
        <v>Mega-Cap</v>
      </c>
      <c r="G935" t="str">
        <f ca="1">OFFSET(Industries!F$1,MATCH(Table1[[#This Row],[Ticker]],Industries!$A$2:$A$140,0),0)</f>
        <v>A-</v>
      </c>
      <c r="H935" t="s">
        <v>1434</v>
      </c>
      <c r="I935" t="s">
        <v>1434</v>
      </c>
      <c r="J935" s="2">
        <v>45377</v>
      </c>
      <c r="K935" t="s">
        <v>2</v>
      </c>
      <c r="L935" t="s">
        <v>1708</v>
      </c>
      <c r="M935" t="s">
        <v>1709</v>
      </c>
      <c r="N935" s="1"/>
      <c r="O935" t="s">
        <v>4</v>
      </c>
      <c r="P935" s="1">
        <v>0.15262321144674085</v>
      </c>
      <c r="Q935" s="1" t="s">
        <v>1637</v>
      </c>
      <c r="R935" t="s">
        <v>25</v>
      </c>
      <c r="S935" t="s">
        <v>1086</v>
      </c>
      <c r="T935" t="s">
        <v>593</v>
      </c>
      <c r="U935" s="1">
        <v>0.2</v>
      </c>
      <c r="V935" t="s">
        <v>594</v>
      </c>
    </row>
    <row r="936" spans="1:22" x14ac:dyDescent="0.3">
      <c r="A936" t="s">
        <v>589</v>
      </c>
      <c r="B936" t="str">
        <f ca="1">OFFSET(Industries!C$1,MATCH(Table1[[#This Row],[Ticker]],Industries!$A$2:$A$150,0),0)</f>
        <v>Industrials</v>
      </c>
      <c r="C936" t="str">
        <f ca="1">OFFSET(Industries!D$1,MATCH(Table1[[#This Row],[Ticker]],Industries!$A$2:$A$150,0),0)</f>
        <v>Transportation</v>
      </c>
      <c r="D936" t="str">
        <f ca="1">OFFSET(Industries!E$1,MATCH(Table1[[#This Row],[Ticker]],Industries!$A$2:$A$150,0),0)</f>
        <v>Ground Transportation</v>
      </c>
      <c r="E936" t="s">
        <v>590</v>
      </c>
      <c r="F936" t="str">
        <f ca="1">OFFSET(Industries!B$1,MATCH(Table1[[#This Row],[Ticker]],Industries!$A$2:$A$140,0),0)</f>
        <v>Mega-Cap</v>
      </c>
      <c r="G936" t="str">
        <f ca="1">OFFSET(Industries!F$1,MATCH(Table1[[#This Row],[Ticker]],Industries!$A$2:$A$140,0),0)</f>
        <v>A-</v>
      </c>
      <c r="H936" t="s">
        <v>1434</v>
      </c>
      <c r="I936" t="s">
        <v>1434</v>
      </c>
      <c r="J936" s="2">
        <v>45377</v>
      </c>
      <c r="K936" t="s">
        <v>2</v>
      </c>
      <c r="L936" t="s">
        <v>1708</v>
      </c>
      <c r="M936" t="s">
        <v>1709</v>
      </c>
      <c r="N936" s="1"/>
      <c r="O936" t="s">
        <v>4</v>
      </c>
      <c r="P936" s="1">
        <v>0.15262321144674085</v>
      </c>
      <c r="Q936" s="1" t="s">
        <v>1637</v>
      </c>
      <c r="R936" t="s">
        <v>332</v>
      </c>
      <c r="S936" t="s">
        <v>380</v>
      </c>
      <c r="T936" t="s">
        <v>380</v>
      </c>
      <c r="U936" s="1">
        <v>0.1</v>
      </c>
    </row>
    <row r="937" spans="1:22" x14ac:dyDescent="0.3">
      <c r="A937" t="s">
        <v>589</v>
      </c>
      <c r="B937" t="str">
        <f ca="1">OFFSET(Industries!C$1,MATCH(Table1[[#This Row],[Ticker]],Industries!$A$2:$A$150,0),0)</f>
        <v>Industrials</v>
      </c>
      <c r="C937" t="str">
        <f ca="1">OFFSET(Industries!D$1,MATCH(Table1[[#This Row],[Ticker]],Industries!$A$2:$A$150,0),0)</f>
        <v>Transportation</v>
      </c>
      <c r="D937" t="str">
        <f ca="1">OFFSET(Industries!E$1,MATCH(Table1[[#This Row],[Ticker]],Industries!$A$2:$A$150,0),0)</f>
        <v>Ground Transportation</v>
      </c>
      <c r="E937" t="s">
        <v>590</v>
      </c>
      <c r="F937" t="str">
        <f ca="1">OFFSET(Industries!B$1,MATCH(Table1[[#This Row],[Ticker]],Industries!$A$2:$A$140,0),0)</f>
        <v>Mega-Cap</v>
      </c>
      <c r="G937" t="str">
        <f ca="1">OFFSET(Industries!F$1,MATCH(Table1[[#This Row],[Ticker]],Industries!$A$2:$A$140,0),0)</f>
        <v>A-</v>
      </c>
      <c r="H937" t="s">
        <v>1434</v>
      </c>
      <c r="I937" t="s">
        <v>1434</v>
      </c>
      <c r="J937" s="2">
        <v>45377</v>
      </c>
      <c r="K937" t="s">
        <v>2</v>
      </c>
      <c r="L937" t="s">
        <v>1710</v>
      </c>
      <c r="M937" t="s">
        <v>1709</v>
      </c>
      <c r="N937" s="1">
        <f>Table1[[#This Row],[Consideration Weight]]</f>
        <v>0.4578696343402226</v>
      </c>
      <c r="O937" t="s">
        <v>476</v>
      </c>
      <c r="P937" s="1">
        <v>0.4578696343402226</v>
      </c>
      <c r="Q937" s="1" t="s">
        <v>1636</v>
      </c>
      <c r="R937" t="s">
        <v>1059</v>
      </c>
      <c r="S937" t="s">
        <v>1101</v>
      </c>
      <c r="T937" t="s">
        <v>465</v>
      </c>
      <c r="U937" s="1">
        <v>0.67</v>
      </c>
      <c r="V937" t="s">
        <v>595</v>
      </c>
    </row>
    <row r="938" spans="1:22" x14ac:dyDescent="0.3">
      <c r="A938" t="s">
        <v>589</v>
      </c>
      <c r="B938" t="str">
        <f ca="1">OFFSET(Industries!C$1,MATCH(Table1[[#This Row],[Ticker]],Industries!$A$2:$A$150,0),0)</f>
        <v>Industrials</v>
      </c>
      <c r="C938" t="str">
        <f ca="1">OFFSET(Industries!D$1,MATCH(Table1[[#This Row],[Ticker]],Industries!$A$2:$A$150,0),0)</f>
        <v>Transportation</v>
      </c>
      <c r="D938" t="str">
        <f ca="1">OFFSET(Industries!E$1,MATCH(Table1[[#This Row],[Ticker]],Industries!$A$2:$A$150,0),0)</f>
        <v>Ground Transportation</v>
      </c>
      <c r="E938" t="s">
        <v>590</v>
      </c>
      <c r="F938" t="str">
        <f ca="1">OFFSET(Industries!B$1,MATCH(Table1[[#This Row],[Ticker]],Industries!$A$2:$A$140,0),0)</f>
        <v>Mega-Cap</v>
      </c>
      <c r="G938" t="str">
        <f ca="1">OFFSET(Industries!F$1,MATCH(Table1[[#This Row],[Ticker]],Industries!$A$2:$A$140,0),0)</f>
        <v>A-</v>
      </c>
      <c r="H938" t="s">
        <v>1434</v>
      </c>
      <c r="I938" t="s">
        <v>1434</v>
      </c>
      <c r="J938" s="2">
        <v>45377</v>
      </c>
      <c r="K938" t="s">
        <v>2</v>
      </c>
      <c r="L938" t="s">
        <v>1710</v>
      </c>
      <c r="M938" t="s">
        <v>1709</v>
      </c>
      <c r="N938" s="1"/>
      <c r="O938" t="s">
        <v>476</v>
      </c>
      <c r="P938" s="1">
        <v>0.4578696343402226</v>
      </c>
      <c r="Q938" s="1" t="s">
        <v>1636</v>
      </c>
      <c r="R938" t="s">
        <v>24</v>
      </c>
      <c r="S938" t="s">
        <v>1143</v>
      </c>
      <c r="T938" t="s">
        <v>596</v>
      </c>
      <c r="U938" s="1">
        <v>0.33</v>
      </c>
      <c r="V938" t="s">
        <v>597</v>
      </c>
    </row>
    <row r="939" spans="1:22" x14ac:dyDescent="0.3">
      <c r="A939" t="s">
        <v>589</v>
      </c>
      <c r="B939" t="str">
        <f ca="1">OFFSET(Industries!C$1,MATCH(Table1[[#This Row],[Ticker]],Industries!$A$2:$A$150,0),0)</f>
        <v>Industrials</v>
      </c>
      <c r="C939" t="str">
        <f ca="1">OFFSET(Industries!D$1,MATCH(Table1[[#This Row],[Ticker]],Industries!$A$2:$A$150,0),0)</f>
        <v>Transportation</v>
      </c>
      <c r="D939" t="str">
        <f ca="1">OFFSET(Industries!E$1,MATCH(Table1[[#This Row],[Ticker]],Industries!$A$2:$A$150,0),0)</f>
        <v>Ground Transportation</v>
      </c>
      <c r="E939" t="s">
        <v>590</v>
      </c>
      <c r="F939" t="str">
        <f ca="1">OFFSET(Industries!B$1,MATCH(Table1[[#This Row],[Ticker]],Industries!$A$2:$A$140,0),0)</f>
        <v>Mega-Cap</v>
      </c>
      <c r="G939" t="str">
        <f ca="1">OFFSET(Industries!F$1,MATCH(Table1[[#This Row],[Ticker]],Industries!$A$2:$A$140,0),0)</f>
        <v>A-</v>
      </c>
      <c r="H939" t="s">
        <v>1434</v>
      </c>
      <c r="I939" t="s">
        <v>1434</v>
      </c>
      <c r="J939" s="2">
        <v>45377</v>
      </c>
      <c r="K939" t="s">
        <v>2</v>
      </c>
      <c r="L939" t="s">
        <v>1710</v>
      </c>
      <c r="M939" t="s">
        <v>1711</v>
      </c>
      <c r="N939" s="1">
        <f>Table1[[#This Row],[Consideration Weight]]</f>
        <v>0.30524642289348169</v>
      </c>
      <c r="O939" t="s">
        <v>87</v>
      </c>
      <c r="P939" s="1">
        <v>0.30524642289348169</v>
      </c>
    </row>
    <row r="940" spans="1:22" x14ac:dyDescent="0.3">
      <c r="A940" t="s">
        <v>589</v>
      </c>
      <c r="B940" t="str">
        <f ca="1">OFFSET(Industries!C$1,MATCH(Table1[[#This Row],[Ticker]],Industries!$A$2:$A$150,0),0)</f>
        <v>Industrials</v>
      </c>
      <c r="C940" t="str">
        <f ca="1">OFFSET(Industries!D$1,MATCH(Table1[[#This Row],[Ticker]],Industries!$A$2:$A$150,0),0)</f>
        <v>Transportation</v>
      </c>
      <c r="D940" t="str">
        <f ca="1">OFFSET(Industries!E$1,MATCH(Table1[[#This Row],[Ticker]],Industries!$A$2:$A$150,0),0)</f>
        <v>Ground Transportation</v>
      </c>
      <c r="E940" t="s">
        <v>590</v>
      </c>
      <c r="F940" t="str">
        <f ca="1">OFFSET(Industries!B$1,MATCH(Table1[[#This Row],[Ticker]],Industries!$A$2:$A$140,0),0)</f>
        <v>Mega-Cap</v>
      </c>
      <c r="G940" t="str">
        <f ca="1">OFFSET(Industries!F$1,MATCH(Table1[[#This Row],[Ticker]],Industries!$A$2:$A$140,0),0)</f>
        <v>A-</v>
      </c>
      <c r="H940" t="s">
        <v>1434</v>
      </c>
      <c r="I940" t="s">
        <v>1434</v>
      </c>
      <c r="J940" s="2">
        <v>45377</v>
      </c>
      <c r="K940" t="s">
        <v>21</v>
      </c>
      <c r="L940" t="s">
        <v>3</v>
      </c>
      <c r="M940" t="s">
        <v>1711</v>
      </c>
      <c r="N940" s="1">
        <f>Table1[[#This Row],[Consideration Weight]]</f>
        <v>0.15</v>
      </c>
      <c r="O940" t="s">
        <v>3</v>
      </c>
      <c r="P940" s="1">
        <v>0.15</v>
      </c>
    </row>
    <row r="941" spans="1:22" x14ac:dyDescent="0.3">
      <c r="A941" t="s">
        <v>589</v>
      </c>
      <c r="B941" t="str">
        <f ca="1">OFFSET(Industries!C$1,MATCH(Table1[[#This Row],[Ticker]],Industries!$A$2:$A$150,0),0)</f>
        <v>Industrials</v>
      </c>
      <c r="C941" t="str">
        <f ca="1">OFFSET(Industries!D$1,MATCH(Table1[[#This Row],[Ticker]],Industries!$A$2:$A$150,0),0)</f>
        <v>Transportation</v>
      </c>
      <c r="D941" t="str">
        <f ca="1">OFFSET(Industries!E$1,MATCH(Table1[[#This Row],[Ticker]],Industries!$A$2:$A$150,0),0)</f>
        <v>Ground Transportation</v>
      </c>
      <c r="E941" t="s">
        <v>590</v>
      </c>
      <c r="F941" t="str">
        <f ca="1">OFFSET(Industries!B$1,MATCH(Table1[[#This Row],[Ticker]],Industries!$A$2:$A$140,0),0)</f>
        <v>Mega-Cap</v>
      </c>
      <c r="G941" t="str">
        <f ca="1">OFFSET(Industries!F$1,MATCH(Table1[[#This Row],[Ticker]],Industries!$A$2:$A$140,0),0)</f>
        <v>A-</v>
      </c>
      <c r="H941" t="s">
        <v>1434</v>
      </c>
      <c r="I941" t="s">
        <v>1434</v>
      </c>
      <c r="J941" s="2">
        <v>45377</v>
      </c>
      <c r="K941" t="s">
        <v>21</v>
      </c>
      <c r="L941" t="s">
        <v>1708</v>
      </c>
      <c r="M941" t="s">
        <v>1709</v>
      </c>
      <c r="N941" s="1">
        <f>Table1[[#This Row],[Consideration Weight]]</f>
        <v>0.19</v>
      </c>
      <c r="O941" t="s">
        <v>4</v>
      </c>
      <c r="P941" s="1">
        <v>0.19</v>
      </c>
      <c r="Q941" s="1" t="s">
        <v>1636</v>
      </c>
      <c r="R941" t="s">
        <v>24</v>
      </c>
      <c r="S941" t="s">
        <v>90</v>
      </c>
      <c r="T941" t="s">
        <v>90</v>
      </c>
      <c r="U941" s="1">
        <v>0.35</v>
      </c>
    </row>
    <row r="942" spans="1:22" x14ac:dyDescent="0.3">
      <c r="A942" t="s">
        <v>589</v>
      </c>
      <c r="B942" t="str">
        <f ca="1">OFFSET(Industries!C$1,MATCH(Table1[[#This Row],[Ticker]],Industries!$A$2:$A$150,0),0)</f>
        <v>Industrials</v>
      </c>
      <c r="C942" t="str">
        <f ca="1">OFFSET(Industries!D$1,MATCH(Table1[[#This Row],[Ticker]],Industries!$A$2:$A$150,0),0)</f>
        <v>Transportation</v>
      </c>
      <c r="D942" t="str">
        <f ca="1">OFFSET(Industries!E$1,MATCH(Table1[[#This Row],[Ticker]],Industries!$A$2:$A$150,0),0)</f>
        <v>Ground Transportation</v>
      </c>
      <c r="E942" t="s">
        <v>590</v>
      </c>
      <c r="F942" t="str">
        <f ca="1">OFFSET(Industries!B$1,MATCH(Table1[[#This Row],[Ticker]],Industries!$A$2:$A$140,0),0)</f>
        <v>Mega-Cap</v>
      </c>
      <c r="G942" t="str">
        <f ca="1">OFFSET(Industries!F$1,MATCH(Table1[[#This Row],[Ticker]],Industries!$A$2:$A$140,0),0)</f>
        <v>A-</v>
      </c>
      <c r="H942" t="s">
        <v>1434</v>
      </c>
      <c r="I942" t="s">
        <v>1434</v>
      </c>
      <c r="J942" s="2">
        <v>45377</v>
      </c>
      <c r="K942" t="s">
        <v>21</v>
      </c>
      <c r="L942" t="s">
        <v>1708</v>
      </c>
      <c r="M942" t="s">
        <v>1709</v>
      </c>
      <c r="N942" s="1"/>
      <c r="O942" t="s">
        <v>4</v>
      </c>
      <c r="P942" s="1">
        <v>0.19</v>
      </c>
      <c r="Q942" s="1" t="s">
        <v>1636</v>
      </c>
      <c r="R942" t="s">
        <v>24</v>
      </c>
      <c r="S942" t="s">
        <v>1086</v>
      </c>
      <c r="T942" t="s">
        <v>591</v>
      </c>
      <c r="U942" s="1">
        <v>0.35</v>
      </c>
    </row>
    <row r="943" spans="1:22" x14ac:dyDescent="0.3">
      <c r="A943" t="s">
        <v>589</v>
      </c>
      <c r="B943" t="str">
        <f ca="1">OFFSET(Industries!C$1,MATCH(Table1[[#This Row],[Ticker]],Industries!$A$2:$A$150,0),0)</f>
        <v>Industrials</v>
      </c>
      <c r="C943" t="str">
        <f ca="1">OFFSET(Industries!D$1,MATCH(Table1[[#This Row],[Ticker]],Industries!$A$2:$A$150,0),0)</f>
        <v>Transportation</v>
      </c>
      <c r="D943" t="str">
        <f ca="1">OFFSET(Industries!E$1,MATCH(Table1[[#This Row],[Ticker]],Industries!$A$2:$A$150,0),0)</f>
        <v>Ground Transportation</v>
      </c>
      <c r="E943" t="s">
        <v>590</v>
      </c>
      <c r="F943" t="str">
        <f ca="1">OFFSET(Industries!B$1,MATCH(Table1[[#This Row],[Ticker]],Industries!$A$2:$A$140,0),0)</f>
        <v>Mega-Cap</v>
      </c>
      <c r="G943" t="str">
        <f ca="1">OFFSET(Industries!F$1,MATCH(Table1[[#This Row],[Ticker]],Industries!$A$2:$A$140,0),0)</f>
        <v>A-</v>
      </c>
      <c r="H943" t="s">
        <v>1434</v>
      </c>
      <c r="I943" t="s">
        <v>1434</v>
      </c>
      <c r="J943" s="2">
        <v>45377</v>
      </c>
      <c r="K943" t="s">
        <v>21</v>
      </c>
      <c r="L943" t="s">
        <v>1708</v>
      </c>
      <c r="M943" t="s">
        <v>1709</v>
      </c>
      <c r="N943" s="1"/>
      <c r="O943" t="s">
        <v>4</v>
      </c>
      <c r="P943" s="1">
        <v>0.19</v>
      </c>
      <c r="Q943" s="1" t="s">
        <v>1637</v>
      </c>
      <c r="R943" t="s">
        <v>25</v>
      </c>
      <c r="S943" t="s">
        <v>1086</v>
      </c>
      <c r="T943" t="s">
        <v>593</v>
      </c>
      <c r="U943" s="1">
        <v>0.2</v>
      </c>
    </row>
    <row r="944" spans="1:22" x14ac:dyDescent="0.3">
      <c r="A944" t="s">
        <v>589</v>
      </c>
      <c r="B944" t="str">
        <f ca="1">OFFSET(Industries!C$1,MATCH(Table1[[#This Row],[Ticker]],Industries!$A$2:$A$150,0),0)</f>
        <v>Industrials</v>
      </c>
      <c r="C944" t="str">
        <f ca="1">OFFSET(Industries!D$1,MATCH(Table1[[#This Row],[Ticker]],Industries!$A$2:$A$150,0),0)</f>
        <v>Transportation</v>
      </c>
      <c r="D944" t="str">
        <f ca="1">OFFSET(Industries!E$1,MATCH(Table1[[#This Row],[Ticker]],Industries!$A$2:$A$150,0),0)</f>
        <v>Ground Transportation</v>
      </c>
      <c r="E944" t="s">
        <v>590</v>
      </c>
      <c r="F944" t="str">
        <f ca="1">OFFSET(Industries!B$1,MATCH(Table1[[#This Row],[Ticker]],Industries!$A$2:$A$140,0),0)</f>
        <v>Mega-Cap</v>
      </c>
      <c r="G944" t="str">
        <f ca="1">OFFSET(Industries!F$1,MATCH(Table1[[#This Row],[Ticker]],Industries!$A$2:$A$140,0),0)</f>
        <v>A-</v>
      </c>
      <c r="H944" t="s">
        <v>1434</v>
      </c>
      <c r="I944" t="s">
        <v>1434</v>
      </c>
      <c r="J944" s="2">
        <v>45377</v>
      </c>
      <c r="K944" t="s">
        <v>21</v>
      </c>
      <c r="L944" t="s">
        <v>1708</v>
      </c>
      <c r="M944" t="s">
        <v>1709</v>
      </c>
      <c r="N944" s="1"/>
      <c r="O944" t="s">
        <v>4</v>
      </c>
      <c r="P944" s="1">
        <v>0.19</v>
      </c>
      <c r="Q944" s="1" t="s">
        <v>1637</v>
      </c>
      <c r="R944" t="s">
        <v>332</v>
      </c>
      <c r="S944" t="s">
        <v>380</v>
      </c>
      <c r="T944" t="s">
        <v>380</v>
      </c>
      <c r="U944" s="1">
        <v>0.1</v>
      </c>
    </row>
    <row r="945" spans="1:23" x14ac:dyDescent="0.3">
      <c r="A945" t="s">
        <v>589</v>
      </c>
      <c r="B945" t="str">
        <f ca="1">OFFSET(Industries!C$1,MATCH(Table1[[#This Row],[Ticker]],Industries!$A$2:$A$150,0),0)</f>
        <v>Industrials</v>
      </c>
      <c r="C945" t="str">
        <f ca="1">OFFSET(Industries!D$1,MATCH(Table1[[#This Row],[Ticker]],Industries!$A$2:$A$150,0),0)</f>
        <v>Transportation</v>
      </c>
      <c r="D945" t="str">
        <f ca="1">OFFSET(Industries!E$1,MATCH(Table1[[#This Row],[Ticker]],Industries!$A$2:$A$150,0),0)</f>
        <v>Ground Transportation</v>
      </c>
      <c r="E945" t="s">
        <v>590</v>
      </c>
      <c r="F945" t="str">
        <f ca="1">OFFSET(Industries!B$1,MATCH(Table1[[#This Row],[Ticker]],Industries!$A$2:$A$140,0),0)</f>
        <v>Mega-Cap</v>
      </c>
      <c r="G945" t="str">
        <f ca="1">OFFSET(Industries!F$1,MATCH(Table1[[#This Row],[Ticker]],Industries!$A$2:$A$140,0),0)</f>
        <v>A-</v>
      </c>
      <c r="H945" t="s">
        <v>1434</v>
      </c>
      <c r="I945" t="s">
        <v>1434</v>
      </c>
      <c r="J945" s="2">
        <v>45377</v>
      </c>
      <c r="K945" t="s">
        <v>21</v>
      </c>
      <c r="L945" t="s">
        <v>1710</v>
      </c>
      <c r="M945" t="s">
        <v>1709</v>
      </c>
      <c r="N945" s="1">
        <f>Table1[[#This Row],[Consideration Weight]]</f>
        <v>0.39600000000000002</v>
      </c>
      <c r="O945" t="s">
        <v>476</v>
      </c>
      <c r="P945" s="1">
        <f>0.66*0.6</f>
        <v>0.39600000000000002</v>
      </c>
      <c r="Q945" s="1" t="s">
        <v>1636</v>
      </c>
      <c r="R945" t="s">
        <v>1059</v>
      </c>
      <c r="S945" t="s">
        <v>1101</v>
      </c>
      <c r="T945" t="s">
        <v>465</v>
      </c>
      <c r="U945" s="1">
        <v>0.67</v>
      </c>
    </row>
    <row r="946" spans="1:23" x14ac:dyDescent="0.3">
      <c r="A946" t="s">
        <v>589</v>
      </c>
      <c r="B946" t="str">
        <f ca="1">OFFSET(Industries!C$1,MATCH(Table1[[#This Row],[Ticker]],Industries!$A$2:$A$150,0),0)</f>
        <v>Industrials</v>
      </c>
      <c r="C946" t="str">
        <f ca="1">OFFSET(Industries!D$1,MATCH(Table1[[#This Row],[Ticker]],Industries!$A$2:$A$150,0),0)</f>
        <v>Transportation</v>
      </c>
      <c r="D946" t="str">
        <f ca="1">OFFSET(Industries!E$1,MATCH(Table1[[#This Row],[Ticker]],Industries!$A$2:$A$150,0),0)</f>
        <v>Ground Transportation</v>
      </c>
      <c r="E946" t="s">
        <v>590</v>
      </c>
      <c r="F946" t="str">
        <f ca="1">OFFSET(Industries!B$1,MATCH(Table1[[#This Row],[Ticker]],Industries!$A$2:$A$140,0),0)</f>
        <v>Mega-Cap</v>
      </c>
      <c r="G946" t="str">
        <f ca="1">OFFSET(Industries!F$1,MATCH(Table1[[#This Row],[Ticker]],Industries!$A$2:$A$140,0),0)</f>
        <v>A-</v>
      </c>
      <c r="H946" t="s">
        <v>1434</v>
      </c>
      <c r="I946" t="s">
        <v>1434</v>
      </c>
      <c r="J946" s="2">
        <v>45377</v>
      </c>
      <c r="K946" t="s">
        <v>21</v>
      </c>
      <c r="L946" t="s">
        <v>1710</v>
      </c>
      <c r="M946" t="s">
        <v>1709</v>
      </c>
      <c r="N946" s="1"/>
      <c r="O946" t="s">
        <v>476</v>
      </c>
      <c r="P946" s="1">
        <f>0.66*0.6</f>
        <v>0.39600000000000002</v>
      </c>
      <c r="Q946" s="1" t="s">
        <v>1636</v>
      </c>
      <c r="R946" t="s">
        <v>24</v>
      </c>
      <c r="S946" t="s">
        <v>1143</v>
      </c>
      <c r="T946" t="s">
        <v>596</v>
      </c>
      <c r="U946" s="1">
        <v>0.33</v>
      </c>
    </row>
    <row r="947" spans="1:23" x14ac:dyDescent="0.3">
      <c r="A947" t="s">
        <v>589</v>
      </c>
      <c r="B947" t="str">
        <f ca="1">OFFSET(Industries!C$1,MATCH(Table1[[#This Row],[Ticker]],Industries!$A$2:$A$150,0),0)</f>
        <v>Industrials</v>
      </c>
      <c r="C947" t="str">
        <f ca="1">OFFSET(Industries!D$1,MATCH(Table1[[#This Row],[Ticker]],Industries!$A$2:$A$150,0),0)</f>
        <v>Transportation</v>
      </c>
      <c r="D947" t="str">
        <f ca="1">OFFSET(Industries!E$1,MATCH(Table1[[#This Row],[Ticker]],Industries!$A$2:$A$150,0),0)</f>
        <v>Ground Transportation</v>
      </c>
      <c r="E947" t="s">
        <v>590</v>
      </c>
      <c r="F947" t="str">
        <f ca="1">OFFSET(Industries!B$1,MATCH(Table1[[#This Row],[Ticker]],Industries!$A$2:$A$140,0),0)</f>
        <v>Mega-Cap</v>
      </c>
      <c r="G947" t="str">
        <f ca="1">OFFSET(Industries!F$1,MATCH(Table1[[#This Row],[Ticker]],Industries!$A$2:$A$140,0),0)</f>
        <v>A-</v>
      </c>
      <c r="H947" t="s">
        <v>1434</v>
      </c>
      <c r="I947" t="s">
        <v>1434</v>
      </c>
      <c r="J947" s="2">
        <v>45377</v>
      </c>
      <c r="K947" t="s">
        <v>21</v>
      </c>
      <c r="L947" t="s">
        <v>1710</v>
      </c>
      <c r="M947" t="s">
        <v>1711</v>
      </c>
      <c r="N947" s="1">
        <f>Table1[[#This Row],[Consideration Weight]]</f>
        <v>0.26400000000000001</v>
      </c>
      <c r="O947" t="s">
        <v>87</v>
      </c>
      <c r="P947" s="1">
        <f>0.66*0.4</f>
        <v>0.26400000000000001</v>
      </c>
    </row>
    <row r="948" spans="1:23" x14ac:dyDescent="0.3">
      <c r="A948" t="s">
        <v>598</v>
      </c>
      <c r="B948" t="str">
        <f ca="1">OFFSET(Industries!C$1,MATCH(Table1[[#This Row],[Ticker]],Industries!$A$2:$A$150,0),0)</f>
        <v>Industrials</v>
      </c>
      <c r="C948" t="str">
        <f ca="1">OFFSET(Industries!D$1,MATCH(Table1[[#This Row],[Ticker]],Industries!$A$2:$A$150,0),0)</f>
        <v>Capital Goods</v>
      </c>
      <c r="D948" t="str">
        <f ca="1">OFFSET(Industries!E$1,MATCH(Table1[[#This Row],[Ticker]],Industries!$A$2:$A$150,0),0)</f>
        <v>Aerospace and Defense</v>
      </c>
      <c r="E948" t="s">
        <v>116</v>
      </c>
      <c r="F948" t="str">
        <f ca="1">OFFSET(Industries!B$1,MATCH(Table1[[#This Row],[Ticker]],Industries!$A$2:$A$140,0),0)</f>
        <v>Mega-Cap</v>
      </c>
      <c r="G948" t="str">
        <f ca="1">OFFSET(Industries!F$1,MATCH(Table1[[#This Row],[Ticker]],Industries!$A$2:$A$140,0),0)</f>
        <v>BBB-</v>
      </c>
      <c r="H948" t="s">
        <v>1434</v>
      </c>
      <c r="I948" t="s">
        <v>1434</v>
      </c>
      <c r="J948" s="2">
        <v>45387</v>
      </c>
      <c r="K948" t="s">
        <v>2</v>
      </c>
      <c r="L948" t="s">
        <v>3</v>
      </c>
      <c r="M948" t="s">
        <v>1711</v>
      </c>
      <c r="N948" s="1">
        <f>Table1[[#This Row],[Consideration Weight]]</f>
        <v>0.06</v>
      </c>
      <c r="O948" t="s">
        <v>3</v>
      </c>
      <c r="P948" s="1">
        <v>0.06</v>
      </c>
    </row>
    <row r="949" spans="1:23" x14ac:dyDescent="0.3">
      <c r="A949" t="s">
        <v>598</v>
      </c>
      <c r="B949" t="str">
        <f ca="1">OFFSET(Industries!C$1,MATCH(Table1[[#This Row],[Ticker]],Industries!$A$2:$A$150,0),0)</f>
        <v>Industrials</v>
      </c>
      <c r="C949" t="str">
        <f ca="1">OFFSET(Industries!D$1,MATCH(Table1[[#This Row],[Ticker]],Industries!$A$2:$A$150,0),0)</f>
        <v>Capital Goods</v>
      </c>
      <c r="D949" t="str">
        <f ca="1">OFFSET(Industries!E$1,MATCH(Table1[[#This Row],[Ticker]],Industries!$A$2:$A$150,0),0)</f>
        <v>Aerospace and Defense</v>
      </c>
      <c r="E949" t="s">
        <v>116</v>
      </c>
      <c r="F949" t="str">
        <f ca="1">OFFSET(Industries!B$1,MATCH(Table1[[#This Row],[Ticker]],Industries!$A$2:$A$140,0),0)</f>
        <v>Mega-Cap</v>
      </c>
      <c r="G949" t="str">
        <f ca="1">OFFSET(Industries!F$1,MATCH(Table1[[#This Row],[Ticker]],Industries!$A$2:$A$140,0),0)</f>
        <v>BBB-</v>
      </c>
      <c r="H949" t="s">
        <v>1434</v>
      </c>
      <c r="I949" t="s">
        <v>1434</v>
      </c>
      <c r="J949" s="2">
        <v>45387</v>
      </c>
      <c r="K949" t="s">
        <v>2</v>
      </c>
      <c r="L949" t="s">
        <v>1708</v>
      </c>
      <c r="M949" t="s">
        <v>1709</v>
      </c>
      <c r="N949" s="1">
        <f>Table1[[#This Row],[Consideration Weight]]</f>
        <v>0.11</v>
      </c>
      <c r="O949" t="s">
        <v>4</v>
      </c>
      <c r="P949" s="1">
        <v>0.11</v>
      </c>
      <c r="Q949" s="1" t="s">
        <v>1636</v>
      </c>
      <c r="R949" t="s">
        <v>62</v>
      </c>
      <c r="S949" t="s">
        <v>129</v>
      </c>
      <c r="T949" t="s">
        <v>129</v>
      </c>
      <c r="U949" s="1">
        <f>0.67*0.75*0.75</f>
        <v>0.37687500000000007</v>
      </c>
      <c r="V949" t="s">
        <v>599</v>
      </c>
    </row>
    <row r="950" spans="1:23" x14ac:dyDescent="0.3">
      <c r="A950" t="s">
        <v>598</v>
      </c>
      <c r="B950" t="str">
        <f ca="1">OFFSET(Industries!C$1,MATCH(Table1[[#This Row],[Ticker]],Industries!$A$2:$A$150,0),0)</f>
        <v>Industrials</v>
      </c>
      <c r="C950" t="str">
        <f ca="1">OFFSET(Industries!D$1,MATCH(Table1[[#This Row],[Ticker]],Industries!$A$2:$A$150,0),0)</f>
        <v>Capital Goods</v>
      </c>
      <c r="D950" t="str">
        <f ca="1">OFFSET(Industries!E$1,MATCH(Table1[[#This Row],[Ticker]],Industries!$A$2:$A$150,0),0)</f>
        <v>Aerospace and Defense</v>
      </c>
      <c r="E950" t="s">
        <v>116</v>
      </c>
      <c r="F950" t="str">
        <f ca="1">OFFSET(Industries!B$1,MATCH(Table1[[#This Row],[Ticker]],Industries!$A$2:$A$140,0),0)</f>
        <v>Mega-Cap</v>
      </c>
      <c r="G950" t="str">
        <f ca="1">OFFSET(Industries!F$1,MATCH(Table1[[#This Row],[Ticker]],Industries!$A$2:$A$140,0),0)</f>
        <v>BBB-</v>
      </c>
      <c r="H950" t="s">
        <v>1434</v>
      </c>
      <c r="I950" t="s">
        <v>1434</v>
      </c>
      <c r="J950" s="2">
        <v>45387</v>
      </c>
      <c r="K950" t="s">
        <v>2</v>
      </c>
      <c r="L950" t="s">
        <v>1708</v>
      </c>
      <c r="M950" t="s">
        <v>1709</v>
      </c>
      <c r="N950" s="1"/>
      <c r="O950" t="s">
        <v>4</v>
      </c>
      <c r="P950" s="1">
        <v>0.11</v>
      </c>
      <c r="Q950" s="1" t="s">
        <v>1636</v>
      </c>
      <c r="R950" t="s">
        <v>23</v>
      </c>
      <c r="S950" t="s">
        <v>1083</v>
      </c>
      <c r="T950" t="s">
        <v>37</v>
      </c>
      <c r="U950" s="1">
        <f>((0.125*0.67)+(0.5*0.33))*0.75</f>
        <v>0.18656250000000002</v>
      </c>
      <c r="V950" t="s">
        <v>600</v>
      </c>
    </row>
    <row r="951" spans="1:23" x14ac:dyDescent="0.3">
      <c r="A951" t="s">
        <v>598</v>
      </c>
      <c r="B951" t="str">
        <f ca="1">OFFSET(Industries!C$1,MATCH(Table1[[#This Row],[Ticker]],Industries!$A$2:$A$150,0),0)</f>
        <v>Industrials</v>
      </c>
      <c r="C951" t="str">
        <f ca="1">OFFSET(Industries!D$1,MATCH(Table1[[#This Row],[Ticker]],Industries!$A$2:$A$150,0),0)</f>
        <v>Capital Goods</v>
      </c>
      <c r="D951" t="str">
        <f ca="1">OFFSET(Industries!E$1,MATCH(Table1[[#This Row],[Ticker]],Industries!$A$2:$A$150,0),0)</f>
        <v>Aerospace and Defense</v>
      </c>
      <c r="E951" t="s">
        <v>116</v>
      </c>
      <c r="F951" t="str">
        <f ca="1">OFFSET(Industries!B$1,MATCH(Table1[[#This Row],[Ticker]],Industries!$A$2:$A$140,0),0)</f>
        <v>Mega-Cap</v>
      </c>
      <c r="G951" t="str">
        <f ca="1">OFFSET(Industries!F$1,MATCH(Table1[[#This Row],[Ticker]],Industries!$A$2:$A$140,0),0)</f>
        <v>BBB-</v>
      </c>
      <c r="H951" t="s">
        <v>1434</v>
      </c>
      <c r="I951" t="s">
        <v>1434</v>
      </c>
      <c r="J951" s="2">
        <v>45387</v>
      </c>
      <c r="K951" t="s">
        <v>2</v>
      </c>
      <c r="L951" t="s">
        <v>1708</v>
      </c>
      <c r="M951" t="s">
        <v>1709</v>
      </c>
      <c r="N951" s="1"/>
      <c r="O951" t="s">
        <v>4</v>
      </c>
      <c r="P951" s="1">
        <v>0.11</v>
      </c>
      <c r="Q951" s="1" t="s">
        <v>1636</v>
      </c>
      <c r="R951" t="s">
        <v>24</v>
      </c>
      <c r="S951" t="s">
        <v>90</v>
      </c>
      <c r="T951" t="s">
        <v>601</v>
      </c>
      <c r="U951" s="1">
        <f>0.5*0.33*0.75</f>
        <v>0.12375</v>
      </c>
      <c r="V951" t="s">
        <v>602</v>
      </c>
    </row>
    <row r="952" spans="1:23" x14ac:dyDescent="0.3">
      <c r="A952" t="s">
        <v>598</v>
      </c>
      <c r="B952" t="str">
        <f ca="1">OFFSET(Industries!C$1,MATCH(Table1[[#This Row],[Ticker]],Industries!$A$2:$A$150,0),0)</f>
        <v>Industrials</v>
      </c>
      <c r="C952" t="str">
        <f ca="1">OFFSET(Industries!D$1,MATCH(Table1[[#This Row],[Ticker]],Industries!$A$2:$A$150,0),0)</f>
        <v>Capital Goods</v>
      </c>
      <c r="D952" t="str">
        <f ca="1">OFFSET(Industries!E$1,MATCH(Table1[[#This Row],[Ticker]],Industries!$A$2:$A$150,0),0)</f>
        <v>Aerospace and Defense</v>
      </c>
      <c r="E952" t="s">
        <v>116</v>
      </c>
      <c r="F952" t="str">
        <f ca="1">OFFSET(Industries!B$1,MATCH(Table1[[#This Row],[Ticker]],Industries!$A$2:$A$140,0),0)</f>
        <v>Mega-Cap</v>
      </c>
      <c r="G952" t="str">
        <f ca="1">OFFSET(Industries!F$1,MATCH(Table1[[#This Row],[Ticker]],Industries!$A$2:$A$140,0),0)</f>
        <v>BBB-</v>
      </c>
      <c r="H952" t="s">
        <v>1434</v>
      </c>
      <c r="I952" t="s">
        <v>1434</v>
      </c>
      <c r="J952" s="2">
        <v>45387</v>
      </c>
      <c r="K952" t="s">
        <v>2</v>
      </c>
      <c r="L952" t="s">
        <v>1708</v>
      </c>
      <c r="M952" t="s">
        <v>1709</v>
      </c>
      <c r="N952" s="1"/>
      <c r="O952" t="s">
        <v>4</v>
      </c>
      <c r="P952" s="1">
        <v>0.11</v>
      </c>
      <c r="Q952" s="1" t="s">
        <v>1636</v>
      </c>
      <c r="R952" t="s">
        <v>24</v>
      </c>
      <c r="S952" t="s">
        <v>1089</v>
      </c>
      <c r="T952" t="s">
        <v>50</v>
      </c>
      <c r="U952" s="1">
        <f>0.125*0.67*0.75</f>
        <v>6.2812500000000007E-2</v>
      </c>
      <c r="V952" t="s">
        <v>603</v>
      </c>
    </row>
    <row r="953" spans="1:23" x14ac:dyDescent="0.3">
      <c r="A953" t="s">
        <v>598</v>
      </c>
      <c r="B953" t="str">
        <f ca="1">OFFSET(Industries!C$1,MATCH(Table1[[#This Row],[Ticker]],Industries!$A$2:$A$150,0),0)</f>
        <v>Industrials</v>
      </c>
      <c r="C953" t="str">
        <f ca="1">OFFSET(Industries!D$1,MATCH(Table1[[#This Row],[Ticker]],Industries!$A$2:$A$150,0),0)</f>
        <v>Capital Goods</v>
      </c>
      <c r="D953" t="str">
        <f ca="1">OFFSET(Industries!E$1,MATCH(Table1[[#This Row],[Ticker]],Industries!$A$2:$A$150,0),0)</f>
        <v>Aerospace and Defense</v>
      </c>
      <c r="E953" t="s">
        <v>116</v>
      </c>
      <c r="F953" t="str">
        <f ca="1">OFFSET(Industries!B$1,MATCH(Table1[[#This Row],[Ticker]],Industries!$A$2:$A$140,0),0)</f>
        <v>Mega-Cap</v>
      </c>
      <c r="G953" t="str">
        <f ca="1">OFFSET(Industries!F$1,MATCH(Table1[[#This Row],[Ticker]],Industries!$A$2:$A$140,0),0)</f>
        <v>BBB-</v>
      </c>
      <c r="H953" t="s">
        <v>1434</v>
      </c>
      <c r="I953" t="s">
        <v>1434</v>
      </c>
      <c r="J953" s="2">
        <v>45387</v>
      </c>
      <c r="K953" t="s">
        <v>2</v>
      </c>
      <c r="L953" t="s">
        <v>1708</v>
      </c>
      <c r="M953" t="s">
        <v>1709</v>
      </c>
      <c r="N953" s="1"/>
      <c r="O953" t="s">
        <v>4</v>
      </c>
      <c r="P953" s="1">
        <v>0.11</v>
      </c>
      <c r="Q953" s="1" t="s">
        <v>1637</v>
      </c>
      <c r="R953" t="s">
        <v>25</v>
      </c>
      <c r="S953" t="s">
        <v>1086</v>
      </c>
      <c r="T953" t="s">
        <v>604</v>
      </c>
      <c r="U953" s="1">
        <v>0.05</v>
      </c>
      <c r="V953" t="s">
        <v>606</v>
      </c>
    </row>
    <row r="954" spans="1:23" x14ac:dyDescent="0.3">
      <c r="A954" t="s">
        <v>598</v>
      </c>
      <c r="B954" t="str">
        <f ca="1">OFFSET(Industries!C$1,MATCH(Table1[[#This Row],[Ticker]],Industries!$A$2:$A$150,0),0)</f>
        <v>Industrials</v>
      </c>
      <c r="C954" t="str">
        <f ca="1">OFFSET(Industries!D$1,MATCH(Table1[[#This Row],[Ticker]],Industries!$A$2:$A$150,0),0)</f>
        <v>Capital Goods</v>
      </c>
      <c r="D954" t="str">
        <f ca="1">OFFSET(Industries!E$1,MATCH(Table1[[#This Row],[Ticker]],Industries!$A$2:$A$150,0),0)</f>
        <v>Aerospace and Defense</v>
      </c>
      <c r="E954" t="s">
        <v>116</v>
      </c>
      <c r="F954" t="str">
        <f ca="1">OFFSET(Industries!B$1,MATCH(Table1[[#This Row],[Ticker]],Industries!$A$2:$A$140,0),0)</f>
        <v>Mega-Cap</v>
      </c>
      <c r="G954" t="str">
        <f ca="1">OFFSET(Industries!F$1,MATCH(Table1[[#This Row],[Ticker]],Industries!$A$2:$A$140,0),0)</f>
        <v>BBB-</v>
      </c>
      <c r="H954" t="s">
        <v>1434</v>
      </c>
      <c r="I954" t="s">
        <v>1434</v>
      </c>
      <c r="J954" s="2">
        <v>45387</v>
      </c>
      <c r="K954" t="s">
        <v>2</v>
      </c>
      <c r="L954" t="s">
        <v>1708</v>
      </c>
      <c r="M954" t="s">
        <v>1709</v>
      </c>
      <c r="N954" s="1"/>
      <c r="O954" t="s">
        <v>4</v>
      </c>
      <c r="P954" s="1">
        <v>0.11</v>
      </c>
      <c r="Q954" s="1" t="s">
        <v>1637</v>
      </c>
      <c r="R954" t="s">
        <v>25</v>
      </c>
      <c r="S954" t="s">
        <v>1086</v>
      </c>
      <c r="T954" t="s">
        <v>605</v>
      </c>
      <c r="U954" s="1">
        <v>0.05</v>
      </c>
      <c r="W954" s="1"/>
    </row>
    <row r="955" spans="1:23" x14ac:dyDescent="0.3">
      <c r="A955" t="s">
        <v>598</v>
      </c>
      <c r="B955" t="str">
        <f ca="1">OFFSET(Industries!C$1,MATCH(Table1[[#This Row],[Ticker]],Industries!$A$2:$A$150,0),0)</f>
        <v>Industrials</v>
      </c>
      <c r="C955" t="str">
        <f ca="1">OFFSET(Industries!D$1,MATCH(Table1[[#This Row],[Ticker]],Industries!$A$2:$A$150,0),0)</f>
        <v>Capital Goods</v>
      </c>
      <c r="D955" t="str">
        <f ca="1">OFFSET(Industries!E$1,MATCH(Table1[[#This Row],[Ticker]],Industries!$A$2:$A$150,0),0)</f>
        <v>Aerospace and Defense</v>
      </c>
      <c r="E955" t="s">
        <v>116</v>
      </c>
      <c r="F955" t="str">
        <f ca="1">OFFSET(Industries!B$1,MATCH(Table1[[#This Row],[Ticker]],Industries!$A$2:$A$140,0),0)</f>
        <v>Mega-Cap</v>
      </c>
      <c r="G955" t="str">
        <f ca="1">OFFSET(Industries!F$1,MATCH(Table1[[#This Row],[Ticker]],Industries!$A$2:$A$140,0),0)</f>
        <v>BBB-</v>
      </c>
      <c r="H955" t="s">
        <v>1434</v>
      </c>
      <c r="I955" t="s">
        <v>1434</v>
      </c>
      <c r="J955" s="2">
        <v>45387</v>
      </c>
      <c r="K955" t="s">
        <v>2</v>
      </c>
      <c r="L955" t="s">
        <v>1708</v>
      </c>
      <c r="M955" t="s">
        <v>1709</v>
      </c>
      <c r="N955" s="1"/>
      <c r="O955" t="s">
        <v>4</v>
      </c>
      <c r="P955" s="1">
        <v>0.11</v>
      </c>
      <c r="Q955" s="1" t="s">
        <v>1637</v>
      </c>
      <c r="R955" t="s">
        <v>25</v>
      </c>
      <c r="S955" t="s">
        <v>814</v>
      </c>
      <c r="T955" t="s">
        <v>607</v>
      </c>
      <c r="U955" s="1">
        <v>0.05</v>
      </c>
    </row>
    <row r="956" spans="1:23" x14ac:dyDescent="0.3">
      <c r="A956" t="s">
        <v>598</v>
      </c>
      <c r="B956" t="str">
        <f ca="1">OFFSET(Industries!C$1,MATCH(Table1[[#This Row],[Ticker]],Industries!$A$2:$A$150,0),0)</f>
        <v>Industrials</v>
      </c>
      <c r="C956" t="str">
        <f ca="1">OFFSET(Industries!D$1,MATCH(Table1[[#This Row],[Ticker]],Industries!$A$2:$A$150,0),0)</f>
        <v>Capital Goods</v>
      </c>
      <c r="D956" t="str">
        <f ca="1">OFFSET(Industries!E$1,MATCH(Table1[[#This Row],[Ticker]],Industries!$A$2:$A$150,0),0)</f>
        <v>Aerospace and Defense</v>
      </c>
      <c r="E956" t="s">
        <v>116</v>
      </c>
      <c r="F956" t="str">
        <f ca="1">OFFSET(Industries!B$1,MATCH(Table1[[#This Row],[Ticker]],Industries!$A$2:$A$140,0),0)</f>
        <v>Mega-Cap</v>
      </c>
      <c r="G956" t="str">
        <f ca="1">OFFSET(Industries!F$1,MATCH(Table1[[#This Row],[Ticker]],Industries!$A$2:$A$140,0),0)</f>
        <v>BBB-</v>
      </c>
      <c r="H956" t="s">
        <v>1434</v>
      </c>
      <c r="I956" t="s">
        <v>1434</v>
      </c>
      <c r="J956" s="2">
        <v>45387</v>
      </c>
      <c r="K956" t="s">
        <v>2</v>
      </c>
      <c r="L956" t="s">
        <v>1708</v>
      </c>
      <c r="M956" t="s">
        <v>1709</v>
      </c>
      <c r="N956" s="1"/>
      <c r="O956" t="s">
        <v>4</v>
      </c>
      <c r="P956" s="1">
        <v>0.11</v>
      </c>
      <c r="Q956" s="1" t="s">
        <v>1637</v>
      </c>
      <c r="R956" t="s">
        <v>26</v>
      </c>
      <c r="S956" t="s">
        <v>26</v>
      </c>
      <c r="T956" t="s">
        <v>608</v>
      </c>
      <c r="U956" s="1">
        <v>0.05</v>
      </c>
      <c r="V956" t="s">
        <v>609</v>
      </c>
    </row>
    <row r="957" spans="1:23" x14ac:dyDescent="0.3">
      <c r="A957" t="s">
        <v>598</v>
      </c>
      <c r="B957" t="str">
        <f ca="1">OFFSET(Industries!C$1,MATCH(Table1[[#This Row],[Ticker]],Industries!$A$2:$A$150,0),0)</f>
        <v>Industrials</v>
      </c>
      <c r="C957" t="str">
        <f ca="1">OFFSET(Industries!D$1,MATCH(Table1[[#This Row],[Ticker]],Industries!$A$2:$A$150,0),0)</f>
        <v>Capital Goods</v>
      </c>
      <c r="D957" t="str">
        <f ca="1">OFFSET(Industries!E$1,MATCH(Table1[[#This Row],[Ticker]],Industries!$A$2:$A$150,0),0)</f>
        <v>Aerospace and Defense</v>
      </c>
      <c r="E957" t="s">
        <v>116</v>
      </c>
      <c r="F957" t="str">
        <f ca="1">OFFSET(Industries!B$1,MATCH(Table1[[#This Row],[Ticker]],Industries!$A$2:$A$140,0),0)</f>
        <v>Mega-Cap</v>
      </c>
      <c r="G957" t="str">
        <f ca="1">OFFSET(Industries!F$1,MATCH(Table1[[#This Row],[Ticker]],Industries!$A$2:$A$140,0),0)</f>
        <v>BBB-</v>
      </c>
      <c r="H957" t="s">
        <v>1434</v>
      </c>
      <c r="I957" t="s">
        <v>1434</v>
      </c>
      <c r="J957" s="2">
        <v>45387</v>
      </c>
      <c r="K957" t="s">
        <v>2</v>
      </c>
      <c r="L957" t="s">
        <v>1708</v>
      </c>
      <c r="M957" t="s">
        <v>1709</v>
      </c>
      <c r="N957" s="1"/>
      <c r="O957" t="s">
        <v>4</v>
      </c>
      <c r="P957" s="1">
        <v>0.11</v>
      </c>
      <c r="Q957" s="1" t="s">
        <v>1637</v>
      </c>
      <c r="R957" t="s">
        <v>26</v>
      </c>
      <c r="S957" t="s">
        <v>26</v>
      </c>
      <c r="T957" t="s">
        <v>610</v>
      </c>
      <c r="U957" s="1">
        <v>0.05</v>
      </c>
      <c r="V957" s="1"/>
    </row>
    <row r="958" spans="1:23" x14ac:dyDescent="0.3">
      <c r="A958" t="s">
        <v>598</v>
      </c>
      <c r="B958" t="str">
        <f ca="1">OFFSET(Industries!C$1,MATCH(Table1[[#This Row],[Ticker]],Industries!$A$2:$A$150,0),0)</f>
        <v>Industrials</v>
      </c>
      <c r="C958" t="str">
        <f ca="1">OFFSET(Industries!D$1,MATCH(Table1[[#This Row],[Ticker]],Industries!$A$2:$A$150,0),0)</f>
        <v>Capital Goods</v>
      </c>
      <c r="D958" t="str">
        <f ca="1">OFFSET(Industries!E$1,MATCH(Table1[[#This Row],[Ticker]],Industries!$A$2:$A$150,0),0)</f>
        <v>Aerospace and Defense</v>
      </c>
      <c r="E958" t="s">
        <v>116</v>
      </c>
      <c r="F958" t="str">
        <f ca="1">OFFSET(Industries!B$1,MATCH(Table1[[#This Row],[Ticker]],Industries!$A$2:$A$140,0),0)</f>
        <v>Mega-Cap</v>
      </c>
      <c r="G958" t="str">
        <f ca="1">OFFSET(Industries!F$1,MATCH(Table1[[#This Row],[Ticker]],Industries!$A$2:$A$140,0),0)</f>
        <v>BBB-</v>
      </c>
      <c r="H958" t="s">
        <v>1434</v>
      </c>
      <c r="I958" t="s">
        <v>1434</v>
      </c>
      <c r="J958" s="2">
        <v>45387</v>
      </c>
      <c r="K958" t="s">
        <v>2</v>
      </c>
      <c r="L958" t="s">
        <v>1708</v>
      </c>
      <c r="M958" t="s">
        <v>1709</v>
      </c>
      <c r="N958" s="1"/>
      <c r="O958" t="s">
        <v>4</v>
      </c>
      <c r="P958" s="1">
        <v>0.11</v>
      </c>
      <c r="R958" t="s">
        <v>28</v>
      </c>
      <c r="S958" t="s">
        <v>1087</v>
      </c>
      <c r="T958" t="s">
        <v>40</v>
      </c>
      <c r="V958" s="1"/>
    </row>
    <row r="959" spans="1:23" x14ac:dyDescent="0.3">
      <c r="A959" t="s">
        <v>598</v>
      </c>
      <c r="B959" t="str">
        <f ca="1">OFFSET(Industries!C$1,MATCH(Table1[[#This Row],[Ticker]],Industries!$A$2:$A$150,0),0)</f>
        <v>Industrials</v>
      </c>
      <c r="C959" t="str">
        <f ca="1">OFFSET(Industries!D$1,MATCH(Table1[[#This Row],[Ticker]],Industries!$A$2:$A$150,0),0)</f>
        <v>Capital Goods</v>
      </c>
      <c r="D959" t="str">
        <f ca="1">OFFSET(Industries!E$1,MATCH(Table1[[#This Row],[Ticker]],Industries!$A$2:$A$150,0),0)</f>
        <v>Aerospace and Defense</v>
      </c>
      <c r="E959" t="s">
        <v>116</v>
      </c>
      <c r="F959" t="str">
        <f ca="1">OFFSET(Industries!B$1,MATCH(Table1[[#This Row],[Ticker]],Industries!$A$2:$A$140,0),0)</f>
        <v>Mega-Cap</v>
      </c>
      <c r="G959" t="str">
        <f ca="1">OFFSET(Industries!F$1,MATCH(Table1[[#This Row],[Ticker]],Industries!$A$2:$A$140,0),0)</f>
        <v>BBB-</v>
      </c>
      <c r="H959" t="s">
        <v>1434</v>
      </c>
      <c r="I959" t="s">
        <v>1434</v>
      </c>
      <c r="J959" s="2">
        <v>45387</v>
      </c>
      <c r="K959" t="s">
        <v>2</v>
      </c>
      <c r="L959" t="s">
        <v>1710</v>
      </c>
      <c r="M959" t="s">
        <v>1709</v>
      </c>
      <c r="N959" s="1">
        <f>Table1[[#This Row],[Consideration Weight]]</f>
        <v>0.45650000000000002</v>
      </c>
      <c r="O959" t="s">
        <v>476</v>
      </c>
      <c r="P959" s="1">
        <f>0.55*0.83</f>
        <v>0.45650000000000002</v>
      </c>
      <c r="Q959" s="1" t="s">
        <v>1636</v>
      </c>
      <c r="R959" t="s">
        <v>62</v>
      </c>
      <c r="S959" t="s">
        <v>129</v>
      </c>
      <c r="T959" t="s">
        <v>611</v>
      </c>
      <c r="U959" s="1">
        <v>1</v>
      </c>
    </row>
    <row r="960" spans="1:23" x14ac:dyDescent="0.3">
      <c r="A960" t="s">
        <v>598</v>
      </c>
      <c r="B960" t="str">
        <f ca="1">OFFSET(Industries!C$1,MATCH(Table1[[#This Row],[Ticker]],Industries!$A$2:$A$150,0),0)</f>
        <v>Industrials</v>
      </c>
      <c r="C960" t="str">
        <f ca="1">OFFSET(Industries!D$1,MATCH(Table1[[#This Row],[Ticker]],Industries!$A$2:$A$150,0),0)</f>
        <v>Capital Goods</v>
      </c>
      <c r="D960" t="str">
        <f ca="1">OFFSET(Industries!E$1,MATCH(Table1[[#This Row],[Ticker]],Industries!$A$2:$A$150,0),0)</f>
        <v>Aerospace and Defense</v>
      </c>
      <c r="E960" t="s">
        <v>116</v>
      </c>
      <c r="F960" t="str">
        <f ca="1">OFFSET(Industries!B$1,MATCH(Table1[[#This Row],[Ticker]],Industries!$A$2:$A$140,0),0)</f>
        <v>Mega-Cap</v>
      </c>
      <c r="G960" t="str">
        <f ca="1">OFFSET(Industries!F$1,MATCH(Table1[[#This Row],[Ticker]],Industries!$A$2:$A$140,0),0)</f>
        <v>BBB-</v>
      </c>
      <c r="H960" t="s">
        <v>1434</v>
      </c>
      <c r="I960" t="s">
        <v>1434</v>
      </c>
      <c r="J960" s="2">
        <v>45387</v>
      </c>
      <c r="K960" t="s">
        <v>2</v>
      </c>
      <c r="L960" t="s">
        <v>1710</v>
      </c>
      <c r="M960" t="s">
        <v>1709</v>
      </c>
      <c r="N960" s="1"/>
      <c r="O960" t="s">
        <v>476</v>
      </c>
      <c r="P960" s="1">
        <f t="shared" ref="P960" si="15">0.55*0.83</f>
        <v>0.45650000000000002</v>
      </c>
      <c r="R960" t="s">
        <v>28</v>
      </c>
      <c r="S960" t="s">
        <v>1120</v>
      </c>
      <c r="T960" t="s">
        <v>612</v>
      </c>
      <c r="V960" t="s">
        <v>1767</v>
      </c>
    </row>
    <row r="961" spans="1:22" x14ac:dyDescent="0.3">
      <c r="A961" t="s">
        <v>598</v>
      </c>
      <c r="B961" t="str">
        <f ca="1">OFFSET(Industries!C$1,MATCH(Table1[[#This Row],[Ticker]],Industries!$A$2:$A$150,0),0)</f>
        <v>Industrials</v>
      </c>
      <c r="C961" t="str">
        <f ca="1">OFFSET(Industries!D$1,MATCH(Table1[[#This Row],[Ticker]],Industries!$A$2:$A$150,0),0)</f>
        <v>Capital Goods</v>
      </c>
      <c r="D961" t="str">
        <f ca="1">OFFSET(Industries!E$1,MATCH(Table1[[#This Row],[Ticker]],Industries!$A$2:$A$150,0),0)</f>
        <v>Aerospace and Defense</v>
      </c>
      <c r="E961" t="s">
        <v>116</v>
      </c>
      <c r="F961" t="str">
        <f ca="1">OFFSET(Industries!B$1,MATCH(Table1[[#This Row],[Ticker]],Industries!$A$2:$A$140,0),0)</f>
        <v>Mega-Cap</v>
      </c>
      <c r="G961" t="str">
        <f ca="1">OFFSET(Industries!F$1,MATCH(Table1[[#This Row],[Ticker]],Industries!$A$2:$A$140,0),0)</f>
        <v>BBB-</v>
      </c>
      <c r="H961" t="s">
        <v>1434</v>
      </c>
      <c r="I961" t="s">
        <v>1434</v>
      </c>
      <c r="J961" s="2">
        <v>45387</v>
      </c>
      <c r="K961" t="s">
        <v>2</v>
      </c>
      <c r="L961" t="s">
        <v>1710</v>
      </c>
      <c r="M961" t="s">
        <v>1711</v>
      </c>
      <c r="N961" s="1">
        <f>Table1[[#This Row],[Consideration Weight]]</f>
        <v>0.3735</v>
      </c>
      <c r="O961" t="s">
        <v>194</v>
      </c>
      <c r="P961" s="1">
        <f>0.45*0.83</f>
        <v>0.3735</v>
      </c>
      <c r="V961" t="s">
        <v>613</v>
      </c>
    </row>
    <row r="962" spans="1:22" x14ac:dyDescent="0.3">
      <c r="A962" t="s">
        <v>598</v>
      </c>
      <c r="B962" t="str">
        <f ca="1">OFFSET(Industries!C$1,MATCH(Table1[[#This Row],[Ticker]],Industries!$A$2:$A$150,0),0)</f>
        <v>Industrials</v>
      </c>
      <c r="C962" t="str">
        <f ca="1">OFFSET(Industries!D$1,MATCH(Table1[[#This Row],[Ticker]],Industries!$A$2:$A$150,0),0)</f>
        <v>Capital Goods</v>
      </c>
      <c r="D962" t="str">
        <f ca="1">OFFSET(Industries!E$1,MATCH(Table1[[#This Row],[Ticker]],Industries!$A$2:$A$150,0),0)</f>
        <v>Aerospace and Defense</v>
      </c>
      <c r="E962" t="s">
        <v>116</v>
      </c>
      <c r="F962" t="str">
        <f ca="1">OFFSET(Industries!B$1,MATCH(Table1[[#This Row],[Ticker]],Industries!$A$2:$A$140,0),0)</f>
        <v>Mega-Cap</v>
      </c>
      <c r="G962" t="str">
        <f ca="1">OFFSET(Industries!F$1,MATCH(Table1[[#This Row],[Ticker]],Industries!$A$2:$A$140,0),0)</f>
        <v>BBB-</v>
      </c>
      <c r="H962" t="s">
        <v>1434</v>
      </c>
      <c r="I962" t="s">
        <v>1434</v>
      </c>
      <c r="J962" s="2">
        <v>45387</v>
      </c>
      <c r="K962" t="s">
        <v>21</v>
      </c>
      <c r="L962" t="s">
        <v>3</v>
      </c>
      <c r="M962" t="s">
        <v>1711</v>
      </c>
      <c r="N962" s="1">
        <f>Table1[[#This Row],[Consideration Weight]]</f>
        <v>0.11</v>
      </c>
      <c r="O962" t="s">
        <v>3</v>
      </c>
      <c r="P962" s="1">
        <v>0.11</v>
      </c>
    </row>
    <row r="963" spans="1:22" x14ac:dyDescent="0.3">
      <c r="A963" t="s">
        <v>598</v>
      </c>
      <c r="B963" t="str">
        <f ca="1">OFFSET(Industries!C$1,MATCH(Table1[[#This Row],[Ticker]],Industries!$A$2:$A$150,0),0)</f>
        <v>Industrials</v>
      </c>
      <c r="C963" t="str">
        <f ca="1">OFFSET(Industries!D$1,MATCH(Table1[[#This Row],[Ticker]],Industries!$A$2:$A$150,0),0)</f>
        <v>Capital Goods</v>
      </c>
      <c r="D963" t="str">
        <f ca="1">OFFSET(Industries!E$1,MATCH(Table1[[#This Row],[Ticker]],Industries!$A$2:$A$150,0),0)</f>
        <v>Aerospace and Defense</v>
      </c>
      <c r="E963" t="s">
        <v>116</v>
      </c>
      <c r="F963" t="str">
        <f ca="1">OFFSET(Industries!B$1,MATCH(Table1[[#This Row],[Ticker]],Industries!$A$2:$A$140,0),0)</f>
        <v>Mega-Cap</v>
      </c>
      <c r="G963" t="str">
        <f ca="1">OFFSET(Industries!F$1,MATCH(Table1[[#This Row],[Ticker]],Industries!$A$2:$A$140,0),0)</f>
        <v>BBB-</v>
      </c>
      <c r="H963" t="s">
        <v>1434</v>
      </c>
      <c r="I963" t="s">
        <v>1434</v>
      </c>
      <c r="J963" s="2">
        <v>45387</v>
      </c>
      <c r="K963" t="s">
        <v>21</v>
      </c>
      <c r="L963" t="s">
        <v>1708</v>
      </c>
      <c r="M963" t="s">
        <v>1709</v>
      </c>
      <c r="N963" s="1">
        <f>Table1[[#This Row],[Consideration Weight]]</f>
        <v>0.13</v>
      </c>
      <c r="O963" t="s">
        <v>4</v>
      </c>
      <c r="P963" s="1">
        <v>0.13</v>
      </c>
      <c r="Q963" s="1" t="s">
        <v>1636</v>
      </c>
      <c r="R963" t="s">
        <v>62</v>
      </c>
      <c r="S963" t="s">
        <v>129</v>
      </c>
      <c r="T963" t="s">
        <v>129</v>
      </c>
      <c r="U963" s="1">
        <f>0.67*0.75*0.75</f>
        <v>0.37687500000000007</v>
      </c>
    </row>
    <row r="964" spans="1:22" x14ac:dyDescent="0.3">
      <c r="A964" t="s">
        <v>598</v>
      </c>
      <c r="B964" t="str">
        <f ca="1">OFFSET(Industries!C$1,MATCH(Table1[[#This Row],[Ticker]],Industries!$A$2:$A$150,0),0)</f>
        <v>Industrials</v>
      </c>
      <c r="C964" t="str">
        <f ca="1">OFFSET(Industries!D$1,MATCH(Table1[[#This Row],[Ticker]],Industries!$A$2:$A$150,0),0)</f>
        <v>Capital Goods</v>
      </c>
      <c r="D964" t="str">
        <f ca="1">OFFSET(Industries!E$1,MATCH(Table1[[#This Row],[Ticker]],Industries!$A$2:$A$150,0),0)</f>
        <v>Aerospace and Defense</v>
      </c>
      <c r="E964" t="s">
        <v>116</v>
      </c>
      <c r="F964" t="str">
        <f ca="1">OFFSET(Industries!B$1,MATCH(Table1[[#This Row],[Ticker]],Industries!$A$2:$A$140,0),0)</f>
        <v>Mega-Cap</v>
      </c>
      <c r="G964" t="str">
        <f ca="1">OFFSET(Industries!F$1,MATCH(Table1[[#This Row],[Ticker]],Industries!$A$2:$A$140,0),0)</f>
        <v>BBB-</v>
      </c>
      <c r="H964" t="s">
        <v>1434</v>
      </c>
      <c r="I964" t="s">
        <v>1434</v>
      </c>
      <c r="J964" s="2">
        <v>45387</v>
      </c>
      <c r="K964" t="s">
        <v>21</v>
      </c>
      <c r="L964" t="s">
        <v>1708</v>
      </c>
      <c r="M964" t="s">
        <v>1709</v>
      </c>
      <c r="N964" s="1"/>
      <c r="O964" t="s">
        <v>4</v>
      </c>
      <c r="P964" s="1">
        <v>0.13</v>
      </c>
      <c r="Q964" s="1" t="s">
        <v>1636</v>
      </c>
      <c r="R964" t="s">
        <v>23</v>
      </c>
      <c r="S964" t="s">
        <v>1083</v>
      </c>
      <c r="T964" t="s">
        <v>37</v>
      </c>
      <c r="U964" s="1">
        <f>((0.125*0.67)+(0.5*0.33))*0.75</f>
        <v>0.18656250000000002</v>
      </c>
    </row>
    <row r="965" spans="1:22" x14ac:dyDescent="0.3">
      <c r="A965" t="s">
        <v>598</v>
      </c>
      <c r="B965" t="str">
        <f ca="1">OFFSET(Industries!C$1,MATCH(Table1[[#This Row],[Ticker]],Industries!$A$2:$A$150,0),0)</f>
        <v>Industrials</v>
      </c>
      <c r="C965" t="str">
        <f ca="1">OFFSET(Industries!D$1,MATCH(Table1[[#This Row],[Ticker]],Industries!$A$2:$A$150,0),0)</f>
        <v>Capital Goods</v>
      </c>
      <c r="D965" t="str">
        <f ca="1">OFFSET(Industries!E$1,MATCH(Table1[[#This Row],[Ticker]],Industries!$A$2:$A$150,0),0)</f>
        <v>Aerospace and Defense</v>
      </c>
      <c r="E965" t="s">
        <v>116</v>
      </c>
      <c r="F965" t="str">
        <f ca="1">OFFSET(Industries!B$1,MATCH(Table1[[#This Row],[Ticker]],Industries!$A$2:$A$140,0),0)</f>
        <v>Mega-Cap</v>
      </c>
      <c r="G965" t="str">
        <f ca="1">OFFSET(Industries!F$1,MATCH(Table1[[#This Row],[Ticker]],Industries!$A$2:$A$140,0),0)</f>
        <v>BBB-</v>
      </c>
      <c r="H965" t="s">
        <v>1434</v>
      </c>
      <c r="I965" t="s">
        <v>1434</v>
      </c>
      <c r="J965" s="2">
        <v>45387</v>
      </c>
      <c r="K965" t="s">
        <v>21</v>
      </c>
      <c r="L965" t="s">
        <v>1708</v>
      </c>
      <c r="M965" t="s">
        <v>1709</v>
      </c>
      <c r="N965" s="1"/>
      <c r="O965" t="s">
        <v>4</v>
      </c>
      <c r="P965" s="1">
        <v>0.13</v>
      </c>
      <c r="Q965" s="1" t="s">
        <v>1636</v>
      </c>
      <c r="R965" t="s">
        <v>24</v>
      </c>
      <c r="S965" t="s">
        <v>90</v>
      </c>
      <c r="T965" t="s">
        <v>601</v>
      </c>
      <c r="U965" s="1">
        <f>0.5*0.33*0.75</f>
        <v>0.12375</v>
      </c>
    </row>
    <row r="966" spans="1:22" x14ac:dyDescent="0.3">
      <c r="A966" t="s">
        <v>598</v>
      </c>
      <c r="B966" t="str">
        <f ca="1">OFFSET(Industries!C$1,MATCH(Table1[[#This Row],[Ticker]],Industries!$A$2:$A$150,0),0)</f>
        <v>Industrials</v>
      </c>
      <c r="C966" t="str">
        <f ca="1">OFFSET(Industries!D$1,MATCH(Table1[[#This Row],[Ticker]],Industries!$A$2:$A$150,0),0)</f>
        <v>Capital Goods</v>
      </c>
      <c r="D966" t="str">
        <f ca="1">OFFSET(Industries!E$1,MATCH(Table1[[#This Row],[Ticker]],Industries!$A$2:$A$150,0),0)</f>
        <v>Aerospace and Defense</v>
      </c>
      <c r="E966" t="s">
        <v>116</v>
      </c>
      <c r="F966" t="str">
        <f ca="1">OFFSET(Industries!B$1,MATCH(Table1[[#This Row],[Ticker]],Industries!$A$2:$A$140,0),0)</f>
        <v>Mega-Cap</v>
      </c>
      <c r="G966" t="str">
        <f ca="1">OFFSET(Industries!F$1,MATCH(Table1[[#This Row],[Ticker]],Industries!$A$2:$A$140,0),0)</f>
        <v>BBB-</v>
      </c>
      <c r="H966" t="s">
        <v>1434</v>
      </c>
      <c r="I966" t="s">
        <v>1434</v>
      </c>
      <c r="J966" s="2">
        <v>45387</v>
      </c>
      <c r="K966" t="s">
        <v>21</v>
      </c>
      <c r="L966" t="s">
        <v>1708</v>
      </c>
      <c r="M966" t="s">
        <v>1709</v>
      </c>
      <c r="N966" s="1"/>
      <c r="O966" t="s">
        <v>4</v>
      </c>
      <c r="P966" s="1">
        <v>0.13</v>
      </c>
      <c r="Q966" s="1" t="s">
        <v>1636</v>
      </c>
      <c r="R966" t="s">
        <v>24</v>
      </c>
      <c r="S966" t="s">
        <v>1089</v>
      </c>
      <c r="T966" t="s">
        <v>50</v>
      </c>
      <c r="U966" s="1">
        <f>0.125*0.67*0.75</f>
        <v>6.2812500000000007E-2</v>
      </c>
    </row>
    <row r="967" spans="1:22" x14ac:dyDescent="0.3">
      <c r="A967" t="s">
        <v>598</v>
      </c>
      <c r="B967" t="str">
        <f ca="1">OFFSET(Industries!C$1,MATCH(Table1[[#This Row],[Ticker]],Industries!$A$2:$A$150,0),0)</f>
        <v>Industrials</v>
      </c>
      <c r="C967" t="str">
        <f ca="1">OFFSET(Industries!D$1,MATCH(Table1[[#This Row],[Ticker]],Industries!$A$2:$A$150,0),0)</f>
        <v>Capital Goods</v>
      </c>
      <c r="D967" t="str">
        <f ca="1">OFFSET(Industries!E$1,MATCH(Table1[[#This Row],[Ticker]],Industries!$A$2:$A$150,0),0)</f>
        <v>Aerospace and Defense</v>
      </c>
      <c r="E967" t="s">
        <v>116</v>
      </c>
      <c r="F967" t="str">
        <f ca="1">OFFSET(Industries!B$1,MATCH(Table1[[#This Row],[Ticker]],Industries!$A$2:$A$140,0),0)</f>
        <v>Mega-Cap</v>
      </c>
      <c r="G967" t="str">
        <f ca="1">OFFSET(Industries!F$1,MATCH(Table1[[#This Row],[Ticker]],Industries!$A$2:$A$140,0),0)</f>
        <v>BBB-</v>
      </c>
      <c r="H967" t="s">
        <v>1434</v>
      </c>
      <c r="I967" t="s">
        <v>1434</v>
      </c>
      <c r="J967" s="2">
        <v>45387</v>
      </c>
      <c r="K967" t="s">
        <v>21</v>
      </c>
      <c r="L967" t="s">
        <v>1708</v>
      </c>
      <c r="M967" t="s">
        <v>1709</v>
      </c>
      <c r="N967" s="1"/>
      <c r="O967" t="s">
        <v>4</v>
      </c>
      <c r="P967" s="1">
        <v>0.13</v>
      </c>
      <c r="Q967" s="1" t="s">
        <v>1637</v>
      </c>
      <c r="R967" t="s">
        <v>25</v>
      </c>
      <c r="S967" t="s">
        <v>1086</v>
      </c>
      <c r="T967" t="s">
        <v>604</v>
      </c>
      <c r="U967" s="1">
        <v>0.05</v>
      </c>
    </row>
    <row r="968" spans="1:22" x14ac:dyDescent="0.3">
      <c r="A968" t="s">
        <v>598</v>
      </c>
      <c r="B968" t="str">
        <f ca="1">OFFSET(Industries!C$1,MATCH(Table1[[#This Row],[Ticker]],Industries!$A$2:$A$150,0),0)</f>
        <v>Industrials</v>
      </c>
      <c r="C968" t="str">
        <f ca="1">OFFSET(Industries!D$1,MATCH(Table1[[#This Row],[Ticker]],Industries!$A$2:$A$150,0),0)</f>
        <v>Capital Goods</v>
      </c>
      <c r="D968" t="str">
        <f ca="1">OFFSET(Industries!E$1,MATCH(Table1[[#This Row],[Ticker]],Industries!$A$2:$A$150,0),0)</f>
        <v>Aerospace and Defense</v>
      </c>
      <c r="E968" t="s">
        <v>116</v>
      </c>
      <c r="F968" t="str">
        <f ca="1">OFFSET(Industries!B$1,MATCH(Table1[[#This Row],[Ticker]],Industries!$A$2:$A$140,0),0)</f>
        <v>Mega-Cap</v>
      </c>
      <c r="G968" t="str">
        <f ca="1">OFFSET(Industries!F$1,MATCH(Table1[[#This Row],[Ticker]],Industries!$A$2:$A$140,0),0)</f>
        <v>BBB-</v>
      </c>
      <c r="H968" t="s">
        <v>1434</v>
      </c>
      <c r="I968" t="s">
        <v>1434</v>
      </c>
      <c r="J968" s="2">
        <v>45387</v>
      </c>
      <c r="K968" t="s">
        <v>21</v>
      </c>
      <c r="L968" t="s">
        <v>1708</v>
      </c>
      <c r="M968" t="s">
        <v>1709</v>
      </c>
      <c r="N968" s="1"/>
      <c r="O968" t="s">
        <v>4</v>
      </c>
      <c r="P968" s="1">
        <v>0.13</v>
      </c>
      <c r="Q968" s="1" t="s">
        <v>1637</v>
      </c>
      <c r="R968" t="s">
        <v>25</v>
      </c>
      <c r="S968" t="s">
        <v>1086</v>
      </c>
      <c r="T968" t="s">
        <v>605</v>
      </c>
      <c r="U968" s="1">
        <v>0.05</v>
      </c>
    </row>
    <row r="969" spans="1:22" x14ac:dyDescent="0.3">
      <c r="A969" t="s">
        <v>598</v>
      </c>
      <c r="B969" t="str">
        <f ca="1">OFFSET(Industries!C$1,MATCH(Table1[[#This Row],[Ticker]],Industries!$A$2:$A$150,0),0)</f>
        <v>Industrials</v>
      </c>
      <c r="C969" t="str">
        <f ca="1">OFFSET(Industries!D$1,MATCH(Table1[[#This Row],[Ticker]],Industries!$A$2:$A$150,0),0)</f>
        <v>Capital Goods</v>
      </c>
      <c r="D969" t="str">
        <f ca="1">OFFSET(Industries!E$1,MATCH(Table1[[#This Row],[Ticker]],Industries!$A$2:$A$150,0),0)</f>
        <v>Aerospace and Defense</v>
      </c>
      <c r="E969" t="s">
        <v>116</v>
      </c>
      <c r="F969" t="str">
        <f ca="1">OFFSET(Industries!B$1,MATCH(Table1[[#This Row],[Ticker]],Industries!$A$2:$A$140,0),0)</f>
        <v>Mega-Cap</v>
      </c>
      <c r="G969" t="str">
        <f ca="1">OFFSET(Industries!F$1,MATCH(Table1[[#This Row],[Ticker]],Industries!$A$2:$A$140,0),0)</f>
        <v>BBB-</v>
      </c>
      <c r="H969" t="s">
        <v>1434</v>
      </c>
      <c r="I969" t="s">
        <v>1434</v>
      </c>
      <c r="J969" s="2">
        <v>45387</v>
      </c>
      <c r="K969" t="s">
        <v>21</v>
      </c>
      <c r="L969" t="s">
        <v>1708</v>
      </c>
      <c r="M969" t="s">
        <v>1709</v>
      </c>
      <c r="N969" s="1"/>
      <c r="O969" t="s">
        <v>4</v>
      </c>
      <c r="P969" s="1">
        <v>0.13</v>
      </c>
      <c r="Q969" s="1" t="s">
        <v>1637</v>
      </c>
      <c r="R969" t="s">
        <v>25</v>
      </c>
      <c r="S969" t="s">
        <v>814</v>
      </c>
      <c r="T969" t="s">
        <v>607</v>
      </c>
      <c r="U969" s="1">
        <v>0.05</v>
      </c>
    </row>
    <row r="970" spans="1:22" x14ac:dyDescent="0.3">
      <c r="A970" t="s">
        <v>598</v>
      </c>
      <c r="B970" t="str">
        <f ca="1">OFFSET(Industries!C$1,MATCH(Table1[[#This Row],[Ticker]],Industries!$A$2:$A$150,0),0)</f>
        <v>Industrials</v>
      </c>
      <c r="C970" t="str">
        <f ca="1">OFFSET(Industries!D$1,MATCH(Table1[[#This Row],[Ticker]],Industries!$A$2:$A$150,0),0)</f>
        <v>Capital Goods</v>
      </c>
      <c r="D970" t="str">
        <f ca="1">OFFSET(Industries!E$1,MATCH(Table1[[#This Row],[Ticker]],Industries!$A$2:$A$150,0),0)</f>
        <v>Aerospace and Defense</v>
      </c>
      <c r="E970" t="s">
        <v>116</v>
      </c>
      <c r="F970" t="str">
        <f ca="1">OFFSET(Industries!B$1,MATCH(Table1[[#This Row],[Ticker]],Industries!$A$2:$A$140,0),0)</f>
        <v>Mega-Cap</v>
      </c>
      <c r="G970" t="str">
        <f ca="1">OFFSET(Industries!F$1,MATCH(Table1[[#This Row],[Ticker]],Industries!$A$2:$A$140,0),0)</f>
        <v>BBB-</v>
      </c>
      <c r="H970" t="s">
        <v>1434</v>
      </c>
      <c r="I970" t="s">
        <v>1434</v>
      </c>
      <c r="J970" s="2">
        <v>45387</v>
      </c>
      <c r="K970" t="s">
        <v>21</v>
      </c>
      <c r="L970" t="s">
        <v>1708</v>
      </c>
      <c r="M970" t="s">
        <v>1709</v>
      </c>
      <c r="N970" s="1"/>
      <c r="O970" t="s">
        <v>4</v>
      </c>
      <c r="P970" s="1">
        <v>0.13</v>
      </c>
      <c r="Q970" s="1" t="s">
        <v>1637</v>
      </c>
      <c r="R970" t="s">
        <v>26</v>
      </c>
      <c r="S970" t="s">
        <v>26</v>
      </c>
      <c r="T970" t="s">
        <v>608</v>
      </c>
      <c r="U970" s="1">
        <v>0.05</v>
      </c>
    </row>
    <row r="971" spans="1:22" x14ac:dyDescent="0.3">
      <c r="A971" t="s">
        <v>598</v>
      </c>
      <c r="B971" t="str">
        <f ca="1">OFFSET(Industries!C$1,MATCH(Table1[[#This Row],[Ticker]],Industries!$A$2:$A$150,0),0)</f>
        <v>Industrials</v>
      </c>
      <c r="C971" t="str">
        <f ca="1">OFFSET(Industries!D$1,MATCH(Table1[[#This Row],[Ticker]],Industries!$A$2:$A$150,0),0)</f>
        <v>Capital Goods</v>
      </c>
      <c r="D971" t="str">
        <f ca="1">OFFSET(Industries!E$1,MATCH(Table1[[#This Row],[Ticker]],Industries!$A$2:$A$150,0),0)</f>
        <v>Aerospace and Defense</v>
      </c>
      <c r="E971" t="s">
        <v>116</v>
      </c>
      <c r="F971" t="str">
        <f ca="1">OFFSET(Industries!B$1,MATCH(Table1[[#This Row],[Ticker]],Industries!$A$2:$A$140,0),0)</f>
        <v>Mega-Cap</v>
      </c>
      <c r="G971" t="str">
        <f ca="1">OFFSET(Industries!F$1,MATCH(Table1[[#This Row],[Ticker]],Industries!$A$2:$A$140,0),0)</f>
        <v>BBB-</v>
      </c>
      <c r="H971" t="s">
        <v>1434</v>
      </c>
      <c r="I971" t="s">
        <v>1434</v>
      </c>
      <c r="J971" s="2">
        <v>45387</v>
      </c>
      <c r="K971" t="s">
        <v>21</v>
      </c>
      <c r="L971" t="s">
        <v>1708</v>
      </c>
      <c r="M971" t="s">
        <v>1709</v>
      </c>
      <c r="N971" s="1"/>
      <c r="O971" t="s">
        <v>4</v>
      </c>
      <c r="P971" s="1">
        <v>0.13</v>
      </c>
      <c r="Q971" s="1" t="s">
        <v>1637</v>
      </c>
      <c r="R971" t="s">
        <v>26</v>
      </c>
      <c r="S971" t="s">
        <v>26</v>
      </c>
      <c r="T971" t="s">
        <v>610</v>
      </c>
      <c r="U971" s="1">
        <v>0.05</v>
      </c>
    </row>
    <row r="972" spans="1:22" x14ac:dyDescent="0.3">
      <c r="A972" t="s">
        <v>598</v>
      </c>
      <c r="B972" t="str">
        <f ca="1">OFFSET(Industries!C$1,MATCH(Table1[[#This Row],[Ticker]],Industries!$A$2:$A$150,0),0)</f>
        <v>Industrials</v>
      </c>
      <c r="C972" t="str">
        <f ca="1">OFFSET(Industries!D$1,MATCH(Table1[[#This Row],[Ticker]],Industries!$A$2:$A$150,0),0)</f>
        <v>Capital Goods</v>
      </c>
      <c r="D972" t="str">
        <f ca="1">OFFSET(Industries!E$1,MATCH(Table1[[#This Row],[Ticker]],Industries!$A$2:$A$150,0),0)</f>
        <v>Aerospace and Defense</v>
      </c>
      <c r="E972" t="s">
        <v>116</v>
      </c>
      <c r="F972" t="str">
        <f ca="1">OFFSET(Industries!B$1,MATCH(Table1[[#This Row],[Ticker]],Industries!$A$2:$A$140,0),0)</f>
        <v>Mega-Cap</v>
      </c>
      <c r="G972" t="str">
        <f ca="1">OFFSET(Industries!F$1,MATCH(Table1[[#This Row],[Ticker]],Industries!$A$2:$A$140,0),0)</f>
        <v>BBB-</v>
      </c>
      <c r="H972" t="s">
        <v>1434</v>
      </c>
      <c r="I972" t="s">
        <v>1434</v>
      </c>
      <c r="J972" s="2">
        <v>45387</v>
      </c>
      <c r="K972" t="s">
        <v>21</v>
      </c>
      <c r="L972" t="s">
        <v>1708</v>
      </c>
      <c r="M972" t="s">
        <v>1709</v>
      </c>
      <c r="N972" s="1"/>
      <c r="O972" t="s">
        <v>4</v>
      </c>
      <c r="P972" s="1">
        <v>0.13</v>
      </c>
      <c r="R972" t="s">
        <v>28</v>
      </c>
      <c r="S972" t="s">
        <v>1087</v>
      </c>
      <c r="T972" t="s">
        <v>40</v>
      </c>
    </row>
    <row r="973" spans="1:22" x14ac:dyDescent="0.3">
      <c r="A973" t="s">
        <v>598</v>
      </c>
      <c r="B973" t="str">
        <f ca="1">OFFSET(Industries!C$1,MATCH(Table1[[#This Row],[Ticker]],Industries!$A$2:$A$150,0),0)</f>
        <v>Industrials</v>
      </c>
      <c r="C973" t="str">
        <f ca="1">OFFSET(Industries!D$1,MATCH(Table1[[#This Row],[Ticker]],Industries!$A$2:$A$150,0),0)</f>
        <v>Capital Goods</v>
      </c>
      <c r="D973" t="str">
        <f ca="1">OFFSET(Industries!E$1,MATCH(Table1[[#This Row],[Ticker]],Industries!$A$2:$A$150,0),0)</f>
        <v>Aerospace and Defense</v>
      </c>
      <c r="E973" t="s">
        <v>116</v>
      </c>
      <c r="F973" t="str">
        <f ca="1">OFFSET(Industries!B$1,MATCH(Table1[[#This Row],[Ticker]],Industries!$A$2:$A$140,0),0)</f>
        <v>Mega-Cap</v>
      </c>
      <c r="G973" t="str">
        <f ca="1">OFFSET(Industries!F$1,MATCH(Table1[[#This Row],[Ticker]],Industries!$A$2:$A$140,0),0)</f>
        <v>BBB-</v>
      </c>
      <c r="H973" t="s">
        <v>1434</v>
      </c>
      <c r="I973" t="s">
        <v>1434</v>
      </c>
      <c r="J973" s="2">
        <v>45387</v>
      </c>
      <c r="K973" t="s">
        <v>21</v>
      </c>
      <c r="L973" t="s">
        <v>1710</v>
      </c>
      <c r="M973" t="s">
        <v>1709</v>
      </c>
      <c r="N973" s="1">
        <f>Table1[[#This Row],[Consideration Weight]]</f>
        <v>0.41800000000000004</v>
      </c>
      <c r="O973" t="s">
        <v>476</v>
      </c>
      <c r="P973" s="1">
        <f>0.55*0.76</f>
        <v>0.41800000000000004</v>
      </c>
      <c r="Q973" s="1" t="s">
        <v>1636</v>
      </c>
      <c r="R973" t="s">
        <v>62</v>
      </c>
      <c r="S973" t="s">
        <v>129</v>
      </c>
      <c r="T973" t="s">
        <v>611</v>
      </c>
      <c r="U973" s="1">
        <v>1</v>
      </c>
    </row>
    <row r="974" spans="1:22" x14ac:dyDescent="0.3">
      <c r="A974" t="s">
        <v>598</v>
      </c>
      <c r="B974" t="str">
        <f ca="1">OFFSET(Industries!C$1,MATCH(Table1[[#This Row],[Ticker]],Industries!$A$2:$A$150,0),0)</f>
        <v>Industrials</v>
      </c>
      <c r="C974" t="str">
        <f ca="1">OFFSET(Industries!D$1,MATCH(Table1[[#This Row],[Ticker]],Industries!$A$2:$A$150,0),0)</f>
        <v>Capital Goods</v>
      </c>
      <c r="D974" t="str">
        <f ca="1">OFFSET(Industries!E$1,MATCH(Table1[[#This Row],[Ticker]],Industries!$A$2:$A$150,0),0)</f>
        <v>Aerospace and Defense</v>
      </c>
      <c r="E974" t="s">
        <v>116</v>
      </c>
      <c r="F974" t="str">
        <f ca="1">OFFSET(Industries!B$1,MATCH(Table1[[#This Row],[Ticker]],Industries!$A$2:$A$140,0),0)</f>
        <v>Mega-Cap</v>
      </c>
      <c r="G974" t="str">
        <f ca="1">OFFSET(Industries!F$1,MATCH(Table1[[#This Row],[Ticker]],Industries!$A$2:$A$140,0),0)</f>
        <v>BBB-</v>
      </c>
      <c r="H974" t="s">
        <v>1434</v>
      </c>
      <c r="I974" t="s">
        <v>1434</v>
      </c>
      <c r="J974" s="2">
        <v>45387</v>
      </c>
      <c r="K974" t="s">
        <v>21</v>
      </c>
      <c r="L974" t="s">
        <v>1710</v>
      </c>
      <c r="M974" t="s">
        <v>1709</v>
      </c>
      <c r="N974" s="1"/>
      <c r="O974" t="s">
        <v>476</v>
      </c>
      <c r="P974" s="1">
        <f>0.55*0.76</f>
        <v>0.41800000000000004</v>
      </c>
      <c r="R974" t="s">
        <v>28</v>
      </c>
      <c r="S974" t="s">
        <v>1120</v>
      </c>
      <c r="T974" t="s">
        <v>612</v>
      </c>
    </row>
    <row r="975" spans="1:22" x14ac:dyDescent="0.3">
      <c r="A975" t="s">
        <v>598</v>
      </c>
      <c r="B975" t="str">
        <f ca="1">OFFSET(Industries!C$1,MATCH(Table1[[#This Row],[Ticker]],Industries!$A$2:$A$150,0),0)</f>
        <v>Industrials</v>
      </c>
      <c r="C975" t="str">
        <f ca="1">OFFSET(Industries!D$1,MATCH(Table1[[#This Row],[Ticker]],Industries!$A$2:$A$150,0),0)</f>
        <v>Capital Goods</v>
      </c>
      <c r="D975" t="str">
        <f ca="1">OFFSET(Industries!E$1,MATCH(Table1[[#This Row],[Ticker]],Industries!$A$2:$A$150,0),0)</f>
        <v>Aerospace and Defense</v>
      </c>
      <c r="E975" t="s">
        <v>116</v>
      </c>
      <c r="F975" t="str">
        <f ca="1">OFFSET(Industries!B$1,MATCH(Table1[[#This Row],[Ticker]],Industries!$A$2:$A$140,0),0)</f>
        <v>Mega-Cap</v>
      </c>
      <c r="G975" t="str">
        <f ca="1">OFFSET(Industries!F$1,MATCH(Table1[[#This Row],[Ticker]],Industries!$A$2:$A$140,0),0)</f>
        <v>BBB-</v>
      </c>
      <c r="H975" t="s">
        <v>1434</v>
      </c>
      <c r="I975" t="s">
        <v>1434</v>
      </c>
      <c r="J975" s="2">
        <v>45387</v>
      </c>
      <c r="K975" t="s">
        <v>21</v>
      </c>
      <c r="L975" t="s">
        <v>1710</v>
      </c>
      <c r="M975" t="s">
        <v>1711</v>
      </c>
      <c r="N975" s="1">
        <f>Table1[[#This Row],[Consideration Weight]]</f>
        <v>0.34200000000000003</v>
      </c>
      <c r="O975" t="s">
        <v>194</v>
      </c>
      <c r="P975" s="1">
        <f>0.45*0.76</f>
        <v>0.34200000000000003</v>
      </c>
    </row>
    <row r="976" spans="1:22" x14ac:dyDescent="0.3">
      <c r="A976" t="s">
        <v>614</v>
      </c>
      <c r="B976" t="str">
        <f ca="1">OFFSET(Industries!C$1,MATCH(Table1[[#This Row],[Ticker]],Industries!$A$2:$A$150,0),0)</f>
        <v>Materials</v>
      </c>
      <c r="C976" t="str">
        <f ca="1">OFFSET(Industries!D$1,MATCH(Table1[[#This Row],[Ticker]],Industries!$A$2:$A$150,0),0)</f>
        <v>Materials</v>
      </c>
      <c r="D976" t="str">
        <f ca="1">OFFSET(Industries!E$1,MATCH(Table1[[#This Row],[Ticker]],Industries!$A$2:$A$150,0),0)</f>
        <v>Chemicals</v>
      </c>
      <c r="E976" t="s">
        <v>195</v>
      </c>
      <c r="F976" t="str">
        <f ca="1">OFFSET(Industries!B$1,MATCH(Table1[[#This Row],[Ticker]],Industries!$A$2:$A$140,0),0)</f>
        <v>Large-Cap</v>
      </c>
      <c r="G976" t="str">
        <f ca="1">OFFSET(Industries!F$1,MATCH(Table1[[#This Row],[Ticker]],Industries!$A$2:$A$140,0),0)</f>
        <v>BBB-</v>
      </c>
      <c r="H976" t="s">
        <v>1434</v>
      </c>
      <c r="I976" t="s">
        <v>1434</v>
      </c>
      <c r="J976" s="2">
        <v>45372</v>
      </c>
      <c r="K976" t="s">
        <v>2</v>
      </c>
      <c r="L976" t="s">
        <v>3</v>
      </c>
      <c r="M976" t="s">
        <v>1711</v>
      </c>
      <c r="N976" s="1">
        <f>Table1[[#This Row],[Consideration Weight]]</f>
        <v>0.10299999999999999</v>
      </c>
      <c r="O976" t="s">
        <v>3</v>
      </c>
      <c r="P976" s="1">
        <v>0.10299999999999999</v>
      </c>
    </row>
    <row r="977" spans="1:22" x14ac:dyDescent="0.3">
      <c r="A977" t="s">
        <v>614</v>
      </c>
      <c r="B977" t="str">
        <f ca="1">OFFSET(Industries!C$1,MATCH(Table1[[#This Row],[Ticker]],Industries!$A$2:$A$150,0),0)</f>
        <v>Materials</v>
      </c>
      <c r="C977" t="str">
        <f ca="1">OFFSET(Industries!D$1,MATCH(Table1[[#This Row],[Ticker]],Industries!$A$2:$A$150,0),0)</f>
        <v>Materials</v>
      </c>
      <c r="D977" t="str">
        <f ca="1">OFFSET(Industries!E$1,MATCH(Table1[[#This Row],[Ticker]],Industries!$A$2:$A$150,0),0)</f>
        <v>Chemicals</v>
      </c>
      <c r="E977" t="s">
        <v>195</v>
      </c>
      <c r="F977" t="str">
        <f ca="1">OFFSET(Industries!B$1,MATCH(Table1[[#This Row],[Ticker]],Industries!$A$2:$A$140,0),0)</f>
        <v>Large-Cap</v>
      </c>
      <c r="G977" t="str">
        <f ca="1">OFFSET(Industries!F$1,MATCH(Table1[[#This Row],[Ticker]],Industries!$A$2:$A$140,0),0)</f>
        <v>BBB-</v>
      </c>
      <c r="H977" t="s">
        <v>1434</v>
      </c>
      <c r="I977" t="s">
        <v>1434</v>
      </c>
      <c r="J977" s="2">
        <v>45372</v>
      </c>
      <c r="K977" t="s">
        <v>2</v>
      </c>
      <c r="L977" t="s">
        <v>1708</v>
      </c>
      <c r="M977" t="s">
        <v>1709</v>
      </c>
      <c r="N977" s="1">
        <f>Table1[[#This Row],[Consideration Weight]]</f>
        <v>0.14399999999999999</v>
      </c>
      <c r="O977" t="s">
        <v>4</v>
      </c>
      <c r="P977" s="1">
        <v>0.14399999999999999</v>
      </c>
      <c r="Q977" s="1" t="s">
        <v>1636</v>
      </c>
      <c r="R977" t="s">
        <v>24</v>
      </c>
      <c r="S977" t="s">
        <v>1104</v>
      </c>
      <c r="T977" t="s">
        <v>153</v>
      </c>
      <c r="U977" s="1">
        <v>0.6</v>
      </c>
      <c r="V977" t="s">
        <v>619</v>
      </c>
    </row>
    <row r="978" spans="1:22" x14ac:dyDescent="0.3">
      <c r="A978" t="s">
        <v>614</v>
      </c>
      <c r="B978" t="str">
        <f ca="1">OFFSET(Industries!C$1,MATCH(Table1[[#This Row],[Ticker]],Industries!$A$2:$A$150,0),0)</f>
        <v>Materials</v>
      </c>
      <c r="C978" t="str">
        <f ca="1">OFFSET(Industries!D$1,MATCH(Table1[[#This Row],[Ticker]],Industries!$A$2:$A$150,0),0)</f>
        <v>Materials</v>
      </c>
      <c r="D978" t="str">
        <f ca="1">OFFSET(Industries!E$1,MATCH(Table1[[#This Row],[Ticker]],Industries!$A$2:$A$150,0),0)</f>
        <v>Chemicals</v>
      </c>
      <c r="E978" t="s">
        <v>195</v>
      </c>
      <c r="F978" t="str">
        <f ca="1">OFFSET(Industries!B$1,MATCH(Table1[[#This Row],[Ticker]],Industries!$A$2:$A$140,0),0)</f>
        <v>Large-Cap</v>
      </c>
      <c r="G978" t="str">
        <f ca="1">OFFSET(Industries!F$1,MATCH(Table1[[#This Row],[Ticker]],Industries!$A$2:$A$140,0),0)</f>
        <v>BBB-</v>
      </c>
      <c r="H978" t="s">
        <v>1434</v>
      </c>
      <c r="I978" t="s">
        <v>1434</v>
      </c>
      <c r="J978" s="2">
        <v>45372</v>
      </c>
      <c r="K978" t="s">
        <v>2</v>
      </c>
      <c r="L978" t="s">
        <v>1708</v>
      </c>
      <c r="M978" t="s">
        <v>1709</v>
      </c>
      <c r="N978" s="1"/>
      <c r="O978" t="s">
        <v>4</v>
      </c>
      <c r="P978" s="1">
        <v>0.14399999999999999</v>
      </c>
      <c r="Q978" s="1" t="s">
        <v>1636</v>
      </c>
      <c r="R978" t="s">
        <v>62</v>
      </c>
      <c r="S978" t="s">
        <v>129</v>
      </c>
      <c r="T978" t="s">
        <v>117</v>
      </c>
      <c r="U978" s="1">
        <v>0.2</v>
      </c>
      <c r="V978" t="s">
        <v>620</v>
      </c>
    </row>
    <row r="979" spans="1:22" x14ac:dyDescent="0.3">
      <c r="A979" t="s">
        <v>614</v>
      </c>
      <c r="B979" t="str">
        <f ca="1">OFFSET(Industries!C$1,MATCH(Table1[[#This Row],[Ticker]],Industries!$A$2:$A$150,0),0)</f>
        <v>Materials</v>
      </c>
      <c r="C979" t="str">
        <f ca="1">OFFSET(Industries!D$1,MATCH(Table1[[#This Row],[Ticker]],Industries!$A$2:$A$150,0),0)</f>
        <v>Materials</v>
      </c>
      <c r="D979" t="str">
        <f ca="1">OFFSET(Industries!E$1,MATCH(Table1[[#This Row],[Ticker]],Industries!$A$2:$A$150,0),0)</f>
        <v>Chemicals</v>
      </c>
      <c r="E979" t="s">
        <v>195</v>
      </c>
      <c r="F979" t="str">
        <f ca="1">OFFSET(Industries!B$1,MATCH(Table1[[#This Row],[Ticker]],Industries!$A$2:$A$140,0),0)</f>
        <v>Large-Cap</v>
      </c>
      <c r="G979" t="str">
        <f ca="1">OFFSET(Industries!F$1,MATCH(Table1[[#This Row],[Ticker]],Industries!$A$2:$A$140,0),0)</f>
        <v>BBB-</v>
      </c>
      <c r="H979" t="s">
        <v>1434</v>
      </c>
      <c r="I979" t="s">
        <v>1434</v>
      </c>
      <c r="J979" s="2">
        <v>45372</v>
      </c>
      <c r="K979" t="s">
        <v>2</v>
      </c>
      <c r="L979" t="s">
        <v>1708</v>
      </c>
      <c r="M979" t="s">
        <v>1709</v>
      </c>
      <c r="N979" s="1"/>
      <c r="O979" t="s">
        <v>4</v>
      </c>
      <c r="P979" s="1">
        <v>0.14399999999999999</v>
      </c>
      <c r="Q979" s="1" t="s">
        <v>1637</v>
      </c>
      <c r="R979" t="s">
        <v>25</v>
      </c>
      <c r="S979" t="s">
        <v>814</v>
      </c>
      <c r="T979" t="s">
        <v>615</v>
      </c>
      <c r="U979" s="1">
        <v>0.05</v>
      </c>
      <c r="V979" t="s">
        <v>625</v>
      </c>
    </row>
    <row r="980" spans="1:22" x14ac:dyDescent="0.3">
      <c r="A980" t="s">
        <v>614</v>
      </c>
      <c r="B980" t="str">
        <f ca="1">OFFSET(Industries!C$1,MATCH(Table1[[#This Row],[Ticker]],Industries!$A$2:$A$150,0),0)</f>
        <v>Materials</v>
      </c>
      <c r="C980" t="str">
        <f ca="1">OFFSET(Industries!D$1,MATCH(Table1[[#This Row],[Ticker]],Industries!$A$2:$A$150,0),0)</f>
        <v>Materials</v>
      </c>
      <c r="D980" t="str">
        <f ca="1">OFFSET(Industries!E$1,MATCH(Table1[[#This Row],[Ticker]],Industries!$A$2:$A$150,0),0)</f>
        <v>Chemicals</v>
      </c>
      <c r="E980" t="s">
        <v>195</v>
      </c>
      <c r="F980" t="str">
        <f ca="1">OFFSET(Industries!B$1,MATCH(Table1[[#This Row],[Ticker]],Industries!$A$2:$A$140,0),0)</f>
        <v>Large-Cap</v>
      </c>
      <c r="G980" t="str">
        <f ca="1">OFFSET(Industries!F$1,MATCH(Table1[[#This Row],[Ticker]],Industries!$A$2:$A$140,0),0)</f>
        <v>BBB-</v>
      </c>
      <c r="H980" t="s">
        <v>1434</v>
      </c>
      <c r="I980" t="s">
        <v>1434</v>
      </c>
      <c r="J980" s="2">
        <v>45372</v>
      </c>
      <c r="K980" t="s">
        <v>2</v>
      </c>
      <c r="L980" t="s">
        <v>1708</v>
      </c>
      <c r="M980" t="s">
        <v>1709</v>
      </c>
      <c r="N980" s="1"/>
      <c r="O980" t="s">
        <v>4</v>
      </c>
      <c r="P980" s="1">
        <v>0.14399999999999999</v>
      </c>
      <c r="Q980" s="1" t="s">
        <v>1637</v>
      </c>
      <c r="R980" t="s">
        <v>25</v>
      </c>
      <c r="S980" t="s">
        <v>814</v>
      </c>
      <c r="T980" t="s">
        <v>616</v>
      </c>
      <c r="U980" s="1">
        <v>0.05</v>
      </c>
      <c r="V980" t="s">
        <v>626</v>
      </c>
    </row>
    <row r="981" spans="1:22" x14ac:dyDescent="0.3">
      <c r="A981" t="s">
        <v>614</v>
      </c>
      <c r="B981" t="str">
        <f ca="1">OFFSET(Industries!C$1,MATCH(Table1[[#This Row],[Ticker]],Industries!$A$2:$A$150,0),0)</f>
        <v>Materials</v>
      </c>
      <c r="C981" t="str">
        <f ca="1">OFFSET(Industries!D$1,MATCH(Table1[[#This Row],[Ticker]],Industries!$A$2:$A$150,0),0)</f>
        <v>Materials</v>
      </c>
      <c r="D981" t="str">
        <f ca="1">OFFSET(Industries!E$1,MATCH(Table1[[#This Row],[Ticker]],Industries!$A$2:$A$150,0),0)</f>
        <v>Chemicals</v>
      </c>
      <c r="E981" t="s">
        <v>195</v>
      </c>
      <c r="F981" t="str">
        <f ca="1">OFFSET(Industries!B$1,MATCH(Table1[[#This Row],[Ticker]],Industries!$A$2:$A$140,0),0)</f>
        <v>Large-Cap</v>
      </c>
      <c r="G981" t="str">
        <f ca="1">OFFSET(Industries!F$1,MATCH(Table1[[#This Row],[Ticker]],Industries!$A$2:$A$140,0),0)</f>
        <v>BBB-</v>
      </c>
      <c r="H981" t="s">
        <v>1434</v>
      </c>
      <c r="I981" t="s">
        <v>1434</v>
      </c>
      <c r="J981" s="2">
        <v>45372</v>
      </c>
      <c r="K981" t="s">
        <v>2</v>
      </c>
      <c r="L981" t="s">
        <v>1708</v>
      </c>
      <c r="M981" t="s">
        <v>1709</v>
      </c>
      <c r="N981" s="1"/>
      <c r="O981" t="s">
        <v>4</v>
      </c>
      <c r="P981" s="1">
        <v>0.14399999999999999</v>
      </c>
      <c r="Q981" s="1" t="s">
        <v>1637</v>
      </c>
      <c r="R981" t="s">
        <v>26</v>
      </c>
      <c r="S981" t="s">
        <v>26</v>
      </c>
      <c r="T981" t="s">
        <v>617</v>
      </c>
      <c r="U981" s="1">
        <v>0.05</v>
      </c>
      <c r="V981" t="s">
        <v>627</v>
      </c>
    </row>
    <row r="982" spans="1:22" x14ac:dyDescent="0.3">
      <c r="A982" t="s">
        <v>614</v>
      </c>
      <c r="B982" t="str">
        <f ca="1">OFFSET(Industries!C$1,MATCH(Table1[[#This Row],[Ticker]],Industries!$A$2:$A$150,0),0)</f>
        <v>Materials</v>
      </c>
      <c r="C982" t="str">
        <f ca="1">OFFSET(Industries!D$1,MATCH(Table1[[#This Row],[Ticker]],Industries!$A$2:$A$150,0),0)</f>
        <v>Materials</v>
      </c>
      <c r="D982" t="str">
        <f ca="1">OFFSET(Industries!E$1,MATCH(Table1[[#This Row],[Ticker]],Industries!$A$2:$A$150,0),0)</f>
        <v>Chemicals</v>
      </c>
      <c r="E982" t="s">
        <v>195</v>
      </c>
      <c r="F982" t="str">
        <f ca="1">OFFSET(Industries!B$1,MATCH(Table1[[#This Row],[Ticker]],Industries!$A$2:$A$140,0),0)</f>
        <v>Large-Cap</v>
      </c>
      <c r="G982" t="str">
        <f ca="1">OFFSET(Industries!F$1,MATCH(Table1[[#This Row],[Ticker]],Industries!$A$2:$A$140,0),0)</f>
        <v>BBB-</v>
      </c>
      <c r="H982" t="s">
        <v>1434</v>
      </c>
      <c r="I982" t="s">
        <v>1434</v>
      </c>
      <c r="J982" s="2">
        <v>45372</v>
      </c>
      <c r="K982" t="s">
        <v>2</v>
      </c>
      <c r="L982" t="s">
        <v>1708</v>
      </c>
      <c r="M982" t="s">
        <v>1709</v>
      </c>
      <c r="N982" s="1"/>
      <c r="O982" t="s">
        <v>4</v>
      </c>
      <c r="P982" s="1">
        <v>0.14399999999999999</v>
      </c>
      <c r="Q982" s="1" t="s">
        <v>1637</v>
      </c>
      <c r="R982" t="s">
        <v>25</v>
      </c>
      <c r="S982" t="s">
        <v>1086</v>
      </c>
      <c r="T982" t="s">
        <v>618</v>
      </c>
      <c r="U982" s="1">
        <v>0.05</v>
      </c>
      <c r="V982" t="s">
        <v>628</v>
      </c>
    </row>
    <row r="983" spans="1:22" x14ac:dyDescent="0.3">
      <c r="A983" t="s">
        <v>614</v>
      </c>
      <c r="B983" t="str">
        <f ca="1">OFFSET(Industries!C$1,MATCH(Table1[[#This Row],[Ticker]],Industries!$A$2:$A$150,0),0)</f>
        <v>Materials</v>
      </c>
      <c r="C983" t="str">
        <f ca="1">OFFSET(Industries!D$1,MATCH(Table1[[#This Row],[Ticker]],Industries!$A$2:$A$150,0),0)</f>
        <v>Materials</v>
      </c>
      <c r="D983" t="str">
        <f ca="1">OFFSET(Industries!E$1,MATCH(Table1[[#This Row],[Ticker]],Industries!$A$2:$A$150,0),0)</f>
        <v>Chemicals</v>
      </c>
      <c r="E983" t="s">
        <v>195</v>
      </c>
      <c r="F983" t="str">
        <f ca="1">OFFSET(Industries!B$1,MATCH(Table1[[#This Row],[Ticker]],Industries!$A$2:$A$140,0),0)</f>
        <v>Large-Cap</v>
      </c>
      <c r="G983" t="str">
        <f ca="1">OFFSET(Industries!F$1,MATCH(Table1[[#This Row],[Ticker]],Industries!$A$2:$A$140,0),0)</f>
        <v>BBB-</v>
      </c>
      <c r="H983" t="s">
        <v>1434</v>
      </c>
      <c r="I983" t="s">
        <v>1434</v>
      </c>
      <c r="J983" s="2">
        <v>45372</v>
      </c>
      <c r="K983" t="s">
        <v>2</v>
      </c>
      <c r="L983" t="s">
        <v>1710</v>
      </c>
      <c r="M983" t="s">
        <v>1709</v>
      </c>
      <c r="N983" s="1">
        <f>Table1[[#This Row],[Consideration Weight]]</f>
        <v>0.52710000000000001</v>
      </c>
      <c r="O983" t="s">
        <v>476</v>
      </c>
      <c r="P983" s="1">
        <f>0.753*0.7</f>
        <v>0.52710000000000001</v>
      </c>
      <c r="Q983" s="1" t="s">
        <v>1636</v>
      </c>
      <c r="R983" t="s">
        <v>24</v>
      </c>
      <c r="S983" t="s">
        <v>1089</v>
      </c>
      <c r="T983" t="s">
        <v>86</v>
      </c>
      <c r="U983" s="1">
        <v>0.7</v>
      </c>
      <c r="V983" t="s">
        <v>624</v>
      </c>
    </row>
    <row r="984" spans="1:22" x14ac:dyDescent="0.3">
      <c r="A984" t="s">
        <v>614</v>
      </c>
      <c r="B984" t="str">
        <f ca="1">OFFSET(Industries!C$1,MATCH(Table1[[#This Row],[Ticker]],Industries!$A$2:$A$150,0),0)</f>
        <v>Materials</v>
      </c>
      <c r="C984" t="str">
        <f ca="1">OFFSET(Industries!D$1,MATCH(Table1[[#This Row],[Ticker]],Industries!$A$2:$A$150,0),0)</f>
        <v>Materials</v>
      </c>
      <c r="D984" t="str">
        <f ca="1">OFFSET(Industries!E$1,MATCH(Table1[[#This Row],[Ticker]],Industries!$A$2:$A$150,0),0)</f>
        <v>Chemicals</v>
      </c>
      <c r="E984" t="s">
        <v>195</v>
      </c>
      <c r="F984" t="str">
        <f ca="1">OFFSET(Industries!B$1,MATCH(Table1[[#This Row],[Ticker]],Industries!$A$2:$A$140,0),0)</f>
        <v>Large-Cap</v>
      </c>
      <c r="G984" t="str">
        <f ca="1">OFFSET(Industries!F$1,MATCH(Table1[[#This Row],[Ticker]],Industries!$A$2:$A$140,0),0)</f>
        <v>BBB-</v>
      </c>
      <c r="H984" t="s">
        <v>1434</v>
      </c>
      <c r="I984" t="s">
        <v>1434</v>
      </c>
      <c r="J984" s="2">
        <v>45372</v>
      </c>
      <c r="K984" t="s">
        <v>2</v>
      </c>
      <c r="L984" t="s">
        <v>1710</v>
      </c>
      <c r="M984" t="s">
        <v>1709</v>
      </c>
      <c r="N984" s="1"/>
      <c r="O984" t="s">
        <v>476</v>
      </c>
      <c r="P984" s="1">
        <f t="shared" ref="P984:P985" si="16">0.753*0.7</f>
        <v>0.52710000000000001</v>
      </c>
      <c r="Q984" s="1" t="s">
        <v>1636</v>
      </c>
      <c r="R984" t="s">
        <v>1059</v>
      </c>
      <c r="S984" t="s">
        <v>1119</v>
      </c>
      <c r="T984" t="s">
        <v>298</v>
      </c>
      <c r="U984" s="1">
        <v>0.3</v>
      </c>
      <c r="V984" t="s">
        <v>621</v>
      </c>
    </row>
    <row r="985" spans="1:22" x14ac:dyDescent="0.3">
      <c r="A985" t="s">
        <v>614</v>
      </c>
      <c r="B985" t="str">
        <f ca="1">OFFSET(Industries!C$1,MATCH(Table1[[#This Row],[Ticker]],Industries!$A$2:$A$150,0),0)</f>
        <v>Materials</v>
      </c>
      <c r="C985" t="str">
        <f ca="1">OFFSET(Industries!D$1,MATCH(Table1[[#This Row],[Ticker]],Industries!$A$2:$A$150,0),0)</f>
        <v>Materials</v>
      </c>
      <c r="D985" t="str">
        <f ca="1">OFFSET(Industries!E$1,MATCH(Table1[[#This Row],[Ticker]],Industries!$A$2:$A$150,0),0)</f>
        <v>Chemicals</v>
      </c>
      <c r="E985" t="s">
        <v>195</v>
      </c>
      <c r="F985" t="str">
        <f ca="1">OFFSET(Industries!B$1,MATCH(Table1[[#This Row],[Ticker]],Industries!$A$2:$A$140,0),0)</f>
        <v>Large-Cap</v>
      </c>
      <c r="G985" t="str">
        <f ca="1">OFFSET(Industries!F$1,MATCH(Table1[[#This Row],[Ticker]],Industries!$A$2:$A$140,0),0)</f>
        <v>BBB-</v>
      </c>
      <c r="H985" t="s">
        <v>1434</v>
      </c>
      <c r="I985" t="s">
        <v>1434</v>
      </c>
      <c r="J985" s="2">
        <v>45372</v>
      </c>
      <c r="K985" t="s">
        <v>2</v>
      </c>
      <c r="L985" t="s">
        <v>1710</v>
      </c>
      <c r="M985" t="s">
        <v>1709</v>
      </c>
      <c r="N985" s="1"/>
      <c r="O985" t="s">
        <v>476</v>
      </c>
      <c r="P985" s="1">
        <f t="shared" si="16"/>
        <v>0.52710000000000001</v>
      </c>
      <c r="R985" t="s">
        <v>28</v>
      </c>
      <c r="S985" t="s">
        <v>1085</v>
      </c>
      <c r="T985" t="s">
        <v>30</v>
      </c>
      <c r="V985" t="s">
        <v>622</v>
      </c>
    </row>
    <row r="986" spans="1:22" x14ac:dyDescent="0.3">
      <c r="A986" t="s">
        <v>614</v>
      </c>
      <c r="B986" t="str">
        <f ca="1">OFFSET(Industries!C$1,MATCH(Table1[[#This Row],[Ticker]],Industries!$A$2:$A$150,0),0)</f>
        <v>Materials</v>
      </c>
      <c r="C986" t="str">
        <f ca="1">OFFSET(Industries!D$1,MATCH(Table1[[#This Row],[Ticker]],Industries!$A$2:$A$150,0),0)</f>
        <v>Materials</v>
      </c>
      <c r="D986" t="str">
        <f ca="1">OFFSET(Industries!E$1,MATCH(Table1[[#This Row],[Ticker]],Industries!$A$2:$A$150,0),0)</f>
        <v>Chemicals</v>
      </c>
      <c r="E986" t="s">
        <v>195</v>
      </c>
      <c r="F986" t="str">
        <f ca="1">OFFSET(Industries!B$1,MATCH(Table1[[#This Row],[Ticker]],Industries!$A$2:$A$140,0),0)</f>
        <v>Large-Cap</v>
      </c>
      <c r="G986" t="str">
        <f ca="1">OFFSET(Industries!F$1,MATCH(Table1[[#This Row],[Ticker]],Industries!$A$2:$A$140,0),0)</f>
        <v>BBB-</v>
      </c>
      <c r="H986" t="s">
        <v>1434</v>
      </c>
      <c r="I986" t="s">
        <v>1434</v>
      </c>
      <c r="J986" s="2">
        <v>45372</v>
      </c>
      <c r="K986" t="s">
        <v>2</v>
      </c>
      <c r="L986" t="s">
        <v>1710</v>
      </c>
      <c r="M986" t="s">
        <v>1711</v>
      </c>
      <c r="N986" s="1">
        <f>Table1[[#This Row],[Consideration Weight]]</f>
        <v>0.22589999999999999</v>
      </c>
      <c r="O986" t="s">
        <v>87</v>
      </c>
      <c r="P986" s="1">
        <f>0.753*0.3</f>
        <v>0.22589999999999999</v>
      </c>
    </row>
    <row r="987" spans="1:22" x14ac:dyDescent="0.3">
      <c r="A987" t="s">
        <v>614</v>
      </c>
      <c r="B987" t="str">
        <f ca="1">OFFSET(Industries!C$1,MATCH(Table1[[#This Row],[Ticker]],Industries!$A$2:$A$150,0),0)</f>
        <v>Materials</v>
      </c>
      <c r="C987" t="str">
        <f ca="1">OFFSET(Industries!D$1,MATCH(Table1[[#This Row],[Ticker]],Industries!$A$2:$A$150,0),0)</f>
        <v>Materials</v>
      </c>
      <c r="D987" t="str">
        <f ca="1">OFFSET(Industries!E$1,MATCH(Table1[[#This Row],[Ticker]],Industries!$A$2:$A$150,0),0)</f>
        <v>Chemicals</v>
      </c>
      <c r="E987" t="s">
        <v>195</v>
      </c>
      <c r="F987" t="str">
        <f ca="1">OFFSET(Industries!B$1,MATCH(Table1[[#This Row],[Ticker]],Industries!$A$2:$A$140,0),0)</f>
        <v>Large-Cap</v>
      </c>
      <c r="G987" t="str">
        <f ca="1">OFFSET(Industries!F$1,MATCH(Table1[[#This Row],[Ticker]],Industries!$A$2:$A$140,0),0)</f>
        <v>BBB-</v>
      </c>
      <c r="H987" t="s">
        <v>1434</v>
      </c>
      <c r="I987" t="s">
        <v>1434</v>
      </c>
      <c r="J987" s="2">
        <v>45372</v>
      </c>
      <c r="K987" t="s">
        <v>21</v>
      </c>
      <c r="L987" t="s">
        <v>3</v>
      </c>
      <c r="M987" t="s">
        <v>1711</v>
      </c>
      <c r="N987" s="1">
        <f>Table1[[#This Row],[Consideration Weight]]</f>
        <v>0.28699999999999998</v>
      </c>
      <c r="O987" t="s">
        <v>3</v>
      </c>
      <c r="P987" s="1">
        <v>0.28699999999999998</v>
      </c>
    </row>
    <row r="988" spans="1:22" x14ac:dyDescent="0.3">
      <c r="A988" t="s">
        <v>614</v>
      </c>
      <c r="B988" t="str">
        <f ca="1">OFFSET(Industries!C$1,MATCH(Table1[[#This Row],[Ticker]],Industries!$A$2:$A$150,0),0)</f>
        <v>Materials</v>
      </c>
      <c r="C988" t="str">
        <f ca="1">OFFSET(Industries!D$1,MATCH(Table1[[#This Row],[Ticker]],Industries!$A$2:$A$150,0),0)</f>
        <v>Materials</v>
      </c>
      <c r="D988" t="str">
        <f ca="1">OFFSET(Industries!E$1,MATCH(Table1[[#This Row],[Ticker]],Industries!$A$2:$A$150,0),0)</f>
        <v>Chemicals</v>
      </c>
      <c r="E988" t="s">
        <v>195</v>
      </c>
      <c r="F988" t="str">
        <f ca="1">OFFSET(Industries!B$1,MATCH(Table1[[#This Row],[Ticker]],Industries!$A$2:$A$140,0),0)</f>
        <v>Large-Cap</v>
      </c>
      <c r="G988" t="str">
        <f ca="1">OFFSET(Industries!F$1,MATCH(Table1[[#This Row],[Ticker]],Industries!$A$2:$A$140,0),0)</f>
        <v>BBB-</v>
      </c>
      <c r="H988" t="s">
        <v>1434</v>
      </c>
      <c r="I988" t="s">
        <v>1434</v>
      </c>
      <c r="J988" s="2">
        <v>45372</v>
      </c>
      <c r="K988" t="s">
        <v>21</v>
      </c>
      <c r="L988" t="s">
        <v>1708</v>
      </c>
      <c r="M988" t="s">
        <v>1709</v>
      </c>
      <c r="N988" s="1">
        <f>Table1[[#This Row],[Consideration Weight]]</f>
        <v>0.219</v>
      </c>
      <c r="O988" t="s">
        <v>4</v>
      </c>
      <c r="P988" s="1">
        <v>0.219</v>
      </c>
      <c r="Q988" s="1" t="s">
        <v>1636</v>
      </c>
      <c r="R988" t="s">
        <v>24</v>
      </c>
      <c r="S988" t="s">
        <v>1104</v>
      </c>
      <c r="T988" t="s">
        <v>153</v>
      </c>
      <c r="U988" s="1">
        <v>0.6</v>
      </c>
    </row>
    <row r="989" spans="1:22" x14ac:dyDescent="0.3">
      <c r="A989" t="s">
        <v>614</v>
      </c>
      <c r="B989" t="str">
        <f ca="1">OFFSET(Industries!C$1,MATCH(Table1[[#This Row],[Ticker]],Industries!$A$2:$A$150,0),0)</f>
        <v>Materials</v>
      </c>
      <c r="C989" t="str">
        <f ca="1">OFFSET(Industries!D$1,MATCH(Table1[[#This Row],[Ticker]],Industries!$A$2:$A$150,0),0)</f>
        <v>Materials</v>
      </c>
      <c r="D989" t="str">
        <f ca="1">OFFSET(Industries!E$1,MATCH(Table1[[#This Row],[Ticker]],Industries!$A$2:$A$150,0),0)</f>
        <v>Chemicals</v>
      </c>
      <c r="E989" t="s">
        <v>195</v>
      </c>
      <c r="F989" t="str">
        <f ca="1">OFFSET(Industries!B$1,MATCH(Table1[[#This Row],[Ticker]],Industries!$A$2:$A$140,0),0)</f>
        <v>Large-Cap</v>
      </c>
      <c r="G989" t="str">
        <f ca="1">OFFSET(Industries!F$1,MATCH(Table1[[#This Row],[Ticker]],Industries!$A$2:$A$140,0),0)</f>
        <v>BBB-</v>
      </c>
      <c r="H989" t="s">
        <v>1434</v>
      </c>
      <c r="I989" t="s">
        <v>1434</v>
      </c>
      <c r="J989" s="2">
        <v>45372</v>
      </c>
      <c r="K989" t="s">
        <v>21</v>
      </c>
      <c r="L989" t="s">
        <v>1708</v>
      </c>
      <c r="M989" t="s">
        <v>1709</v>
      </c>
      <c r="N989" s="1"/>
      <c r="O989" t="s">
        <v>4</v>
      </c>
      <c r="P989" s="1">
        <v>0.219</v>
      </c>
      <c r="Q989" s="1" t="s">
        <v>1636</v>
      </c>
      <c r="R989" t="s">
        <v>62</v>
      </c>
      <c r="S989" t="s">
        <v>129</v>
      </c>
      <c r="T989" t="s">
        <v>117</v>
      </c>
      <c r="U989" s="1">
        <v>0.2</v>
      </c>
    </row>
    <row r="990" spans="1:22" x14ac:dyDescent="0.3">
      <c r="A990" t="s">
        <v>614</v>
      </c>
      <c r="B990" t="str">
        <f ca="1">OFFSET(Industries!C$1,MATCH(Table1[[#This Row],[Ticker]],Industries!$A$2:$A$150,0),0)</f>
        <v>Materials</v>
      </c>
      <c r="C990" t="str">
        <f ca="1">OFFSET(Industries!D$1,MATCH(Table1[[#This Row],[Ticker]],Industries!$A$2:$A$150,0),0)</f>
        <v>Materials</v>
      </c>
      <c r="D990" t="str">
        <f ca="1">OFFSET(Industries!E$1,MATCH(Table1[[#This Row],[Ticker]],Industries!$A$2:$A$150,0),0)</f>
        <v>Chemicals</v>
      </c>
      <c r="E990" t="s">
        <v>195</v>
      </c>
      <c r="F990" t="str">
        <f ca="1">OFFSET(Industries!B$1,MATCH(Table1[[#This Row],[Ticker]],Industries!$A$2:$A$140,0),0)</f>
        <v>Large-Cap</v>
      </c>
      <c r="G990" t="str">
        <f ca="1">OFFSET(Industries!F$1,MATCH(Table1[[#This Row],[Ticker]],Industries!$A$2:$A$140,0),0)</f>
        <v>BBB-</v>
      </c>
      <c r="H990" t="s">
        <v>1434</v>
      </c>
      <c r="I990" t="s">
        <v>1434</v>
      </c>
      <c r="J990" s="2">
        <v>45372</v>
      </c>
      <c r="K990" t="s">
        <v>21</v>
      </c>
      <c r="L990" t="s">
        <v>1708</v>
      </c>
      <c r="M990" t="s">
        <v>1709</v>
      </c>
      <c r="N990" s="1"/>
      <c r="O990" t="s">
        <v>4</v>
      </c>
      <c r="P990" s="1">
        <v>0.219</v>
      </c>
      <c r="Q990" s="1" t="s">
        <v>1637</v>
      </c>
      <c r="R990" t="s">
        <v>25</v>
      </c>
      <c r="S990" t="s">
        <v>814</v>
      </c>
      <c r="T990" t="s">
        <v>615</v>
      </c>
      <c r="U990" s="1">
        <v>0.05</v>
      </c>
    </row>
    <row r="991" spans="1:22" x14ac:dyDescent="0.3">
      <c r="A991" t="s">
        <v>614</v>
      </c>
      <c r="B991" t="str">
        <f ca="1">OFFSET(Industries!C$1,MATCH(Table1[[#This Row],[Ticker]],Industries!$A$2:$A$150,0),0)</f>
        <v>Materials</v>
      </c>
      <c r="C991" t="str">
        <f ca="1">OFFSET(Industries!D$1,MATCH(Table1[[#This Row],[Ticker]],Industries!$A$2:$A$150,0),0)</f>
        <v>Materials</v>
      </c>
      <c r="D991" t="str">
        <f ca="1">OFFSET(Industries!E$1,MATCH(Table1[[#This Row],[Ticker]],Industries!$A$2:$A$150,0),0)</f>
        <v>Chemicals</v>
      </c>
      <c r="E991" t="s">
        <v>195</v>
      </c>
      <c r="F991" t="str">
        <f ca="1">OFFSET(Industries!B$1,MATCH(Table1[[#This Row],[Ticker]],Industries!$A$2:$A$140,0),0)</f>
        <v>Large-Cap</v>
      </c>
      <c r="G991" t="str">
        <f ca="1">OFFSET(Industries!F$1,MATCH(Table1[[#This Row],[Ticker]],Industries!$A$2:$A$140,0),0)</f>
        <v>BBB-</v>
      </c>
      <c r="H991" t="s">
        <v>1434</v>
      </c>
      <c r="I991" t="s">
        <v>1434</v>
      </c>
      <c r="J991" s="2">
        <v>45372</v>
      </c>
      <c r="K991" t="s">
        <v>21</v>
      </c>
      <c r="L991" t="s">
        <v>1708</v>
      </c>
      <c r="M991" t="s">
        <v>1709</v>
      </c>
      <c r="N991" s="1"/>
      <c r="O991" t="s">
        <v>4</v>
      </c>
      <c r="P991" s="1">
        <v>0.219</v>
      </c>
      <c r="Q991" s="1" t="s">
        <v>1637</v>
      </c>
      <c r="R991" t="s">
        <v>25</v>
      </c>
      <c r="S991" t="s">
        <v>814</v>
      </c>
      <c r="T991" t="s">
        <v>616</v>
      </c>
      <c r="U991" s="1">
        <v>0.05</v>
      </c>
    </row>
    <row r="992" spans="1:22" x14ac:dyDescent="0.3">
      <c r="A992" t="s">
        <v>614</v>
      </c>
      <c r="B992" t="str">
        <f ca="1">OFFSET(Industries!C$1,MATCH(Table1[[#This Row],[Ticker]],Industries!$A$2:$A$150,0),0)</f>
        <v>Materials</v>
      </c>
      <c r="C992" t="str">
        <f ca="1">OFFSET(Industries!D$1,MATCH(Table1[[#This Row],[Ticker]],Industries!$A$2:$A$150,0),0)</f>
        <v>Materials</v>
      </c>
      <c r="D992" t="str">
        <f ca="1">OFFSET(Industries!E$1,MATCH(Table1[[#This Row],[Ticker]],Industries!$A$2:$A$150,0),0)</f>
        <v>Chemicals</v>
      </c>
      <c r="E992" t="s">
        <v>195</v>
      </c>
      <c r="F992" t="str">
        <f ca="1">OFFSET(Industries!B$1,MATCH(Table1[[#This Row],[Ticker]],Industries!$A$2:$A$140,0),0)</f>
        <v>Large-Cap</v>
      </c>
      <c r="G992" t="str">
        <f ca="1">OFFSET(Industries!F$1,MATCH(Table1[[#This Row],[Ticker]],Industries!$A$2:$A$140,0),0)</f>
        <v>BBB-</v>
      </c>
      <c r="H992" t="s">
        <v>1434</v>
      </c>
      <c r="I992" t="s">
        <v>1434</v>
      </c>
      <c r="J992" s="2">
        <v>45372</v>
      </c>
      <c r="K992" t="s">
        <v>21</v>
      </c>
      <c r="L992" t="s">
        <v>1708</v>
      </c>
      <c r="M992" t="s">
        <v>1709</v>
      </c>
      <c r="N992" s="1"/>
      <c r="O992" t="s">
        <v>4</v>
      </c>
      <c r="P992" s="1">
        <v>0.219</v>
      </c>
      <c r="Q992" s="1" t="s">
        <v>1637</v>
      </c>
      <c r="R992" t="s">
        <v>26</v>
      </c>
      <c r="S992" t="s">
        <v>26</v>
      </c>
      <c r="T992" t="s">
        <v>617</v>
      </c>
      <c r="U992" s="1">
        <v>0.05</v>
      </c>
    </row>
    <row r="993" spans="1:22" x14ac:dyDescent="0.3">
      <c r="A993" t="s">
        <v>614</v>
      </c>
      <c r="B993" t="str">
        <f ca="1">OFFSET(Industries!C$1,MATCH(Table1[[#This Row],[Ticker]],Industries!$A$2:$A$150,0),0)</f>
        <v>Materials</v>
      </c>
      <c r="C993" t="str">
        <f ca="1">OFFSET(Industries!D$1,MATCH(Table1[[#This Row],[Ticker]],Industries!$A$2:$A$150,0),0)</f>
        <v>Materials</v>
      </c>
      <c r="D993" t="str">
        <f ca="1">OFFSET(Industries!E$1,MATCH(Table1[[#This Row],[Ticker]],Industries!$A$2:$A$150,0),0)</f>
        <v>Chemicals</v>
      </c>
      <c r="E993" t="s">
        <v>195</v>
      </c>
      <c r="F993" t="str">
        <f ca="1">OFFSET(Industries!B$1,MATCH(Table1[[#This Row],[Ticker]],Industries!$A$2:$A$140,0),0)</f>
        <v>Large-Cap</v>
      </c>
      <c r="G993" t="str">
        <f ca="1">OFFSET(Industries!F$1,MATCH(Table1[[#This Row],[Ticker]],Industries!$A$2:$A$140,0),0)</f>
        <v>BBB-</v>
      </c>
      <c r="H993" t="s">
        <v>1434</v>
      </c>
      <c r="I993" t="s">
        <v>1434</v>
      </c>
      <c r="J993" s="2">
        <v>45372</v>
      </c>
      <c r="K993" t="s">
        <v>21</v>
      </c>
      <c r="L993" t="s">
        <v>1708</v>
      </c>
      <c r="M993" t="s">
        <v>1709</v>
      </c>
      <c r="N993" s="1"/>
      <c r="O993" t="s">
        <v>4</v>
      </c>
      <c r="P993" s="1">
        <v>0.219</v>
      </c>
      <c r="Q993" s="1" t="s">
        <v>1637</v>
      </c>
      <c r="R993" t="s">
        <v>25</v>
      </c>
      <c r="S993" t="s">
        <v>1086</v>
      </c>
      <c r="T993" t="s">
        <v>618</v>
      </c>
      <c r="U993" s="1">
        <v>0.05</v>
      </c>
    </row>
    <row r="994" spans="1:22" x14ac:dyDescent="0.3">
      <c r="A994" t="s">
        <v>614</v>
      </c>
      <c r="B994" t="str">
        <f ca="1">OFFSET(Industries!C$1,MATCH(Table1[[#This Row],[Ticker]],Industries!$A$2:$A$150,0),0)</f>
        <v>Materials</v>
      </c>
      <c r="C994" t="str">
        <f ca="1">OFFSET(Industries!D$1,MATCH(Table1[[#This Row],[Ticker]],Industries!$A$2:$A$150,0),0)</f>
        <v>Materials</v>
      </c>
      <c r="D994" t="str">
        <f ca="1">OFFSET(Industries!E$1,MATCH(Table1[[#This Row],[Ticker]],Industries!$A$2:$A$150,0),0)</f>
        <v>Chemicals</v>
      </c>
      <c r="E994" t="s">
        <v>195</v>
      </c>
      <c r="F994" t="str">
        <f ca="1">OFFSET(Industries!B$1,MATCH(Table1[[#This Row],[Ticker]],Industries!$A$2:$A$140,0),0)</f>
        <v>Large-Cap</v>
      </c>
      <c r="G994" t="str">
        <f ca="1">OFFSET(Industries!F$1,MATCH(Table1[[#This Row],[Ticker]],Industries!$A$2:$A$140,0),0)</f>
        <v>BBB-</v>
      </c>
      <c r="H994" t="s">
        <v>1434</v>
      </c>
      <c r="I994" t="s">
        <v>1434</v>
      </c>
      <c r="J994" s="2">
        <v>45372</v>
      </c>
      <c r="K994" t="s">
        <v>21</v>
      </c>
      <c r="L994" t="s">
        <v>1708</v>
      </c>
      <c r="M994" t="s">
        <v>1709</v>
      </c>
      <c r="N994" s="1"/>
      <c r="O994" t="s">
        <v>4</v>
      </c>
      <c r="P994" s="1">
        <v>0.219</v>
      </c>
      <c r="R994" t="s">
        <v>28</v>
      </c>
      <c r="S994" t="s">
        <v>1087</v>
      </c>
      <c r="T994" t="s">
        <v>40</v>
      </c>
      <c r="V994" t="s">
        <v>623</v>
      </c>
    </row>
    <row r="995" spans="1:22" x14ac:dyDescent="0.3">
      <c r="A995" t="s">
        <v>614</v>
      </c>
      <c r="B995" t="str">
        <f ca="1">OFFSET(Industries!C$1,MATCH(Table1[[#This Row],[Ticker]],Industries!$A$2:$A$150,0),0)</f>
        <v>Materials</v>
      </c>
      <c r="C995" t="str">
        <f ca="1">OFFSET(Industries!D$1,MATCH(Table1[[#This Row],[Ticker]],Industries!$A$2:$A$150,0),0)</f>
        <v>Materials</v>
      </c>
      <c r="D995" t="str">
        <f ca="1">OFFSET(Industries!E$1,MATCH(Table1[[#This Row],[Ticker]],Industries!$A$2:$A$150,0),0)</f>
        <v>Chemicals</v>
      </c>
      <c r="E995" t="s">
        <v>195</v>
      </c>
      <c r="F995" t="str">
        <f ca="1">OFFSET(Industries!B$1,MATCH(Table1[[#This Row],[Ticker]],Industries!$A$2:$A$140,0),0)</f>
        <v>Large-Cap</v>
      </c>
      <c r="G995" t="str">
        <f ca="1">OFFSET(Industries!F$1,MATCH(Table1[[#This Row],[Ticker]],Industries!$A$2:$A$140,0),0)</f>
        <v>BBB-</v>
      </c>
      <c r="H995" t="s">
        <v>1434</v>
      </c>
      <c r="I995" t="s">
        <v>1434</v>
      </c>
      <c r="J995" s="2">
        <v>45372</v>
      </c>
      <c r="K995" t="s">
        <v>21</v>
      </c>
      <c r="L995" t="s">
        <v>1710</v>
      </c>
      <c r="M995" t="s">
        <v>1709</v>
      </c>
      <c r="N995" s="1">
        <f>Table1[[#This Row],[Consideration Weight]]</f>
        <v>0.34599999999999997</v>
      </c>
      <c r="O995" t="s">
        <v>476</v>
      </c>
      <c r="P995" s="1">
        <v>0.34599999999999997</v>
      </c>
      <c r="Q995" s="1" t="s">
        <v>1636</v>
      </c>
      <c r="R995" t="s">
        <v>24</v>
      </c>
      <c r="S995" t="s">
        <v>1089</v>
      </c>
      <c r="T995" t="s">
        <v>86</v>
      </c>
      <c r="U995" s="1">
        <v>0.7</v>
      </c>
    </row>
    <row r="996" spans="1:22" x14ac:dyDescent="0.3">
      <c r="A996" t="s">
        <v>614</v>
      </c>
      <c r="B996" t="str">
        <f ca="1">OFFSET(Industries!C$1,MATCH(Table1[[#This Row],[Ticker]],Industries!$A$2:$A$150,0),0)</f>
        <v>Materials</v>
      </c>
      <c r="C996" t="str">
        <f ca="1">OFFSET(Industries!D$1,MATCH(Table1[[#This Row],[Ticker]],Industries!$A$2:$A$150,0),0)</f>
        <v>Materials</v>
      </c>
      <c r="D996" t="str">
        <f ca="1">OFFSET(Industries!E$1,MATCH(Table1[[#This Row],[Ticker]],Industries!$A$2:$A$150,0),0)</f>
        <v>Chemicals</v>
      </c>
      <c r="E996" t="s">
        <v>195</v>
      </c>
      <c r="F996" t="str">
        <f ca="1">OFFSET(Industries!B$1,MATCH(Table1[[#This Row],[Ticker]],Industries!$A$2:$A$140,0),0)</f>
        <v>Large-Cap</v>
      </c>
      <c r="G996" t="str">
        <f ca="1">OFFSET(Industries!F$1,MATCH(Table1[[#This Row],[Ticker]],Industries!$A$2:$A$140,0),0)</f>
        <v>BBB-</v>
      </c>
      <c r="H996" t="s">
        <v>1434</v>
      </c>
      <c r="I996" t="s">
        <v>1434</v>
      </c>
      <c r="J996" s="2">
        <v>45372</v>
      </c>
      <c r="K996" t="s">
        <v>21</v>
      </c>
      <c r="L996" t="s">
        <v>1710</v>
      </c>
      <c r="M996" t="s">
        <v>1709</v>
      </c>
      <c r="N996" s="1"/>
      <c r="O996" t="s">
        <v>476</v>
      </c>
      <c r="P996" s="1">
        <v>0.34599999999999997</v>
      </c>
      <c r="Q996" s="1" t="s">
        <v>1636</v>
      </c>
      <c r="R996" t="s">
        <v>1059</v>
      </c>
      <c r="S996" t="s">
        <v>1119</v>
      </c>
      <c r="T996" t="s">
        <v>298</v>
      </c>
      <c r="U996" s="1">
        <v>0.3</v>
      </c>
    </row>
    <row r="997" spans="1:22" x14ac:dyDescent="0.3">
      <c r="A997" t="s">
        <v>614</v>
      </c>
      <c r="B997" t="str">
        <f ca="1">OFFSET(Industries!C$1,MATCH(Table1[[#This Row],[Ticker]],Industries!$A$2:$A$150,0),0)</f>
        <v>Materials</v>
      </c>
      <c r="C997" t="str">
        <f ca="1">OFFSET(Industries!D$1,MATCH(Table1[[#This Row],[Ticker]],Industries!$A$2:$A$150,0),0)</f>
        <v>Materials</v>
      </c>
      <c r="D997" t="str">
        <f ca="1">OFFSET(Industries!E$1,MATCH(Table1[[#This Row],[Ticker]],Industries!$A$2:$A$150,0),0)</f>
        <v>Chemicals</v>
      </c>
      <c r="E997" t="s">
        <v>195</v>
      </c>
      <c r="F997" t="str">
        <f ca="1">OFFSET(Industries!B$1,MATCH(Table1[[#This Row],[Ticker]],Industries!$A$2:$A$140,0),0)</f>
        <v>Large-Cap</v>
      </c>
      <c r="G997" t="str">
        <f ca="1">OFFSET(Industries!F$1,MATCH(Table1[[#This Row],[Ticker]],Industries!$A$2:$A$140,0),0)</f>
        <v>BBB-</v>
      </c>
      <c r="H997" t="s">
        <v>1434</v>
      </c>
      <c r="I997" t="s">
        <v>1434</v>
      </c>
      <c r="J997" s="2">
        <v>45372</v>
      </c>
      <c r="K997" t="s">
        <v>21</v>
      </c>
      <c r="L997" t="s">
        <v>1710</v>
      </c>
      <c r="M997" t="s">
        <v>1709</v>
      </c>
      <c r="N997" s="1"/>
      <c r="O997" t="s">
        <v>476</v>
      </c>
      <c r="P997" s="1">
        <v>0.34599999999999997</v>
      </c>
      <c r="R997" t="s">
        <v>28</v>
      </c>
      <c r="S997" t="s">
        <v>1085</v>
      </c>
      <c r="T997" t="s">
        <v>30</v>
      </c>
    </row>
    <row r="998" spans="1:22" x14ac:dyDescent="0.3">
      <c r="A998" t="s">
        <v>614</v>
      </c>
      <c r="B998" t="str">
        <f ca="1">OFFSET(Industries!C$1,MATCH(Table1[[#This Row],[Ticker]],Industries!$A$2:$A$150,0),0)</f>
        <v>Materials</v>
      </c>
      <c r="C998" t="str">
        <f ca="1">OFFSET(Industries!D$1,MATCH(Table1[[#This Row],[Ticker]],Industries!$A$2:$A$150,0),0)</f>
        <v>Materials</v>
      </c>
      <c r="D998" t="str">
        <f ca="1">OFFSET(Industries!E$1,MATCH(Table1[[#This Row],[Ticker]],Industries!$A$2:$A$150,0),0)</f>
        <v>Chemicals</v>
      </c>
      <c r="E998" t="s">
        <v>195</v>
      </c>
      <c r="F998" t="str">
        <f ca="1">OFFSET(Industries!B$1,MATCH(Table1[[#This Row],[Ticker]],Industries!$A$2:$A$140,0),0)</f>
        <v>Large-Cap</v>
      </c>
      <c r="G998" t="str">
        <f ca="1">OFFSET(Industries!F$1,MATCH(Table1[[#This Row],[Ticker]],Industries!$A$2:$A$140,0),0)</f>
        <v>BBB-</v>
      </c>
      <c r="H998" t="s">
        <v>1434</v>
      </c>
      <c r="I998" t="s">
        <v>1434</v>
      </c>
      <c r="J998" s="2">
        <v>45372</v>
      </c>
      <c r="K998" t="s">
        <v>21</v>
      </c>
      <c r="L998" t="s">
        <v>1710</v>
      </c>
      <c r="M998" t="s">
        <v>1711</v>
      </c>
      <c r="N998" s="1">
        <f>Table1[[#This Row],[Consideration Weight]]</f>
        <v>0.14799999999999999</v>
      </c>
      <c r="O998" t="s">
        <v>87</v>
      </c>
      <c r="P998" s="1">
        <v>0.14799999999999999</v>
      </c>
    </row>
    <row r="999" spans="1:22" x14ac:dyDescent="0.3">
      <c r="A999" t="s">
        <v>629</v>
      </c>
      <c r="B999" t="str">
        <f ca="1">OFFSET(Industries!C$1,MATCH(Table1[[#This Row],[Ticker]],Industries!$A$2:$A$150,0),0)</f>
        <v>Consumer Discretionary</v>
      </c>
      <c r="C999" t="str">
        <f ca="1">OFFSET(Industries!D$1,MATCH(Table1[[#This Row],[Ticker]],Industries!$A$2:$A$150,0),0)</f>
        <v>Consumer Services</v>
      </c>
      <c r="D999" t="str">
        <f ca="1">OFFSET(Industries!E$1,MATCH(Table1[[#This Row],[Ticker]],Industries!$A$2:$A$150,0),0)</f>
        <v>Hotels, Restaurants and Leisure</v>
      </c>
      <c r="E999" t="s">
        <v>559</v>
      </c>
      <c r="F999" t="str">
        <f ca="1">OFFSET(Industries!B$1,MATCH(Table1[[#This Row],[Ticker]],Industries!$A$2:$A$140,0),0)</f>
        <v>Large-Cap</v>
      </c>
      <c r="G999" t="str">
        <f ca="1">OFFSET(Industries!F$1,MATCH(Table1[[#This Row],[Ticker]],Industries!$A$2:$A$140,0),0)</f>
        <v>BB+</v>
      </c>
      <c r="H999" t="s">
        <v>1434</v>
      </c>
      <c r="I999" t="s">
        <v>1434</v>
      </c>
      <c r="J999" s="2">
        <v>45387</v>
      </c>
      <c r="K999" t="s">
        <v>2</v>
      </c>
      <c r="L999" t="s">
        <v>3</v>
      </c>
      <c r="M999" t="s">
        <v>1711</v>
      </c>
      <c r="N999" s="1">
        <f>Table1[[#This Row],[Consideration Weight]]</f>
        <v>0.08</v>
      </c>
      <c r="O999" t="s">
        <v>3</v>
      </c>
      <c r="P999" s="1">
        <v>0.08</v>
      </c>
    </row>
    <row r="1000" spans="1:22" x14ac:dyDescent="0.3">
      <c r="A1000" t="s">
        <v>629</v>
      </c>
      <c r="B1000" t="str">
        <f ca="1">OFFSET(Industries!C$1,MATCH(Table1[[#This Row],[Ticker]],Industries!$A$2:$A$150,0),0)</f>
        <v>Consumer Discretionary</v>
      </c>
      <c r="C1000" t="str">
        <f ca="1">OFFSET(Industries!D$1,MATCH(Table1[[#This Row],[Ticker]],Industries!$A$2:$A$150,0),0)</f>
        <v>Consumer Services</v>
      </c>
      <c r="D1000" t="str">
        <f ca="1">OFFSET(Industries!E$1,MATCH(Table1[[#This Row],[Ticker]],Industries!$A$2:$A$150,0),0)</f>
        <v>Hotels, Restaurants and Leisure</v>
      </c>
      <c r="E1000" t="s">
        <v>559</v>
      </c>
      <c r="F1000" t="str">
        <f ca="1">OFFSET(Industries!B$1,MATCH(Table1[[#This Row],[Ticker]],Industries!$A$2:$A$140,0),0)</f>
        <v>Large-Cap</v>
      </c>
      <c r="G1000" t="str">
        <f ca="1">OFFSET(Industries!F$1,MATCH(Table1[[#This Row],[Ticker]],Industries!$A$2:$A$140,0),0)</f>
        <v>BB+</v>
      </c>
      <c r="H1000" t="s">
        <v>1434</v>
      </c>
      <c r="I1000" t="s">
        <v>1434</v>
      </c>
      <c r="J1000" s="2">
        <v>45387</v>
      </c>
      <c r="K1000" t="s">
        <v>2</v>
      </c>
      <c r="L1000" t="s">
        <v>1708</v>
      </c>
      <c r="M1000" t="s">
        <v>1709</v>
      </c>
      <c r="N1000" s="1">
        <f>Table1[[#This Row],[Consideration Weight]]</f>
        <v>0.17</v>
      </c>
      <c r="O1000" t="s">
        <v>4</v>
      </c>
      <c r="P1000" s="1">
        <v>0.17</v>
      </c>
      <c r="Q1000" s="1" t="s">
        <v>1636</v>
      </c>
      <c r="R1000" t="s">
        <v>24</v>
      </c>
      <c r="S1000" t="s">
        <v>90</v>
      </c>
      <c r="T1000" t="s">
        <v>8</v>
      </c>
      <c r="U1000" s="1">
        <v>0.5</v>
      </c>
      <c r="V1000" t="s">
        <v>635</v>
      </c>
    </row>
    <row r="1001" spans="1:22" x14ac:dyDescent="0.3">
      <c r="A1001" t="s">
        <v>629</v>
      </c>
      <c r="B1001" t="str">
        <f ca="1">OFFSET(Industries!C$1,MATCH(Table1[[#This Row],[Ticker]],Industries!$A$2:$A$150,0),0)</f>
        <v>Consumer Discretionary</v>
      </c>
      <c r="C1001" t="str">
        <f ca="1">OFFSET(Industries!D$1,MATCH(Table1[[#This Row],[Ticker]],Industries!$A$2:$A$150,0),0)</f>
        <v>Consumer Services</v>
      </c>
      <c r="D1001" t="str">
        <f ca="1">OFFSET(Industries!E$1,MATCH(Table1[[#This Row],[Ticker]],Industries!$A$2:$A$150,0),0)</f>
        <v>Hotels, Restaurants and Leisure</v>
      </c>
      <c r="E1001" t="s">
        <v>559</v>
      </c>
      <c r="F1001" t="str">
        <f ca="1">OFFSET(Industries!B$1,MATCH(Table1[[#This Row],[Ticker]],Industries!$A$2:$A$140,0),0)</f>
        <v>Large-Cap</v>
      </c>
      <c r="G1001" t="str">
        <f ca="1">OFFSET(Industries!F$1,MATCH(Table1[[#This Row],[Ticker]],Industries!$A$2:$A$140,0),0)</f>
        <v>BB+</v>
      </c>
      <c r="H1001" t="s">
        <v>1434</v>
      </c>
      <c r="I1001" t="s">
        <v>1434</v>
      </c>
      <c r="J1001" s="2">
        <v>45387</v>
      </c>
      <c r="K1001" t="s">
        <v>2</v>
      </c>
      <c r="L1001" t="s">
        <v>1708</v>
      </c>
      <c r="M1001" t="s">
        <v>1709</v>
      </c>
      <c r="N1001" s="1"/>
      <c r="O1001" t="s">
        <v>4</v>
      </c>
      <c r="P1001" s="1">
        <v>0.17</v>
      </c>
      <c r="Q1001" s="1" t="s">
        <v>1636</v>
      </c>
      <c r="R1001" t="s">
        <v>23</v>
      </c>
      <c r="S1001" t="s">
        <v>1139</v>
      </c>
      <c r="T1001" t="s">
        <v>630</v>
      </c>
      <c r="U1001" s="1">
        <v>0.25</v>
      </c>
      <c r="V1001" t="s">
        <v>584</v>
      </c>
    </row>
    <row r="1002" spans="1:22" x14ac:dyDescent="0.3">
      <c r="A1002" t="s">
        <v>629</v>
      </c>
      <c r="B1002" t="str">
        <f ca="1">OFFSET(Industries!C$1,MATCH(Table1[[#This Row],[Ticker]],Industries!$A$2:$A$150,0),0)</f>
        <v>Consumer Discretionary</v>
      </c>
      <c r="C1002" t="str">
        <f ca="1">OFFSET(Industries!D$1,MATCH(Table1[[#This Row],[Ticker]],Industries!$A$2:$A$150,0),0)</f>
        <v>Consumer Services</v>
      </c>
      <c r="D1002" t="str">
        <f ca="1">OFFSET(Industries!E$1,MATCH(Table1[[#This Row],[Ticker]],Industries!$A$2:$A$150,0),0)</f>
        <v>Hotels, Restaurants and Leisure</v>
      </c>
      <c r="E1002" t="s">
        <v>559</v>
      </c>
      <c r="F1002" t="str">
        <f ca="1">OFFSET(Industries!B$1,MATCH(Table1[[#This Row],[Ticker]],Industries!$A$2:$A$140,0),0)</f>
        <v>Large-Cap</v>
      </c>
      <c r="G1002" t="str">
        <f ca="1">OFFSET(Industries!F$1,MATCH(Table1[[#This Row],[Ticker]],Industries!$A$2:$A$140,0),0)</f>
        <v>BB+</v>
      </c>
      <c r="H1002" t="s">
        <v>1434</v>
      </c>
      <c r="I1002" t="s">
        <v>1434</v>
      </c>
      <c r="J1002" s="2">
        <v>45387</v>
      </c>
      <c r="K1002" t="s">
        <v>2</v>
      </c>
      <c r="L1002" t="s">
        <v>1708</v>
      </c>
      <c r="M1002" t="s">
        <v>1709</v>
      </c>
      <c r="N1002" s="1"/>
      <c r="O1002" t="s">
        <v>4</v>
      </c>
      <c r="P1002" s="1">
        <v>0.17</v>
      </c>
      <c r="Q1002" s="1" t="s">
        <v>1636</v>
      </c>
      <c r="R1002" t="s">
        <v>23</v>
      </c>
      <c r="S1002" t="s">
        <v>1141</v>
      </c>
      <c r="T1002" t="s">
        <v>744</v>
      </c>
      <c r="U1002" s="1">
        <v>0.25</v>
      </c>
    </row>
    <row r="1003" spans="1:22" x14ac:dyDescent="0.3">
      <c r="A1003" t="s">
        <v>629</v>
      </c>
      <c r="B1003" t="str">
        <f ca="1">OFFSET(Industries!C$1,MATCH(Table1[[#This Row],[Ticker]],Industries!$A$2:$A$150,0),0)</f>
        <v>Consumer Discretionary</v>
      </c>
      <c r="C1003" t="str">
        <f ca="1">OFFSET(Industries!D$1,MATCH(Table1[[#This Row],[Ticker]],Industries!$A$2:$A$150,0),0)</f>
        <v>Consumer Services</v>
      </c>
      <c r="D1003" t="str">
        <f ca="1">OFFSET(Industries!E$1,MATCH(Table1[[#This Row],[Ticker]],Industries!$A$2:$A$150,0),0)</f>
        <v>Hotels, Restaurants and Leisure</v>
      </c>
      <c r="E1003" t="s">
        <v>559</v>
      </c>
      <c r="F1003" t="str">
        <f ca="1">OFFSET(Industries!B$1,MATCH(Table1[[#This Row],[Ticker]],Industries!$A$2:$A$140,0),0)</f>
        <v>Large-Cap</v>
      </c>
      <c r="G1003" t="str">
        <f ca="1">OFFSET(Industries!F$1,MATCH(Table1[[#This Row],[Ticker]],Industries!$A$2:$A$140,0),0)</f>
        <v>BB+</v>
      </c>
      <c r="H1003" t="s">
        <v>1434</v>
      </c>
      <c r="I1003" t="s">
        <v>1434</v>
      </c>
      <c r="J1003" s="2">
        <v>45387</v>
      </c>
      <c r="K1003" t="s">
        <v>2</v>
      </c>
      <c r="L1003" t="s">
        <v>1708</v>
      </c>
      <c r="M1003" t="s">
        <v>1709</v>
      </c>
      <c r="N1003" s="1"/>
      <c r="O1003" t="s">
        <v>4</v>
      </c>
      <c r="P1003" s="1">
        <v>0.17</v>
      </c>
      <c r="R1003" t="s">
        <v>28</v>
      </c>
      <c r="S1003" t="s">
        <v>1087</v>
      </c>
      <c r="T1003" t="s">
        <v>40</v>
      </c>
    </row>
    <row r="1004" spans="1:22" x14ac:dyDescent="0.3">
      <c r="A1004" t="s">
        <v>629</v>
      </c>
      <c r="B1004" t="str">
        <f ca="1">OFFSET(Industries!C$1,MATCH(Table1[[#This Row],[Ticker]],Industries!$A$2:$A$150,0),0)</f>
        <v>Consumer Discretionary</v>
      </c>
      <c r="C1004" t="str">
        <f ca="1">OFFSET(Industries!D$1,MATCH(Table1[[#This Row],[Ticker]],Industries!$A$2:$A$150,0),0)</f>
        <v>Consumer Services</v>
      </c>
      <c r="D1004" t="str">
        <f ca="1">OFFSET(Industries!E$1,MATCH(Table1[[#This Row],[Ticker]],Industries!$A$2:$A$150,0),0)</f>
        <v>Hotels, Restaurants and Leisure</v>
      </c>
      <c r="E1004" t="s">
        <v>559</v>
      </c>
      <c r="F1004" t="str">
        <f ca="1">OFFSET(Industries!B$1,MATCH(Table1[[#This Row],[Ticker]],Industries!$A$2:$A$140,0),0)</f>
        <v>Large-Cap</v>
      </c>
      <c r="G1004" t="str">
        <f ca="1">OFFSET(Industries!F$1,MATCH(Table1[[#This Row],[Ticker]],Industries!$A$2:$A$140,0),0)</f>
        <v>BB+</v>
      </c>
      <c r="H1004" t="s">
        <v>1434</v>
      </c>
      <c r="I1004" t="s">
        <v>1434</v>
      </c>
      <c r="J1004" s="2">
        <v>45387</v>
      </c>
      <c r="K1004" t="s">
        <v>2</v>
      </c>
      <c r="L1004" t="s">
        <v>1710</v>
      </c>
      <c r="M1004" t="s">
        <v>1709</v>
      </c>
      <c r="N1004" s="1">
        <f>Table1[[#This Row],[Consideration Weight]]</f>
        <v>0.37</v>
      </c>
      <c r="O1004" t="s">
        <v>476</v>
      </c>
      <c r="P1004" s="1">
        <v>0.37</v>
      </c>
      <c r="Q1004" s="1" t="s">
        <v>1636</v>
      </c>
      <c r="R1004" t="s">
        <v>23</v>
      </c>
      <c r="S1004" t="s">
        <v>1083</v>
      </c>
      <c r="T1004" t="s">
        <v>631</v>
      </c>
      <c r="U1004" s="1">
        <v>0.5</v>
      </c>
    </row>
    <row r="1005" spans="1:22" x14ac:dyDescent="0.3">
      <c r="A1005" t="s">
        <v>629</v>
      </c>
      <c r="B1005" t="str">
        <f ca="1">OFFSET(Industries!C$1,MATCH(Table1[[#This Row],[Ticker]],Industries!$A$2:$A$150,0),0)</f>
        <v>Consumer Discretionary</v>
      </c>
      <c r="C1005" t="str">
        <f ca="1">OFFSET(Industries!D$1,MATCH(Table1[[#This Row],[Ticker]],Industries!$A$2:$A$150,0),0)</f>
        <v>Consumer Services</v>
      </c>
      <c r="D1005" t="str">
        <f ca="1">OFFSET(Industries!E$1,MATCH(Table1[[#This Row],[Ticker]],Industries!$A$2:$A$150,0),0)</f>
        <v>Hotels, Restaurants and Leisure</v>
      </c>
      <c r="E1005" t="s">
        <v>559</v>
      </c>
      <c r="F1005" t="str">
        <f ca="1">OFFSET(Industries!B$1,MATCH(Table1[[#This Row],[Ticker]],Industries!$A$2:$A$140,0),0)</f>
        <v>Large-Cap</v>
      </c>
      <c r="G1005" t="str">
        <f ca="1">OFFSET(Industries!F$1,MATCH(Table1[[#This Row],[Ticker]],Industries!$A$2:$A$140,0),0)</f>
        <v>BB+</v>
      </c>
      <c r="H1005" t="s">
        <v>1434</v>
      </c>
      <c r="I1005" t="s">
        <v>1434</v>
      </c>
      <c r="J1005" s="2">
        <v>45387</v>
      </c>
      <c r="K1005" t="s">
        <v>2</v>
      </c>
      <c r="L1005" t="s">
        <v>1710</v>
      </c>
      <c r="M1005" t="s">
        <v>1709</v>
      </c>
      <c r="N1005" s="1"/>
      <c r="O1005" t="s">
        <v>476</v>
      </c>
      <c r="P1005" s="1">
        <v>0.37</v>
      </c>
      <c r="Q1005" s="1" t="s">
        <v>1636</v>
      </c>
      <c r="R1005" t="s">
        <v>24</v>
      </c>
      <c r="S1005" t="s">
        <v>90</v>
      </c>
      <c r="T1005" t="s">
        <v>632</v>
      </c>
      <c r="U1005" s="1">
        <v>0.5</v>
      </c>
      <c r="V1005" t="s">
        <v>635</v>
      </c>
    </row>
    <row r="1006" spans="1:22" x14ac:dyDescent="0.3">
      <c r="A1006" t="s">
        <v>629</v>
      </c>
      <c r="B1006" t="str">
        <f ca="1">OFFSET(Industries!C$1,MATCH(Table1[[#This Row],[Ticker]],Industries!$A$2:$A$150,0),0)</f>
        <v>Consumer Discretionary</v>
      </c>
      <c r="C1006" t="str">
        <f ca="1">OFFSET(Industries!D$1,MATCH(Table1[[#This Row],[Ticker]],Industries!$A$2:$A$150,0),0)</f>
        <v>Consumer Services</v>
      </c>
      <c r="D1006" t="str">
        <f ca="1">OFFSET(Industries!E$1,MATCH(Table1[[#This Row],[Ticker]],Industries!$A$2:$A$150,0),0)</f>
        <v>Hotels, Restaurants and Leisure</v>
      </c>
      <c r="E1006" t="s">
        <v>559</v>
      </c>
      <c r="F1006" t="str">
        <f ca="1">OFFSET(Industries!B$1,MATCH(Table1[[#This Row],[Ticker]],Industries!$A$2:$A$140,0),0)</f>
        <v>Large-Cap</v>
      </c>
      <c r="G1006" t="str">
        <f ca="1">OFFSET(Industries!F$1,MATCH(Table1[[#This Row],[Ticker]],Industries!$A$2:$A$140,0),0)</f>
        <v>BB+</v>
      </c>
      <c r="H1006" t="s">
        <v>1434</v>
      </c>
      <c r="I1006" t="s">
        <v>1434</v>
      </c>
      <c r="J1006" s="2">
        <v>45387</v>
      </c>
      <c r="K1006" t="s">
        <v>2</v>
      </c>
      <c r="L1006" t="s">
        <v>1710</v>
      </c>
      <c r="M1006" t="s">
        <v>1709</v>
      </c>
      <c r="N1006" s="1"/>
      <c r="O1006" t="s">
        <v>476</v>
      </c>
      <c r="P1006" s="1">
        <v>0.37</v>
      </c>
      <c r="R1006" t="s">
        <v>28</v>
      </c>
      <c r="S1006" t="s">
        <v>1085</v>
      </c>
      <c r="T1006" t="s">
        <v>30</v>
      </c>
      <c r="V1006" t="s">
        <v>633</v>
      </c>
    </row>
    <row r="1007" spans="1:22" x14ac:dyDescent="0.3">
      <c r="A1007" t="s">
        <v>629</v>
      </c>
      <c r="B1007" t="str">
        <f ca="1">OFFSET(Industries!C$1,MATCH(Table1[[#This Row],[Ticker]],Industries!$A$2:$A$150,0),0)</f>
        <v>Consumer Discretionary</v>
      </c>
      <c r="C1007" t="str">
        <f ca="1">OFFSET(Industries!D$1,MATCH(Table1[[#This Row],[Ticker]],Industries!$A$2:$A$150,0),0)</f>
        <v>Consumer Services</v>
      </c>
      <c r="D1007" t="str">
        <f ca="1">OFFSET(Industries!E$1,MATCH(Table1[[#This Row],[Ticker]],Industries!$A$2:$A$150,0),0)</f>
        <v>Hotels, Restaurants and Leisure</v>
      </c>
      <c r="E1007" t="s">
        <v>559</v>
      </c>
      <c r="F1007" t="str">
        <f ca="1">OFFSET(Industries!B$1,MATCH(Table1[[#This Row],[Ticker]],Industries!$A$2:$A$140,0),0)</f>
        <v>Large-Cap</v>
      </c>
      <c r="G1007" t="str">
        <f ca="1">OFFSET(Industries!F$1,MATCH(Table1[[#This Row],[Ticker]],Industries!$A$2:$A$140,0),0)</f>
        <v>BB+</v>
      </c>
      <c r="H1007" t="s">
        <v>1434</v>
      </c>
      <c r="I1007" t="s">
        <v>1434</v>
      </c>
      <c r="J1007" s="2">
        <v>45387</v>
      </c>
      <c r="K1007" t="s">
        <v>2</v>
      </c>
      <c r="L1007" t="s">
        <v>1710</v>
      </c>
      <c r="M1007" t="s">
        <v>1711</v>
      </c>
      <c r="N1007" s="1">
        <f>Table1[[#This Row],[Consideration Weight]]</f>
        <v>0.19</v>
      </c>
      <c r="O1007" t="s">
        <v>455</v>
      </c>
      <c r="P1007" s="1">
        <v>0.19</v>
      </c>
    </row>
    <row r="1008" spans="1:22" x14ac:dyDescent="0.3">
      <c r="A1008" t="s">
        <v>629</v>
      </c>
      <c r="B1008" t="str">
        <f ca="1">OFFSET(Industries!C$1,MATCH(Table1[[#This Row],[Ticker]],Industries!$A$2:$A$150,0),0)</f>
        <v>Consumer Discretionary</v>
      </c>
      <c r="C1008" t="str">
        <f ca="1">OFFSET(Industries!D$1,MATCH(Table1[[#This Row],[Ticker]],Industries!$A$2:$A$150,0),0)</f>
        <v>Consumer Services</v>
      </c>
      <c r="D1008" t="str">
        <f ca="1">OFFSET(Industries!E$1,MATCH(Table1[[#This Row],[Ticker]],Industries!$A$2:$A$150,0),0)</f>
        <v>Hotels, Restaurants and Leisure</v>
      </c>
      <c r="E1008" t="s">
        <v>559</v>
      </c>
      <c r="F1008" t="str">
        <f ca="1">OFFSET(Industries!B$1,MATCH(Table1[[#This Row],[Ticker]],Industries!$A$2:$A$140,0),0)</f>
        <v>Large-Cap</v>
      </c>
      <c r="G1008" t="str">
        <f ca="1">OFFSET(Industries!F$1,MATCH(Table1[[#This Row],[Ticker]],Industries!$A$2:$A$140,0),0)</f>
        <v>BB+</v>
      </c>
      <c r="H1008" t="s">
        <v>1434</v>
      </c>
      <c r="I1008" t="s">
        <v>1434</v>
      </c>
      <c r="J1008" s="2">
        <v>45387</v>
      </c>
      <c r="K1008" t="s">
        <v>2</v>
      </c>
      <c r="L1008" t="s">
        <v>1710</v>
      </c>
      <c r="M1008" t="s">
        <v>1711</v>
      </c>
      <c r="N1008" s="1">
        <f>Table1[[#This Row],[Consideration Weight]]</f>
        <v>0.19</v>
      </c>
      <c r="O1008" t="s">
        <v>194</v>
      </c>
      <c r="P1008" s="1">
        <v>0.19</v>
      </c>
    </row>
    <row r="1009" spans="1:22" x14ac:dyDescent="0.3">
      <c r="A1009" t="s">
        <v>629</v>
      </c>
      <c r="B1009" t="str">
        <f ca="1">OFFSET(Industries!C$1,MATCH(Table1[[#This Row],[Ticker]],Industries!$A$2:$A$150,0),0)</f>
        <v>Consumer Discretionary</v>
      </c>
      <c r="C1009" t="str">
        <f ca="1">OFFSET(Industries!D$1,MATCH(Table1[[#This Row],[Ticker]],Industries!$A$2:$A$150,0),0)</f>
        <v>Consumer Services</v>
      </c>
      <c r="D1009" t="str">
        <f ca="1">OFFSET(Industries!E$1,MATCH(Table1[[#This Row],[Ticker]],Industries!$A$2:$A$150,0),0)</f>
        <v>Hotels, Restaurants and Leisure</v>
      </c>
      <c r="E1009" t="s">
        <v>559</v>
      </c>
      <c r="F1009" t="str">
        <f ca="1">OFFSET(Industries!B$1,MATCH(Table1[[#This Row],[Ticker]],Industries!$A$2:$A$140,0),0)</f>
        <v>Large-Cap</v>
      </c>
      <c r="G1009" t="str">
        <f ca="1">OFFSET(Industries!F$1,MATCH(Table1[[#This Row],[Ticker]],Industries!$A$2:$A$140,0),0)</f>
        <v>BB+</v>
      </c>
      <c r="H1009" t="s">
        <v>1434</v>
      </c>
      <c r="I1009" t="s">
        <v>1434</v>
      </c>
      <c r="J1009" s="2">
        <v>45387</v>
      </c>
      <c r="K1009" t="s">
        <v>21</v>
      </c>
      <c r="L1009" t="s">
        <v>3</v>
      </c>
      <c r="M1009" t="s">
        <v>1711</v>
      </c>
      <c r="N1009" s="1">
        <f>Table1[[#This Row],[Consideration Weight]]</f>
        <v>0.2</v>
      </c>
      <c r="O1009" t="s">
        <v>3</v>
      </c>
      <c r="P1009" s="1">
        <v>0.2</v>
      </c>
    </row>
    <row r="1010" spans="1:22" x14ac:dyDescent="0.3">
      <c r="A1010" t="s">
        <v>629</v>
      </c>
      <c r="B1010" t="str">
        <f ca="1">OFFSET(Industries!C$1,MATCH(Table1[[#This Row],[Ticker]],Industries!$A$2:$A$150,0),0)</f>
        <v>Consumer Discretionary</v>
      </c>
      <c r="C1010" t="str">
        <f ca="1">OFFSET(Industries!D$1,MATCH(Table1[[#This Row],[Ticker]],Industries!$A$2:$A$150,0),0)</f>
        <v>Consumer Services</v>
      </c>
      <c r="D1010" t="str">
        <f ca="1">OFFSET(Industries!E$1,MATCH(Table1[[#This Row],[Ticker]],Industries!$A$2:$A$150,0),0)</f>
        <v>Hotels, Restaurants and Leisure</v>
      </c>
      <c r="E1010" t="s">
        <v>559</v>
      </c>
      <c r="F1010" t="str">
        <f ca="1">OFFSET(Industries!B$1,MATCH(Table1[[#This Row],[Ticker]],Industries!$A$2:$A$140,0),0)</f>
        <v>Large-Cap</v>
      </c>
      <c r="G1010" t="str">
        <f ca="1">OFFSET(Industries!F$1,MATCH(Table1[[#This Row],[Ticker]],Industries!$A$2:$A$140,0),0)</f>
        <v>BB+</v>
      </c>
      <c r="H1010" t="s">
        <v>1434</v>
      </c>
      <c r="I1010" t="s">
        <v>1434</v>
      </c>
      <c r="J1010" s="2">
        <v>45387</v>
      </c>
      <c r="K1010" t="s">
        <v>21</v>
      </c>
      <c r="L1010" t="s">
        <v>1708</v>
      </c>
      <c r="M1010" t="s">
        <v>1709</v>
      </c>
      <c r="N1010" s="1">
        <f>Table1[[#This Row],[Consideration Weight]]</f>
        <v>0.23</v>
      </c>
      <c r="O1010" t="s">
        <v>4</v>
      </c>
      <c r="P1010" s="1">
        <v>0.23</v>
      </c>
      <c r="Q1010" s="1" t="s">
        <v>1636</v>
      </c>
      <c r="R1010" t="s">
        <v>24</v>
      </c>
      <c r="S1010" t="s">
        <v>90</v>
      </c>
      <c r="T1010" t="s">
        <v>8</v>
      </c>
      <c r="U1010" s="1">
        <v>0.5</v>
      </c>
      <c r="V1010" t="s">
        <v>634</v>
      </c>
    </row>
    <row r="1011" spans="1:22" x14ac:dyDescent="0.3">
      <c r="A1011" t="s">
        <v>629</v>
      </c>
      <c r="B1011" t="str">
        <f ca="1">OFFSET(Industries!C$1,MATCH(Table1[[#This Row],[Ticker]],Industries!$A$2:$A$150,0),0)</f>
        <v>Consumer Discretionary</v>
      </c>
      <c r="C1011" t="str">
        <f ca="1">OFFSET(Industries!D$1,MATCH(Table1[[#This Row],[Ticker]],Industries!$A$2:$A$150,0),0)</f>
        <v>Consumer Services</v>
      </c>
      <c r="D1011" t="str">
        <f ca="1">OFFSET(Industries!E$1,MATCH(Table1[[#This Row],[Ticker]],Industries!$A$2:$A$150,0),0)</f>
        <v>Hotels, Restaurants and Leisure</v>
      </c>
      <c r="E1011" t="s">
        <v>559</v>
      </c>
      <c r="F1011" t="str">
        <f ca="1">OFFSET(Industries!B$1,MATCH(Table1[[#This Row],[Ticker]],Industries!$A$2:$A$140,0),0)</f>
        <v>Large-Cap</v>
      </c>
      <c r="G1011" t="str">
        <f ca="1">OFFSET(Industries!F$1,MATCH(Table1[[#This Row],[Ticker]],Industries!$A$2:$A$140,0),0)</f>
        <v>BB+</v>
      </c>
      <c r="H1011" t="s">
        <v>1434</v>
      </c>
      <c r="I1011" t="s">
        <v>1434</v>
      </c>
      <c r="J1011" s="2">
        <v>45387</v>
      </c>
      <c r="K1011" t="s">
        <v>21</v>
      </c>
      <c r="L1011" t="s">
        <v>1708</v>
      </c>
      <c r="M1011" t="s">
        <v>1709</v>
      </c>
      <c r="N1011" s="1"/>
      <c r="O1011" t="s">
        <v>4</v>
      </c>
      <c r="P1011" s="1">
        <v>0.23</v>
      </c>
      <c r="Q1011" s="1" t="s">
        <v>1636</v>
      </c>
      <c r="R1011" t="s">
        <v>23</v>
      </c>
      <c r="S1011" t="s">
        <v>1139</v>
      </c>
      <c r="T1011" t="s">
        <v>630</v>
      </c>
      <c r="U1011" s="1">
        <v>0.25</v>
      </c>
      <c r="V1011" t="s">
        <v>634</v>
      </c>
    </row>
    <row r="1012" spans="1:22" x14ac:dyDescent="0.3">
      <c r="A1012" t="s">
        <v>629</v>
      </c>
      <c r="B1012" t="str">
        <f ca="1">OFFSET(Industries!C$1,MATCH(Table1[[#This Row],[Ticker]],Industries!$A$2:$A$150,0),0)</f>
        <v>Consumer Discretionary</v>
      </c>
      <c r="C1012" t="str">
        <f ca="1">OFFSET(Industries!D$1,MATCH(Table1[[#This Row],[Ticker]],Industries!$A$2:$A$150,0),0)</f>
        <v>Consumer Services</v>
      </c>
      <c r="D1012" t="str">
        <f ca="1">OFFSET(Industries!E$1,MATCH(Table1[[#This Row],[Ticker]],Industries!$A$2:$A$150,0),0)</f>
        <v>Hotels, Restaurants and Leisure</v>
      </c>
      <c r="E1012" t="s">
        <v>559</v>
      </c>
      <c r="F1012" t="str">
        <f ca="1">OFFSET(Industries!B$1,MATCH(Table1[[#This Row],[Ticker]],Industries!$A$2:$A$140,0),0)</f>
        <v>Large-Cap</v>
      </c>
      <c r="G1012" t="str">
        <f ca="1">OFFSET(Industries!F$1,MATCH(Table1[[#This Row],[Ticker]],Industries!$A$2:$A$140,0),0)</f>
        <v>BB+</v>
      </c>
      <c r="H1012" t="s">
        <v>1434</v>
      </c>
      <c r="I1012" t="s">
        <v>1434</v>
      </c>
      <c r="J1012" s="2">
        <v>45387</v>
      </c>
      <c r="K1012" t="s">
        <v>21</v>
      </c>
      <c r="L1012" t="s">
        <v>1708</v>
      </c>
      <c r="M1012" t="s">
        <v>1709</v>
      </c>
      <c r="N1012" s="1"/>
      <c r="O1012" t="s">
        <v>4</v>
      </c>
      <c r="P1012" s="1">
        <v>0.23</v>
      </c>
      <c r="Q1012" s="1" t="s">
        <v>1636</v>
      </c>
      <c r="R1012" t="s">
        <v>23</v>
      </c>
      <c r="S1012" t="s">
        <v>1141</v>
      </c>
      <c r="T1012" t="s">
        <v>744</v>
      </c>
      <c r="U1012" s="1">
        <v>0.25</v>
      </c>
      <c r="V1012" t="s">
        <v>634</v>
      </c>
    </row>
    <row r="1013" spans="1:22" x14ac:dyDescent="0.3">
      <c r="A1013" t="s">
        <v>629</v>
      </c>
      <c r="B1013" t="str">
        <f ca="1">OFFSET(Industries!C$1,MATCH(Table1[[#This Row],[Ticker]],Industries!$A$2:$A$150,0),0)</f>
        <v>Consumer Discretionary</v>
      </c>
      <c r="C1013" t="str">
        <f ca="1">OFFSET(Industries!D$1,MATCH(Table1[[#This Row],[Ticker]],Industries!$A$2:$A$150,0),0)</f>
        <v>Consumer Services</v>
      </c>
      <c r="D1013" t="str">
        <f ca="1">OFFSET(Industries!E$1,MATCH(Table1[[#This Row],[Ticker]],Industries!$A$2:$A$150,0),0)</f>
        <v>Hotels, Restaurants and Leisure</v>
      </c>
      <c r="E1013" t="s">
        <v>559</v>
      </c>
      <c r="F1013" t="str">
        <f ca="1">OFFSET(Industries!B$1,MATCH(Table1[[#This Row],[Ticker]],Industries!$A$2:$A$140,0),0)</f>
        <v>Large-Cap</v>
      </c>
      <c r="G1013" t="str">
        <f ca="1">OFFSET(Industries!F$1,MATCH(Table1[[#This Row],[Ticker]],Industries!$A$2:$A$140,0),0)</f>
        <v>BB+</v>
      </c>
      <c r="H1013" t="s">
        <v>1434</v>
      </c>
      <c r="I1013" t="s">
        <v>1434</v>
      </c>
      <c r="J1013" s="2">
        <v>45387</v>
      </c>
      <c r="K1013" t="s">
        <v>21</v>
      </c>
      <c r="L1013" t="s">
        <v>1708</v>
      </c>
      <c r="M1013" t="s">
        <v>1709</v>
      </c>
      <c r="N1013" s="1"/>
      <c r="O1013" t="s">
        <v>4</v>
      </c>
      <c r="P1013" s="1">
        <v>0.23</v>
      </c>
      <c r="R1013" t="s">
        <v>28</v>
      </c>
      <c r="S1013" t="s">
        <v>1087</v>
      </c>
      <c r="T1013" t="s">
        <v>40</v>
      </c>
    </row>
    <row r="1014" spans="1:22" x14ac:dyDescent="0.3">
      <c r="A1014" t="s">
        <v>629</v>
      </c>
      <c r="B1014" t="str">
        <f ca="1">OFFSET(Industries!C$1,MATCH(Table1[[#This Row],[Ticker]],Industries!$A$2:$A$150,0),0)</f>
        <v>Consumer Discretionary</v>
      </c>
      <c r="C1014" t="str">
        <f ca="1">OFFSET(Industries!D$1,MATCH(Table1[[#This Row],[Ticker]],Industries!$A$2:$A$150,0),0)</f>
        <v>Consumer Services</v>
      </c>
      <c r="D1014" t="str">
        <f ca="1">OFFSET(Industries!E$1,MATCH(Table1[[#This Row],[Ticker]],Industries!$A$2:$A$150,0),0)</f>
        <v>Hotels, Restaurants and Leisure</v>
      </c>
      <c r="E1014" t="s">
        <v>559</v>
      </c>
      <c r="F1014" t="str">
        <f ca="1">OFFSET(Industries!B$1,MATCH(Table1[[#This Row],[Ticker]],Industries!$A$2:$A$140,0),0)</f>
        <v>Large-Cap</v>
      </c>
      <c r="G1014" t="str">
        <f ca="1">OFFSET(Industries!F$1,MATCH(Table1[[#This Row],[Ticker]],Industries!$A$2:$A$140,0),0)</f>
        <v>BB+</v>
      </c>
      <c r="H1014" t="s">
        <v>1434</v>
      </c>
      <c r="I1014" t="s">
        <v>1434</v>
      </c>
      <c r="J1014" s="2">
        <v>45387</v>
      </c>
      <c r="K1014" t="s">
        <v>21</v>
      </c>
      <c r="L1014" t="s">
        <v>1710</v>
      </c>
      <c r="M1014" t="s">
        <v>1709</v>
      </c>
      <c r="N1014" s="1">
        <f>Table1[[#This Row],[Consideration Weight]]</f>
        <v>0.28999999999999998</v>
      </c>
      <c r="O1014" t="s">
        <v>476</v>
      </c>
      <c r="P1014" s="1">
        <v>0.28999999999999998</v>
      </c>
      <c r="Q1014" s="1" t="s">
        <v>1636</v>
      </c>
      <c r="R1014" t="s">
        <v>23</v>
      </c>
      <c r="S1014" t="s">
        <v>1083</v>
      </c>
      <c r="T1014" t="s">
        <v>631</v>
      </c>
      <c r="U1014" s="1">
        <v>0.5</v>
      </c>
    </row>
    <row r="1015" spans="1:22" x14ac:dyDescent="0.3">
      <c r="A1015" t="s">
        <v>629</v>
      </c>
      <c r="B1015" t="str">
        <f ca="1">OFFSET(Industries!C$1,MATCH(Table1[[#This Row],[Ticker]],Industries!$A$2:$A$150,0),0)</f>
        <v>Consumer Discretionary</v>
      </c>
      <c r="C1015" t="str">
        <f ca="1">OFFSET(Industries!D$1,MATCH(Table1[[#This Row],[Ticker]],Industries!$A$2:$A$150,0),0)</f>
        <v>Consumer Services</v>
      </c>
      <c r="D1015" t="str">
        <f ca="1">OFFSET(Industries!E$1,MATCH(Table1[[#This Row],[Ticker]],Industries!$A$2:$A$150,0),0)</f>
        <v>Hotels, Restaurants and Leisure</v>
      </c>
      <c r="E1015" t="s">
        <v>559</v>
      </c>
      <c r="F1015" t="str">
        <f ca="1">OFFSET(Industries!B$1,MATCH(Table1[[#This Row],[Ticker]],Industries!$A$2:$A$140,0),0)</f>
        <v>Large-Cap</v>
      </c>
      <c r="G1015" t="str">
        <f ca="1">OFFSET(Industries!F$1,MATCH(Table1[[#This Row],[Ticker]],Industries!$A$2:$A$140,0),0)</f>
        <v>BB+</v>
      </c>
      <c r="H1015" t="s">
        <v>1434</v>
      </c>
      <c r="I1015" t="s">
        <v>1434</v>
      </c>
      <c r="J1015" s="2">
        <v>45387</v>
      </c>
      <c r="K1015" t="s">
        <v>21</v>
      </c>
      <c r="L1015" t="s">
        <v>1710</v>
      </c>
      <c r="M1015" t="s">
        <v>1709</v>
      </c>
      <c r="N1015" s="1"/>
      <c r="O1015" t="s">
        <v>476</v>
      </c>
      <c r="P1015" s="1">
        <v>0.28999999999999998</v>
      </c>
      <c r="Q1015" s="1" t="s">
        <v>1636</v>
      </c>
      <c r="R1015" t="s">
        <v>24</v>
      </c>
      <c r="S1015" t="s">
        <v>90</v>
      </c>
      <c r="T1015" t="s">
        <v>632</v>
      </c>
      <c r="U1015" s="1">
        <v>0.5</v>
      </c>
    </row>
    <row r="1016" spans="1:22" x14ac:dyDescent="0.3">
      <c r="A1016" t="s">
        <v>629</v>
      </c>
      <c r="B1016" t="str">
        <f ca="1">OFFSET(Industries!C$1,MATCH(Table1[[#This Row],[Ticker]],Industries!$A$2:$A$150,0),0)</f>
        <v>Consumer Discretionary</v>
      </c>
      <c r="C1016" t="str">
        <f ca="1">OFFSET(Industries!D$1,MATCH(Table1[[#This Row],[Ticker]],Industries!$A$2:$A$150,0),0)</f>
        <v>Consumer Services</v>
      </c>
      <c r="D1016" t="str">
        <f ca="1">OFFSET(Industries!E$1,MATCH(Table1[[#This Row],[Ticker]],Industries!$A$2:$A$150,0),0)</f>
        <v>Hotels, Restaurants and Leisure</v>
      </c>
      <c r="E1016" t="s">
        <v>559</v>
      </c>
      <c r="F1016" t="str">
        <f ca="1">OFFSET(Industries!B$1,MATCH(Table1[[#This Row],[Ticker]],Industries!$A$2:$A$140,0),0)</f>
        <v>Large-Cap</v>
      </c>
      <c r="G1016" t="str">
        <f ca="1">OFFSET(Industries!F$1,MATCH(Table1[[#This Row],[Ticker]],Industries!$A$2:$A$140,0),0)</f>
        <v>BB+</v>
      </c>
      <c r="H1016" t="s">
        <v>1434</v>
      </c>
      <c r="I1016" t="s">
        <v>1434</v>
      </c>
      <c r="J1016" s="2">
        <v>45387</v>
      </c>
      <c r="K1016" t="s">
        <v>21</v>
      </c>
      <c r="L1016" t="s">
        <v>1710</v>
      </c>
      <c r="M1016" t="s">
        <v>1709</v>
      </c>
      <c r="N1016" s="1"/>
      <c r="O1016" t="s">
        <v>476</v>
      </c>
      <c r="P1016" s="1">
        <v>0.28999999999999998</v>
      </c>
      <c r="R1016" t="s">
        <v>28</v>
      </c>
      <c r="S1016" t="s">
        <v>1085</v>
      </c>
      <c r="T1016" t="s">
        <v>30</v>
      </c>
    </row>
    <row r="1017" spans="1:22" x14ac:dyDescent="0.3">
      <c r="A1017" t="s">
        <v>629</v>
      </c>
      <c r="B1017" t="str">
        <f ca="1">OFFSET(Industries!C$1,MATCH(Table1[[#This Row],[Ticker]],Industries!$A$2:$A$150,0),0)</f>
        <v>Consumer Discretionary</v>
      </c>
      <c r="C1017" t="str">
        <f ca="1">OFFSET(Industries!D$1,MATCH(Table1[[#This Row],[Ticker]],Industries!$A$2:$A$150,0),0)</f>
        <v>Consumer Services</v>
      </c>
      <c r="D1017" t="str">
        <f ca="1">OFFSET(Industries!E$1,MATCH(Table1[[#This Row],[Ticker]],Industries!$A$2:$A$150,0),0)</f>
        <v>Hotels, Restaurants and Leisure</v>
      </c>
      <c r="E1017" t="s">
        <v>559</v>
      </c>
      <c r="F1017" t="str">
        <f ca="1">OFFSET(Industries!B$1,MATCH(Table1[[#This Row],[Ticker]],Industries!$A$2:$A$140,0),0)</f>
        <v>Large-Cap</v>
      </c>
      <c r="G1017" t="str">
        <f ca="1">OFFSET(Industries!F$1,MATCH(Table1[[#This Row],[Ticker]],Industries!$A$2:$A$140,0),0)</f>
        <v>BB+</v>
      </c>
      <c r="H1017" t="s">
        <v>1434</v>
      </c>
      <c r="I1017" t="s">
        <v>1434</v>
      </c>
      <c r="J1017" s="2">
        <v>45387</v>
      </c>
      <c r="K1017" t="s">
        <v>21</v>
      </c>
      <c r="L1017" t="s">
        <v>1710</v>
      </c>
      <c r="M1017" t="s">
        <v>1711</v>
      </c>
      <c r="N1017" s="1">
        <f>Table1[[#This Row],[Consideration Weight]]</f>
        <v>0.14000000000000001</v>
      </c>
      <c r="O1017" t="s">
        <v>455</v>
      </c>
      <c r="P1017" s="1">
        <v>0.14000000000000001</v>
      </c>
    </row>
    <row r="1018" spans="1:22" x14ac:dyDescent="0.3">
      <c r="A1018" t="s">
        <v>629</v>
      </c>
      <c r="B1018" t="str">
        <f ca="1">OFFSET(Industries!C$1,MATCH(Table1[[#This Row],[Ticker]],Industries!$A$2:$A$150,0),0)</f>
        <v>Consumer Discretionary</v>
      </c>
      <c r="C1018" t="str">
        <f ca="1">OFFSET(Industries!D$1,MATCH(Table1[[#This Row],[Ticker]],Industries!$A$2:$A$150,0),0)</f>
        <v>Consumer Services</v>
      </c>
      <c r="D1018" t="str">
        <f ca="1">OFFSET(Industries!E$1,MATCH(Table1[[#This Row],[Ticker]],Industries!$A$2:$A$150,0),0)</f>
        <v>Hotels, Restaurants and Leisure</v>
      </c>
      <c r="E1018" t="s">
        <v>559</v>
      </c>
      <c r="F1018" t="str">
        <f ca="1">OFFSET(Industries!B$1,MATCH(Table1[[#This Row],[Ticker]],Industries!$A$2:$A$140,0),0)</f>
        <v>Large-Cap</v>
      </c>
      <c r="G1018" t="str">
        <f ca="1">OFFSET(Industries!F$1,MATCH(Table1[[#This Row],[Ticker]],Industries!$A$2:$A$140,0),0)</f>
        <v>BB+</v>
      </c>
      <c r="H1018" t="s">
        <v>1434</v>
      </c>
      <c r="I1018" t="s">
        <v>1434</v>
      </c>
      <c r="J1018" s="2">
        <v>45387</v>
      </c>
      <c r="K1018" t="s">
        <v>21</v>
      </c>
      <c r="L1018" t="s">
        <v>1710</v>
      </c>
      <c r="M1018" t="s">
        <v>1711</v>
      </c>
      <c r="N1018" s="1">
        <f>Table1[[#This Row],[Consideration Weight]]</f>
        <v>0.14000000000000001</v>
      </c>
      <c r="O1018" t="s">
        <v>194</v>
      </c>
      <c r="P1018" s="1">
        <v>0.14000000000000001</v>
      </c>
    </row>
    <row r="1019" spans="1:22" x14ac:dyDescent="0.3">
      <c r="A1019" t="s">
        <v>636</v>
      </c>
      <c r="B1019" t="str">
        <f ca="1">OFFSET(Industries!C$1,MATCH(Table1[[#This Row],[Ticker]],Industries!$A$2:$A$150,0),0)</f>
        <v>Energy</v>
      </c>
      <c r="C1019" t="str">
        <f ca="1">OFFSET(Industries!D$1,MATCH(Table1[[#This Row],[Ticker]],Industries!$A$2:$A$150,0),0)</f>
        <v>Energy</v>
      </c>
      <c r="D1019" t="str">
        <f ca="1">OFFSET(Industries!E$1,MATCH(Table1[[#This Row],[Ticker]],Industries!$A$2:$A$150,0),0)</f>
        <v>Oil, Gas and Consumable Fuels</v>
      </c>
      <c r="E1019" t="s">
        <v>290</v>
      </c>
      <c r="F1019" t="str">
        <f ca="1">OFFSET(Industries!B$1,MATCH(Table1[[#This Row],[Ticker]],Industries!$A$2:$A$140,0),0)</f>
        <v>Mega-Cap</v>
      </c>
      <c r="G1019" t="str">
        <f ca="1">OFFSET(Industries!F$1,MATCH(Table1[[#This Row],[Ticker]],Industries!$A$2:$A$140,0),0)</f>
        <v>A-</v>
      </c>
      <c r="H1019" t="s">
        <v>1434</v>
      </c>
      <c r="I1019" t="s">
        <v>1434</v>
      </c>
      <c r="J1019" s="2">
        <v>45383</v>
      </c>
      <c r="K1019" t="s">
        <v>2</v>
      </c>
      <c r="L1019" t="s">
        <v>3</v>
      </c>
      <c r="M1019" t="s">
        <v>1711</v>
      </c>
      <c r="N1019" s="1">
        <f>Table1[[#This Row],[Consideration Weight]]</f>
        <v>0.09</v>
      </c>
      <c r="O1019" t="s">
        <v>3</v>
      </c>
      <c r="P1019" s="1">
        <v>0.09</v>
      </c>
    </row>
    <row r="1020" spans="1:22" x14ac:dyDescent="0.3">
      <c r="A1020" t="s">
        <v>636</v>
      </c>
      <c r="B1020" t="str">
        <f ca="1">OFFSET(Industries!C$1,MATCH(Table1[[#This Row],[Ticker]],Industries!$A$2:$A$150,0),0)</f>
        <v>Energy</v>
      </c>
      <c r="C1020" t="str">
        <f ca="1">OFFSET(Industries!D$1,MATCH(Table1[[#This Row],[Ticker]],Industries!$A$2:$A$150,0),0)</f>
        <v>Energy</v>
      </c>
      <c r="D1020" t="str">
        <f ca="1">OFFSET(Industries!E$1,MATCH(Table1[[#This Row],[Ticker]],Industries!$A$2:$A$150,0),0)</f>
        <v>Oil, Gas and Consumable Fuels</v>
      </c>
      <c r="E1020" t="s">
        <v>290</v>
      </c>
      <c r="F1020" t="str">
        <f ca="1">OFFSET(Industries!B$1,MATCH(Table1[[#This Row],[Ticker]],Industries!$A$2:$A$140,0),0)</f>
        <v>Mega-Cap</v>
      </c>
      <c r="G1020" t="str">
        <f ca="1">OFFSET(Industries!F$1,MATCH(Table1[[#This Row],[Ticker]],Industries!$A$2:$A$140,0),0)</f>
        <v>A-</v>
      </c>
      <c r="H1020" t="s">
        <v>1434</v>
      </c>
      <c r="I1020" t="s">
        <v>1434</v>
      </c>
      <c r="J1020" s="2">
        <v>45383</v>
      </c>
      <c r="K1020" t="s">
        <v>2</v>
      </c>
      <c r="L1020" t="s">
        <v>1708</v>
      </c>
      <c r="M1020" t="s">
        <v>1709</v>
      </c>
      <c r="N1020" s="1">
        <f>Table1[[#This Row],[Consideration Weight]]</f>
        <v>0.14000000000000001</v>
      </c>
      <c r="O1020" t="s">
        <v>4</v>
      </c>
      <c r="P1020" s="1">
        <v>0.14000000000000001</v>
      </c>
      <c r="Q1020" s="1" t="s">
        <v>1636</v>
      </c>
      <c r="R1020" t="s">
        <v>25</v>
      </c>
      <c r="S1020" t="s">
        <v>1086</v>
      </c>
      <c r="T1020" t="s">
        <v>637</v>
      </c>
      <c r="U1020" s="1">
        <v>0.3</v>
      </c>
      <c r="V1020" t="s">
        <v>1671</v>
      </c>
    </row>
    <row r="1021" spans="1:22" x14ac:dyDescent="0.3">
      <c r="A1021" t="s">
        <v>636</v>
      </c>
      <c r="B1021" t="str">
        <f ca="1">OFFSET(Industries!C$1,MATCH(Table1[[#This Row],[Ticker]],Industries!$A$2:$A$150,0),0)</f>
        <v>Energy</v>
      </c>
      <c r="C1021" t="str">
        <f ca="1">OFFSET(Industries!D$1,MATCH(Table1[[#This Row],[Ticker]],Industries!$A$2:$A$150,0),0)</f>
        <v>Energy</v>
      </c>
      <c r="D1021" t="str">
        <f ca="1">OFFSET(Industries!E$1,MATCH(Table1[[#This Row],[Ticker]],Industries!$A$2:$A$150,0),0)</f>
        <v>Oil, Gas and Consumable Fuels</v>
      </c>
      <c r="E1021" t="s">
        <v>290</v>
      </c>
      <c r="F1021" t="str">
        <f ca="1">OFFSET(Industries!B$1,MATCH(Table1[[#This Row],[Ticker]],Industries!$A$2:$A$140,0),0)</f>
        <v>Mega-Cap</v>
      </c>
      <c r="G1021" t="str">
        <f ca="1">OFFSET(Industries!F$1,MATCH(Table1[[#This Row],[Ticker]],Industries!$A$2:$A$140,0),0)</f>
        <v>A-</v>
      </c>
      <c r="H1021" t="s">
        <v>1434</v>
      </c>
      <c r="I1021" t="s">
        <v>1434</v>
      </c>
      <c r="J1021" s="2">
        <v>45383</v>
      </c>
      <c r="K1021" t="s">
        <v>2</v>
      </c>
      <c r="L1021" t="s">
        <v>1708</v>
      </c>
      <c r="M1021" t="s">
        <v>1709</v>
      </c>
      <c r="N1021" s="1"/>
      <c r="O1021" t="s">
        <v>4</v>
      </c>
      <c r="P1021" s="1">
        <v>0.14000000000000001</v>
      </c>
      <c r="Q1021" s="1" t="s">
        <v>1636</v>
      </c>
      <c r="R1021" t="s">
        <v>1059</v>
      </c>
      <c r="S1021" t="s">
        <v>1137</v>
      </c>
      <c r="T1021" t="s">
        <v>1149</v>
      </c>
      <c r="U1021" s="1">
        <v>0.15</v>
      </c>
      <c r="V1021" t="s">
        <v>1747</v>
      </c>
    </row>
    <row r="1022" spans="1:22" x14ac:dyDescent="0.3">
      <c r="A1022" t="s">
        <v>636</v>
      </c>
      <c r="B1022" t="str">
        <f ca="1">OFFSET(Industries!C$1,MATCH(Table1[[#This Row],[Ticker]],Industries!$A$2:$A$150,0),0)</f>
        <v>Energy</v>
      </c>
      <c r="C1022" t="str">
        <f ca="1">OFFSET(Industries!D$1,MATCH(Table1[[#This Row],[Ticker]],Industries!$A$2:$A$150,0),0)</f>
        <v>Energy</v>
      </c>
      <c r="D1022" t="str">
        <f ca="1">OFFSET(Industries!E$1,MATCH(Table1[[#This Row],[Ticker]],Industries!$A$2:$A$150,0),0)</f>
        <v>Oil, Gas and Consumable Fuels</v>
      </c>
      <c r="E1022" t="s">
        <v>290</v>
      </c>
      <c r="F1022" t="str">
        <f ca="1">OFFSET(Industries!B$1,MATCH(Table1[[#This Row],[Ticker]],Industries!$A$2:$A$140,0),0)</f>
        <v>Mega-Cap</v>
      </c>
      <c r="G1022" t="str">
        <f ca="1">OFFSET(Industries!F$1,MATCH(Table1[[#This Row],[Ticker]],Industries!$A$2:$A$140,0),0)</f>
        <v>A-</v>
      </c>
      <c r="H1022" t="s">
        <v>1434</v>
      </c>
      <c r="I1022" t="s">
        <v>1434</v>
      </c>
      <c r="J1022" s="2">
        <v>45383</v>
      </c>
      <c r="K1022" t="s">
        <v>2</v>
      </c>
      <c r="L1022" t="s">
        <v>1708</v>
      </c>
      <c r="M1022" t="s">
        <v>1709</v>
      </c>
      <c r="N1022" s="1"/>
      <c r="O1022" t="s">
        <v>4</v>
      </c>
      <c r="P1022" s="1">
        <v>0.14000000000000001</v>
      </c>
      <c r="Q1022" s="1" t="s">
        <v>1636</v>
      </c>
      <c r="R1022" t="s">
        <v>1059</v>
      </c>
      <c r="S1022" t="s">
        <v>1119</v>
      </c>
      <c r="T1022" t="s">
        <v>292</v>
      </c>
      <c r="U1022" s="1">
        <v>0.15</v>
      </c>
    </row>
    <row r="1023" spans="1:22" x14ac:dyDescent="0.3">
      <c r="A1023" t="s">
        <v>636</v>
      </c>
      <c r="B1023" t="str">
        <f ca="1">OFFSET(Industries!C$1,MATCH(Table1[[#This Row],[Ticker]],Industries!$A$2:$A$150,0),0)</f>
        <v>Energy</v>
      </c>
      <c r="C1023" t="str">
        <f ca="1">OFFSET(Industries!D$1,MATCH(Table1[[#This Row],[Ticker]],Industries!$A$2:$A$150,0),0)</f>
        <v>Energy</v>
      </c>
      <c r="D1023" t="str">
        <f ca="1">OFFSET(Industries!E$1,MATCH(Table1[[#This Row],[Ticker]],Industries!$A$2:$A$150,0),0)</f>
        <v>Oil, Gas and Consumable Fuels</v>
      </c>
      <c r="E1023" t="s">
        <v>290</v>
      </c>
      <c r="F1023" t="str">
        <f ca="1">OFFSET(Industries!B$1,MATCH(Table1[[#This Row],[Ticker]],Industries!$A$2:$A$140,0),0)</f>
        <v>Mega-Cap</v>
      </c>
      <c r="G1023" t="str">
        <f ca="1">OFFSET(Industries!F$1,MATCH(Table1[[#This Row],[Ticker]],Industries!$A$2:$A$140,0),0)</f>
        <v>A-</v>
      </c>
      <c r="H1023" t="s">
        <v>1434</v>
      </c>
      <c r="I1023" t="s">
        <v>1434</v>
      </c>
      <c r="J1023" s="2">
        <v>45383</v>
      </c>
      <c r="K1023" t="s">
        <v>2</v>
      </c>
      <c r="L1023" t="s">
        <v>1708</v>
      </c>
      <c r="M1023" t="s">
        <v>1709</v>
      </c>
      <c r="N1023" s="1"/>
      <c r="O1023" t="s">
        <v>4</v>
      </c>
      <c r="P1023" s="1">
        <v>0.14000000000000001</v>
      </c>
      <c r="Q1023" s="1" t="s">
        <v>1637</v>
      </c>
      <c r="R1023" t="s">
        <v>26</v>
      </c>
      <c r="S1023" t="s">
        <v>26</v>
      </c>
      <c r="T1023" t="s">
        <v>638</v>
      </c>
      <c r="U1023" s="1">
        <v>0.2</v>
      </c>
      <c r="V1023" t="s">
        <v>646</v>
      </c>
    </row>
    <row r="1024" spans="1:22" x14ac:dyDescent="0.3">
      <c r="A1024" t="s">
        <v>636</v>
      </c>
      <c r="B1024" t="str">
        <f ca="1">OFFSET(Industries!C$1,MATCH(Table1[[#This Row],[Ticker]],Industries!$A$2:$A$150,0),0)</f>
        <v>Energy</v>
      </c>
      <c r="C1024" t="str">
        <f ca="1">OFFSET(Industries!D$1,MATCH(Table1[[#This Row],[Ticker]],Industries!$A$2:$A$150,0),0)</f>
        <v>Energy</v>
      </c>
      <c r="D1024" t="str">
        <f ca="1">OFFSET(Industries!E$1,MATCH(Table1[[#This Row],[Ticker]],Industries!$A$2:$A$150,0),0)</f>
        <v>Oil, Gas and Consumable Fuels</v>
      </c>
      <c r="E1024" t="s">
        <v>290</v>
      </c>
      <c r="F1024" t="str">
        <f ca="1">OFFSET(Industries!B$1,MATCH(Table1[[#This Row],[Ticker]],Industries!$A$2:$A$140,0),0)</f>
        <v>Mega-Cap</v>
      </c>
      <c r="G1024" t="str">
        <f ca="1">OFFSET(Industries!F$1,MATCH(Table1[[#This Row],[Ticker]],Industries!$A$2:$A$140,0),0)</f>
        <v>A-</v>
      </c>
      <c r="H1024" t="s">
        <v>1434</v>
      </c>
      <c r="I1024" t="s">
        <v>1434</v>
      </c>
      <c r="J1024" s="2">
        <v>45383</v>
      </c>
      <c r="K1024" t="s">
        <v>2</v>
      </c>
      <c r="L1024" t="s">
        <v>1708</v>
      </c>
      <c r="M1024" t="s">
        <v>1709</v>
      </c>
      <c r="N1024" s="1"/>
      <c r="O1024" t="s">
        <v>4</v>
      </c>
      <c r="P1024" s="1">
        <v>0.14000000000000001</v>
      </c>
      <c r="Q1024" s="1" t="s">
        <v>1637</v>
      </c>
      <c r="R1024" t="s">
        <v>25</v>
      </c>
      <c r="S1024" t="s">
        <v>1086</v>
      </c>
      <c r="T1024" t="s">
        <v>639</v>
      </c>
      <c r="U1024" s="1">
        <v>0.1</v>
      </c>
      <c r="V1024" t="s">
        <v>644</v>
      </c>
    </row>
    <row r="1025" spans="1:22" x14ac:dyDescent="0.3">
      <c r="A1025" t="s">
        <v>636</v>
      </c>
      <c r="B1025" t="str">
        <f ca="1">OFFSET(Industries!C$1,MATCH(Table1[[#This Row],[Ticker]],Industries!$A$2:$A$150,0),0)</f>
        <v>Energy</v>
      </c>
      <c r="C1025" t="str">
        <f ca="1">OFFSET(Industries!D$1,MATCH(Table1[[#This Row],[Ticker]],Industries!$A$2:$A$150,0),0)</f>
        <v>Energy</v>
      </c>
      <c r="D1025" t="str">
        <f ca="1">OFFSET(Industries!E$1,MATCH(Table1[[#This Row],[Ticker]],Industries!$A$2:$A$150,0),0)</f>
        <v>Oil, Gas and Consumable Fuels</v>
      </c>
      <c r="E1025" t="s">
        <v>290</v>
      </c>
      <c r="F1025" t="str">
        <f ca="1">OFFSET(Industries!B$1,MATCH(Table1[[#This Row],[Ticker]],Industries!$A$2:$A$140,0),0)</f>
        <v>Mega-Cap</v>
      </c>
      <c r="G1025" t="str">
        <f ca="1">OFFSET(Industries!F$1,MATCH(Table1[[#This Row],[Ticker]],Industries!$A$2:$A$140,0),0)</f>
        <v>A-</v>
      </c>
      <c r="H1025" t="s">
        <v>1434</v>
      </c>
      <c r="I1025" t="s">
        <v>1434</v>
      </c>
      <c r="J1025" s="2">
        <v>45383</v>
      </c>
      <c r="K1025" t="s">
        <v>2</v>
      </c>
      <c r="L1025" t="s">
        <v>1708</v>
      </c>
      <c r="M1025" t="s">
        <v>1709</v>
      </c>
      <c r="N1025" s="1"/>
      <c r="O1025" t="s">
        <v>4</v>
      </c>
      <c r="P1025" s="1">
        <v>0.14000000000000001</v>
      </c>
      <c r="Q1025" s="1" t="s">
        <v>1637</v>
      </c>
      <c r="R1025" t="s">
        <v>26</v>
      </c>
      <c r="S1025" t="s">
        <v>26</v>
      </c>
      <c r="T1025" t="s">
        <v>640</v>
      </c>
      <c r="U1025" s="1">
        <v>0.1</v>
      </c>
      <c r="V1025" t="s">
        <v>645</v>
      </c>
    </row>
    <row r="1026" spans="1:22" x14ac:dyDescent="0.3">
      <c r="A1026" t="s">
        <v>636</v>
      </c>
      <c r="B1026" t="str">
        <f ca="1">OFFSET(Industries!C$1,MATCH(Table1[[#This Row],[Ticker]],Industries!$A$2:$A$150,0),0)</f>
        <v>Energy</v>
      </c>
      <c r="C1026" t="str">
        <f ca="1">OFFSET(Industries!D$1,MATCH(Table1[[#This Row],[Ticker]],Industries!$A$2:$A$150,0),0)</f>
        <v>Energy</v>
      </c>
      <c r="D1026" t="str">
        <f ca="1">OFFSET(Industries!E$1,MATCH(Table1[[#This Row],[Ticker]],Industries!$A$2:$A$150,0),0)</f>
        <v>Oil, Gas and Consumable Fuels</v>
      </c>
      <c r="E1026" t="s">
        <v>290</v>
      </c>
      <c r="F1026" t="str">
        <f ca="1">OFFSET(Industries!B$1,MATCH(Table1[[#This Row],[Ticker]],Industries!$A$2:$A$140,0),0)</f>
        <v>Mega-Cap</v>
      </c>
      <c r="G1026" t="str">
        <f ca="1">OFFSET(Industries!F$1,MATCH(Table1[[#This Row],[Ticker]],Industries!$A$2:$A$140,0),0)</f>
        <v>A-</v>
      </c>
      <c r="H1026" t="s">
        <v>1434</v>
      </c>
      <c r="I1026" t="s">
        <v>1434</v>
      </c>
      <c r="J1026" s="2">
        <v>45383</v>
      </c>
      <c r="K1026" t="s">
        <v>2</v>
      </c>
      <c r="L1026" t="s">
        <v>1708</v>
      </c>
      <c r="M1026" t="s">
        <v>1709</v>
      </c>
      <c r="N1026" s="1"/>
      <c r="O1026" t="s">
        <v>4</v>
      </c>
      <c r="P1026" s="1">
        <v>0.14000000000000001</v>
      </c>
      <c r="R1026" t="s">
        <v>28</v>
      </c>
      <c r="S1026" t="s">
        <v>1110</v>
      </c>
      <c r="T1026" t="s">
        <v>641</v>
      </c>
      <c r="V1026" t="s">
        <v>642</v>
      </c>
    </row>
    <row r="1027" spans="1:22" x14ac:dyDescent="0.3">
      <c r="A1027" t="s">
        <v>636</v>
      </c>
      <c r="B1027" t="str">
        <f ca="1">OFFSET(Industries!C$1,MATCH(Table1[[#This Row],[Ticker]],Industries!$A$2:$A$150,0),0)</f>
        <v>Energy</v>
      </c>
      <c r="C1027" t="str">
        <f ca="1">OFFSET(Industries!D$1,MATCH(Table1[[#This Row],[Ticker]],Industries!$A$2:$A$150,0),0)</f>
        <v>Energy</v>
      </c>
      <c r="D1027" t="str">
        <f ca="1">OFFSET(Industries!E$1,MATCH(Table1[[#This Row],[Ticker]],Industries!$A$2:$A$150,0),0)</f>
        <v>Oil, Gas and Consumable Fuels</v>
      </c>
      <c r="E1027" t="s">
        <v>290</v>
      </c>
      <c r="F1027" t="str">
        <f ca="1">OFFSET(Industries!B$1,MATCH(Table1[[#This Row],[Ticker]],Industries!$A$2:$A$140,0),0)</f>
        <v>Mega-Cap</v>
      </c>
      <c r="G1027" t="str">
        <f ca="1">OFFSET(Industries!F$1,MATCH(Table1[[#This Row],[Ticker]],Industries!$A$2:$A$140,0),0)</f>
        <v>A-</v>
      </c>
      <c r="H1027" t="s">
        <v>1434</v>
      </c>
      <c r="I1027" t="s">
        <v>1434</v>
      </c>
      <c r="J1027" s="2">
        <v>45383</v>
      </c>
      <c r="K1027" t="s">
        <v>2</v>
      </c>
      <c r="L1027" t="s">
        <v>1710</v>
      </c>
      <c r="M1027" t="s">
        <v>1709</v>
      </c>
      <c r="N1027" s="1">
        <f>Table1[[#This Row],[Consideration Weight]]</f>
        <v>0.5</v>
      </c>
      <c r="O1027" t="s">
        <v>476</v>
      </c>
      <c r="P1027" s="1">
        <v>0.5</v>
      </c>
      <c r="Q1027" s="1" t="s">
        <v>1646</v>
      </c>
      <c r="R1027" t="s">
        <v>35</v>
      </c>
      <c r="S1027" t="s">
        <v>29</v>
      </c>
      <c r="T1027" t="s">
        <v>30</v>
      </c>
      <c r="U1027" s="1">
        <v>0.6</v>
      </c>
      <c r="V1027" t="s">
        <v>530</v>
      </c>
    </row>
    <row r="1028" spans="1:22" x14ac:dyDescent="0.3">
      <c r="A1028" t="s">
        <v>636</v>
      </c>
      <c r="B1028" t="str">
        <f ca="1">OFFSET(Industries!C$1,MATCH(Table1[[#This Row],[Ticker]],Industries!$A$2:$A$150,0),0)</f>
        <v>Energy</v>
      </c>
      <c r="C1028" t="str">
        <f ca="1">OFFSET(Industries!D$1,MATCH(Table1[[#This Row],[Ticker]],Industries!$A$2:$A$150,0),0)</f>
        <v>Energy</v>
      </c>
      <c r="D1028" t="str">
        <f ca="1">OFFSET(Industries!E$1,MATCH(Table1[[#This Row],[Ticker]],Industries!$A$2:$A$150,0),0)</f>
        <v>Oil, Gas and Consumable Fuels</v>
      </c>
      <c r="E1028" t="s">
        <v>290</v>
      </c>
      <c r="F1028" t="str">
        <f ca="1">OFFSET(Industries!B$1,MATCH(Table1[[#This Row],[Ticker]],Industries!$A$2:$A$140,0),0)</f>
        <v>Mega-Cap</v>
      </c>
      <c r="G1028" t="str">
        <f ca="1">OFFSET(Industries!F$1,MATCH(Table1[[#This Row],[Ticker]],Industries!$A$2:$A$140,0),0)</f>
        <v>A-</v>
      </c>
      <c r="H1028" t="s">
        <v>1434</v>
      </c>
      <c r="I1028" t="s">
        <v>1434</v>
      </c>
      <c r="J1028" s="2">
        <v>45383</v>
      </c>
      <c r="K1028" t="s">
        <v>2</v>
      </c>
      <c r="L1028" t="s">
        <v>1710</v>
      </c>
      <c r="M1028" t="s">
        <v>1709</v>
      </c>
      <c r="N1028" s="1"/>
      <c r="O1028" t="s">
        <v>476</v>
      </c>
      <c r="P1028" s="1">
        <v>0.5</v>
      </c>
      <c r="Q1028" s="1" t="s">
        <v>1636</v>
      </c>
      <c r="R1028" t="s">
        <v>1059</v>
      </c>
      <c r="S1028" t="s">
        <v>1119</v>
      </c>
      <c r="T1028" t="s">
        <v>643</v>
      </c>
      <c r="U1028" s="1">
        <v>0.2</v>
      </c>
      <c r="V1028" t="s">
        <v>1750</v>
      </c>
    </row>
    <row r="1029" spans="1:22" x14ac:dyDescent="0.3">
      <c r="A1029" t="s">
        <v>636</v>
      </c>
      <c r="B1029" t="str">
        <f ca="1">OFFSET(Industries!C$1,MATCH(Table1[[#This Row],[Ticker]],Industries!$A$2:$A$150,0),0)</f>
        <v>Energy</v>
      </c>
      <c r="C1029" t="str">
        <f ca="1">OFFSET(Industries!D$1,MATCH(Table1[[#This Row],[Ticker]],Industries!$A$2:$A$150,0),0)</f>
        <v>Energy</v>
      </c>
      <c r="D1029" t="str">
        <f ca="1">OFFSET(Industries!E$1,MATCH(Table1[[#This Row],[Ticker]],Industries!$A$2:$A$150,0),0)</f>
        <v>Oil, Gas and Consumable Fuels</v>
      </c>
      <c r="E1029" t="s">
        <v>290</v>
      </c>
      <c r="F1029" t="str">
        <f ca="1">OFFSET(Industries!B$1,MATCH(Table1[[#This Row],[Ticker]],Industries!$A$2:$A$140,0),0)</f>
        <v>Mega-Cap</v>
      </c>
      <c r="G1029" t="str">
        <f ca="1">OFFSET(Industries!F$1,MATCH(Table1[[#This Row],[Ticker]],Industries!$A$2:$A$140,0),0)</f>
        <v>A-</v>
      </c>
      <c r="H1029" t="s">
        <v>1434</v>
      </c>
      <c r="I1029" t="s">
        <v>1434</v>
      </c>
      <c r="J1029" s="2">
        <v>45383</v>
      </c>
      <c r="K1029" t="s">
        <v>2</v>
      </c>
      <c r="L1029" t="s">
        <v>1710</v>
      </c>
      <c r="M1029" t="s">
        <v>1709</v>
      </c>
      <c r="N1029" s="1"/>
      <c r="O1029" t="s">
        <v>476</v>
      </c>
      <c r="P1029" s="1">
        <v>0.5</v>
      </c>
      <c r="Q1029" s="1" t="s">
        <v>1636</v>
      </c>
      <c r="R1029" t="s">
        <v>1059</v>
      </c>
      <c r="S1029" t="s">
        <v>1137</v>
      </c>
      <c r="T1029" t="s">
        <v>1751</v>
      </c>
      <c r="U1029" s="1">
        <v>0.2</v>
      </c>
    </row>
    <row r="1030" spans="1:22" x14ac:dyDescent="0.3">
      <c r="A1030" t="s">
        <v>636</v>
      </c>
      <c r="B1030" t="str">
        <f ca="1">OFFSET(Industries!C$1,MATCH(Table1[[#This Row],[Ticker]],Industries!$A$2:$A$150,0),0)</f>
        <v>Energy</v>
      </c>
      <c r="C1030" t="str">
        <f ca="1">OFFSET(Industries!D$1,MATCH(Table1[[#This Row],[Ticker]],Industries!$A$2:$A$150,0),0)</f>
        <v>Energy</v>
      </c>
      <c r="D1030" t="str">
        <f ca="1">OFFSET(Industries!E$1,MATCH(Table1[[#This Row],[Ticker]],Industries!$A$2:$A$150,0),0)</f>
        <v>Oil, Gas and Consumable Fuels</v>
      </c>
      <c r="E1030" t="s">
        <v>290</v>
      </c>
      <c r="F1030" t="str">
        <f ca="1">OFFSET(Industries!B$1,MATCH(Table1[[#This Row],[Ticker]],Industries!$A$2:$A$140,0),0)</f>
        <v>Mega-Cap</v>
      </c>
      <c r="G1030" t="str">
        <f ca="1">OFFSET(Industries!F$1,MATCH(Table1[[#This Row],[Ticker]],Industries!$A$2:$A$140,0),0)</f>
        <v>A-</v>
      </c>
      <c r="H1030" t="s">
        <v>1434</v>
      </c>
      <c r="I1030" t="s">
        <v>1434</v>
      </c>
      <c r="J1030" s="2">
        <v>45383</v>
      </c>
      <c r="K1030" t="s">
        <v>2</v>
      </c>
      <c r="L1030" t="s">
        <v>1710</v>
      </c>
      <c r="M1030" t="s">
        <v>1711</v>
      </c>
      <c r="N1030" s="1">
        <f>Table1[[#This Row],[Consideration Weight]]</f>
        <v>0.27</v>
      </c>
      <c r="O1030" t="s">
        <v>194</v>
      </c>
      <c r="P1030" s="1">
        <v>0.27</v>
      </c>
    </row>
    <row r="1031" spans="1:22" x14ac:dyDescent="0.3">
      <c r="A1031" t="s">
        <v>636</v>
      </c>
      <c r="B1031" t="str">
        <f ca="1">OFFSET(Industries!C$1,MATCH(Table1[[#This Row],[Ticker]],Industries!$A$2:$A$150,0),0)</f>
        <v>Energy</v>
      </c>
      <c r="C1031" t="str">
        <f ca="1">OFFSET(Industries!D$1,MATCH(Table1[[#This Row],[Ticker]],Industries!$A$2:$A$150,0),0)</f>
        <v>Energy</v>
      </c>
      <c r="D1031" t="str">
        <f ca="1">OFFSET(Industries!E$1,MATCH(Table1[[#This Row],[Ticker]],Industries!$A$2:$A$150,0),0)</f>
        <v>Oil, Gas and Consumable Fuels</v>
      </c>
      <c r="E1031" t="s">
        <v>290</v>
      </c>
      <c r="F1031" t="str">
        <f ca="1">OFFSET(Industries!B$1,MATCH(Table1[[#This Row],[Ticker]],Industries!$A$2:$A$140,0),0)</f>
        <v>Mega-Cap</v>
      </c>
      <c r="G1031" t="str">
        <f ca="1">OFFSET(Industries!F$1,MATCH(Table1[[#This Row],[Ticker]],Industries!$A$2:$A$140,0),0)</f>
        <v>A-</v>
      </c>
      <c r="H1031" t="s">
        <v>1434</v>
      </c>
      <c r="I1031" t="s">
        <v>1434</v>
      </c>
      <c r="J1031" s="2">
        <v>45383</v>
      </c>
      <c r="K1031" t="s">
        <v>21</v>
      </c>
      <c r="L1031" t="s">
        <v>3</v>
      </c>
      <c r="M1031" t="s">
        <v>1709</v>
      </c>
      <c r="N1031" s="1">
        <f>Table1[[#This Row],[Consideration Weight]]</f>
        <v>0.19</v>
      </c>
      <c r="O1031" t="s">
        <v>3</v>
      </c>
      <c r="P1031" s="1">
        <v>0.19</v>
      </c>
    </row>
    <row r="1032" spans="1:22" x14ac:dyDescent="0.3">
      <c r="A1032" t="s">
        <v>636</v>
      </c>
      <c r="B1032" t="str">
        <f ca="1">OFFSET(Industries!C$1,MATCH(Table1[[#This Row],[Ticker]],Industries!$A$2:$A$150,0),0)</f>
        <v>Energy</v>
      </c>
      <c r="C1032" t="str">
        <f ca="1">OFFSET(Industries!D$1,MATCH(Table1[[#This Row],[Ticker]],Industries!$A$2:$A$150,0),0)</f>
        <v>Energy</v>
      </c>
      <c r="D1032" t="str">
        <f ca="1">OFFSET(Industries!E$1,MATCH(Table1[[#This Row],[Ticker]],Industries!$A$2:$A$150,0),0)</f>
        <v>Oil, Gas and Consumable Fuels</v>
      </c>
      <c r="E1032" t="s">
        <v>290</v>
      </c>
      <c r="F1032" t="str">
        <f ca="1">OFFSET(Industries!B$1,MATCH(Table1[[#This Row],[Ticker]],Industries!$A$2:$A$140,0),0)</f>
        <v>Mega-Cap</v>
      </c>
      <c r="G1032" t="str">
        <f ca="1">OFFSET(Industries!F$1,MATCH(Table1[[#This Row],[Ticker]],Industries!$A$2:$A$140,0),0)</f>
        <v>A-</v>
      </c>
      <c r="H1032" t="s">
        <v>1434</v>
      </c>
      <c r="I1032" t="s">
        <v>1434</v>
      </c>
      <c r="J1032" s="2">
        <v>45383</v>
      </c>
      <c r="K1032" t="s">
        <v>21</v>
      </c>
      <c r="L1032" t="s">
        <v>1708</v>
      </c>
      <c r="M1032" t="s">
        <v>1709</v>
      </c>
      <c r="N1032" s="1">
        <f>Table1[[#This Row],[Consideration Weight]]</f>
        <v>0.18</v>
      </c>
      <c r="O1032" t="s">
        <v>4</v>
      </c>
      <c r="P1032" s="1">
        <v>0.18</v>
      </c>
      <c r="Q1032" s="1" t="s">
        <v>1636</v>
      </c>
      <c r="R1032" t="s">
        <v>25</v>
      </c>
      <c r="S1032" t="s">
        <v>1086</v>
      </c>
      <c r="T1032" t="s">
        <v>637</v>
      </c>
      <c r="U1032" s="1">
        <v>0.3</v>
      </c>
    </row>
    <row r="1033" spans="1:22" x14ac:dyDescent="0.3">
      <c r="A1033" t="s">
        <v>636</v>
      </c>
      <c r="B1033" t="str">
        <f ca="1">OFFSET(Industries!C$1,MATCH(Table1[[#This Row],[Ticker]],Industries!$A$2:$A$150,0),0)</f>
        <v>Energy</v>
      </c>
      <c r="C1033" t="str">
        <f ca="1">OFFSET(Industries!D$1,MATCH(Table1[[#This Row],[Ticker]],Industries!$A$2:$A$150,0),0)</f>
        <v>Energy</v>
      </c>
      <c r="D1033" t="str">
        <f ca="1">OFFSET(Industries!E$1,MATCH(Table1[[#This Row],[Ticker]],Industries!$A$2:$A$150,0),0)</f>
        <v>Oil, Gas and Consumable Fuels</v>
      </c>
      <c r="E1033" t="s">
        <v>290</v>
      </c>
      <c r="F1033" t="str">
        <f ca="1">OFFSET(Industries!B$1,MATCH(Table1[[#This Row],[Ticker]],Industries!$A$2:$A$140,0),0)</f>
        <v>Mega-Cap</v>
      </c>
      <c r="G1033" t="str">
        <f ca="1">OFFSET(Industries!F$1,MATCH(Table1[[#This Row],[Ticker]],Industries!$A$2:$A$140,0),0)</f>
        <v>A-</v>
      </c>
      <c r="H1033" t="s">
        <v>1434</v>
      </c>
      <c r="I1033" t="s">
        <v>1434</v>
      </c>
      <c r="J1033" s="2">
        <v>45383</v>
      </c>
      <c r="K1033" t="s">
        <v>21</v>
      </c>
      <c r="L1033" t="s">
        <v>1708</v>
      </c>
      <c r="M1033" t="s">
        <v>1709</v>
      </c>
      <c r="N1033" s="1"/>
      <c r="O1033" t="s">
        <v>4</v>
      </c>
      <c r="P1033" s="1">
        <v>0.18</v>
      </c>
      <c r="Q1033" s="1" t="s">
        <v>1636</v>
      </c>
      <c r="R1033" t="s">
        <v>1059</v>
      </c>
      <c r="S1033" t="s">
        <v>1137</v>
      </c>
      <c r="T1033" t="s">
        <v>1149</v>
      </c>
      <c r="U1033" s="1">
        <v>0.15</v>
      </c>
    </row>
    <row r="1034" spans="1:22" x14ac:dyDescent="0.3">
      <c r="A1034" t="s">
        <v>636</v>
      </c>
      <c r="B1034" t="str">
        <f ca="1">OFFSET(Industries!C$1,MATCH(Table1[[#This Row],[Ticker]],Industries!$A$2:$A$150,0),0)</f>
        <v>Energy</v>
      </c>
      <c r="C1034" t="str">
        <f ca="1">OFFSET(Industries!D$1,MATCH(Table1[[#This Row],[Ticker]],Industries!$A$2:$A$150,0),0)</f>
        <v>Energy</v>
      </c>
      <c r="D1034" t="str">
        <f ca="1">OFFSET(Industries!E$1,MATCH(Table1[[#This Row],[Ticker]],Industries!$A$2:$A$150,0),0)</f>
        <v>Oil, Gas and Consumable Fuels</v>
      </c>
      <c r="E1034" t="s">
        <v>290</v>
      </c>
      <c r="F1034" t="str">
        <f ca="1">OFFSET(Industries!B$1,MATCH(Table1[[#This Row],[Ticker]],Industries!$A$2:$A$140,0),0)</f>
        <v>Mega-Cap</v>
      </c>
      <c r="G1034" t="str">
        <f ca="1">OFFSET(Industries!F$1,MATCH(Table1[[#This Row],[Ticker]],Industries!$A$2:$A$140,0),0)</f>
        <v>A-</v>
      </c>
      <c r="H1034" t="s">
        <v>1434</v>
      </c>
      <c r="I1034" t="s">
        <v>1434</v>
      </c>
      <c r="J1034" s="2">
        <v>45383</v>
      </c>
      <c r="K1034" t="s">
        <v>21</v>
      </c>
      <c r="L1034" t="s">
        <v>1708</v>
      </c>
      <c r="M1034" t="s">
        <v>1709</v>
      </c>
      <c r="N1034" s="1"/>
      <c r="O1034" t="s">
        <v>4</v>
      </c>
      <c r="P1034" s="1">
        <v>0.18</v>
      </c>
      <c r="Q1034" s="1" t="s">
        <v>1636</v>
      </c>
      <c r="R1034" t="s">
        <v>1059</v>
      </c>
      <c r="S1034" t="s">
        <v>1119</v>
      </c>
      <c r="T1034" t="s">
        <v>292</v>
      </c>
      <c r="U1034" s="1">
        <v>0.15</v>
      </c>
      <c r="V1034" t="s">
        <v>1748</v>
      </c>
    </row>
    <row r="1035" spans="1:22" x14ac:dyDescent="0.3">
      <c r="A1035" t="s">
        <v>636</v>
      </c>
      <c r="B1035" t="str">
        <f ca="1">OFFSET(Industries!C$1,MATCH(Table1[[#This Row],[Ticker]],Industries!$A$2:$A$150,0),0)</f>
        <v>Energy</v>
      </c>
      <c r="C1035" t="str">
        <f ca="1">OFFSET(Industries!D$1,MATCH(Table1[[#This Row],[Ticker]],Industries!$A$2:$A$150,0),0)</f>
        <v>Energy</v>
      </c>
      <c r="D1035" t="str">
        <f ca="1">OFFSET(Industries!E$1,MATCH(Table1[[#This Row],[Ticker]],Industries!$A$2:$A$150,0),0)</f>
        <v>Oil, Gas and Consumable Fuels</v>
      </c>
      <c r="E1035" t="s">
        <v>290</v>
      </c>
      <c r="F1035" t="str">
        <f ca="1">OFFSET(Industries!B$1,MATCH(Table1[[#This Row],[Ticker]],Industries!$A$2:$A$140,0),0)</f>
        <v>Mega-Cap</v>
      </c>
      <c r="G1035" t="str">
        <f ca="1">OFFSET(Industries!F$1,MATCH(Table1[[#This Row],[Ticker]],Industries!$A$2:$A$140,0),0)</f>
        <v>A-</v>
      </c>
      <c r="H1035" t="s">
        <v>1434</v>
      </c>
      <c r="I1035" t="s">
        <v>1434</v>
      </c>
      <c r="J1035" s="2">
        <v>45383</v>
      </c>
      <c r="K1035" t="s">
        <v>21</v>
      </c>
      <c r="L1035" t="s">
        <v>1708</v>
      </c>
      <c r="M1035" t="s">
        <v>1709</v>
      </c>
      <c r="N1035" s="1"/>
      <c r="O1035" t="s">
        <v>4</v>
      </c>
      <c r="P1035" s="1">
        <v>0.18</v>
      </c>
      <c r="Q1035" s="1" t="s">
        <v>1637</v>
      </c>
      <c r="R1035" t="s">
        <v>26</v>
      </c>
      <c r="S1035" t="s">
        <v>26</v>
      </c>
      <c r="T1035" t="s">
        <v>638</v>
      </c>
      <c r="U1035" s="1">
        <v>0.2</v>
      </c>
    </row>
    <row r="1036" spans="1:22" x14ac:dyDescent="0.3">
      <c r="A1036" t="s">
        <v>636</v>
      </c>
      <c r="B1036" t="str">
        <f ca="1">OFFSET(Industries!C$1,MATCH(Table1[[#This Row],[Ticker]],Industries!$A$2:$A$150,0),0)</f>
        <v>Energy</v>
      </c>
      <c r="C1036" t="str">
        <f ca="1">OFFSET(Industries!D$1,MATCH(Table1[[#This Row],[Ticker]],Industries!$A$2:$A$150,0),0)</f>
        <v>Energy</v>
      </c>
      <c r="D1036" t="str">
        <f ca="1">OFFSET(Industries!E$1,MATCH(Table1[[#This Row],[Ticker]],Industries!$A$2:$A$150,0),0)</f>
        <v>Oil, Gas and Consumable Fuels</v>
      </c>
      <c r="E1036" t="s">
        <v>290</v>
      </c>
      <c r="F1036" t="str">
        <f ca="1">OFFSET(Industries!B$1,MATCH(Table1[[#This Row],[Ticker]],Industries!$A$2:$A$140,0),0)</f>
        <v>Mega-Cap</v>
      </c>
      <c r="G1036" t="str">
        <f ca="1">OFFSET(Industries!F$1,MATCH(Table1[[#This Row],[Ticker]],Industries!$A$2:$A$140,0),0)</f>
        <v>A-</v>
      </c>
      <c r="H1036" t="s">
        <v>1434</v>
      </c>
      <c r="I1036" t="s">
        <v>1434</v>
      </c>
      <c r="J1036" s="2">
        <v>45383</v>
      </c>
      <c r="K1036" t="s">
        <v>21</v>
      </c>
      <c r="L1036" t="s">
        <v>1708</v>
      </c>
      <c r="M1036" t="s">
        <v>1709</v>
      </c>
      <c r="N1036" s="1"/>
      <c r="O1036" t="s">
        <v>4</v>
      </c>
      <c r="P1036" s="1">
        <v>0.18</v>
      </c>
      <c r="Q1036" s="1" t="s">
        <v>1637</v>
      </c>
      <c r="R1036" t="s">
        <v>25</v>
      </c>
      <c r="S1036" t="s">
        <v>1086</v>
      </c>
      <c r="T1036" t="s">
        <v>639</v>
      </c>
      <c r="U1036" s="1">
        <v>0.1</v>
      </c>
    </row>
    <row r="1037" spans="1:22" x14ac:dyDescent="0.3">
      <c r="A1037" t="s">
        <v>636</v>
      </c>
      <c r="B1037" t="str">
        <f ca="1">OFFSET(Industries!C$1,MATCH(Table1[[#This Row],[Ticker]],Industries!$A$2:$A$150,0),0)</f>
        <v>Energy</v>
      </c>
      <c r="C1037" t="str">
        <f ca="1">OFFSET(Industries!D$1,MATCH(Table1[[#This Row],[Ticker]],Industries!$A$2:$A$150,0),0)</f>
        <v>Energy</v>
      </c>
      <c r="D1037" t="str">
        <f ca="1">OFFSET(Industries!E$1,MATCH(Table1[[#This Row],[Ticker]],Industries!$A$2:$A$150,0),0)</f>
        <v>Oil, Gas and Consumable Fuels</v>
      </c>
      <c r="E1037" t="s">
        <v>290</v>
      </c>
      <c r="F1037" t="str">
        <f ca="1">OFFSET(Industries!B$1,MATCH(Table1[[#This Row],[Ticker]],Industries!$A$2:$A$140,0),0)</f>
        <v>Mega-Cap</v>
      </c>
      <c r="G1037" t="str">
        <f ca="1">OFFSET(Industries!F$1,MATCH(Table1[[#This Row],[Ticker]],Industries!$A$2:$A$140,0),0)</f>
        <v>A-</v>
      </c>
      <c r="H1037" t="s">
        <v>1434</v>
      </c>
      <c r="I1037" t="s">
        <v>1434</v>
      </c>
      <c r="J1037" s="2">
        <v>45383</v>
      </c>
      <c r="K1037" t="s">
        <v>21</v>
      </c>
      <c r="L1037" t="s">
        <v>1708</v>
      </c>
      <c r="M1037" t="s">
        <v>1709</v>
      </c>
      <c r="N1037" s="1"/>
      <c r="O1037" t="s">
        <v>4</v>
      </c>
      <c r="P1037" s="1">
        <v>0.18</v>
      </c>
      <c r="Q1037" s="1" t="s">
        <v>1637</v>
      </c>
      <c r="R1037" t="s">
        <v>26</v>
      </c>
      <c r="S1037" t="s">
        <v>26</v>
      </c>
      <c r="T1037" t="s">
        <v>640</v>
      </c>
      <c r="U1037" s="1">
        <v>0.1</v>
      </c>
    </row>
    <row r="1038" spans="1:22" x14ac:dyDescent="0.3">
      <c r="A1038" t="s">
        <v>636</v>
      </c>
      <c r="B1038" t="str">
        <f ca="1">OFFSET(Industries!C$1,MATCH(Table1[[#This Row],[Ticker]],Industries!$A$2:$A$150,0),0)</f>
        <v>Energy</v>
      </c>
      <c r="C1038" t="str">
        <f ca="1">OFFSET(Industries!D$1,MATCH(Table1[[#This Row],[Ticker]],Industries!$A$2:$A$150,0),0)</f>
        <v>Energy</v>
      </c>
      <c r="D1038" t="str">
        <f ca="1">OFFSET(Industries!E$1,MATCH(Table1[[#This Row],[Ticker]],Industries!$A$2:$A$150,0),0)</f>
        <v>Oil, Gas and Consumable Fuels</v>
      </c>
      <c r="E1038" t="s">
        <v>290</v>
      </c>
      <c r="F1038" t="str">
        <f ca="1">OFFSET(Industries!B$1,MATCH(Table1[[#This Row],[Ticker]],Industries!$A$2:$A$140,0),0)</f>
        <v>Mega-Cap</v>
      </c>
      <c r="G1038" t="str">
        <f ca="1">OFFSET(Industries!F$1,MATCH(Table1[[#This Row],[Ticker]],Industries!$A$2:$A$140,0),0)</f>
        <v>A-</v>
      </c>
      <c r="H1038" t="s">
        <v>1434</v>
      </c>
      <c r="I1038" t="s">
        <v>1434</v>
      </c>
      <c r="J1038" s="2">
        <v>45383</v>
      </c>
      <c r="K1038" t="s">
        <v>21</v>
      </c>
      <c r="L1038" t="s">
        <v>1708</v>
      </c>
      <c r="M1038" t="s">
        <v>1709</v>
      </c>
      <c r="N1038" s="1"/>
      <c r="O1038" t="s">
        <v>4</v>
      </c>
      <c r="P1038" s="1">
        <v>0.18</v>
      </c>
      <c r="R1038" t="s">
        <v>28</v>
      </c>
      <c r="S1038" t="s">
        <v>1110</v>
      </c>
      <c r="T1038" t="s">
        <v>641</v>
      </c>
    </row>
    <row r="1039" spans="1:22" x14ac:dyDescent="0.3">
      <c r="A1039" t="s">
        <v>636</v>
      </c>
      <c r="B1039" t="str">
        <f ca="1">OFFSET(Industries!C$1,MATCH(Table1[[#This Row],[Ticker]],Industries!$A$2:$A$150,0),0)</f>
        <v>Energy</v>
      </c>
      <c r="C1039" t="str">
        <f ca="1">OFFSET(Industries!D$1,MATCH(Table1[[#This Row],[Ticker]],Industries!$A$2:$A$150,0),0)</f>
        <v>Energy</v>
      </c>
      <c r="D1039" t="str">
        <f ca="1">OFFSET(Industries!E$1,MATCH(Table1[[#This Row],[Ticker]],Industries!$A$2:$A$150,0),0)</f>
        <v>Oil, Gas and Consumable Fuels</v>
      </c>
      <c r="E1039" t="s">
        <v>290</v>
      </c>
      <c r="F1039" t="str">
        <f ca="1">OFFSET(Industries!B$1,MATCH(Table1[[#This Row],[Ticker]],Industries!$A$2:$A$140,0),0)</f>
        <v>Mega-Cap</v>
      </c>
      <c r="G1039" t="str">
        <f ca="1">OFFSET(Industries!F$1,MATCH(Table1[[#This Row],[Ticker]],Industries!$A$2:$A$140,0),0)</f>
        <v>A-</v>
      </c>
      <c r="H1039" t="s">
        <v>1434</v>
      </c>
      <c r="I1039" t="s">
        <v>1434</v>
      </c>
      <c r="J1039" s="2">
        <v>45383</v>
      </c>
      <c r="K1039" t="s">
        <v>21</v>
      </c>
      <c r="L1039" t="s">
        <v>1710</v>
      </c>
      <c r="M1039" t="s">
        <v>1709</v>
      </c>
      <c r="N1039" s="1">
        <f>Table1[[#This Row],[Consideration Weight]]</f>
        <v>0.42</v>
      </c>
      <c r="O1039" t="s">
        <v>476</v>
      </c>
      <c r="P1039" s="1">
        <v>0.42</v>
      </c>
      <c r="Q1039" s="1" t="s">
        <v>1646</v>
      </c>
      <c r="R1039" t="s">
        <v>35</v>
      </c>
      <c r="S1039" t="s">
        <v>29</v>
      </c>
      <c r="T1039" t="s">
        <v>30</v>
      </c>
      <c r="U1039" s="1">
        <v>0.6</v>
      </c>
    </row>
    <row r="1040" spans="1:22" x14ac:dyDescent="0.3">
      <c r="A1040" t="s">
        <v>636</v>
      </c>
      <c r="B1040" t="str">
        <f ca="1">OFFSET(Industries!C$1,MATCH(Table1[[#This Row],[Ticker]],Industries!$A$2:$A$150,0),0)</f>
        <v>Energy</v>
      </c>
      <c r="C1040" t="str">
        <f ca="1">OFFSET(Industries!D$1,MATCH(Table1[[#This Row],[Ticker]],Industries!$A$2:$A$150,0),0)</f>
        <v>Energy</v>
      </c>
      <c r="D1040" t="str">
        <f ca="1">OFFSET(Industries!E$1,MATCH(Table1[[#This Row],[Ticker]],Industries!$A$2:$A$150,0),0)</f>
        <v>Oil, Gas and Consumable Fuels</v>
      </c>
      <c r="E1040" t="s">
        <v>290</v>
      </c>
      <c r="F1040" t="str">
        <f ca="1">OFFSET(Industries!B$1,MATCH(Table1[[#This Row],[Ticker]],Industries!$A$2:$A$140,0),0)</f>
        <v>Mega-Cap</v>
      </c>
      <c r="G1040" t="str">
        <f ca="1">OFFSET(Industries!F$1,MATCH(Table1[[#This Row],[Ticker]],Industries!$A$2:$A$140,0),0)</f>
        <v>A-</v>
      </c>
      <c r="H1040" t="s">
        <v>1434</v>
      </c>
      <c r="I1040" t="s">
        <v>1434</v>
      </c>
      <c r="J1040" s="2">
        <v>45383</v>
      </c>
      <c r="K1040" t="s">
        <v>21</v>
      </c>
      <c r="L1040" t="s">
        <v>1710</v>
      </c>
      <c r="M1040" t="s">
        <v>1709</v>
      </c>
      <c r="N1040" s="1"/>
      <c r="O1040" t="s">
        <v>476</v>
      </c>
      <c r="P1040" s="1">
        <v>0.42</v>
      </c>
      <c r="Q1040" s="1" t="s">
        <v>1636</v>
      </c>
      <c r="R1040" t="s">
        <v>1059</v>
      </c>
      <c r="S1040" t="s">
        <v>1119</v>
      </c>
      <c r="T1040" t="s">
        <v>643</v>
      </c>
      <c r="U1040" s="1">
        <v>0.2</v>
      </c>
      <c r="V1040" t="s">
        <v>1749</v>
      </c>
    </row>
    <row r="1041" spans="1:22" x14ac:dyDescent="0.3">
      <c r="A1041" t="s">
        <v>636</v>
      </c>
      <c r="B1041" t="str">
        <f ca="1">OFFSET(Industries!C$1,MATCH(Table1[[#This Row],[Ticker]],Industries!$A$2:$A$150,0),0)</f>
        <v>Energy</v>
      </c>
      <c r="C1041" t="str">
        <f ca="1">OFFSET(Industries!D$1,MATCH(Table1[[#This Row],[Ticker]],Industries!$A$2:$A$150,0),0)</f>
        <v>Energy</v>
      </c>
      <c r="D1041" t="str">
        <f ca="1">OFFSET(Industries!E$1,MATCH(Table1[[#This Row],[Ticker]],Industries!$A$2:$A$150,0),0)</f>
        <v>Oil, Gas and Consumable Fuels</v>
      </c>
      <c r="E1041" t="s">
        <v>290</v>
      </c>
      <c r="F1041" t="str">
        <f ca="1">OFFSET(Industries!B$1,MATCH(Table1[[#This Row],[Ticker]],Industries!$A$2:$A$140,0),0)</f>
        <v>Mega-Cap</v>
      </c>
      <c r="G1041" t="str">
        <f ca="1">OFFSET(Industries!F$1,MATCH(Table1[[#This Row],[Ticker]],Industries!$A$2:$A$140,0),0)</f>
        <v>A-</v>
      </c>
      <c r="H1041" t="s">
        <v>1434</v>
      </c>
      <c r="I1041" t="s">
        <v>1434</v>
      </c>
      <c r="J1041" s="2">
        <v>45383</v>
      </c>
      <c r="K1041" t="s">
        <v>21</v>
      </c>
      <c r="L1041" t="s">
        <v>1710</v>
      </c>
      <c r="M1041" t="s">
        <v>1709</v>
      </c>
      <c r="N1041" s="1"/>
      <c r="O1041" t="s">
        <v>476</v>
      </c>
      <c r="P1041" s="1">
        <v>0.42</v>
      </c>
      <c r="Q1041" s="1" t="s">
        <v>1636</v>
      </c>
      <c r="R1041" t="s">
        <v>1059</v>
      </c>
      <c r="S1041" t="s">
        <v>1137</v>
      </c>
      <c r="T1041" t="s">
        <v>1751</v>
      </c>
      <c r="U1041" s="1">
        <v>0.2</v>
      </c>
    </row>
    <row r="1042" spans="1:22" x14ac:dyDescent="0.3">
      <c r="A1042" t="s">
        <v>636</v>
      </c>
      <c r="B1042" t="str">
        <f ca="1">OFFSET(Industries!C$1,MATCH(Table1[[#This Row],[Ticker]],Industries!$A$2:$A$150,0),0)</f>
        <v>Energy</v>
      </c>
      <c r="C1042" t="str">
        <f ca="1">OFFSET(Industries!D$1,MATCH(Table1[[#This Row],[Ticker]],Industries!$A$2:$A$150,0),0)</f>
        <v>Energy</v>
      </c>
      <c r="D1042" t="str">
        <f ca="1">OFFSET(Industries!E$1,MATCH(Table1[[#This Row],[Ticker]],Industries!$A$2:$A$150,0),0)</f>
        <v>Oil, Gas and Consumable Fuels</v>
      </c>
      <c r="E1042" t="s">
        <v>290</v>
      </c>
      <c r="F1042" t="str">
        <f ca="1">OFFSET(Industries!B$1,MATCH(Table1[[#This Row],[Ticker]],Industries!$A$2:$A$140,0),0)</f>
        <v>Mega-Cap</v>
      </c>
      <c r="G1042" t="str">
        <f ca="1">OFFSET(Industries!F$1,MATCH(Table1[[#This Row],[Ticker]],Industries!$A$2:$A$140,0),0)</f>
        <v>A-</v>
      </c>
      <c r="H1042" t="s">
        <v>1434</v>
      </c>
      <c r="I1042" t="s">
        <v>1434</v>
      </c>
      <c r="J1042" s="2">
        <v>45383</v>
      </c>
      <c r="K1042" t="s">
        <v>21</v>
      </c>
      <c r="L1042" t="s">
        <v>1710</v>
      </c>
      <c r="M1042" t="s">
        <v>1711</v>
      </c>
      <c r="N1042" s="1">
        <f>Table1[[#This Row],[Consideration Weight]]</f>
        <v>0.21</v>
      </c>
      <c r="O1042" t="s">
        <v>194</v>
      </c>
      <c r="P1042" s="1">
        <v>0.21</v>
      </c>
    </row>
    <row r="1043" spans="1:22" x14ac:dyDescent="0.3">
      <c r="A1043" t="s">
        <v>647</v>
      </c>
      <c r="B1043" t="str">
        <f ca="1">OFFSET(Industries!C$1,MATCH(Table1[[#This Row],[Ticker]],Industries!$A$2:$A$150,0),0)</f>
        <v>Energy</v>
      </c>
      <c r="C1043" t="str">
        <f ca="1">OFFSET(Industries!D$1,MATCH(Table1[[#This Row],[Ticker]],Industries!$A$2:$A$150,0),0)</f>
        <v>Energy</v>
      </c>
      <c r="D1043" t="str">
        <f ca="1">OFFSET(Industries!E$1,MATCH(Table1[[#This Row],[Ticker]],Industries!$A$2:$A$150,0),0)</f>
        <v>Energy Equipment and Services</v>
      </c>
      <c r="E1043" t="s">
        <v>290</v>
      </c>
      <c r="F1043" t="str">
        <f ca="1">OFFSET(Industries!B$1,MATCH(Table1[[#This Row],[Ticker]],Industries!$A$2:$A$140,0),0)</f>
        <v>Large-Cap</v>
      </c>
      <c r="G1043" t="str">
        <f ca="1">OFFSET(Industries!F$1,MATCH(Table1[[#This Row],[Ticker]],Industries!$A$2:$A$140,0),0)</f>
        <v>BBB+</v>
      </c>
      <c r="H1043" t="s">
        <v>1434</v>
      </c>
      <c r="I1043" t="s">
        <v>1434</v>
      </c>
      <c r="J1043" s="2">
        <v>45384</v>
      </c>
      <c r="K1043" t="s">
        <v>2</v>
      </c>
      <c r="L1043" t="s">
        <v>3</v>
      </c>
      <c r="M1043" t="s">
        <v>1711</v>
      </c>
      <c r="N1043" s="1">
        <f>Table1[[#This Row],[Consideration Weight]]</f>
        <v>0.11</v>
      </c>
      <c r="O1043" t="s">
        <v>3</v>
      </c>
      <c r="P1043" s="1">
        <v>0.11</v>
      </c>
    </row>
    <row r="1044" spans="1:22" x14ac:dyDescent="0.3">
      <c r="A1044" t="s">
        <v>647</v>
      </c>
      <c r="B1044" t="str">
        <f ca="1">OFFSET(Industries!C$1,MATCH(Table1[[#This Row],[Ticker]],Industries!$A$2:$A$150,0),0)</f>
        <v>Energy</v>
      </c>
      <c r="C1044" t="str">
        <f ca="1">OFFSET(Industries!D$1,MATCH(Table1[[#This Row],[Ticker]],Industries!$A$2:$A$150,0),0)</f>
        <v>Energy</v>
      </c>
      <c r="D1044" t="str">
        <f ca="1">OFFSET(Industries!E$1,MATCH(Table1[[#This Row],[Ticker]],Industries!$A$2:$A$150,0),0)</f>
        <v>Energy Equipment and Services</v>
      </c>
      <c r="E1044" t="s">
        <v>290</v>
      </c>
      <c r="F1044" t="str">
        <f ca="1">OFFSET(Industries!B$1,MATCH(Table1[[#This Row],[Ticker]],Industries!$A$2:$A$140,0),0)</f>
        <v>Large-Cap</v>
      </c>
      <c r="G1044" t="str">
        <f ca="1">OFFSET(Industries!F$1,MATCH(Table1[[#This Row],[Ticker]],Industries!$A$2:$A$140,0),0)</f>
        <v>BBB+</v>
      </c>
      <c r="H1044" t="s">
        <v>1434</v>
      </c>
      <c r="I1044" t="s">
        <v>1434</v>
      </c>
      <c r="J1044" s="2">
        <v>45384</v>
      </c>
      <c r="K1044" t="s">
        <v>2</v>
      </c>
      <c r="L1044" t="s">
        <v>1708</v>
      </c>
      <c r="M1044" t="s">
        <v>1709</v>
      </c>
      <c r="N1044" s="1">
        <f>Table1[[#This Row],[Consideration Weight]]</f>
        <v>0.17</v>
      </c>
      <c r="O1044" t="s">
        <v>4</v>
      </c>
      <c r="P1044" s="1">
        <v>0.17</v>
      </c>
      <c r="Q1044" s="1" t="s">
        <v>1636</v>
      </c>
      <c r="R1044" t="s">
        <v>24</v>
      </c>
      <c r="S1044" t="s">
        <v>1118</v>
      </c>
      <c r="T1044" t="s">
        <v>648</v>
      </c>
      <c r="U1044" s="1">
        <v>0.6</v>
      </c>
      <c r="V1044" t="s">
        <v>652</v>
      </c>
    </row>
    <row r="1045" spans="1:22" x14ac:dyDescent="0.3">
      <c r="A1045" t="s">
        <v>647</v>
      </c>
      <c r="B1045" t="str">
        <f ca="1">OFFSET(Industries!C$1,MATCH(Table1[[#This Row],[Ticker]],Industries!$A$2:$A$150,0),0)</f>
        <v>Energy</v>
      </c>
      <c r="C1045" t="str">
        <f ca="1">OFFSET(Industries!D$1,MATCH(Table1[[#This Row],[Ticker]],Industries!$A$2:$A$150,0),0)</f>
        <v>Energy</v>
      </c>
      <c r="D1045" t="str">
        <f ca="1">OFFSET(Industries!E$1,MATCH(Table1[[#This Row],[Ticker]],Industries!$A$2:$A$150,0),0)</f>
        <v>Energy Equipment and Services</v>
      </c>
      <c r="E1045" t="s">
        <v>290</v>
      </c>
      <c r="F1045" t="str">
        <f ca="1">OFFSET(Industries!B$1,MATCH(Table1[[#This Row],[Ticker]],Industries!$A$2:$A$140,0),0)</f>
        <v>Large-Cap</v>
      </c>
      <c r="G1045" t="str">
        <f ca="1">OFFSET(Industries!F$1,MATCH(Table1[[#This Row],[Ticker]],Industries!$A$2:$A$140,0),0)</f>
        <v>BBB+</v>
      </c>
      <c r="H1045" t="s">
        <v>1434</v>
      </c>
      <c r="I1045" t="s">
        <v>1434</v>
      </c>
      <c r="J1045" s="2">
        <v>45384</v>
      </c>
      <c r="K1045" t="s">
        <v>2</v>
      </c>
      <c r="L1045" t="s">
        <v>1708</v>
      </c>
      <c r="M1045" t="s">
        <v>1709</v>
      </c>
      <c r="N1045" s="1"/>
      <c r="O1045" t="s">
        <v>4</v>
      </c>
      <c r="P1045" s="1">
        <v>0.17</v>
      </c>
      <c r="Q1045" s="1" t="s">
        <v>1636</v>
      </c>
      <c r="R1045" t="s">
        <v>1059</v>
      </c>
      <c r="S1045" t="s">
        <v>1144</v>
      </c>
      <c r="T1045" t="s">
        <v>649</v>
      </c>
      <c r="U1045" s="1">
        <v>0.2</v>
      </c>
      <c r="V1045" t="s">
        <v>653</v>
      </c>
    </row>
    <row r="1046" spans="1:22" x14ac:dyDescent="0.3">
      <c r="A1046" t="s">
        <v>647</v>
      </c>
      <c r="B1046" t="str">
        <f ca="1">OFFSET(Industries!C$1,MATCH(Table1[[#This Row],[Ticker]],Industries!$A$2:$A$150,0),0)</f>
        <v>Energy</v>
      </c>
      <c r="C1046" t="str">
        <f ca="1">OFFSET(Industries!D$1,MATCH(Table1[[#This Row],[Ticker]],Industries!$A$2:$A$150,0),0)</f>
        <v>Energy</v>
      </c>
      <c r="D1046" t="str">
        <f ca="1">OFFSET(Industries!E$1,MATCH(Table1[[#This Row],[Ticker]],Industries!$A$2:$A$150,0),0)</f>
        <v>Energy Equipment and Services</v>
      </c>
      <c r="E1046" t="s">
        <v>290</v>
      </c>
      <c r="F1046" t="str">
        <f ca="1">OFFSET(Industries!B$1,MATCH(Table1[[#This Row],[Ticker]],Industries!$A$2:$A$140,0),0)</f>
        <v>Large-Cap</v>
      </c>
      <c r="G1046" t="str">
        <f ca="1">OFFSET(Industries!F$1,MATCH(Table1[[#This Row],[Ticker]],Industries!$A$2:$A$140,0),0)</f>
        <v>BBB+</v>
      </c>
      <c r="H1046" t="s">
        <v>1434</v>
      </c>
      <c r="I1046" t="s">
        <v>1434</v>
      </c>
      <c r="J1046" s="2">
        <v>45384</v>
      </c>
      <c r="K1046" t="s">
        <v>2</v>
      </c>
      <c r="L1046" t="s">
        <v>1708</v>
      </c>
      <c r="M1046" t="s">
        <v>1709</v>
      </c>
      <c r="N1046" s="1"/>
      <c r="O1046" t="s">
        <v>4</v>
      </c>
      <c r="P1046" s="1">
        <v>0.17</v>
      </c>
      <c r="Q1046" s="1" t="s">
        <v>1637</v>
      </c>
      <c r="R1046" t="s">
        <v>26</v>
      </c>
      <c r="S1046" t="s">
        <v>26</v>
      </c>
      <c r="T1046" t="s">
        <v>650</v>
      </c>
      <c r="U1046" s="1">
        <v>0.1</v>
      </c>
    </row>
    <row r="1047" spans="1:22" x14ac:dyDescent="0.3">
      <c r="A1047" t="s">
        <v>647</v>
      </c>
      <c r="B1047" t="str">
        <f ca="1">OFFSET(Industries!C$1,MATCH(Table1[[#This Row],[Ticker]],Industries!$A$2:$A$150,0),0)</f>
        <v>Energy</v>
      </c>
      <c r="C1047" t="str">
        <f ca="1">OFFSET(Industries!D$1,MATCH(Table1[[#This Row],[Ticker]],Industries!$A$2:$A$150,0),0)</f>
        <v>Energy</v>
      </c>
      <c r="D1047" t="str">
        <f ca="1">OFFSET(Industries!E$1,MATCH(Table1[[#This Row],[Ticker]],Industries!$A$2:$A$150,0),0)</f>
        <v>Energy Equipment and Services</v>
      </c>
      <c r="E1047" t="s">
        <v>290</v>
      </c>
      <c r="F1047" t="str">
        <f ca="1">OFFSET(Industries!B$1,MATCH(Table1[[#This Row],[Ticker]],Industries!$A$2:$A$140,0),0)</f>
        <v>Large-Cap</v>
      </c>
      <c r="G1047" t="str">
        <f ca="1">OFFSET(Industries!F$1,MATCH(Table1[[#This Row],[Ticker]],Industries!$A$2:$A$140,0),0)</f>
        <v>BBB+</v>
      </c>
      <c r="H1047" t="s">
        <v>1434</v>
      </c>
      <c r="I1047" t="s">
        <v>1434</v>
      </c>
      <c r="J1047" s="2">
        <v>45384</v>
      </c>
      <c r="K1047" t="s">
        <v>2</v>
      </c>
      <c r="L1047" t="s">
        <v>1708</v>
      </c>
      <c r="M1047" t="s">
        <v>1709</v>
      </c>
      <c r="N1047" s="1"/>
      <c r="O1047" t="s">
        <v>4</v>
      </c>
      <c r="P1047" s="1">
        <v>0.17</v>
      </c>
      <c r="Q1047" s="1" t="s">
        <v>1637</v>
      </c>
      <c r="R1047" t="s">
        <v>26</v>
      </c>
      <c r="S1047" t="s">
        <v>26</v>
      </c>
      <c r="T1047" t="s">
        <v>651</v>
      </c>
      <c r="U1047" s="1">
        <v>0.1</v>
      </c>
    </row>
    <row r="1048" spans="1:22" x14ac:dyDescent="0.3">
      <c r="A1048" t="s">
        <v>647</v>
      </c>
      <c r="B1048" t="str">
        <f ca="1">OFFSET(Industries!C$1,MATCH(Table1[[#This Row],[Ticker]],Industries!$A$2:$A$150,0),0)</f>
        <v>Energy</v>
      </c>
      <c r="C1048" t="str">
        <f ca="1">OFFSET(Industries!D$1,MATCH(Table1[[#This Row],[Ticker]],Industries!$A$2:$A$150,0),0)</f>
        <v>Energy</v>
      </c>
      <c r="D1048" t="str">
        <f ca="1">OFFSET(Industries!E$1,MATCH(Table1[[#This Row],[Ticker]],Industries!$A$2:$A$150,0),0)</f>
        <v>Energy Equipment and Services</v>
      </c>
      <c r="E1048" t="s">
        <v>290</v>
      </c>
      <c r="F1048" t="str">
        <f ca="1">OFFSET(Industries!B$1,MATCH(Table1[[#This Row],[Ticker]],Industries!$A$2:$A$140,0),0)</f>
        <v>Large-Cap</v>
      </c>
      <c r="G1048" t="str">
        <f ca="1">OFFSET(Industries!F$1,MATCH(Table1[[#This Row],[Ticker]],Industries!$A$2:$A$140,0),0)</f>
        <v>BBB+</v>
      </c>
      <c r="H1048" t="s">
        <v>1434</v>
      </c>
      <c r="I1048" t="s">
        <v>1434</v>
      </c>
      <c r="J1048" s="2">
        <v>45384</v>
      </c>
      <c r="K1048" t="s">
        <v>2</v>
      </c>
      <c r="L1048" t="s">
        <v>1710</v>
      </c>
      <c r="M1048" t="s">
        <v>1709</v>
      </c>
      <c r="N1048" s="1">
        <f>Table1[[#This Row],[Consideration Weight]]</f>
        <v>0.25</v>
      </c>
      <c r="O1048" t="s">
        <v>476</v>
      </c>
      <c r="P1048" s="1">
        <v>0.25</v>
      </c>
      <c r="Q1048" s="1" t="s">
        <v>1636</v>
      </c>
      <c r="R1048" t="s">
        <v>1059</v>
      </c>
      <c r="S1048" t="s">
        <v>1137</v>
      </c>
      <c r="T1048" t="s">
        <v>656</v>
      </c>
      <c r="U1048" s="1">
        <v>1</v>
      </c>
      <c r="V1048" t="s">
        <v>659</v>
      </c>
    </row>
    <row r="1049" spans="1:22" x14ac:dyDescent="0.3">
      <c r="A1049" t="s">
        <v>647</v>
      </c>
      <c r="B1049" t="str">
        <f ca="1">OFFSET(Industries!C$1,MATCH(Table1[[#This Row],[Ticker]],Industries!$A$2:$A$150,0),0)</f>
        <v>Energy</v>
      </c>
      <c r="C1049" t="str">
        <f ca="1">OFFSET(Industries!D$1,MATCH(Table1[[#This Row],[Ticker]],Industries!$A$2:$A$150,0),0)</f>
        <v>Energy</v>
      </c>
      <c r="D1049" t="str">
        <f ca="1">OFFSET(Industries!E$1,MATCH(Table1[[#This Row],[Ticker]],Industries!$A$2:$A$150,0),0)</f>
        <v>Energy Equipment and Services</v>
      </c>
      <c r="E1049" t="s">
        <v>290</v>
      </c>
      <c r="F1049" t="str">
        <f ca="1">OFFSET(Industries!B$1,MATCH(Table1[[#This Row],[Ticker]],Industries!$A$2:$A$140,0),0)</f>
        <v>Large-Cap</v>
      </c>
      <c r="G1049" t="str">
        <f ca="1">OFFSET(Industries!F$1,MATCH(Table1[[#This Row],[Ticker]],Industries!$A$2:$A$140,0),0)</f>
        <v>BBB+</v>
      </c>
      <c r="H1049" t="s">
        <v>1434</v>
      </c>
      <c r="I1049" t="s">
        <v>1434</v>
      </c>
      <c r="J1049" s="2">
        <v>45384</v>
      </c>
      <c r="K1049" t="s">
        <v>2</v>
      </c>
      <c r="L1049" t="s">
        <v>1710</v>
      </c>
      <c r="M1049" t="s">
        <v>1709</v>
      </c>
      <c r="N1049" s="1"/>
      <c r="O1049" t="s">
        <v>476</v>
      </c>
      <c r="P1049" s="1">
        <v>0.25</v>
      </c>
      <c r="R1049" t="s">
        <v>28</v>
      </c>
      <c r="S1049" t="s">
        <v>1085</v>
      </c>
      <c r="T1049" t="s">
        <v>30</v>
      </c>
      <c r="V1049" t="s">
        <v>655</v>
      </c>
    </row>
    <row r="1050" spans="1:22" x14ac:dyDescent="0.3">
      <c r="A1050" t="s">
        <v>647</v>
      </c>
      <c r="B1050" t="str">
        <f ca="1">OFFSET(Industries!C$1,MATCH(Table1[[#This Row],[Ticker]],Industries!$A$2:$A$150,0),0)</f>
        <v>Energy</v>
      </c>
      <c r="C1050" t="str">
        <f ca="1">OFFSET(Industries!D$1,MATCH(Table1[[#This Row],[Ticker]],Industries!$A$2:$A$150,0),0)</f>
        <v>Energy</v>
      </c>
      <c r="D1050" t="str">
        <f ca="1">OFFSET(Industries!E$1,MATCH(Table1[[#This Row],[Ticker]],Industries!$A$2:$A$150,0),0)</f>
        <v>Energy Equipment and Services</v>
      </c>
      <c r="E1050" t="s">
        <v>290</v>
      </c>
      <c r="F1050" t="str">
        <f ca="1">OFFSET(Industries!B$1,MATCH(Table1[[#This Row],[Ticker]],Industries!$A$2:$A$140,0),0)</f>
        <v>Large-Cap</v>
      </c>
      <c r="G1050" t="str">
        <f ca="1">OFFSET(Industries!F$1,MATCH(Table1[[#This Row],[Ticker]],Industries!$A$2:$A$140,0),0)</f>
        <v>BBB+</v>
      </c>
      <c r="H1050" t="s">
        <v>1434</v>
      </c>
      <c r="I1050" t="s">
        <v>1434</v>
      </c>
      <c r="J1050" s="2">
        <v>45384</v>
      </c>
      <c r="K1050" t="s">
        <v>2</v>
      </c>
      <c r="L1050" t="s">
        <v>1710</v>
      </c>
      <c r="M1050" t="s">
        <v>1709</v>
      </c>
      <c r="N1050" s="1"/>
      <c r="O1050" t="s">
        <v>476</v>
      </c>
      <c r="P1050" s="1">
        <v>0.25</v>
      </c>
      <c r="R1050" t="s">
        <v>28</v>
      </c>
      <c r="S1050" t="s">
        <v>1150</v>
      </c>
      <c r="T1050" t="s">
        <v>654</v>
      </c>
      <c r="V1050" t="s">
        <v>657</v>
      </c>
    </row>
    <row r="1051" spans="1:22" x14ac:dyDescent="0.3">
      <c r="A1051" t="s">
        <v>647</v>
      </c>
      <c r="B1051" t="str">
        <f ca="1">OFFSET(Industries!C$1,MATCH(Table1[[#This Row],[Ticker]],Industries!$A$2:$A$150,0),0)</f>
        <v>Energy</v>
      </c>
      <c r="C1051" t="str">
        <f ca="1">OFFSET(Industries!D$1,MATCH(Table1[[#This Row],[Ticker]],Industries!$A$2:$A$150,0),0)</f>
        <v>Energy</v>
      </c>
      <c r="D1051" t="str">
        <f ca="1">OFFSET(Industries!E$1,MATCH(Table1[[#This Row],[Ticker]],Industries!$A$2:$A$150,0),0)</f>
        <v>Energy Equipment and Services</v>
      </c>
      <c r="E1051" t="s">
        <v>290</v>
      </c>
      <c r="F1051" t="str">
        <f ca="1">OFFSET(Industries!B$1,MATCH(Table1[[#This Row],[Ticker]],Industries!$A$2:$A$140,0),0)</f>
        <v>Large-Cap</v>
      </c>
      <c r="G1051" t="str">
        <f ca="1">OFFSET(Industries!F$1,MATCH(Table1[[#This Row],[Ticker]],Industries!$A$2:$A$140,0),0)</f>
        <v>BBB+</v>
      </c>
      <c r="H1051" t="s">
        <v>1434</v>
      </c>
      <c r="I1051" t="s">
        <v>1434</v>
      </c>
      <c r="J1051" s="2">
        <v>45384</v>
      </c>
      <c r="K1051" t="s">
        <v>2</v>
      </c>
      <c r="L1051" t="s">
        <v>1710</v>
      </c>
      <c r="M1051" t="s">
        <v>1709</v>
      </c>
      <c r="N1051" s="1">
        <f>Table1[[#This Row],[Consideration Weight]]</f>
        <v>0.25</v>
      </c>
      <c r="O1051" t="s">
        <v>488</v>
      </c>
      <c r="P1051" s="1">
        <v>0.25</v>
      </c>
      <c r="V1051" t="s">
        <v>658</v>
      </c>
    </row>
    <row r="1052" spans="1:22" x14ac:dyDescent="0.3">
      <c r="A1052" t="s">
        <v>647</v>
      </c>
      <c r="B1052" t="str">
        <f ca="1">OFFSET(Industries!C$1,MATCH(Table1[[#This Row],[Ticker]],Industries!$A$2:$A$150,0),0)</f>
        <v>Energy</v>
      </c>
      <c r="C1052" t="str">
        <f ca="1">OFFSET(Industries!D$1,MATCH(Table1[[#This Row],[Ticker]],Industries!$A$2:$A$150,0),0)</f>
        <v>Energy</v>
      </c>
      <c r="D1052" t="str">
        <f ca="1">OFFSET(Industries!E$1,MATCH(Table1[[#This Row],[Ticker]],Industries!$A$2:$A$150,0),0)</f>
        <v>Energy Equipment and Services</v>
      </c>
      <c r="E1052" t="s">
        <v>290</v>
      </c>
      <c r="F1052" t="str">
        <f ca="1">OFFSET(Industries!B$1,MATCH(Table1[[#This Row],[Ticker]],Industries!$A$2:$A$140,0),0)</f>
        <v>Large-Cap</v>
      </c>
      <c r="G1052" t="str">
        <f ca="1">OFFSET(Industries!F$1,MATCH(Table1[[#This Row],[Ticker]],Industries!$A$2:$A$140,0),0)</f>
        <v>BBB+</v>
      </c>
      <c r="H1052" t="s">
        <v>1434</v>
      </c>
      <c r="I1052" t="s">
        <v>1434</v>
      </c>
      <c r="J1052" s="2">
        <v>45384</v>
      </c>
      <c r="K1052" t="s">
        <v>2</v>
      </c>
      <c r="L1052" t="s">
        <v>1710</v>
      </c>
      <c r="M1052" t="s">
        <v>1711</v>
      </c>
      <c r="N1052" s="1">
        <f>Table1[[#This Row],[Consideration Weight]]</f>
        <v>0.22</v>
      </c>
      <c r="O1052" t="s">
        <v>194</v>
      </c>
      <c r="P1052" s="1">
        <v>0.22</v>
      </c>
    </row>
    <row r="1053" spans="1:22" x14ac:dyDescent="0.3">
      <c r="A1053" t="s">
        <v>647</v>
      </c>
      <c r="B1053" t="str">
        <f ca="1">OFFSET(Industries!C$1,MATCH(Table1[[#This Row],[Ticker]],Industries!$A$2:$A$150,0),0)</f>
        <v>Energy</v>
      </c>
      <c r="C1053" t="str">
        <f ca="1">OFFSET(Industries!D$1,MATCH(Table1[[#This Row],[Ticker]],Industries!$A$2:$A$150,0),0)</f>
        <v>Energy</v>
      </c>
      <c r="D1053" t="str">
        <f ca="1">OFFSET(Industries!E$1,MATCH(Table1[[#This Row],[Ticker]],Industries!$A$2:$A$150,0),0)</f>
        <v>Energy Equipment and Services</v>
      </c>
      <c r="E1053" t="s">
        <v>290</v>
      </c>
      <c r="F1053" t="str">
        <f ca="1">OFFSET(Industries!B$1,MATCH(Table1[[#This Row],[Ticker]],Industries!$A$2:$A$140,0),0)</f>
        <v>Large-Cap</v>
      </c>
      <c r="G1053" t="str">
        <f ca="1">OFFSET(Industries!F$1,MATCH(Table1[[#This Row],[Ticker]],Industries!$A$2:$A$140,0),0)</f>
        <v>BBB+</v>
      </c>
      <c r="H1053" t="s">
        <v>1434</v>
      </c>
      <c r="I1053" t="s">
        <v>1434</v>
      </c>
      <c r="J1053" s="2">
        <v>45384</v>
      </c>
      <c r="K1053" t="s">
        <v>21</v>
      </c>
      <c r="L1053" t="s">
        <v>3</v>
      </c>
      <c r="M1053" t="s">
        <v>1711</v>
      </c>
      <c r="N1053" s="1">
        <f>Table1[[#This Row],[Consideration Weight]]</f>
        <v>0.17</v>
      </c>
      <c r="O1053" t="s">
        <v>3</v>
      </c>
      <c r="P1053" s="1">
        <v>0.17</v>
      </c>
    </row>
    <row r="1054" spans="1:22" x14ac:dyDescent="0.3">
      <c r="A1054" t="s">
        <v>647</v>
      </c>
      <c r="B1054" t="str">
        <f ca="1">OFFSET(Industries!C$1,MATCH(Table1[[#This Row],[Ticker]],Industries!$A$2:$A$150,0),0)</f>
        <v>Energy</v>
      </c>
      <c r="C1054" t="str">
        <f ca="1">OFFSET(Industries!D$1,MATCH(Table1[[#This Row],[Ticker]],Industries!$A$2:$A$150,0),0)</f>
        <v>Energy</v>
      </c>
      <c r="D1054" t="str">
        <f ca="1">OFFSET(Industries!E$1,MATCH(Table1[[#This Row],[Ticker]],Industries!$A$2:$A$150,0),0)</f>
        <v>Energy Equipment and Services</v>
      </c>
      <c r="E1054" t="s">
        <v>290</v>
      </c>
      <c r="F1054" t="str">
        <f ca="1">OFFSET(Industries!B$1,MATCH(Table1[[#This Row],[Ticker]],Industries!$A$2:$A$140,0),0)</f>
        <v>Large-Cap</v>
      </c>
      <c r="G1054" t="str">
        <f ca="1">OFFSET(Industries!F$1,MATCH(Table1[[#This Row],[Ticker]],Industries!$A$2:$A$140,0),0)</f>
        <v>BBB+</v>
      </c>
      <c r="H1054" t="s">
        <v>1434</v>
      </c>
      <c r="I1054" t="s">
        <v>1434</v>
      </c>
      <c r="J1054" s="2">
        <v>45384</v>
      </c>
      <c r="K1054" t="s">
        <v>21</v>
      </c>
      <c r="L1054" t="s">
        <v>1708</v>
      </c>
      <c r="M1054" t="s">
        <v>1709</v>
      </c>
      <c r="N1054" s="1">
        <f>Table1[[#This Row],[Consideration Weight]]</f>
        <v>0.18</v>
      </c>
      <c r="O1054" t="s">
        <v>4</v>
      </c>
      <c r="P1054" s="1">
        <v>0.18</v>
      </c>
      <c r="Q1054" s="1" t="s">
        <v>1636</v>
      </c>
      <c r="R1054" t="s">
        <v>24</v>
      </c>
      <c r="S1054" t="s">
        <v>1118</v>
      </c>
      <c r="T1054" t="s">
        <v>648</v>
      </c>
      <c r="U1054" s="1">
        <v>0.6</v>
      </c>
    </row>
    <row r="1055" spans="1:22" x14ac:dyDescent="0.3">
      <c r="A1055" t="s">
        <v>647</v>
      </c>
      <c r="B1055" t="str">
        <f ca="1">OFFSET(Industries!C$1,MATCH(Table1[[#This Row],[Ticker]],Industries!$A$2:$A$150,0),0)</f>
        <v>Energy</v>
      </c>
      <c r="C1055" t="str">
        <f ca="1">OFFSET(Industries!D$1,MATCH(Table1[[#This Row],[Ticker]],Industries!$A$2:$A$150,0),0)</f>
        <v>Energy</v>
      </c>
      <c r="D1055" t="str">
        <f ca="1">OFFSET(Industries!E$1,MATCH(Table1[[#This Row],[Ticker]],Industries!$A$2:$A$150,0),0)</f>
        <v>Energy Equipment and Services</v>
      </c>
      <c r="E1055" t="s">
        <v>290</v>
      </c>
      <c r="F1055" t="str">
        <f ca="1">OFFSET(Industries!B$1,MATCH(Table1[[#This Row],[Ticker]],Industries!$A$2:$A$140,0),0)</f>
        <v>Large-Cap</v>
      </c>
      <c r="G1055" t="str">
        <f ca="1">OFFSET(Industries!F$1,MATCH(Table1[[#This Row],[Ticker]],Industries!$A$2:$A$140,0),0)</f>
        <v>BBB+</v>
      </c>
      <c r="H1055" t="s">
        <v>1434</v>
      </c>
      <c r="I1055" t="s">
        <v>1434</v>
      </c>
      <c r="J1055" s="2">
        <v>45384</v>
      </c>
      <c r="K1055" t="s">
        <v>21</v>
      </c>
      <c r="L1055" t="s">
        <v>1708</v>
      </c>
      <c r="M1055" t="s">
        <v>1709</v>
      </c>
      <c r="N1055" s="1"/>
      <c r="O1055" t="s">
        <v>4</v>
      </c>
      <c r="P1055" s="1">
        <v>0.18</v>
      </c>
      <c r="Q1055" s="1" t="s">
        <v>1636</v>
      </c>
      <c r="R1055" t="s">
        <v>23</v>
      </c>
      <c r="S1055" t="s">
        <v>1144</v>
      </c>
      <c r="T1055" t="s">
        <v>649</v>
      </c>
      <c r="U1055" s="1">
        <v>0.2</v>
      </c>
    </row>
    <row r="1056" spans="1:22" x14ac:dyDescent="0.3">
      <c r="A1056" t="s">
        <v>647</v>
      </c>
      <c r="B1056" t="str">
        <f ca="1">OFFSET(Industries!C$1,MATCH(Table1[[#This Row],[Ticker]],Industries!$A$2:$A$150,0),0)</f>
        <v>Energy</v>
      </c>
      <c r="C1056" t="str">
        <f ca="1">OFFSET(Industries!D$1,MATCH(Table1[[#This Row],[Ticker]],Industries!$A$2:$A$150,0),0)</f>
        <v>Energy</v>
      </c>
      <c r="D1056" t="str">
        <f ca="1">OFFSET(Industries!E$1,MATCH(Table1[[#This Row],[Ticker]],Industries!$A$2:$A$150,0),0)</f>
        <v>Energy Equipment and Services</v>
      </c>
      <c r="E1056" t="s">
        <v>290</v>
      </c>
      <c r="F1056" t="str">
        <f ca="1">OFFSET(Industries!B$1,MATCH(Table1[[#This Row],[Ticker]],Industries!$A$2:$A$140,0),0)</f>
        <v>Large-Cap</v>
      </c>
      <c r="G1056" t="str">
        <f ca="1">OFFSET(Industries!F$1,MATCH(Table1[[#This Row],[Ticker]],Industries!$A$2:$A$140,0),0)</f>
        <v>BBB+</v>
      </c>
      <c r="H1056" t="s">
        <v>1434</v>
      </c>
      <c r="I1056" t="s">
        <v>1434</v>
      </c>
      <c r="J1056" s="2">
        <v>45384</v>
      </c>
      <c r="K1056" t="s">
        <v>21</v>
      </c>
      <c r="L1056" t="s">
        <v>1708</v>
      </c>
      <c r="M1056" t="s">
        <v>1709</v>
      </c>
      <c r="N1056" s="1"/>
      <c r="O1056" t="s">
        <v>4</v>
      </c>
      <c r="P1056" s="1">
        <v>0.18</v>
      </c>
      <c r="Q1056" s="1" t="s">
        <v>1637</v>
      </c>
      <c r="R1056" t="s">
        <v>26</v>
      </c>
      <c r="S1056" t="s">
        <v>26</v>
      </c>
      <c r="T1056" t="s">
        <v>650</v>
      </c>
      <c r="U1056" s="1">
        <v>0.1</v>
      </c>
    </row>
    <row r="1057" spans="1:22" x14ac:dyDescent="0.3">
      <c r="A1057" t="s">
        <v>647</v>
      </c>
      <c r="B1057" t="str">
        <f ca="1">OFFSET(Industries!C$1,MATCH(Table1[[#This Row],[Ticker]],Industries!$A$2:$A$150,0),0)</f>
        <v>Energy</v>
      </c>
      <c r="C1057" t="str">
        <f ca="1">OFFSET(Industries!D$1,MATCH(Table1[[#This Row],[Ticker]],Industries!$A$2:$A$150,0),0)</f>
        <v>Energy</v>
      </c>
      <c r="D1057" t="str">
        <f ca="1">OFFSET(Industries!E$1,MATCH(Table1[[#This Row],[Ticker]],Industries!$A$2:$A$150,0),0)</f>
        <v>Energy Equipment and Services</v>
      </c>
      <c r="E1057" t="s">
        <v>290</v>
      </c>
      <c r="F1057" t="str">
        <f ca="1">OFFSET(Industries!B$1,MATCH(Table1[[#This Row],[Ticker]],Industries!$A$2:$A$140,0),0)</f>
        <v>Large-Cap</v>
      </c>
      <c r="G1057" t="str">
        <f ca="1">OFFSET(Industries!F$1,MATCH(Table1[[#This Row],[Ticker]],Industries!$A$2:$A$140,0),0)</f>
        <v>BBB+</v>
      </c>
      <c r="H1057" t="s">
        <v>1434</v>
      </c>
      <c r="I1057" t="s">
        <v>1434</v>
      </c>
      <c r="J1057" s="2">
        <v>45384</v>
      </c>
      <c r="K1057" t="s">
        <v>21</v>
      </c>
      <c r="L1057" t="s">
        <v>1708</v>
      </c>
      <c r="M1057" t="s">
        <v>1709</v>
      </c>
      <c r="N1057" s="1"/>
      <c r="O1057" t="s">
        <v>4</v>
      </c>
      <c r="P1057" s="1">
        <v>0.18</v>
      </c>
      <c r="Q1057" s="1" t="s">
        <v>1637</v>
      </c>
      <c r="R1057" t="s">
        <v>26</v>
      </c>
      <c r="S1057" t="s">
        <v>26</v>
      </c>
      <c r="T1057" t="s">
        <v>651</v>
      </c>
      <c r="U1057" s="1">
        <v>0.1</v>
      </c>
    </row>
    <row r="1058" spans="1:22" x14ac:dyDescent="0.3">
      <c r="A1058" t="s">
        <v>647</v>
      </c>
      <c r="B1058" t="str">
        <f ca="1">OFFSET(Industries!C$1,MATCH(Table1[[#This Row],[Ticker]],Industries!$A$2:$A$150,0),0)</f>
        <v>Energy</v>
      </c>
      <c r="C1058" t="str">
        <f ca="1">OFFSET(Industries!D$1,MATCH(Table1[[#This Row],[Ticker]],Industries!$A$2:$A$150,0),0)</f>
        <v>Energy</v>
      </c>
      <c r="D1058" t="str">
        <f ca="1">OFFSET(Industries!E$1,MATCH(Table1[[#This Row],[Ticker]],Industries!$A$2:$A$150,0),0)</f>
        <v>Energy Equipment and Services</v>
      </c>
      <c r="E1058" t="s">
        <v>290</v>
      </c>
      <c r="F1058" t="str">
        <f ca="1">OFFSET(Industries!B$1,MATCH(Table1[[#This Row],[Ticker]],Industries!$A$2:$A$140,0),0)</f>
        <v>Large-Cap</v>
      </c>
      <c r="G1058" t="str">
        <f ca="1">OFFSET(Industries!F$1,MATCH(Table1[[#This Row],[Ticker]],Industries!$A$2:$A$140,0),0)</f>
        <v>BBB+</v>
      </c>
      <c r="H1058" t="s">
        <v>1434</v>
      </c>
      <c r="I1058" t="s">
        <v>1434</v>
      </c>
      <c r="J1058" s="2">
        <v>45384</v>
      </c>
      <c r="K1058" t="s">
        <v>21</v>
      </c>
      <c r="L1058" t="s">
        <v>1710</v>
      </c>
      <c r="M1058" t="s">
        <v>1709</v>
      </c>
      <c r="N1058" s="1">
        <f>Table1[[#This Row],[Consideration Weight]]</f>
        <v>0.23</v>
      </c>
      <c r="O1058" t="s">
        <v>476</v>
      </c>
      <c r="P1058" s="1">
        <v>0.23</v>
      </c>
      <c r="Q1058" s="1" t="s">
        <v>1636</v>
      </c>
      <c r="R1058" t="s">
        <v>1059</v>
      </c>
      <c r="S1058" t="s">
        <v>1137</v>
      </c>
      <c r="T1058" t="s">
        <v>656</v>
      </c>
      <c r="U1058" s="1">
        <v>1</v>
      </c>
    </row>
    <row r="1059" spans="1:22" x14ac:dyDescent="0.3">
      <c r="A1059" t="s">
        <v>647</v>
      </c>
      <c r="B1059" t="str">
        <f ca="1">OFFSET(Industries!C$1,MATCH(Table1[[#This Row],[Ticker]],Industries!$A$2:$A$150,0),0)</f>
        <v>Energy</v>
      </c>
      <c r="C1059" t="str">
        <f ca="1">OFFSET(Industries!D$1,MATCH(Table1[[#This Row],[Ticker]],Industries!$A$2:$A$150,0),0)</f>
        <v>Energy</v>
      </c>
      <c r="D1059" t="str">
        <f ca="1">OFFSET(Industries!E$1,MATCH(Table1[[#This Row],[Ticker]],Industries!$A$2:$A$150,0),0)</f>
        <v>Energy Equipment and Services</v>
      </c>
      <c r="E1059" t="s">
        <v>290</v>
      </c>
      <c r="F1059" t="str">
        <f ca="1">OFFSET(Industries!B$1,MATCH(Table1[[#This Row],[Ticker]],Industries!$A$2:$A$140,0),0)</f>
        <v>Large-Cap</v>
      </c>
      <c r="G1059" t="str">
        <f ca="1">OFFSET(Industries!F$1,MATCH(Table1[[#This Row],[Ticker]],Industries!$A$2:$A$140,0),0)</f>
        <v>BBB+</v>
      </c>
      <c r="H1059" t="s">
        <v>1434</v>
      </c>
      <c r="I1059" t="s">
        <v>1434</v>
      </c>
      <c r="J1059" s="2">
        <v>45384</v>
      </c>
      <c r="K1059" t="s">
        <v>21</v>
      </c>
      <c r="L1059" t="s">
        <v>1710</v>
      </c>
      <c r="M1059" t="s">
        <v>1709</v>
      </c>
      <c r="N1059" s="1"/>
      <c r="O1059" t="s">
        <v>476</v>
      </c>
      <c r="P1059" s="1">
        <v>0.23</v>
      </c>
      <c r="R1059" t="s">
        <v>28</v>
      </c>
      <c r="S1059" t="s">
        <v>1085</v>
      </c>
      <c r="T1059" t="s">
        <v>30</v>
      </c>
    </row>
    <row r="1060" spans="1:22" x14ac:dyDescent="0.3">
      <c r="A1060" t="s">
        <v>647</v>
      </c>
      <c r="B1060" t="str">
        <f ca="1">OFFSET(Industries!C$1,MATCH(Table1[[#This Row],[Ticker]],Industries!$A$2:$A$150,0),0)</f>
        <v>Energy</v>
      </c>
      <c r="C1060" t="str">
        <f ca="1">OFFSET(Industries!D$1,MATCH(Table1[[#This Row],[Ticker]],Industries!$A$2:$A$150,0),0)</f>
        <v>Energy</v>
      </c>
      <c r="D1060" t="str">
        <f ca="1">OFFSET(Industries!E$1,MATCH(Table1[[#This Row],[Ticker]],Industries!$A$2:$A$150,0),0)</f>
        <v>Energy Equipment and Services</v>
      </c>
      <c r="E1060" t="s">
        <v>290</v>
      </c>
      <c r="F1060" t="str">
        <f ca="1">OFFSET(Industries!B$1,MATCH(Table1[[#This Row],[Ticker]],Industries!$A$2:$A$140,0),0)</f>
        <v>Large-Cap</v>
      </c>
      <c r="G1060" t="str">
        <f ca="1">OFFSET(Industries!F$1,MATCH(Table1[[#This Row],[Ticker]],Industries!$A$2:$A$140,0),0)</f>
        <v>BBB+</v>
      </c>
      <c r="H1060" t="s">
        <v>1434</v>
      </c>
      <c r="I1060" t="s">
        <v>1434</v>
      </c>
      <c r="J1060" s="2">
        <v>45384</v>
      </c>
      <c r="K1060" t="s">
        <v>21</v>
      </c>
      <c r="L1060" t="s">
        <v>1710</v>
      </c>
      <c r="M1060" t="s">
        <v>1709</v>
      </c>
      <c r="N1060" s="1"/>
      <c r="O1060" t="s">
        <v>476</v>
      </c>
      <c r="P1060" s="1">
        <v>0.23</v>
      </c>
      <c r="R1060" t="s">
        <v>28</v>
      </c>
      <c r="S1060" t="s">
        <v>1150</v>
      </c>
      <c r="T1060" t="s">
        <v>654</v>
      </c>
    </row>
    <row r="1061" spans="1:22" x14ac:dyDescent="0.3">
      <c r="A1061" t="s">
        <v>647</v>
      </c>
      <c r="B1061" t="str">
        <f ca="1">OFFSET(Industries!C$1,MATCH(Table1[[#This Row],[Ticker]],Industries!$A$2:$A$150,0),0)</f>
        <v>Energy</v>
      </c>
      <c r="C1061" t="str">
        <f ca="1">OFFSET(Industries!D$1,MATCH(Table1[[#This Row],[Ticker]],Industries!$A$2:$A$150,0),0)</f>
        <v>Energy</v>
      </c>
      <c r="D1061" t="str">
        <f ca="1">OFFSET(Industries!E$1,MATCH(Table1[[#This Row],[Ticker]],Industries!$A$2:$A$150,0),0)</f>
        <v>Energy Equipment and Services</v>
      </c>
      <c r="E1061" t="s">
        <v>290</v>
      </c>
      <c r="F1061" t="str">
        <f ca="1">OFFSET(Industries!B$1,MATCH(Table1[[#This Row],[Ticker]],Industries!$A$2:$A$140,0),0)</f>
        <v>Large-Cap</v>
      </c>
      <c r="G1061" t="str">
        <f ca="1">OFFSET(Industries!F$1,MATCH(Table1[[#This Row],[Ticker]],Industries!$A$2:$A$140,0),0)</f>
        <v>BBB+</v>
      </c>
      <c r="H1061" t="s">
        <v>1434</v>
      </c>
      <c r="I1061" t="s">
        <v>1434</v>
      </c>
      <c r="J1061" s="2">
        <v>45384</v>
      </c>
      <c r="K1061" t="s">
        <v>21</v>
      </c>
      <c r="L1061" t="s">
        <v>1710</v>
      </c>
      <c r="M1061" t="s">
        <v>1709</v>
      </c>
      <c r="N1061" s="1">
        <f>Table1[[#This Row],[Consideration Weight]]</f>
        <v>0.23</v>
      </c>
      <c r="O1061" t="s">
        <v>488</v>
      </c>
      <c r="P1061" s="1">
        <v>0.23</v>
      </c>
      <c r="V1061" t="s">
        <v>658</v>
      </c>
    </row>
    <row r="1062" spans="1:22" x14ac:dyDescent="0.3">
      <c r="A1062" t="s">
        <v>647</v>
      </c>
      <c r="B1062" t="str">
        <f ca="1">OFFSET(Industries!C$1,MATCH(Table1[[#This Row],[Ticker]],Industries!$A$2:$A$150,0),0)</f>
        <v>Energy</v>
      </c>
      <c r="C1062" t="str">
        <f ca="1">OFFSET(Industries!D$1,MATCH(Table1[[#This Row],[Ticker]],Industries!$A$2:$A$150,0),0)</f>
        <v>Energy</v>
      </c>
      <c r="D1062" t="str">
        <f ca="1">OFFSET(Industries!E$1,MATCH(Table1[[#This Row],[Ticker]],Industries!$A$2:$A$150,0),0)</f>
        <v>Energy Equipment and Services</v>
      </c>
      <c r="E1062" t="s">
        <v>290</v>
      </c>
      <c r="F1062" t="str">
        <f ca="1">OFFSET(Industries!B$1,MATCH(Table1[[#This Row],[Ticker]],Industries!$A$2:$A$140,0),0)</f>
        <v>Large-Cap</v>
      </c>
      <c r="G1062" t="str">
        <f ca="1">OFFSET(Industries!F$1,MATCH(Table1[[#This Row],[Ticker]],Industries!$A$2:$A$140,0),0)</f>
        <v>BBB+</v>
      </c>
      <c r="H1062" t="s">
        <v>1434</v>
      </c>
      <c r="I1062" t="s">
        <v>1434</v>
      </c>
      <c r="J1062" s="2">
        <v>45384</v>
      </c>
      <c r="K1062" t="s">
        <v>21</v>
      </c>
      <c r="L1062" t="s">
        <v>1710</v>
      </c>
      <c r="M1062" t="s">
        <v>1711</v>
      </c>
      <c r="N1062" s="1">
        <f>Table1[[#This Row],[Consideration Weight]]</f>
        <v>0.19</v>
      </c>
      <c r="O1062" t="s">
        <v>194</v>
      </c>
      <c r="P1062" s="1">
        <v>0.19</v>
      </c>
    </row>
    <row r="1063" spans="1:22" x14ac:dyDescent="0.3">
      <c r="A1063" t="s">
        <v>1356</v>
      </c>
      <c r="B1063" t="str">
        <f ca="1">OFFSET(Industries!C$1,MATCH(Table1[[#This Row],[Ticker]],Industries!$A$2:$A$150,0),0)</f>
        <v>Financials</v>
      </c>
      <c r="C1063" t="str">
        <f ca="1">OFFSET(Industries!D$1,MATCH(Table1[[#This Row],[Ticker]],Industries!$A$2:$A$150,0),0)</f>
        <v>Banks</v>
      </c>
      <c r="D1063" t="str">
        <f ca="1">OFFSET(Industries!E$1,MATCH(Table1[[#This Row],[Ticker]],Industries!$A$2:$A$150,0),0)</f>
        <v>Banks</v>
      </c>
      <c r="E1063" t="s">
        <v>93</v>
      </c>
      <c r="F1063" t="str">
        <f ca="1">OFFSET(Industries!B$1,MATCH(Table1[[#This Row],[Ticker]],Industries!$A$2:$A$140,0),0)</f>
        <v>Mega-Cap</v>
      </c>
      <c r="G1063" t="str">
        <f ca="1">OFFSET(Industries!F$1,MATCH(Table1[[#This Row],[Ticker]],Industries!$A$2:$A$140,0),0)</f>
        <v>BBB+</v>
      </c>
      <c r="H1063" t="s">
        <v>1434</v>
      </c>
      <c r="I1063" t="s">
        <v>1434</v>
      </c>
      <c r="J1063" s="2">
        <v>45369</v>
      </c>
      <c r="K1063" t="s">
        <v>2</v>
      </c>
      <c r="L1063" t="s">
        <v>3</v>
      </c>
      <c r="M1063" t="s">
        <v>1711</v>
      </c>
      <c r="N1063" s="1">
        <f>Table1[[#This Row],[Consideration Weight]]</f>
        <v>8.6206896551724144E-2</v>
      </c>
      <c r="O1063" t="s">
        <v>3</v>
      </c>
      <c r="P1063" s="1">
        <v>8.6206896551724144E-2</v>
      </c>
    </row>
    <row r="1064" spans="1:22" x14ac:dyDescent="0.3">
      <c r="A1064" t="s">
        <v>1356</v>
      </c>
      <c r="B1064" t="str">
        <f ca="1">OFFSET(Industries!C$1,MATCH(Table1[[#This Row],[Ticker]],Industries!$A$2:$A$150,0),0)</f>
        <v>Financials</v>
      </c>
      <c r="C1064" t="str">
        <f ca="1">OFFSET(Industries!D$1,MATCH(Table1[[#This Row],[Ticker]],Industries!$A$2:$A$150,0),0)</f>
        <v>Banks</v>
      </c>
      <c r="D1064" t="str">
        <f ca="1">OFFSET(Industries!E$1,MATCH(Table1[[#This Row],[Ticker]],Industries!$A$2:$A$150,0),0)</f>
        <v>Banks</v>
      </c>
      <c r="E1064" t="s">
        <v>93</v>
      </c>
      <c r="F1064" t="str">
        <f ca="1">OFFSET(Industries!B$1,MATCH(Table1[[#This Row],[Ticker]],Industries!$A$2:$A$140,0),0)</f>
        <v>Mega-Cap</v>
      </c>
      <c r="G1064" t="str">
        <f ca="1">OFFSET(Industries!F$1,MATCH(Table1[[#This Row],[Ticker]],Industries!$A$2:$A$140,0),0)</f>
        <v>BBB+</v>
      </c>
      <c r="H1064" t="s">
        <v>1434</v>
      </c>
      <c r="I1064" t="s">
        <v>1434</v>
      </c>
      <c r="J1064" s="2">
        <v>45369</v>
      </c>
      <c r="K1064" t="s">
        <v>2</v>
      </c>
      <c r="L1064" t="s">
        <v>1708</v>
      </c>
      <c r="M1064" t="s">
        <v>1709</v>
      </c>
      <c r="N1064" s="1">
        <f>Table1[[#This Row],[Consideration Weight]]</f>
        <v>0.22844827586206898</v>
      </c>
      <c r="O1064" t="s">
        <v>4</v>
      </c>
      <c r="P1064" s="1">
        <v>0.22844827586206898</v>
      </c>
      <c r="Q1064" s="1" t="s">
        <v>1637</v>
      </c>
      <c r="R1064" t="s">
        <v>25</v>
      </c>
      <c r="S1064" t="s">
        <v>1086</v>
      </c>
      <c r="T1064" t="s">
        <v>668</v>
      </c>
      <c r="U1064" s="1">
        <v>0.65</v>
      </c>
      <c r="V1064" t="s">
        <v>1672</v>
      </c>
    </row>
    <row r="1065" spans="1:22" x14ac:dyDescent="0.3">
      <c r="A1065" t="s">
        <v>1356</v>
      </c>
      <c r="B1065" t="str">
        <f ca="1">OFFSET(Industries!C$1,MATCH(Table1[[#This Row],[Ticker]],Industries!$A$2:$A$150,0),0)</f>
        <v>Financials</v>
      </c>
      <c r="C1065" t="str">
        <f ca="1">OFFSET(Industries!D$1,MATCH(Table1[[#This Row],[Ticker]],Industries!$A$2:$A$150,0),0)</f>
        <v>Banks</v>
      </c>
      <c r="D1065" t="str">
        <f ca="1">OFFSET(Industries!E$1,MATCH(Table1[[#This Row],[Ticker]],Industries!$A$2:$A$150,0),0)</f>
        <v>Banks</v>
      </c>
      <c r="E1065" t="s">
        <v>93</v>
      </c>
      <c r="F1065" t="str">
        <f ca="1">OFFSET(Industries!B$1,MATCH(Table1[[#This Row],[Ticker]],Industries!$A$2:$A$140,0),0)</f>
        <v>Mega-Cap</v>
      </c>
      <c r="G1065" t="str">
        <f ca="1">OFFSET(Industries!F$1,MATCH(Table1[[#This Row],[Ticker]],Industries!$A$2:$A$140,0),0)</f>
        <v>BBB+</v>
      </c>
      <c r="H1065" t="s">
        <v>1434</v>
      </c>
      <c r="I1065" t="s">
        <v>1434</v>
      </c>
      <c r="J1065" s="2">
        <v>45369</v>
      </c>
      <c r="K1065" t="s">
        <v>2</v>
      </c>
      <c r="L1065" t="s">
        <v>1708</v>
      </c>
      <c r="M1065" t="s">
        <v>1709</v>
      </c>
      <c r="N1065" s="1"/>
      <c r="O1065" t="s">
        <v>4</v>
      </c>
      <c r="P1065" s="1">
        <v>0.22844827586206898</v>
      </c>
      <c r="Q1065" s="1" t="s">
        <v>1637</v>
      </c>
      <c r="R1065" t="s">
        <v>332</v>
      </c>
      <c r="S1065" t="s">
        <v>380</v>
      </c>
      <c r="T1065" t="s">
        <v>380</v>
      </c>
      <c r="U1065" s="1">
        <v>0.35</v>
      </c>
      <c r="V1065" t="s">
        <v>661</v>
      </c>
    </row>
    <row r="1066" spans="1:22" x14ac:dyDescent="0.3">
      <c r="A1066" t="s">
        <v>1356</v>
      </c>
      <c r="B1066" t="str">
        <f ca="1">OFFSET(Industries!C$1,MATCH(Table1[[#This Row],[Ticker]],Industries!$A$2:$A$150,0),0)</f>
        <v>Financials</v>
      </c>
      <c r="C1066" t="str">
        <f ca="1">OFFSET(Industries!D$1,MATCH(Table1[[#This Row],[Ticker]],Industries!$A$2:$A$150,0),0)</f>
        <v>Banks</v>
      </c>
      <c r="D1066" t="str">
        <f ca="1">OFFSET(Industries!E$1,MATCH(Table1[[#This Row],[Ticker]],Industries!$A$2:$A$150,0),0)</f>
        <v>Banks</v>
      </c>
      <c r="E1066" t="s">
        <v>93</v>
      </c>
      <c r="F1066" t="str">
        <f ca="1">OFFSET(Industries!B$1,MATCH(Table1[[#This Row],[Ticker]],Industries!$A$2:$A$140,0),0)</f>
        <v>Mega-Cap</v>
      </c>
      <c r="G1066" t="str">
        <f ca="1">OFFSET(Industries!F$1,MATCH(Table1[[#This Row],[Ticker]],Industries!$A$2:$A$140,0),0)</f>
        <v>BBB+</v>
      </c>
      <c r="H1066" t="s">
        <v>1434</v>
      </c>
      <c r="I1066" t="s">
        <v>1434</v>
      </c>
      <c r="J1066" s="2">
        <v>45369</v>
      </c>
      <c r="K1066" t="s">
        <v>2</v>
      </c>
      <c r="L1066" t="s">
        <v>1710</v>
      </c>
      <c r="M1066" t="s">
        <v>1709</v>
      </c>
      <c r="N1066" s="1">
        <f>Table1[[#This Row],[Consideration Weight]]</f>
        <v>0.44547413793103446</v>
      </c>
      <c r="O1066" t="s">
        <v>476</v>
      </c>
      <c r="P1066" s="1">
        <v>0.44547413793103446</v>
      </c>
      <c r="Q1066" s="1" t="s">
        <v>1636</v>
      </c>
      <c r="R1066" t="s">
        <v>1059</v>
      </c>
      <c r="S1066" t="s">
        <v>1099</v>
      </c>
      <c r="T1066" t="s">
        <v>662</v>
      </c>
      <c r="U1066" s="1">
        <v>0.75</v>
      </c>
      <c r="V1066" t="s">
        <v>669</v>
      </c>
    </row>
    <row r="1067" spans="1:22" x14ac:dyDescent="0.3">
      <c r="A1067" t="s">
        <v>1356</v>
      </c>
      <c r="B1067" t="str">
        <f ca="1">OFFSET(Industries!C$1,MATCH(Table1[[#This Row],[Ticker]],Industries!$A$2:$A$150,0),0)</f>
        <v>Financials</v>
      </c>
      <c r="C1067" t="str">
        <f ca="1">OFFSET(Industries!D$1,MATCH(Table1[[#This Row],[Ticker]],Industries!$A$2:$A$150,0),0)</f>
        <v>Banks</v>
      </c>
      <c r="D1067" t="str">
        <f ca="1">OFFSET(Industries!E$1,MATCH(Table1[[#This Row],[Ticker]],Industries!$A$2:$A$150,0),0)</f>
        <v>Banks</v>
      </c>
      <c r="E1067" t="s">
        <v>93</v>
      </c>
      <c r="F1067" t="str">
        <f ca="1">OFFSET(Industries!B$1,MATCH(Table1[[#This Row],[Ticker]],Industries!$A$2:$A$140,0),0)</f>
        <v>Mega-Cap</v>
      </c>
      <c r="G1067" t="str">
        <f ca="1">OFFSET(Industries!F$1,MATCH(Table1[[#This Row],[Ticker]],Industries!$A$2:$A$140,0),0)</f>
        <v>BBB+</v>
      </c>
      <c r="H1067" t="s">
        <v>1434</v>
      </c>
      <c r="I1067" t="s">
        <v>1434</v>
      </c>
      <c r="J1067" s="2">
        <v>45369</v>
      </c>
      <c r="K1067" t="s">
        <v>2</v>
      </c>
      <c r="L1067" t="s">
        <v>1710</v>
      </c>
      <c r="M1067" t="s">
        <v>1709</v>
      </c>
      <c r="N1067" s="1"/>
      <c r="O1067" t="s">
        <v>476</v>
      </c>
      <c r="P1067" s="1">
        <v>0.44547413793103446</v>
      </c>
      <c r="Q1067" s="1" t="s">
        <v>1636</v>
      </c>
      <c r="R1067" t="s">
        <v>1059</v>
      </c>
      <c r="S1067" t="s">
        <v>1146</v>
      </c>
      <c r="T1067" t="s">
        <v>663</v>
      </c>
      <c r="U1067" s="1">
        <v>0.25</v>
      </c>
      <c r="V1067" t="s">
        <v>506</v>
      </c>
    </row>
    <row r="1068" spans="1:22" x14ac:dyDescent="0.3">
      <c r="A1068" t="s">
        <v>1356</v>
      </c>
      <c r="B1068" t="str">
        <f ca="1">OFFSET(Industries!C$1,MATCH(Table1[[#This Row],[Ticker]],Industries!$A$2:$A$150,0),0)</f>
        <v>Financials</v>
      </c>
      <c r="C1068" t="str">
        <f ca="1">OFFSET(Industries!D$1,MATCH(Table1[[#This Row],[Ticker]],Industries!$A$2:$A$150,0),0)</f>
        <v>Banks</v>
      </c>
      <c r="D1068" t="str">
        <f ca="1">OFFSET(Industries!E$1,MATCH(Table1[[#This Row],[Ticker]],Industries!$A$2:$A$150,0),0)</f>
        <v>Banks</v>
      </c>
      <c r="E1068" t="s">
        <v>93</v>
      </c>
      <c r="F1068" t="str">
        <f ca="1">OFFSET(Industries!B$1,MATCH(Table1[[#This Row],[Ticker]],Industries!$A$2:$A$140,0),0)</f>
        <v>Mega-Cap</v>
      </c>
      <c r="G1068" t="str">
        <f ca="1">OFFSET(Industries!F$1,MATCH(Table1[[#This Row],[Ticker]],Industries!$A$2:$A$140,0),0)</f>
        <v>BBB+</v>
      </c>
      <c r="H1068" t="s">
        <v>1434</v>
      </c>
      <c r="I1068" t="s">
        <v>1434</v>
      </c>
      <c r="J1068" s="2">
        <v>45369</v>
      </c>
      <c r="K1068" t="s">
        <v>2</v>
      </c>
      <c r="L1068" t="s">
        <v>1710</v>
      </c>
      <c r="M1068" t="s">
        <v>1709</v>
      </c>
      <c r="N1068" s="1"/>
      <c r="O1068" t="s">
        <v>476</v>
      </c>
      <c r="P1068" s="1">
        <v>0.44547413793103446</v>
      </c>
      <c r="R1068" t="s">
        <v>28</v>
      </c>
      <c r="S1068" t="s">
        <v>1085</v>
      </c>
      <c r="T1068" t="s">
        <v>30</v>
      </c>
      <c r="V1068" t="s">
        <v>664</v>
      </c>
    </row>
    <row r="1069" spans="1:22" x14ac:dyDescent="0.3">
      <c r="A1069" t="s">
        <v>1356</v>
      </c>
      <c r="B1069" t="str">
        <f ca="1">OFFSET(Industries!C$1,MATCH(Table1[[#This Row],[Ticker]],Industries!$A$2:$A$150,0),0)</f>
        <v>Financials</v>
      </c>
      <c r="C1069" t="str">
        <f ca="1">OFFSET(Industries!D$1,MATCH(Table1[[#This Row],[Ticker]],Industries!$A$2:$A$150,0),0)</f>
        <v>Banks</v>
      </c>
      <c r="D1069" t="str">
        <f ca="1">OFFSET(Industries!E$1,MATCH(Table1[[#This Row],[Ticker]],Industries!$A$2:$A$150,0),0)</f>
        <v>Banks</v>
      </c>
      <c r="E1069" t="s">
        <v>93</v>
      </c>
      <c r="F1069" t="str">
        <f ca="1">OFFSET(Industries!B$1,MATCH(Table1[[#This Row],[Ticker]],Industries!$A$2:$A$140,0),0)</f>
        <v>Mega-Cap</v>
      </c>
      <c r="G1069" t="str">
        <f ca="1">OFFSET(Industries!F$1,MATCH(Table1[[#This Row],[Ticker]],Industries!$A$2:$A$140,0),0)</f>
        <v>BBB+</v>
      </c>
      <c r="H1069" t="s">
        <v>1434</v>
      </c>
      <c r="I1069" t="s">
        <v>1434</v>
      </c>
      <c r="J1069" s="2">
        <v>45369</v>
      </c>
      <c r="K1069" t="s">
        <v>2</v>
      </c>
      <c r="L1069" t="s">
        <v>1710</v>
      </c>
      <c r="M1069" t="s">
        <v>1709</v>
      </c>
      <c r="N1069" s="1"/>
      <c r="O1069" t="s">
        <v>476</v>
      </c>
      <c r="P1069" s="1">
        <v>0.44547413793103446</v>
      </c>
      <c r="R1069" t="s">
        <v>28</v>
      </c>
      <c r="S1069" t="s">
        <v>1095</v>
      </c>
      <c r="T1069" t="s">
        <v>36</v>
      </c>
      <c r="V1069" t="s">
        <v>1776</v>
      </c>
    </row>
    <row r="1070" spans="1:22" x14ac:dyDescent="0.3">
      <c r="A1070" t="s">
        <v>1356</v>
      </c>
      <c r="B1070" t="str">
        <f ca="1">OFFSET(Industries!C$1,MATCH(Table1[[#This Row],[Ticker]],Industries!$A$2:$A$150,0),0)</f>
        <v>Financials</v>
      </c>
      <c r="C1070" t="str">
        <f ca="1">OFFSET(Industries!D$1,MATCH(Table1[[#This Row],[Ticker]],Industries!$A$2:$A$150,0),0)</f>
        <v>Banks</v>
      </c>
      <c r="D1070" t="str">
        <f ca="1">OFFSET(Industries!E$1,MATCH(Table1[[#This Row],[Ticker]],Industries!$A$2:$A$150,0),0)</f>
        <v>Banks</v>
      </c>
      <c r="E1070" t="s">
        <v>93</v>
      </c>
      <c r="F1070" t="str">
        <f ca="1">OFFSET(Industries!B$1,MATCH(Table1[[#This Row],[Ticker]],Industries!$A$2:$A$140,0),0)</f>
        <v>Mega-Cap</v>
      </c>
      <c r="G1070" t="str">
        <f ca="1">OFFSET(Industries!F$1,MATCH(Table1[[#This Row],[Ticker]],Industries!$A$2:$A$140,0),0)</f>
        <v>BBB+</v>
      </c>
      <c r="H1070" t="s">
        <v>1434</v>
      </c>
      <c r="I1070" t="s">
        <v>1434</v>
      </c>
      <c r="J1070" s="2">
        <v>45369</v>
      </c>
      <c r="K1070" t="s">
        <v>2</v>
      </c>
      <c r="L1070" t="s">
        <v>1710</v>
      </c>
      <c r="M1070" t="s">
        <v>1709</v>
      </c>
      <c r="N1070" s="1"/>
      <c r="O1070" t="s">
        <v>476</v>
      </c>
      <c r="P1070" s="1">
        <v>0.44547413793103446</v>
      </c>
      <c r="R1070" t="s">
        <v>28</v>
      </c>
      <c r="S1070" t="s">
        <v>1151</v>
      </c>
      <c r="T1070" t="s">
        <v>90</v>
      </c>
      <c r="V1070" t="s">
        <v>665</v>
      </c>
    </row>
    <row r="1071" spans="1:22" x14ac:dyDescent="0.3">
      <c r="A1071" t="s">
        <v>1356</v>
      </c>
      <c r="B1071" t="str">
        <f ca="1">OFFSET(Industries!C$1,MATCH(Table1[[#This Row],[Ticker]],Industries!$A$2:$A$150,0),0)</f>
        <v>Financials</v>
      </c>
      <c r="C1071" t="str">
        <f ca="1">OFFSET(Industries!D$1,MATCH(Table1[[#This Row],[Ticker]],Industries!$A$2:$A$150,0),0)</f>
        <v>Banks</v>
      </c>
      <c r="D1071" t="str">
        <f ca="1">OFFSET(Industries!E$1,MATCH(Table1[[#This Row],[Ticker]],Industries!$A$2:$A$150,0),0)</f>
        <v>Banks</v>
      </c>
      <c r="E1071" t="s">
        <v>93</v>
      </c>
      <c r="F1071" t="str">
        <f ca="1">OFFSET(Industries!B$1,MATCH(Table1[[#This Row],[Ticker]],Industries!$A$2:$A$140,0),0)</f>
        <v>Mega-Cap</v>
      </c>
      <c r="G1071" t="str">
        <f ca="1">OFFSET(Industries!F$1,MATCH(Table1[[#This Row],[Ticker]],Industries!$A$2:$A$140,0),0)</f>
        <v>BBB+</v>
      </c>
      <c r="H1071" t="s">
        <v>1434</v>
      </c>
      <c r="I1071" t="s">
        <v>1434</v>
      </c>
      <c r="J1071" s="2">
        <v>45369</v>
      </c>
      <c r="K1071" t="s">
        <v>2</v>
      </c>
      <c r="L1071" t="s">
        <v>1710</v>
      </c>
      <c r="M1071" t="s">
        <v>1711</v>
      </c>
      <c r="N1071" s="1">
        <f>Table1[[#This Row],[Consideration Weight]]</f>
        <v>0.23987068965517241</v>
      </c>
      <c r="O1071" t="s">
        <v>455</v>
      </c>
      <c r="P1071" s="1">
        <v>0.23987068965517241</v>
      </c>
      <c r="V1071" t="s">
        <v>666</v>
      </c>
    </row>
    <row r="1072" spans="1:22" x14ac:dyDescent="0.3">
      <c r="A1072" t="s">
        <v>1356</v>
      </c>
      <c r="B1072" t="str">
        <f ca="1">OFFSET(Industries!C$1,MATCH(Table1[[#This Row],[Ticker]],Industries!$A$2:$A$150,0),0)</f>
        <v>Financials</v>
      </c>
      <c r="C1072" t="str">
        <f ca="1">OFFSET(Industries!D$1,MATCH(Table1[[#This Row],[Ticker]],Industries!$A$2:$A$150,0),0)</f>
        <v>Banks</v>
      </c>
      <c r="D1072" t="str">
        <f ca="1">OFFSET(Industries!E$1,MATCH(Table1[[#This Row],[Ticker]],Industries!$A$2:$A$150,0),0)</f>
        <v>Banks</v>
      </c>
      <c r="E1072" t="s">
        <v>93</v>
      </c>
      <c r="F1072" t="str">
        <f ca="1">OFFSET(Industries!B$1,MATCH(Table1[[#This Row],[Ticker]],Industries!$A$2:$A$140,0),0)</f>
        <v>Mega-Cap</v>
      </c>
      <c r="G1072" t="str">
        <f ca="1">OFFSET(Industries!F$1,MATCH(Table1[[#This Row],[Ticker]],Industries!$A$2:$A$140,0),0)</f>
        <v>BBB+</v>
      </c>
      <c r="H1072" t="s">
        <v>1434</v>
      </c>
      <c r="I1072" t="s">
        <v>1434</v>
      </c>
      <c r="J1072" s="2">
        <v>45369</v>
      </c>
      <c r="K1072" t="s">
        <v>21</v>
      </c>
      <c r="L1072" t="s">
        <v>3</v>
      </c>
      <c r="M1072" t="s">
        <v>1711</v>
      </c>
      <c r="N1072" s="1">
        <f>Table1[[#This Row],[Consideration Weight]]</f>
        <v>0.14000000000000001</v>
      </c>
      <c r="O1072" t="s">
        <v>3</v>
      </c>
      <c r="P1072" s="1">
        <v>0.14000000000000001</v>
      </c>
    </row>
    <row r="1073" spans="1:22" x14ac:dyDescent="0.3">
      <c r="A1073" t="s">
        <v>1356</v>
      </c>
      <c r="B1073" t="str">
        <f ca="1">OFFSET(Industries!C$1,MATCH(Table1[[#This Row],[Ticker]],Industries!$A$2:$A$150,0),0)</f>
        <v>Financials</v>
      </c>
      <c r="C1073" t="str">
        <f ca="1">OFFSET(Industries!D$1,MATCH(Table1[[#This Row],[Ticker]],Industries!$A$2:$A$150,0),0)</f>
        <v>Banks</v>
      </c>
      <c r="D1073" t="str">
        <f ca="1">OFFSET(Industries!E$1,MATCH(Table1[[#This Row],[Ticker]],Industries!$A$2:$A$150,0),0)</f>
        <v>Banks</v>
      </c>
      <c r="E1073" t="s">
        <v>93</v>
      </c>
      <c r="F1073" t="str">
        <f ca="1">OFFSET(Industries!B$1,MATCH(Table1[[#This Row],[Ticker]],Industries!$A$2:$A$140,0),0)</f>
        <v>Mega-Cap</v>
      </c>
      <c r="G1073" t="str">
        <f ca="1">OFFSET(Industries!F$1,MATCH(Table1[[#This Row],[Ticker]],Industries!$A$2:$A$140,0),0)</f>
        <v>BBB+</v>
      </c>
      <c r="H1073" t="s">
        <v>1434</v>
      </c>
      <c r="I1073" t="s">
        <v>1434</v>
      </c>
      <c r="J1073" s="2">
        <v>45369</v>
      </c>
      <c r="K1073" t="s">
        <v>21</v>
      </c>
      <c r="L1073" t="s">
        <v>1708</v>
      </c>
      <c r="M1073" t="s">
        <v>1709</v>
      </c>
      <c r="N1073" s="1">
        <f>Table1[[#This Row],[Consideration Weight]]</f>
        <v>0.26</v>
      </c>
      <c r="O1073" t="s">
        <v>4</v>
      </c>
      <c r="P1073" s="1">
        <v>0.26</v>
      </c>
      <c r="Q1073" s="1" t="s">
        <v>1637</v>
      </c>
      <c r="R1073" t="s">
        <v>25</v>
      </c>
      <c r="S1073" t="s">
        <v>1086</v>
      </c>
      <c r="T1073" t="s">
        <v>668</v>
      </c>
      <c r="U1073" s="1">
        <v>0.5</v>
      </c>
      <c r="V1073" t="s">
        <v>667</v>
      </c>
    </row>
    <row r="1074" spans="1:22" x14ac:dyDescent="0.3">
      <c r="A1074" t="s">
        <v>1356</v>
      </c>
      <c r="B1074" t="str">
        <f ca="1">OFFSET(Industries!C$1,MATCH(Table1[[#This Row],[Ticker]],Industries!$A$2:$A$150,0),0)</f>
        <v>Financials</v>
      </c>
      <c r="C1074" t="str">
        <f ca="1">OFFSET(Industries!D$1,MATCH(Table1[[#This Row],[Ticker]],Industries!$A$2:$A$150,0),0)</f>
        <v>Banks</v>
      </c>
      <c r="D1074" t="str">
        <f ca="1">OFFSET(Industries!E$1,MATCH(Table1[[#This Row],[Ticker]],Industries!$A$2:$A$150,0),0)</f>
        <v>Banks</v>
      </c>
      <c r="E1074" t="s">
        <v>93</v>
      </c>
      <c r="F1074" t="str">
        <f ca="1">OFFSET(Industries!B$1,MATCH(Table1[[#This Row],[Ticker]],Industries!$A$2:$A$140,0),0)</f>
        <v>Mega-Cap</v>
      </c>
      <c r="G1074" t="str">
        <f ca="1">OFFSET(Industries!F$1,MATCH(Table1[[#This Row],[Ticker]],Industries!$A$2:$A$140,0),0)</f>
        <v>BBB+</v>
      </c>
      <c r="H1074" t="s">
        <v>1434</v>
      </c>
      <c r="I1074" t="s">
        <v>1434</v>
      </c>
      <c r="J1074" s="2">
        <v>45369</v>
      </c>
      <c r="K1074" t="s">
        <v>21</v>
      </c>
      <c r="L1074" t="s">
        <v>1708</v>
      </c>
      <c r="M1074" t="s">
        <v>1709</v>
      </c>
      <c r="N1074" s="1"/>
      <c r="O1074" t="s">
        <v>4</v>
      </c>
      <c r="P1074" s="1">
        <v>0.26</v>
      </c>
      <c r="Q1074" s="1" t="s">
        <v>1637</v>
      </c>
      <c r="R1074" t="s">
        <v>332</v>
      </c>
      <c r="S1074" t="s">
        <v>380</v>
      </c>
      <c r="T1074" t="s">
        <v>380</v>
      </c>
      <c r="U1074" s="1">
        <v>0.5</v>
      </c>
    </row>
    <row r="1075" spans="1:22" x14ac:dyDescent="0.3">
      <c r="A1075" t="s">
        <v>1356</v>
      </c>
      <c r="B1075" t="str">
        <f ca="1">OFFSET(Industries!C$1,MATCH(Table1[[#This Row],[Ticker]],Industries!$A$2:$A$150,0),0)</f>
        <v>Financials</v>
      </c>
      <c r="C1075" t="str">
        <f ca="1">OFFSET(Industries!D$1,MATCH(Table1[[#This Row],[Ticker]],Industries!$A$2:$A$150,0),0)</f>
        <v>Banks</v>
      </c>
      <c r="D1075" t="str">
        <f ca="1">OFFSET(Industries!E$1,MATCH(Table1[[#This Row],[Ticker]],Industries!$A$2:$A$150,0),0)</f>
        <v>Banks</v>
      </c>
      <c r="E1075" t="s">
        <v>93</v>
      </c>
      <c r="F1075" t="str">
        <f ca="1">OFFSET(Industries!B$1,MATCH(Table1[[#This Row],[Ticker]],Industries!$A$2:$A$140,0),0)</f>
        <v>Mega-Cap</v>
      </c>
      <c r="G1075" t="str">
        <f ca="1">OFFSET(Industries!F$1,MATCH(Table1[[#This Row],[Ticker]],Industries!$A$2:$A$140,0),0)</f>
        <v>BBB+</v>
      </c>
      <c r="H1075" t="s">
        <v>1434</v>
      </c>
      <c r="I1075" t="s">
        <v>1434</v>
      </c>
      <c r="J1075" s="2">
        <v>45369</v>
      </c>
      <c r="K1075" t="s">
        <v>21</v>
      </c>
      <c r="L1075" t="s">
        <v>1710</v>
      </c>
      <c r="M1075" t="s">
        <v>1709</v>
      </c>
      <c r="N1075" s="1">
        <f>Table1[[#This Row],[Consideration Weight]]</f>
        <v>0.3</v>
      </c>
      <c r="O1075" t="s">
        <v>476</v>
      </c>
      <c r="P1075" s="1">
        <v>0.3</v>
      </c>
      <c r="Q1075" s="1" t="s">
        <v>1636</v>
      </c>
      <c r="R1075" t="s">
        <v>1059</v>
      </c>
      <c r="S1075" t="s">
        <v>1099</v>
      </c>
      <c r="T1075" t="s">
        <v>662</v>
      </c>
      <c r="U1075" s="1">
        <v>0.75</v>
      </c>
    </row>
    <row r="1076" spans="1:22" x14ac:dyDescent="0.3">
      <c r="A1076" t="s">
        <v>1356</v>
      </c>
      <c r="B1076" t="str">
        <f ca="1">OFFSET(Industries!C$1,MATCH(Table1[[#This Row],[Ticker]],Industries!$A$2:$A$150,0),0)</f>
        <v>Financials</v>
      </c>
      <c r="C1076" t="str">
        <f ca="1">OFFSET(Industries!D$1,MATCH(Table1[[#This Row],[Ticker]],Industries!$A$2:$A$150,0),0)</f>
        <v>Banks</v>
      </c>
      <c r="D1076" t="str">
        <f ca="1">OFFSET(Industries!E$1,MATCH(Table1[[#This Row],[Ticker]],Industries!$A$2:$A$150,0),0)</f>
        <v>Banks</v>
      </c>
      <c r="E1076" t="s">
        <v>93</v>
      </c>
      <c r="F1076" t="str">
        <f ca="1">OFFSET(Industries!B$1,MATCH(Table1[[#This Row],[Ticker]],Industries!$A$2:$A$140,0),0)</f>
        <v>Mega-Cap</v>
      </c>
      <c r="G1076" t="str">
        <f ca="1">OFFSET(Industries!F$1,MATCH(Table1[[#This Row],[Ticker]],Industries!$A$2:$A$140,0),0)</f>
        <v>BBB+</v>
      </c>
      <c r="H1076" t="s">
        <v>1434</v>
      </c>
      <c r="I1076" t="s">
        <v>1434</v>
      </c>
      <c r="J1076" s="2">
        <v>45369</v>
      </c>
      <c r="K1076" t="s">
        <v>21</v>
      </c>
      <c r="L1076" t="s">
        <v>1710</v>
      </c>
      <c r="M1076" t="s">
        <v>1709</v>
      </c>
      <c r="N1076" s="1"/>
      <c r="O1076" t="s">
        <v>476</v>
      </c>
      <c r="P1076" s="1">
        <v>0.3</v>
      </c>
      <c r="Q1076" s="1" t="s">
        <v>1636</v>
      </c>
      <c r="R1076" t="s">
        <v>1059</v>
      </c>
      <c r="S1076" t="s">
        <v>1146</v>
      </c>
      <c r="T1076" t="s">
        <v>663</v>
      </c>
      <c r="U1076" s="1">
        <v>0.25</v>
      </c>
    </row>
    <row r="1077" spans="1:22" x14ac:dyDescent="0.3">
      <c r="A1077" t="s">
        <v>1356</v>
      </c>
      <c r="B1077" t="str">
        <f ca="1">OFFSET(Industries!C$1,MATCH(Table1[[#This Row],[Ticker]],Industries!$A$2:$A$150,0),0)</f>
        <v>Financials</v>
      </c>
      <c r="C1077" t="str">
        <f ca="1">OFFSET(Industries!D$1,MATCH(Table1[[#This Row],[Ticker]],Industries!$A$2:$A$150,0),0)</f>
        <v>Banks</v>
      </c>
      <c r="D1077" t="str">
        <f ca="1">OFFSET(Industries!E$1,MATCH(Table1[[#This Row],[Ticker]],Industries!$A$2:$A$150,0),0)</f>
        <v>Banks</v>
      </c>
      <c r="E1077" t="s">
        <v>93</v>
      </c>
      <c r="F1077" t="str">
        <f ca="1">OFFSET(Industries!B$1,MATCH(Table1[[#This Row],[Ticker]],Industries!$A$2:$A$140,0),0)</f>
        <v>Mega-Cap</v>
      </c>
      <c r="G1077" t="str">
        <f ca="1">OFFSET(Industries!F$1,MATCH(Table1[[#This Row],[Ticker]],Industries!$A$2:$A$140,0),0)</f>
        <v>BBB+</v>
      </c>
      <c r="H1077" t="s">
        <v>1434</v>
      </c>
      <c r="I1077" t="s">
        <v>1434</v>
      </c>
      <c r="J1077" s="2">
        <v>45369</v>
      </c>
      <c r="K1077" t="s">
        <v>21</v>
      </c>
      <c r="L1077" t="s">
        <v>1710</v>
      </c>
      <c r="M1077" t="s">
        <v>1709</v>
      </c>
      <c r="N1077" s="1"/>
      <c r="O1077" t="s">
        <v>476</v>
      </c>
      <c r="P1077" s="1">
        <v>0.3</v>
      </c>
      <c r="R1077" t="s">
        <v>28</v>
      </c>
      <c r="S1077" t="s">
        <v>1085</v>
      </c>
      <c r="T1077" t="s">
        <v>30</v>
      </c>
    </row>
    <row r="1078" spans="1:22" x14ac:dyDescent="0.3">
      <c r="A1078" t="s">
        <v>1356</v>
      </c>
      <c r="B1078" t="str">
        <f ca="1">OFFSET(Industries!C$1,MATCH(Table1[[#This Row],[Ticker]],Industries!$A$2:$A$150,0),0)</f>
        <v>Financials</v>
      </c>
      <c r="C1078" t="str">
        <f ca="1">OFFSET(Industries!D$1,MATCH(Table1[[#This Row],[Ticker]],Industries!$A$2:$A$150,0),0)</f>
        <v>Banks</v>
      </c>
      <c r="D1078" t="str">
        <f ca="1">OFFSET(Industries!E$1,MATCH(Table1[[#This Row],[Ticker]],Industries!$A$2:$A$150,0),0)</f>
        <v>Banks</v>
      </c>
      <c r="E1078" t="s">
        <v>93</v>
      </c>
      <c r="F1078" t="str">
        <f ca="1">OFFSET(Industries!B$1,MATCH(Table1[[#This Row],[Ticker]],Industries!$A$2:$A$140,0),0)</f>
        <v>Mega-Cap</v>
      </c>
      <c r="G1078" t="str">
        <f ca="1">OFFSET(Industries!F$1,MATCH(Table1[[#This Row],[Ticker]],Industries!$A$2:$A$140,0),0)</f>
        <v>BBB+</v>
      </c>
      <c r="H1078" t="s">
        <v>1434</v>
      </c>
      <c r="I1078" t="s">
        <v>1434</v>
      </c>
      <c r="J1078" s="2">
        <v>45369</v>
      </c>
      <c r="K1078" t="s">
        <v>21</v>
      </c>
      <c r="L1078" t="s">
        <v>1710</v>
      </c>
      <c r="M1078" t="s">
        <v>1709</v>
      </c>
      <c r="N1078" s="1"/>
      <c r="O1078" t="s">
        <v>476</v>
      </c>
      <c r="P1078" s="1">
        <v>0.3</v>
      </c>
      <c r="R1078" t="s">
        <v>28</v>
      </c>
      <c r="S1078" t="s">
        <v>1095</v>
      </c>
      <c r="T1078" t="s">
        <v>36</v>
      </c>
    </row>
    <row r="1079" spans="1:22" x14ac:dyDescent="0.3">
      <c r="A1079" t="s">
        <v>1356</v>
      </c>
      <c r="B1079" t="str">
        <f ca="1">OFFSET(Industries!C$1,MATCH(Table1[[#This Row],[Ticker]],Industries!$A$2:$A$150,0),0)</f>
        <v>Financials</v>
      </c>
      <c r="C1079" t="str">
        <f ca="1">OFFSET(Industries!D$1,MATCH(Table1[[#This Row],[Ticker]],Industries!$A$2:$A$150,0),0)</f>
        <v>Banks</v>
      </c>
      <c r="D1079" t="str">
        <f ca="1">OFFSET(Industries!E$1,MATCH(Table1[[#This Row],[Ticker]],Industries!$A$2:$A$150,0),0)</f>
        <v>Banks</v>
      </c>
      <c r="E1079" t="s">
        <v>93</v>
      </c>
      <c r="F1079" t="str">
        <f ca="1">OFFSET(Industries!B$1,MATCH(Table1[[#This Row],[Ticker]],Industries!$A$2:$A$140,0),0)</f>
        <v>Mega-Cap</v>
      </c>
      <c r="G1079" t="str">
        <f ca="1">OFFSET(Industries!F$1,MATCH(Table1[[#This Row],[Ticker]],Industries!$A$2:$A$140,0),0)</f>
        <v>BBB+</v>
      </c>
      <c r="H1079" t="s">
        <v>1434</v>
      </c>
      <c r="I1079" t="s">
        <v>1434</v>
      </c>
      <c r="J1079" s="2">
        <v>45369</v>
      </c>
      <c r="K1079" t="s">
        <v>21</v>
      </c>
      <c r="L1079" t="s">
        <v>1710</v>
      </c>
      <c r="M1079" t="s">
        <v>1709</v>
      </c>
      <c r="N1079" s="1"/>
      <c r="O1079" t="s">
        <v>476</v>
      </c>
      <c r="P1079" s="1">
        <v>0.3</v>
      </c>
      <c r="R1079" t="s">
        <v>28</v>
      </c>
      <c r="S1079" t="s">
        <v>1151</v>
      </c>
      <c r="T1079" t="s">
        <v>90</v>
      </c>
    </row>
    <row r="1080" spans="1:22" x14ac:dyDescent="0.3">
      <c r="A1080" t="s">
        <v>1356</v>
      </c>
      <c r="B1080" t="str">
        <f ca="1">OFFSET(Industries!C$1,MATCH(Table1[[#This Row],[Ticker]],Industries!$A$2:$A$150,0),0)</f>
        <v>Financials</v>
      </c>
      <c r="C1080" t="str">
        <f ca="1">OFFSET(Industries!D$1,MATCH(Table1[[#This Row],[Ticker]],Industries!$A$2:$A$150,0),0)</f>
        <v>Banks</v>
      </c>
      <c r="D1080" t="str">
        <f ca="1">OFFSET(Industries!E$1,MATCH(Table1[[#This Row],[Ticker]],Industries!$A$2:$A$150,0),0)</f>
        <v>Banks</v>
      </c>
      <c r="E1080" t="s">
        <v>93</v>
      </c>
      <c r="F1080" t="str">
        <f ca="1">OFFSET(Industries!B$1,MATCH(Table1[[#This Row],[Ticker]],Industries!$A$2:$A$140,0),0)</f>
        <v>Mega-Cap</v>
      </c>
      <c r="G1080" t="str">
        <f ca="1">OFFSET(Industries!F$1,MATCH(Table1[[#This Row],[Ticker]],Industries!$A$2:$A$140,0),0)</f>
        <v>BBB+</v>
      </c>
      <c r="H1080" t="s">
        <v>1434</v>
      </c>
      <c r="I1080" t="s">
        <v>1434</v>
      </c>
      <c r="J1080" s="2">
        <v>45369</v>
      </c>
      <c r="K1080" t="s">
        <v>21</v>
      </c>
      <c r="L1080" t="s">
        <v>1710</v>
      </c>
      <c r="M1080" t="s">
        <v>1711</v>
      </c>
      <c r="N1080" s="1">
        <f>Table1[[#This Row],[Consideration Weight]]</f>
        <v>0.3</v>
      </c>
      <c r="O1080" t="s">
        <v>455</v>
      </c>
      <c r="P1080" s="1">
        <v>0.3</v>
      </c>
    </row>
    <row r="1081" spans="1:22" x14ac:dyDescent="0.3">
      <c r="A1081" t="s">
        <v>670</v>
      </c>
      <c r="B1081" t="str">
        <f ca="1">OFFSET(Industries!C$1,MATCH(Table1[[#This Row],[Ticker]],Industries!$A$2:$A$150,0),0)</f>
        <v>Energy</v>
      </c>
      <c r="C1081" t="str">
        <f ca="1">OFFSET(Industries!D$1,MATCH(Table1[[#This Row],[Ticker]],Industries!$A$2:$A$150,0),0)</f>
        <v>Energy</v>
      </c>
      <c r="D1081" t="str">
        <f ca="1">OFFSET(Industries!E$1,MATCH(Table1[[#This Row],[Ticker]],Industries!$A$2:$A$150,0),0)</f>
        <v>Energy Equipment and Services</v>
      </c>
      <c r="E1081" t="s">
        <v>290</v>
      </c>
      <c r="F1081" t="str">
        <f ca="1">OFFSET(Industries!B$1,MATCH(Table1[[#This Row],[Ticker]],Industries!$A$2:$A$140,0),0)</f>
        <v>Ultra-Cap</v>
      </c>
      <c r="G1081" t="str">
        <f ca="1">OFFSET(Industries!F$1,MATCH(Table1[[#This Row],[Ticker]],Industries!$A$2:$A$140,0),0)</f>
        <v>A</v>
      </c>
      <c r="H1081" t="s">
        <v>1434</v>
      </c>
      <c r="I1081" t="s">
        <v>1434</v>
      </c>
      <c r="J1081" s="2">
        <v>45344</v>
      </c>
      <c r="K1081" t="s">
        <v>2</v>
      </c>
      <c r="L1081" t="s">
        <v>3</v>
      </c>
      <c r="M1081" t="s">
        <v>1711</v>
      </c>
      <c r="N1081" s="1">
        <f>Table1[[#This Row],[Consideration Weight]]</f>
        <v>0.1</v>
      </c>
      <c r="O1081" t="s">
        <v>3</v>
      </c>
      <c r="P1081" s="1">
        <v>0.1</v>
      </c>
    </row>
    <row r="1082" spans="1:22" x14ac:dyDescent="0.3">
      <c r="A1082" t="s">
        <v>670</v>
      </c>
      <c r="B1082" t="str">
        <f ca="1">OFFSET(Industries!C$1,MATCH(Table1[[#This Row],[Ticker]],Industries!$A$2:$A$150,0),0)</f>
        <v>Energy</v>
      </c>
      <c r="C1082" t="str">
        <f ca="1">OFFSET(Industries!D$1,MATCH(Table1[[#This Row],[Ticker]],Industries!$A$2:$A$150,0),0)</f>
        <v>Energy</v>
      </c>
      <c r="D1082" t="str">
        <f ca="1">OFFSET(Industries!E$1,MATCH(Table1[[#This Row],[Ticker]],Industries!$A$2:$A$150,0),0)</f>
        <v>Energy Equipment and Services</v>
      </c>
      <c r="E1082" t="s">
        <v>290</v>
      </c>
      <c r="F1082" t="str">
        <f ca="1">OFFSET(Industries!B$1,MATCH(Table1[[#This Row],[Ticker]],Industries!$A$2:$A$140,0),0)</f>
        <v>Ultra-Cap</v>
      </c>
      <c r="G1082" t="str">
        <f ca="1">OFFSET(Industries!F$1,MATCH(Table1[[#This Row],[Ticker]],Industries!$A$2:$A$140,0),0)</f>
        <v>A</v>
      </c>
      <c r="H1082" t="s">
        <v>1434</v>
      </c>
      <c r="I1082" t="s">
        <v>1434</v>
      </c>
      <c r="J1082" s="2">
        <v>45344</v>
      </c>
      <c r="K1082" t="s">
        <v>2</v>
      </c>
      <c r="L1082" t="s">
        <v>1708</v>
      </c>
      <c r="M1082" t="s">
        <v>1709</v>
      </c>
      <c r="N1082" s="1">
        <f>Table1[[#This Row],[Consideration Weight]]</f>
        <v>0.15</v>
      </c>
      <c r="O1082" t="s">
        <v>4</v>
      </c>
      <c r="P1082" s="1">
        <v>0.15</v>
      </c>
      <c r="Q1082" s="1" t="s">
        <v>1636</v>
      </c>
      <c r="R1082" t="s">
        <v>24</v>
      </c>
      <c r="S1082" t="s">
        <v>1104</v>
      </c>
      <c r="T1082" t="s">
        <v>153</v>
      </c>
      <c r="U1082" s="1">
        <v>0.35</v>
      </c>
      <c r="V1082" t="s">
        <v>671</v>
      </c>
    </row>
    <row r="1083" spans="1:22" x14ac:dyDescent="0.3">
      <c r="A1083" t="s">
        <v>670</v>
      </c>
      <c r="B1083" t="str">
        <f ca="1">OFFSET(Industries!C$1,MATCH(Table1[[#This Row],[Ticker]],Industries!$A$2:$A$150,0),0)</f>
        <v>Energy</v>
      </c>
      <c r="C1083" t="str">
        <f ca="1">OFFSET(Industries!D$1,MATCH(Table1[[#This Row],[Ticker]],Industries!$A$2:$A$150,0),0)</f>
        <v>Energy</v>
      </c>
      <c r="D1083" t="str">
        <f ca="1">OFFSET(Industries!E$1,MATCH(Table1[[#This Row],[Ticker]],Industries!$A$2:$A$150,0),0)</f>
        <v>Energy Equipment and Services</v>
      </c>
      <c r="E1083" t="s">
        <v>290</v>
      </c>
      <c r="F1083" t="str">
        <f ca="1">OFFSET(Industries!B$1,MATCH(Table1[[#This Row],[Ticker]],Industries!$A$2:$A$140,0),0)</f>
        <v>Ultra-Cap</v>
      </c>
      <c r="G1083" t="str">
        <f ca="1">OFFSET(Industries!F$1,MATCH(Table1[[#This Row],[Ticker]],Industries!$A$2:$A$140,0),0)</f>
        <v>A</v>
      </c>
      <c r="H1083" t="s">
        <v>1434</v>
      </c>
      <c r="I1083" t="s">
        <v>1434</v>
      </c>
      <c r="J1083" s="2">
        <v>45344</v>
      </c>
      <c r="K1083" t="s">
        <v>2</v>
      </c>
      <c r="L1083" t="s">
        <v>1708</v>
      </c>
      <c r="M1083" t="s">
        <v>1709</v>
      </c>
      <c r="N1083" s="1"/>
      <c r="O1083" t="s">
        <v>4</v>
      </c>
      <c r="P1083" s="1">
        <v>0.15</v>
      </c>
      <c r="Q1083" s="1" t="s">
        <v>1636</v>
      </c>
      <c r="R1083" t="s">
        <v>62</v>
      </c>
      <c r="S1083" t="s">
        <v>129</v>
      </c>
      <c r="T1083" t="s">
        <v>129</v>
      </c>
      <c r="U1083" s="1">
        <v>0.35</v>
      </c>
      <c r="V1083" t="s">
        <v>677</v>
      </c>
    </row>
    <row r="1084" spans="1:22" x14ac:dyDescent="0.3">
      <c r="A1084" t="s">
        <v>670</v>
      </c>
      <c r="B1084" t="str">
        <f ca="1">OFFSET(Industries!C$1,MATCH(Table1[[#This Row],[Ticker]],Industries!$A$2:$A$150,0),0)</f>
        <v>Energy</v>
      </c>
      <c r="C1084" t="str">
        <f ca="1">OFFSET(Industries!D$1,MATCH(Table1[[#This Row],[Ticker]],Industries!$A$2:$A$150,0),0)</f>
        <v>Energy</v>
      </c>
      <c r="D1084" t="str">
        <f ca="1">OFFSET(Industries!E$1,MATCH(Table1[[#This Row],[Ticker]],Industries!$A$2:$A$150,0),0)</f>
        <v>Energy Equipment and Services</v>
      </c>
      <c r="E1084" t="s">
        <v>290</v>
      </c>
      <c r="F1084" t="str">
        <f ca="1">OFFSET(Industries!B$1,MATCH(Table1[[#This Row],[Ticker]],Industries!$A$2:$A$140,0),0)</f>
        <v>Ultra-Cap</v>
      </c>
      <c r="G1084" t="str">
        <f ca="1">OFFSET(Industries!F$1,MATCH(Table1[[#This Row],[Ticker]],Industries!$A$2:$A$140,0),0)</f>
        <v>A</v>
      </c>
      <c r="H1084" t="s">
        <v>1434</v>
      </c>
      <c r="I1084" t="s">
        <v>1434</v>
      </c>
      <c r="J1084" s="2">
        <v>45344</v>
      </c>
      <c r="K1084" t="s">
        <v>2</v>
      </c>
      <c r="L1084" t="s">
        <v>1708</v>
      </c>
      <c r="M1084" t="s">
        <v>1709</v>
      </c>
      <c r="N1084" s="1"/>
      <c r="O1084" t="s">
        <v>4</v>
      </c>
      <c r="P1084" s="1">
        <v>0.15</v>
      </c>
      <c r="Q1084" s="1" t="s">
        <v>1637</v>
      </c>
      <c r="R1084" t="s">
        <v>332</v>
      </c>
      <c r="S1084" t="s">
        <v>380</v>
      </c>
      <c r="T1084" t="s">
        <v>380</v>
      </c>
      <c r="U1084" s="1">
        <v>0.2</v>
      </c>
    </row>
    <row r="1085" spans="1:22" x14ac:dyDescent="0.3">
      <c r="A1085" t="s">
        <v>670</v>
      </c>
      <c r="B1085" t="str">
        <f ca="1">OFFSET(Industries!C$1,MATCH(Table1[[#This Row],[Ticker]],Industries!$A$2:$A$150,0),0)</f>
        <v>Energy</v>
      </c>
      <c r="C1085" t="str">
        <f ca="1">OFFSET(Industries!D$1,MATCH(Table1[[#This Row],[Ticker]],Industries!$A$2:$A$150,0),0)</f>
        <v>Energy</v>
      </c>
      <c r="D1085" t="str">
        <f ca="1">OFFSET(Industries!E$1,MATCH(Table1[[#This Row],[Ticker]],Industries!$A$2:$A$150,0),0)</f>
        <v>Energy Equipment and Services</v>
      </c>
      <c r="E1085" t="s">
        <v>290</v>
      </c>
      <c r="F1085" t="str">
        <f ca="1">OFFSET(Industries!B$1,MATCH(Table1[[#This Row],[Ticker]],Industries!$A$2:$A$140,0),0)</f>
        <v>Ultra-Cap</v>
      </c>
      <c r="G1085" t="str">
        <f ca="1">OFFSET(Industries!F$1,MATCH(Table1[[#This Row],[Ticker]],Industries!$A$2:$A$140,0),0)</f>
        <v>A</v>
      </c>
      <c r="H1085" t="s">
        <v>1434</v>
      </c>
      <c r="I1085" t="s">
        <v>1434</v>
      </c>
      <c r="J1085" s="2">
        <v>45344</v>
      </c>
      <c r="K1085" t="s">
        <v>2</v>
      </c>
      <c r="L1085" t="s">
        <v>1708</v>
      </c>
      <c r="M1085" t="s">
        <v>1709</v>
      </c>
      <c r="N1085" s="1"/>
      <c r="O1085" t="s">
        <v>4</v>
      </c>
      <c r="P1085" s="1">
        <v>0.15</v>
      </c>
      <c r="Q1085" s="1" t="s">
        <v>1637</v>
      </c>
      <c r="R1085" t="s">
        <v>26</v>
      </c>
      <c r="S1085" t="s">
        <v>26</v>
      </c>
      <c r="T1085" t="s">
        <v>26</v>
      </c>
      <c r="U1085" s="1">
        <v>0.1</v>
      </c>
      <c r="V1085" t="s">
        <v>672</v>
      </c>
    </row>
    <row r="1086" spans="1:22" x14ac:dyDescent="0.3">
      <c r="A1086" t="s">
        <v>670</v>
      </c>
      <c r="B1086" t="str">
        <f ca="1">OFFSET(Industries!C$1,MATCH(Table1[[#This Row],[Ticker]],Industries!$A$2:$A$150,0),0)</f>
        <v>Energy</v>
      </c>
      <c r="C1086" t="str">
        <f ca="1">OFFSET(Industries!D$1,MATCH(Table1[[#This Row],[Ticker]],Industries!$A$2:$A$150,0),0)</f>
        <v>Energy</v>
      </c>
      <c r="D1086" t="str">
        <f ca="1">OFFSET(Industries!E$1,MATCH(Table1[[#This Row],[Ticker]],Industries!$A$2:$A$150,0),0)</f>
        <v>Energy Equipment and Services</v>
      </c>
      <c r="E1086" t="s">
        <v>290</v>
      </c>
      <c r="F1086" t="str">
        <f ca="1">OFFSET(Industries!B$1,MATCH(Table1[[#This Row],[Ticker]],Industries!$A$2:$A$140,0),0)</f>
        <v>Ultra-Cap</v>
      </c>
      <c r="G1086" t="str">
        <f ca="1">OFFSET(Industries!F$1,MATCH(Table1[[#This Row],[Ticker]],Industries!$A$2:$A$140,0),0)</f>
        <v>A</v>
      </c>
      <c r="H1086" t="s">
        <v>1434</v>
      </c>
      <c r="I1086" t="s">
        <v>1434</v>
      </c>
      <c r="J1086" s="2">
        <v>45344</v>
      </c>
      <c r="K1086" t="s">
        <v>2</v>
      </c>
      <c r="L1086" t="s">
        <v>1710</v>
      </c>
      <c r="M1086" t="s">
        <v>1709</v>
      </c>
      <c r="N1086" s="1">
        <f>Table1[[#This Row],[Consideration Weight]]</f>
        <v>0.5625</v>
      </c>
      <c r="O1086" t="s">
        <v>476</v>
      </c>
      <c r="P1086" s="1">
        <f>0.75*0.75</f>
        <v>0.5625</v>
      </c>
      <c r="Q1086" s="1" t="s">
        <v>1636</v>
      </c>
      <c r="R1086" t="s">
        <v>62</v>
      </c>
      <c r="S1086" t="s">
        <v>129</v>
      </c>
      <c r="T1086" t="s">
        <v>673</v>
      </c>
      <c r="U1086" s="1">
        <f>1/3</f>
        <v>0.33333333333333331</v>
      </c>
      <c r="V1086" t="s">
        <v>674</v>
      </c>
    </row>
    <row r="1087" spans="1:22" x14ac:dyDescent="0.3">
      <c r="A1087" t="s">
        <v>670</v>
      </c>
      <c r="B1087" t="str">
        <f ca="1">OFFSET(Industries!C$1,MATCH(Table1[[#This Row],[Ticker]],Industries!$A$2:$A$150,0),0)</f>
        <v>Energy</v>
      </c>
      <c r="C1087" t="str">
        <f ca="1">OFFSET(Industries!D$1,MATCH(Table1[[#This Row],[Ticker]],Industries!$A$2:$A$150,0),0)</f>
        <v>Energy</v>
      </c>
      <c r="D1087" t="str">
        <f ca="1">OFFSET(Industries!E$1,MATCH(Table1[[#This Row],[Ticker]],Industries!$A$2:$A$150,0),0)</f>
        <v>Energy Equipment and Services</v>
      </c>
      <c r="E1087" t="s">
        <v>290</v>
      </c>
      <c r="F1087" t="str">
        <f ca="1">OFFSET(Industries!B$1,MATCH(Table1[[#This Row],[Ticker]],Industries!$A$2:$A$140,0),0)</f>
        <v>Ultra-Cap</v>
      </c>
      <c r="G1087" t="str">
        <f ca="1">OFFSET(Industries!F$1,MATCH(Table1[[#This Row],[Ticker]],Industries!$A$2:$A$140,0),0)</f>
        <v>A</v>
      </c>
      <c r="H1087" t="s">
        <v>1434</v>
      </c>
      <c r="I1087" t="s">
        <v>1434</v>
      </c>
      <c r="J1087" s="2">
        <v>45344</v>
      </c>
      <c r="K1087" t="s">
        <v>2</v>
      </c>
      <c r="L1087" t="s">
        <v>1710</v>
      </c>
      <c r="M1087" t="s">
        <v>1709</v>
      </c>
      <c r="N1087" s="1"/>
      <c r="O1087" t="s">
        <v>476</v>
      </c>
      <c r="P1087" s="1">
        <f>0.75*0.75</f>
        <v>0.5625</v>
      </c>
      <c r="Q1087" s="1" t="s">
        <v>1636</v>
      </c>
      <c r="R1087" t="s">
        <v>1059</v>
      </c>
      <c r="S1087" t="s">
        <v>1137</v>
      </c>
      <c r="T1087" t="s">
        <v>656</v>
      </c>
      <c r="U1087" s="1">
        <f t="shared" ref="U1087:U1088" si="17">1/3</f>
        <v>0.33333333333333331</v>
      </c>
    </row>
    <row r="1088" spans="1:22" x14ac:dyDescent="0.3">
      <c r="A1088" t="s">
        <v>670</v>
      </c>
      <c r="B1088" t="str">
        <f ca="1">OFFSET(Industries!C$1,MATCH(Table1[[#This Row],[Ticker]],Industries!$A$2:$A$150,0),0)</f>
        <v>Energy</v>
      </c>
      <c r="C1088" t="str">
        <f ca="1">OFFSET(Industries!D$1,MATCH(Table1[[#This Row],[Ticker]],Industries!$A$2:$A$150,0),0)</f>
        <v>Energy</v>
      </c>
      <c r="D1088" t="str">
        <f ca="1">OFFSET(Industries!E$1,MATCH(Table1[[#This Row],[Ticker]],Industries!$A$2:$A$150,0),0)</f>
        <v>Energy Equipment and Services</v>
      </c>
      <c r="E1088" t="s">
        <v>290</v>
      </c>
      <c r="F1088" t="str">
        <f ca="1">OFFSET(Industries!B$1,MATCH(Table1[[#This Row],[Ticker]],Industries!$A$2:$A$140,0),0)</f>
        <v>Ultra-Cap</v>
      </c>
      <c r="G1088" t="str">
        <f ca="1">OFFSET(Industries!F$1,MATCH(Table1[[#This Row],[Ticker]],Industries!$A$2:$A$140,0),0)</f>
        <v>A</v>
      </c>
      <c r="H1088" t="s">
        <v>1434</v>
      </c>
      <c r="I1088" t="s">
        <v>1434</v>
      </c>
      <c r="J1088" s="2">
        <v>45344</v>
      </c>
      <c r="K1088" t="s">
        <v>2</v>
      </c>
      <c r="L1088" t="s">
        <v>1710</v>
      </c>
      <c r="M1088" t="s">
        <v>1709</v>
      </c>
      <c r="N1088" s="1"/>
      <c r="O1088" t="s">
        <v>476</v>
      </c>
      <c r="P1088" s="1">
        <f>0.75*0.75</f>
        <v>0.5625</v>
      </c>
      <c r="Q1088" s="1" t="s">
        <v>1646</v>
      </c>
      <c r="R1088" t="s">
        <v>35</v>
      </c>
      <c r="S1088" t="s">
        <v>29</v>
      </c>
      <c r="T1088" t="s">
        <v>30</v>
      </c>
      <c r="U1088" s="1">
        <f t="shared" si="17"/>
        <v>0.33333333333333331</v>
      </c>
      <c r="V1088" t="s">
        <v>675</v>
      </c>
    </row>
    <row r="1089" spans="1:22" x14ac:dyDescent="0.3">
      <c r="A1089" t="s">
        <v>670</v>
      </c>
      <c r="B1089" t="str">
        <f ca="1">OFFSET(Industries!C$1,MATCH(Table1[[#This Row],[Ticker]],Industries!$A$2:$A$150,0),0)</f>
        <v>Energy</v>
      </c>
      <c r="C1089" t="str">
        <f ca="1">OFFSET(Industries!D$1,MATCH(Table1[[#This Row],[Ticker]],Industries!$A$2:$A$150,0),0)</f>
        <v>Energy</v>
      </c>
      <c r="D1089" t="str">
        <f ca="1">OFFSET(Industries!E$1,MATCH(Table1[[#This Row],[Ticker]],Industries!$A$2:$A$150,0),0)</f>
        <v>Energy Equipment and Services</v>
      </c>
      <c r="E1089" t="s">
        <v>290</v>
      </c>
      <c r="F1089" t="str">
        <f ca="1">OFFSET(Industries!B$1,MATCH(Table1[[#This Row],[Ticker]],Industries!$A$2:$A$140,0),0)</f>
        <v>Ultra-Cap</v>
      </c>
      <c r="G1089" t="str">
        <f ca="1">OFFSET(Industries!F$1,MATCH(Table1[[#This Row],[Ticker]],Industries!$A$2:$A$140,0),0)</f>
        <v>A</v>
      </c>
      <c r="H1089" t="s">
        <v>1434</v>
      </c>
      <c r="I1089" t="s">
        <v>1434</v>
      </c>
      <c r="J1089" s="2">
        <v>45344</v>
      </c>
      <c r="K1089" t="s">
        <v>2</v>
      </c>
      <c r="L1089" t="s">
        <v>1710</v>
      </c>
      <c r="M1089" t="s">
        <v>1709</v>
      </c>
      <c r="N1089" s="1"/>
      <c r="O1089" t="s">
        <v>476</v>
      </c>
      <c r="P1089" s="1">
        <f>0.75*0.75</f>
        <v>0.5625</v>
      </c>
      <c r="R1089" t="s">
        <v>28</v>
      </c>
      <c r="S1089" t="s">
        <v>1110</v>
      </c>
      <c r="T1089" t="s">
        <v>172</v>
      </c>
      <c r="V1089" t="s">
        <v>676</v>
      </c>
    </row>
    <row r="1090" spans="1:22" x14ac:dyDescent="0.3">
      <c r="A1090" t="s">
        <v>670</v>
      </c>
      <c r="B1090" t="str">
        <f ca="1">OFFSET(Industries!C$1,MATCH(Table1[[#This Row],[Ticker]],Industries!$A$2:$A$150,0),0)</f>
        <v>Energy</v>
      </c>
      <c r="C1090" t="str">
        <f ca="1">OFFSET(Industries!D$1,MATCH(Table1[[#This Row],[Ticker]],Industries!$A$2:$A$150,0),0)</f>
        <v>Energy</v>
      </c>
      <c r="D1090" t="str">
        <f ca="1">OFFSET(Industries!E$1,MATCH(Table1[[#This Row],[Ticker]],Industries!$A$2:$A$150,0),0)</f>
        <v>Energy Equipment and Services</v>
      </c>
      <c r="E1090" t="s">
        <v>290</v>
      </c>
      <c r="F1090" t="str">
        <f ca="1">OFFSET(Industries!B$1,MATCH(Table1[[#This Row],[Ticker]],Industries!$A$2:$A$140,0),0)</f>
        <v>Ultra-Cap</v>
      </c>
      <c r="G1090" t="str">
        <f ca="1">OFFSET(Industries!F$1,MATCH(Table1[[#This Row],[Ticker]],Industries!$A$2:$A$140,0),0)</f>
        <v>A</v>
      </c>
      <c r="H1090" t="s">
        <v>1434</v>
      </c>
      <c r="I1090" t="s">
        <v>1434</v>
      </c>
      <c r="J1090" s="2">
        <v>45344</v>
      </c>
      <c r="K1090" t="s">
        <v>2</v>
      </c>
      <c r="L1090" t="s">
        <v>1710</v>
      </c>
      <c r="M1090" t="s">
        <v>1711</v>
      </c>
      <c r="N1090" s="1">
        <f>Table1[[#This Row],[Consideration Weight]]</f>
        <v>0.1875</v>
      </c>
      <c r="O1090" t="s">
        <v>194</v>
      </c>
      <c r="P1090" s="1">
        <f>0.25*0.75</f>
        <v>0.1875</v>
      </c>
    </row>
    <row r="1091" spans="1:22" x14ac:dyDescent="0.3">
      <c r="A1091" t="s">
        <v>670</v>
      </c>
      <c r="B1091" t="str">
        <f ca="1">OFFSET(Industries!C$1,MATCH(Table1[[#This Row],[Ticker]],Industries!$A$2:$A$150,0),0)</f>
        <v>Energy</v>
      </c>
      <c r="C1091" t="str">
        <f ca="1">OFFSET(Industries!D$1,MATCH(Table1[[#This Row],[Ticker]],Industries!$A$2:$A$150,0),0)</f>
        <v>Energy</v>
      </c>
      <c r="D1091" t="str">
        <f ca="1">OFFSET(Industries!E$1,MATCH(Table1[[#This Row],[Ticker]],Industries!$A$2:$A$150,0),0)</f>
        <v>Energy Equipment and Services</v>
      </c>
      <c r="E1091" t="s">
        <v>290</v>
      </c>
      <c r="F1091" t="str">
        <f ca="1">OFFSET(Industries!B$1,MATCH(Table1[[#This Row],[Ticker]],Industries!$A$2:$A$140,0),0)</f>
        <v>Ultra-Cap</v>
      </c>
      <c r="G1091" t="str">
        <f ca="1">OFFSET(Industries!F$1,MATCH(Table1[[#This Row],[Ticker]],Industries!$A$2:$A$140,0),0)</f>
        <v>A</v>
      </c>
      <c r="H1091" t="s">
        <v>1434</v>
      </c>
      <c r="I1091" t="s">
        <v>1434</v>
      </c>
      <c r="J1091" s="2">
        <v>45344</v>
      </c>
      <c r="K1091" t="s">
        <v>21</v>
      </c>
      <c r="L1091" t="s">
        <v>3</v>
      </c>
      <c r="M1091" t="s">
        <v>1711</v>
      </c>
      <c r="N1091" s="1">
        <f>Table1[[#This Row],[Consideration Weight]]</f>
        <v>0.16</v>
      </c>
      <c r="O1091" t="s">
        <v>3</v>
      </c>
      <c r="P1091" s="1">
        <v>0.16</v>
      </c>
    </row>
    <row r="1092" spans="1:22" x14ac:dyDescent="0.3">
      <c r="A1092" t="s">
        <v>670</v>
      </c>
      <c r="B1092" t="str">
        <f ca="1">OFFSET(Industries!C$1,MATCH(Table1[[#This Row],[Ticker]],Industries!$A$2:$A$150,0),0)</f>
        <v>Energy</v>
      </c>
      <c r="C1092" t="str">
        <f ca="1">OFFSET(Industries!D$1,MATCH(Table1[[#This Row],[Ticker]],Industries!$A$2:$A$150,0),0)</f>
        <v>Energy</v>
      </c>
      <c r="D1092" t="str">
        <f ca="1">OFFSET(Industries!E$1,MATCH(Table1[[#This Row],[Ticker]],Industries!$A$2:$A$150,0),0)</f>
        <v>Energy Equipment and Services</v>
      </c>
      <c r="E1092" t="s">
        <v>290</v>
      </c>
      <c r="F1092" t="str">
        <f ca="1">OFFSET(Industries!B$1,MATCH(Table1[[#This Row],[Ticker]],Industries!$A$2:$A$140,0),0)</f>
        <v>Ultra-Cap</v>
      </c>
      <c r="G1092" t="str">
        <f ca="1">OFFSET(Industries!F$1,MATCH(Table1[[#This Row],[Ticker]],Industries!$A$2:$A$140,0),0)</f>
        <v>A</v>
      </c>
      <c r="H1092" t="s">
        <v>1434</v>
      </c>
      <c r="I1092" t="s">
        <v>1434</v>
      </c>
      <c r="J1092" s="2">
        <v>45344</v>
      </c>
      <c r="K1092" t="s">
        <v>21</v>
      </c>
      <c r="L1092" t="s">
        <v>1708</v>
      </c>
      <c r="M1092" t="s">
        <v>1709</v>
      </c>
      <c r="N1092" s="1">
        <f>Table1[[#This Row],[Consideration Weight]]</f>
        <v>0.16</v>
      </c>
      <c r="O1092" t="s">
        <v>4</v>
      </c>
      <c r="P1092" s="1">
        <v>0.16</v>
      </c>
      <c r="Q1092" s="1" t="s">
        <v>1636</v>
      </c>
      <c r="R1092" t="s">
        <v>24</v>
      </c>
      <c r="S1092" t="s">
        <v>1104</v>
      </c>
      <c r="T1092" t="s">
        <v>153</v>
      </c>
      <c r="U1092" s="1">
        <v>0.35</v>
      </c>
    </row>
    <row r="1093" spans="1:22" x14ac:dyDescent="0.3">
      <c r="A1093" t="s">
        <v>670</v>
      </c>
      <c r="B1093" t="str">
        <f ca="1">OFFSET(Industries!C$1,MATCH(Table1[[#This Row],[Ticker]],Industries!$A$2:$A$150,0),0)</f>
        <v>Energy</v>
      </c>
      <c r="C1093" t="str">
        <f ca="1">OFFSET(Industries!D$1,MATCH(Table1[[#This Row],[Ticker]],Industries!$A$2:$A$150,0),0)</f>
        <v>Energy</v>
      </c>
      <c r="D1093" t="str">
        <f ca="1">OFFSET(Industries!E$1,MATCH(Table1[[#This Row],[Ticker]],Industries!$A$2:$A$150,0),0)</f>
        <v>Energy Equipment and Services</v>
      </c>
      <c r="E1093" t="s">
        <v>290</v>
      </c>
      <c r="F1093" t="str">
        <f ca="1">OFFSET(Industries!B$1,MATCH(Table1[[#This Row],[Ticker]],Industries!$A$2:$A$140,0),0)</f>
        <v>Ultra-Cap</v>
      </c>
      <c r="G1093" t="str">
        <f ca="1">OFFSET(Industries!F$1,MATCH(Table1[[#This Row],[Ticker]],Industries!$A$2:$A$140,0),0)</f>
        <v>A</v>
      </c>
      <c r="H1093" t="s">
        <v>1434</v>
      </c>
      <c r="I1093" t="s">
        <v>1434</v>
      </c>
      <c r="J1093" s="2">
        <v>45344</v>
      </c>
      <c r="K1093" t="s">
        <v>21</v>
      </c>
      <c r="L1093" t="s">
        <v>1708</v>
      </c>
      <c r="M1093" t="s">
        <v>1709</v>
      </c>
      <c r="N1093" s="1"/>
      <c r="O1093" t="s">
        <v>4</v>
      </c>
      <c r="P1093" s="1">
        <v>0.16</v>
      </c>
      <c r="Q1093" s="1" t="s">
        <v>1636</v>
      </c>
      <c r="R1093" t="s">
        <v>62</v>
      </c>
      <c r="S1093" t="s">
        <v>129</v>
      </c>
      <c r="T1093" t="s">
        <v>129</v>
      </c>
      <c r="U1093" s="1">
        <v>0.35</v>
      </c>
    </row>
    <row r="1094" spans="1:22" x14ac:dyDescent="0.3">
      <c r="A1094" t="s">
        <v>670</v>
      </c>
      <c r="B1094" t="str">
        <f ca="1">OFFSET(Industries!C$1,MATCH(Table1[[#This Row],[Ticker]],Industries!$A$2:$A$150,0),0)</f>
        <v>Energy</v>
      </c>
      <c r="C1094" t="str">
        <f ca="1">OFFSET(Industries!D$1,MATCH(Table1[[#This Row],[Ticker]],Industries!$A$2:$A$150,0),0)</f>
        <v>Energy</v>
      </c>
      <c r="D1094" t="str">
        <f ca="1">OFFSET(Industries!E$1,MATCH(Table1[[#This Row],[Ticker]],Industries!$A$2:$A$150,0),0)</f>
        <v>Energy Equipment and Services</v>
      </c>
      <c r="E1094" t="s">
        <v>290</v>
      </c>
      <c r="F1094" t="str">
        <f ca="1">OFFSET(Industries!B$1,MATCH(Table1[[#This Row],[Ticker]],Industries!$A$2:$A$140,0),0)</f>
        <v>Ultra-Cap</v>
      </c>
      <c r="G1094" t="str">
        <f ca="1">OFFSET(Industries!F$1,MATCH(Table1[[#This Row],[Ticker]],Industries!$A$2:$A$140,0),0)</f>
        <v>A</v>
      </c>
      <c r="H1094" t="s">
        <v>1434</v>
      </c>
      <c r="I1094" t="s">
        <v>1434</v>
      </c>
      <c r="J1094" s="2">
        <v>45344</v>
      </c>
      <c r="K1094" t="s">
        <v>21</v>
      </c>
      <c r="L1094" t="s">
        <v>1708</v>
      </c>
      <c r="M1094" t="s">
        <v>1709</v>
      </c>
      <c r="N1094" s="1"/>
      <c r="O1094" t="s">
        <v>4</v>
      </c>
      <c r="P1094" s="1">
        <v>0.16</v>
      </c>
      <c r="Q1094" s="1" t="s">
        <v>1637</v>
      </c>
      <c r="R1094" t="s">
        <v>332</v>
      </c>
      <c r="S1094" t="s">
        <v>380</v>
      </c>
      <c r="T1094" t="s">
        <v>380</v>
      </c>
      <c r="U1094" s="1">
        <v>0.2</v>
      </c>
    </row>
    <row r="1095" spans="1:22" x14ac:dyDescent="0.3">
      <c r="A1095" t="s">
        <v>670</v>
      </c>
      <c r="B1095" t="str">
        <f ca="1">OFFSET(Industries!C$1,MATCH(Table1[[#This Row],[Ticker]],Industries!$A$2:$A$150,0),0)</f>
        <v>Energy</v>
      </c>
      <c r="C1095" t="str">
        <f ca="1">OFFSET(Industries!D$1,MATCH(Table1[[#This Row],[Ticker]],Industries!$A$2:$A$150,0),0)</f>
        <v>Energy</v>
      </c>
      <c r="D1095" t="str">
        <f ca="1">OFFSET(Industries!E$1,MATCH(Table1[[#This Row],[Ticker]],Industries!$A$2:$A$150,0),0)</f>
        <v>Energy Equipment and Services</v>
      </c>
      <c r="E1095" t="s">
        <v>290</v>
      </c>
      <c r="F1095" t="str">
        <f ca="1">OFFSET(Industries!B$1,MATCH(Table1[[#This Row],[Ticker]],Industries!$A$2:$A$140,0),0)</f>
        <v>Ultra-Cap</v>
      </c>
      <c r="G1095" t="str">
        <f ca="1">OFFSET(Industries!F$1,MATCH(Table1[[#This Row],[Ticker]],Industries!$A$2:$A$140,0),0)</f>
        <v>A</v>
      </c>
      <c r="H1095" t="s">
        <v>1434</v>
      </c>
      <c r="I1095" t="s">
        <v>1434</v>
      </c>
      <c r="J1095" s="2">
        <v>45344</v>
      </c>
      <c r="K1095" t="s">
        <v>21</v>
      </c>
      <c r="L1095" t="s">
        <v>1708</v>
      </c>
      <c r="M1095" t="s">
        <v>1709</v>
      </c>
      <c r="N1095" s="1"/>
      <c r="O1095" t="s">
        <v>4</v>
      </c>
      <c r="P1095" s="1">
        <v>0.16</v>
      </c>
      <c r="Q1095" s="1" t="s">
        <v>1637</v>
      </c>
      <c r="R1095" t="s">
        <v>26</v>
      </c>
      <c r="S1095" t="s">
        <v>26</v>
      </c>
      <c r="T1095" t="s">
        <v>26</v>
      </c>
      <c r="U1095" s="1">
        <v>0.1</v>
      </c>
    </row>
    <row r="1096" spans="1:22" x14ac:dyDescent="0.3">
      <c r="A1096" t="s">
        <v>670</v>
      </c>
      <c r="B1096" t="str">
        <f ca="1">OFFSET(Industries!C$1,MATCH(Table1[[#This Row],[Ticker]],Industries!$A$2:$A$150,0),0)</f>
        <v>Energy</v>
      </c>
      <c r="C1096" t="str">
        <f ca="1">OFFSET(Industries!D$1,MATCH(Table1[[#This Row],[Ticker]],Industries!$A$2:$A$150,0),0)</f>
        <v>Energy</v>
      </c>
      <c r="D1096" t="str">
        <f ca="1">OFFSET(Industries!E$1,MATCH(Table1[[#This Row],[Ticker]],Industries!$A$2:$A$150,0),0)</f>
        <v>Energy Equipment and Services</v>
      </c>
      <c r="E1096" t="s">
        <v>290</v>
      </c>
      <c r="F1096" t="str">
        <f ca="1">OFFSET(Industries!B$1,MATCH(Table1[[#This Row],[Ticker]],Industries!$A$2:$A$140,0),0)</f>
        <v>Ultra-Cap</v>
      </c>
      <c r="G1096" t="str">
        <f ca="1">OFFSET(Industries!F$1,MATCH(Table1[[#This Row],[Ticker]],Industries!$A$2:$A$140,0),0)</f>
        <v>A</v>
      </c>
      <c r="H1096" t="s">
        <v>1434</v>
      </c>
      <c r="I1096" t="s">
        <v>1434</v>
      </c>
      <c r="J1096" s="2">
        <v>45344</v>
      </c>
      <c r="K1096" t="s">
        <v>21</v>
      </c>
      <c r="L1096" t="s">
        <v>1710</v>
      </c>
      <c r="M1096" t="s">
        <v>1709</v>
      </c>
      <c r="N1096" s="1">
        <f>Table1[[#This Row],[Consideration Weight]]</f>
        <v>0.51</v>
      </c>
      <c r="O1096" t="s">
        <v>476</v>
      </c>
      <c r="P1096" s="1">
        <f>0.75*0.68</f>
        <v>0.51</v>
      </c>
      <c r="Q1096" s="1" t="s">
        <v>1636</v>
      </c>
      <c r="R1096" t="s">
        <v>62</v>
      </c>
      <c r="S1096" t="s">
        <v>129</v>
      </c>
      <c r="T1096" t="s">
        <v>673</v>
      </c>
      <c r="U1096" s="1">
        <f>1/3</f>
        <v>0.33333333333333331</v>
      </c>
    </row>
    <row r="1097" spans="1:22" x14ac:dyDescent="0.3">
      <c r="A1097" t="s">
        <v>670</v>
      </c>
      <c r="B1097" t="str">
        <f ca="1">OFFSET(Industries!C$1,MATCH(Table1[[#This Row],[Ticker]],Industries!$A$2:$A$150,0),0)</f>
        <v>Energy</v>
      </c>
      <c r="C1097" t="str">
        <f ca="1">OFFSET(Industries!D$1,MATCH(Table1[[#This Row],[Ticker]],Industries!$A$2:$A$150,0),0)</f>
        <v>Energy</v>
      </c>
      <c r="D1097" t="str">
        <f ca="1">OFFSET(Industries!E$1,MATCH(Table1[[#This Row],[Ticker]],Industries!$A$2:$A$150,0),0)</f>
        <v>Energy Equipment and Services</v>
      </c>
      <c r="E1097" t="s">
        <v>290</v>
      </c>
      <c r="F1097" t="str">
        <f ca="1">OFFSET(Industries!B$1,MATCH(Table1[[#This Row],[Ticker]],Industries!$A$2:$A$140,0),0)</f>
        <v>Ultra-Cap</v>
      </c>
      <c r="G1097" t="str">
        <f ca="1">OFFSET(Industries!F$1,MATCH(Table1[[#This Row],[Ticker]],Industries!$A$2:$A$140,0),0)</f>
        <v>A</v>
      </c>
      <c r="H1097" t="s">
        <v>1434</v>
      </c>
      <c r="I1097" t="s">
        <v>1434</v>
      </c>
      <c r="J1097" s="2">
        <v>45344</v>
      </c>
      <c r="K1097" t="s">
        <v>21</v>
      </c>
      <c r="L1097" t="s">
        <v>1710</v>
      </c>
      <c r="M1097" t="s">
        <v>1709</v>
      </c>
      <c r="N1097" s="1"/>
      <c r="O1097" t="s">
        <v>476</v>
      </c>
      <c r="P1097" s="1">
        <f t="shared" ref="P1097:P1099" si="18">0.75*0.68</f>
        <v>0.51</v>
      </c>
      <c r="Q1097" s="1" t="s">
        <v>1636</v>
      </c>
      <c r="R1097" t="s">
        <v>1059</v>
      </c>
      <c r="S1097" t="s">
        <v>1137</v>
      </c>
      <c r="T1097" t="s">
        <v>656</v>
      </c>
      <c r="U1097" s="1">
        <f t="shared" ref="U1097:U1098" si="19">1/3</f>
        <v>0.33333333333333331</v>
      </c>
    </row>
    <row r="1098" spans="1:22" x14ac:dyDescent="0.3">
      <c r="A1098" t="s">
        <v>670</v>
      </c>
      <c r="B1098" t="str">
        <f ca="1">OFFSET(Industries!C$1,MATCH(Table1[[#This Row],[Ticker]],Industries!$A$2:$A$150,0),0)</f>
        <v>Energy</v>
      </c>
      <c r="C1098" t="str">
        <f ca="1">OFFSET(Industries!D$1,MATCH(Table1[[#This Row],[Ticker]],Industries!$A$2:$A$150,0),0)</f>
        <v>Energy</v>
      </c>
      <c r="D1098" t="str">
        <f ca="1">OFFSET(Industries!E$1,MATCH(Table1[[#This Row],[Ticker]],Industries!$A$2:$A$150,0),0)</f>
        <v>Energy Equipment and Services</v>
      </c>
      <c r="E1098" t="s">
        <v>290</v>
      </c>
      <c r="F1098" t="str">
        <f ca="1">OFFSET(Industries!B$1,MATCH(Table1[[#This Row],[Ticker]],Industries!$A$2:$A$140,0),0)</f>
        <v>Ultra-Cap</v>
      </c>
      <c r="G1098" t="str">
        <f ca="1">OFFSET(Industries!F$1,MATCH(Table1[[#This Row],[Ticker]],Industries!$A$2:$A$140,0),0)</f>
        <v>A</v>
      </c>
      <c r="H1098" t="s">
        <v>1434</v>
      </c>
      <c r="I1098" t="s">
        <v>1434</v>
      </c>
      <c r="J1098" s="2">
        <v>45344</v>
      </c>
      <c r="K1098" t="s">
        <v>21</v>
      </c>
      <c r="L1098" t="s">
        <v>1710</v>
      </c>
      <c r="M1098" t="s">
        <v>1709</v>
      </c>
      <c r="N1098" s="1"/>
      <c r="O1098" t="s">
        <v>476</v>
      </c>
      <c r="P1098" s="1">
        <f t="shared" si="18"/>
        <v>0.51</v>
      </c>
      <c r="Q1098" s="1" t="s">
        <v>1646</v>
      </c>
      <c r="R1098" t="s">
        <v>35</v>
      </c>
      <c r="S1098" t="s">
        <v>29</v>
      </c>
      <c r="T1098" t="s">
        <v>30</v>
      </c>
      <c r="U1098" s="1">
        <f t="shared" si="19"/>
        <v>0.33333333333333331</v>
      </c>
    </row>
    <row r="1099" spans="1:22" x14ac:dyDescent="0.3">
      <c r="A1099" t="s">
        <v>670</v>
      </c>
      <c r="B1099" t="str">
        <f ca="1">OFFSET(Industries!C$1,MATCH(Table1[[#This Row],[Ticker]],Industries!$A$2:$A$150,0),0)</f>
        <v>Energy</v>
      </c>
      <c r="C1099" t="str">
        <f ca="1">OFFSET(Industries!D$1,MATCH(Table1[[#This Row],[Ticker]],Industries!$A$2:$A$150,0),0)</f>
        <v>Energy</v>
      </c>
      <c r="D1099" t="str">
        <f ca="1">OFFSET(Industries!E$1,MATCH(Table1[[#This Row],[Ticker]],Industries!$A$2:$A$150,0),0)</f>
        <v>Energy Equipment and Services</v>
      </c>
      <c r="E1099" t="s">
        <v>290</v>
      </c>
      <c r="F1099" t="str">
        <f ca="1">OFFSET(Industries!B$1,MATCH(Table1[[#This Row],[Ticker]],Industries!$A$2:$A$140,0),0)</f>
        <v>Ultra-Cap</v>
      </c>
      <c r="G1099" t="str">
        <f ca="1">OFFSET(Industries!F$1,MATCH(Table1[[#This Row],[Ticker]],Industries!$A$2:$A$140,0),0)</f>
        <v>A</v>
      </c>
      <c r="H1099" t="s">
        <v>1434</v>
      </c>
      <c r="I1099" t="s">
        <v>1434</v>
      </c>
      <c r="J1099" s="2">
        <v>45344</v>
      </c>
      <c r="K1099" t="s">
        <v>21</v>
      </c>
      <c r="L1099" t="s">
        <v>1710</v>
      </c>
      <c r="M1099" t="s">
        <v>1709</v>
      </c>
      <c r="N1099" s="1"/>
      <c r="O1099" t="s">
        <v>476</v>
      </c>
      <c r="P1099" s="1">
        <f t="shared" si="18"/>
        <v>0.51</v>
      </c>
      <c r="R1099" t="s">
        <v>35</v>
      </c>
      <c r="S1099" t="s">
        <v>1110</v>
      </c>
      <c r="T1099" t="s">
        <v>172</v>
      </c>
    </row>
    <row r="1100" spans="1:22" x14ac:dyDescent="0.3">
      <c r="A1100" t="s">
        <v>670</v>
      </c>
      <c r="B1100" t="str">
        <f ca="1">OFFSET(Industries!C$1,MATCH(Table1[[#This Row],[Ticker]],Industries!$A$2:$A$150,0),0)</f>
        <v>Energy</v>
      </c>
      <c r="C1100" t="str">
        <f ca="1">OFFSET(Industries!D$1,MATCH(Table1[[#This Row],[Ticker]],Industries!$A$2:$A$150,0),0)</f>
        <v>Energy</v>
      </c>
      <c r="D1100" t="str">
        <f ca="1">OFFSET(Industries!E$1,MATCH(Table1[[#This Row],[Ticker]],Industries!$A$2:$A$150,0),0)</f>
        <v>Energy Equipment and Services</v>
      </c>
      <c r="E1100" t="s">
        <v>290</v>
      </c>
      <c r="F1100" t="str">
        <f ca="1">OFFSET(Industries!B$1,MATCH(Table1[[#This Row],[Ticker]],Industries!$A$2:$A$140,0),0)</f>
        <v>Ultra-Cap</v>
      </c>
      <c r="G1100" t="str">
        <f ca="1">OFFSET(Industries!F$1,MATCH(Table1[[#This Row],[Ticker]],Industries!$A$2:$A$140,0),0)</f>
        <v>A</v>
      </c>
      <c r="H1100" t="s">
        <v>1434</v>
      </c>
      <c r="I1100" t="s">
        <v>1434</v>
      </c>
      <c r="J1100" s="2">
        <v>45344</v>
      </c>
      <c r="K1100" t="s">
        <v>21</v>
      </c>
      <c r="L1100" t="s">
        <v>1710</v>
      </c>
      <c r="M1100" t="s">
        <v>1711</v>
      </c>
      <c r="N1100" s="1">
        <f>Table1[[#This Row],[Consideration Weight]]</f>
        <v>0.17</v>
      </c>
      <c r="O1100" t="s">
        <v>194</v>
      </c>
      <c r="P1100" s="1">
        <f>0.25*0.68</f>
        <v>0.17</v>
      </c>
    </row>
    <row r="1101" spans="1:22" x14ac:dyDescent="0.3">
      <c r="A1101" t="s">
        <v>678</v>
      </c>
      <c r="B1101" t="str">
        <f ca="1">OFFSET(Industries!C$1,MATCH(Table1[[#This Row],[Ticker]],Industries!$A$2:$A$150,0),0)</f>
        <v>Information Technology</v>
      </c>
      <c r="C1101" t="str">
        <f ca="1">OFFSET(Industries!D$1,MATCH(Table1[[#This Row],[Ticker]],Industries!$A$2:$A$150,0),0)</f>
        <v>Software and Services</v>
      </c>
      <c r="D1101" t="str">
        <f ca="1">OFFSET(Industries!E$1,MATCH(Table1[[#This Row],[Ticker]],Industries!$A$2:$A$150,0),0)</f>
        <v>Software</v>
      </c>
      <c r="E1101" t="s">
        <v>42</v>
      </c>
      <c r="F1101" t="str">
        <f ca="1">OFFSET(Industries!B$1,MATCH(Table1[[#This Row],[Ticker]],Industries!$A$2:$A$140,0),0)</f>
        <v>Mega-Cap</v>
      </c>
      <c r="G1101" t="str">
        <f ca="1">OFFSET(Industries!F$1,MATCH(Table1[[#This Row],[Ticker]],Industries!$A$2:$A$140,0),0)</f>
        <v>A-</v>
      </c>
      <c r="H1101" t="s">
        <v>1434</v>
      </c>
      <c r="I1101" t="s">
        <v>1434</v>
      </c>
      <c r="J1101" s="2">
        <v>45386</v>
      </c>
      <c r="K1101" t="s">
        <v>2</v>
      </c>
      <c r="L1101" t="s">
        <v>3</v>
      </c>
      <c r="M1101" t="s">
        <v>1711</v>
      </c>
      <c r="N1101" s="1">
        <f>Table1[[#This Row],[Consideration Weight]]</f>
        <v>0.04</v>
      </c>
      <c r="O1101" t="s">
        <v>3</v>
      </c>
      <c r="P1101" s="1">
        <v>0.04</v>
      </c>
    </row>
    <row r="1102" spans="1:22" x14ac:dyDescent="0.3">
      <c r="A1102" t="s">
        <v>678</v>
      </c>
      <c r="B1102" t="str">
        <f ca="1">OFFSET(Industries!C$1,MATCH(Table1[[#This Row],[Ticker]],Industries!$A$2:$A$150,0),0)</f>
        <v>Information Technology</v>
      </c>
      <c r="C1102" t="str">
        <f ca="1">OFFSET(Industries!D$1,MATCH(Table1[[#This Row],[Ticker]],Industries!$A$2:$A$150,0),0)</f>
        <v>Software and Services</v>
      </c>
      <c r="D1102" t="str">
        <f ca="1">OFFSET(Industries!E$1,MATCH(Table1[[#This Row],[Ticker]],Industries!$A$2:$A$150,0),0)</f>
        <v>Software</v>
      </c>
      <c r="E1102" t="s">
        <v>42</v>
      </c>
      <c r="F1102" t="str">
        <f ca="1">OFFSET(Industries!B$1,MATCH(Table1[[#This Row],[Ticker]],Industries!$A$2:$A$140,0),0)</f>
        <v>Mega-Cap</v>
      </c>
      <c r="G1102" t="str">
        <f ca="1">OFFSET(Industries!F$1,MATCH(Table1[[#This Row],[Ticker]],Industries!$A$2:$A$140,0),0)</f>
        <v>A-</v>
      </c>
      <c r="H1102" t="s">
        <v>1434</v>
      </c>
      <c r="I1102" t="s">
        <v>1434</v>
      </c>
      <c r="J1102" s="2">
        <v>45386</v>
      </c>
      <c r="K1102" t="s">
        <v>2</v>
      </c>
      <c r="L1102" t="s">
        <v>1708</v>
      </c>
      <c r="M1102" t="s">
        <v>1709</v>
      </c>
      <c r="N1102" s="1">
        <f>Table1[[#This Row],[Consideration Weight]]</f>
        <v>0.08</v>
      </c>
      <c r="O1102" t="s">
        <v>4</v>
      </c>
      <c r="P1102" s="1">
        <v>0.08</v>
      </c>
      <c r="Q1102" s="1" t="s">
        <v>1636</v>
      </c>
      <c r="R1102" t="s">
        <v>23</v>
      </c>
      <c r="S1102" t="s">
        <v>1086</v>
      </c>
      <c r="T1102" t="s">
        <v>679</v>
      </c>
      <c r="U1102" s="1">
        <v>0.7</v>
      </c>
      <c r="V1102" t="s">
        <v>680</v>
      </c>
    </row>
    <row r="1103" spans="1:22" x14ac:dyDescent="0.3">
      <c r="A1103" t="s">
        <v>678</v>
      </c>
      <c r="B1103" t="str">
        <f ca="1">OFFSET(Industries!C$1,MATCH(Table1[[#This Row],[Ticker]],Industries!$A$2:$A$150,0),0)</f>
        <v>Information Technology</v>
      </c>
      <c r="C1103" t="str">
        <f ca="1">OFFSET(Industries!D$1,MATCH(Table1[[#This Row],[Ticker]],Industries!$A$2:$A$150,0),0)</f>
        <v>Software and Services</v>
      </c>
      <c r="D1103" t="str">
        <f ca="1">OFFSET(Industries!E$1,MATCH(Table1[[#This Row],[Ticker]],Industries!$A$2:$A$150,0),0)</f>
        <v>Software</v>
      </c>
      <c r="E1103" t="s">
        <v>42</v>
      </c>
      <c r="F1103" t="str">
        <f ca="1">OFFSET(Industries!B$1,MATCH(Table1[[#This Row],[Ticker]],Industries!$A$2:$A$140,0),0)</f>
        <v>Mega-Cap</v>
      </c>
      <c r="G1103" t="str">
        <f ca="1">OFFSET(Industries!F$1,MATCH(Table1[[#This Row],[Ticker]],Industries!$A$2:$A$140,0),0)</f>
        <v>A-</v>
      </c>
      <c r="H1103" t="s">
        <v>1434</v>
      </c>
      <c r="I1103" t="s">
        <v>1434</v>
      </c>
      <c r="J1103" s="2">
        <v>45386</v>
      </c>
      <c r="K1103" t="s">
        <v>2</v>
      </c>
      <c r="L1103" t="s">
        <v>1708</v>
      </c>
      <c r="M1103" t="s">
        <v>1709</v>
      </c>
      <c r="N1103" s="1"/>
      <c r="O1103" t="s">
        <v>4</v>
      </c>
      <c r="P1103" s="1">
        <v>0.08</v>
      </c>
      <c r="Q1103" s="1" t="s">
        <v>1636</v>
      </c>
      <c r="R1103" t="s">
        <v>24</v>
      </c>
      <c r="S1103" t="s">
        <v>509</v>
      </c>
      <c r="T1103" t="s">
        <v>38</v>
      </c>
      <c r="U1103" s="1">
        <v>0.3</v>
      </c>
      <c r="V1103" t="s">
        <v>681</v>
      </c>
    </row>
    <row r="1104" spans="1:22" x14ac:dyDescent="0.3">
      <c r="A1104" t="s">
        <v>678</v>
      </c>
      <c r="B1104" t="str">
        <f ca="1">OFFSET(Industries!C$1,MATCH(Table1[[#This Row],[Ticker]],Industries!$A$2:$A$150,0),0)</f>
        <v>Information Technology</v>
      </c>
      <c r="C1104" t="str">
        <f ca="1">OFFSET(Industries!D$1,MATCH(Table1[[#This Row],[Ticker]],Industries!$A$2:$A$150,0),0)</f>
        <v>Software and Services</v>
      </c>
      <c r="D1104" t="str">
        <f ca="1">OFFSET(Industries!E$1,MATCH(Table1[[#This Row],[Ticker]],Industries!$A$2:$A$150,0),0)</f>
        <v>Software</v>
      </c>
      <c r="E1104" t="s">
        <v>42</v>
      </c>
      <c r="F1104" t="str">
        <f ca="1">OFFSET(Industries!B$1,MATCH(Table1[[#This Row],[Ticker]],Industries!$A$2:$A$140,0),0)</f>
        <v>Mega-Cap</v>
      </c>
      <c r="G1104" t="str">
        <f ca="1">OFFSET(Industries!F$1,MATCH(Table1[[#This Row],[Ticker]],Industries!$A$2:$A$140,0),0)</f>
        <v>A-</v>
      </c>
      <c r="H1104" t="s">
        <v>1434</v>
      </c>
      <c r="I1104" t="s">
        <v>1434</v>
      </c>
      <c r="J1104" s="2">
        <v>45386</v>
      </c>
      <c r="K1104" t="s">
        <v>2</v>
      </c>
      <c r="L1104" t="s">
        <v>1708</v>
      </c>
      <c r="M1104" t="s">
        <v>1709</v>
      </c>
      <c r="N1104" s="1"/>
      <c r="O1104" t="s">
        <v>4</v>
      </c>
      <c r="P1104" s="1">
        <v>0.08</v>
      </c>
      <c r="R1104" t="s">
        <v>28</v>
      </c>
      <c r="S1104" t="s">
        <v>1091</v>
      </c>
      <c r="T1104" t="s">
        <v>682</v>
      </c>
      <c r="V1104" t="s">
        <v>683</v>
      </c>
    </row>
    <row r="1105" spans="1:22" x14ac:dyDescent="0.3">
      <c r="A1105" t="s">
        <v>678</v>
      </c>
      <c r="B1105" t="str">
        <f ca="1">OFFSET(Industries!C$1,MATCH(Table1[[#This Row],[Ticker]],Industries!$A$2:$A$150,0),0)</f>
        <v>Information Technology</v>
      </c>
      <c r="C1105" t="str">
        <f ca="1">OFFSET(Industries!D$1,MATCH(Table1[[#This Row],[Ticker]],Industries!$A$2:$A$150,0),0)</f>
        <v>Software and Services</v>
      </c>
      <c r="D1105" t="str">
        <f ca="1">OFFSET(Industries!E$1,MATCH(Table1[[#This Row],[Ticker]],Industries!$A$2:$A$150,0),0)</f>
        <v>Software</v>
      </c>
      <c r="E1105" t="s">
        <v>42</v>
      </c>
      <c r="F1105" t="str">
        <f ca="1">OFFSET(Industries!B$1,MATCH(Table1[[#This Row],[Ticker]],Industries!$A$2:$A$140,0),0)</f>
        <v>Mega-Cap</v>
      </c>
      <c r="G1105" t="str">
        <f ca="1">OFFSET(Industries!F$1,MATCH(Table1[[#This Row],[Ticker]],Industries!$A$2:$A$140,0),0)</f>
        <v>A-</v>
      </c>
      <c r="H1105" t="s">
        <v>1434</v>
      </c>
      <c r="I1105" t="s">
        <v>1434</v>
      </c>
      <c r="J1105" s="2">
        <v>45386</v>
      </c>
      <c r="K1105" t="s">
        <v>2</v>
      </c>
      <c r="L1105" t="s">
        <v>1708</v>
      </c>
      <c r="M1105" t="s">
        <v>1709</v>
      </c>
      <c r="N1105" s="1"/>
      <c r="O1105" t="s">
        <v>4</v>
      </c>
      <c r="P1105" s="1">
        <v>0.08</v>
      </c>
      <c r="R1105" t="s">
        <v>28</v>
      </c>
      <c r="S1105" t="s">
        <v>1152</v>
      </c>
      <c r="T1105" t="s">
        <v>679</v>
      </c>
      <c r="V1105" t="s">
        <v>684</v>
      </c>
    </row>
    <row r="1106" spans="1:22" x14ac:dyDescent="0.3">
      <c r="A1106" t="s">
        <v>678</v>
      </c>
      <c r="B1106" t="str">
        <f ca="1">OFFSET(Industries!C$1,MATCH(Table1[[#This Row],[Ticker]],Industries!$A$2:$A$150,0),0)</f>
        <v>Information Technology</v>
      </c>
      <c r="C1106" t="str">
        <f ca="1">OFFSET(Industries!D$1,MATCH(Table1[[#This Row],[Ticker]],Industries!$A$2:$A$150,0),0)</f>
        <v>Software and Services</v>
      </c>
      <c r="D1106" t="str">
        <f ca="1">OFFSET(Industries!E$1,MATCH(Table1[[#This Row],[Ticker]],Industries!$A$2:$A$150,0),0)</f>
        <v>Software</v>
      </c>
      <c r="E1106" t="s">
        <v>42</v>
      </c>
      <c r="F1106" t="str">
        <f ca="1">OFFSET(Industries!B$1,MATCH(Table1[[#This Row],[Ticker]],Industries!$A$2:$A$140,0),0)</f>
        <v>Mega-Cap</v>
      </c>
      <c r="G1106" t="str">
        <f ca="1">OFFSET(Industries!F$1,MATCH(Table1[[#This Row],[Ticker]],Industries!$A$2:$A$140,0),0)</f>
        <v>A-</v>
      </c>
      <c r="H1106" t="s">
        <v>1434</v>
      </c>
      <c r="I1106" t="s">
        <v>1434</v>
      </c>
      <c r="J1106" s="2">
        <v>45386</v>
      </c>
      <c r="K1106" t="s">
        <v>2</v>
      </c>
      <c r="L1106" t="s">
        <v>1710</v>
      </c>
      <c r="M1106" t="s">
        <v>1709</v>
      </c>
      <c r="N1106" s="1">
        <f>Table1[[#This Row],[Consideration Weight]]</f>
        <v>0.52800000000000002</v>
      </c>
      <c r="O1106" t="s">
        <v>476</v>
      </c>
      <c r="P1106" s="1">
        <f>0.88*0.6</f>
        <v>0.52800000000000002</v>
      </c>
      <c r="Q1106" s="1" t="s">
        <v>1636</v>
      </c>
      <c r="R1106" t="s">
        <v>23</v>
      </c>
      <c r="S1106" t="s">
        <v>1083</v>
      </c>
      <c r="T1106" t="s">
        <v>685</v>
      </c>
      <c r="U1106" s="1">
        <v>1</v>
      </c>
      <c r="V1106" t="s">
        <v>687</v>
      </c>
    </row>
    <row r="1107" spans="1:22" x14ac:dyDescent="0.3">
      <c r="A1107" t="s">
        <v>678</v>
      </c>
      <c r="B1107" t="str">
        <f ca="1">OFFSET(Industries!C$1,MATCH(Table1[[#This Row],[Ticker]],Industries!$A$2:$A$150,0),0)</f>
        <v>Information Technology</v>
      </c>
      <c r="C1107" t="str">
        <f ca="1">OFFSET(Industries!D$1,MATCH(Table1[[#This Row],[Ticker]],Industries!$A$2:$A$150,0),0)</f>
        <v>Software and Services</v>
      </c>
      <c r="D1107" t="str">
        <f ca="1">OFFSET(Industries!E$1,MATCH(Table1[[#This Row],[Ticker]],Industries!$A$2:$A$150,0),0)</f>
        <v>Software</v>
      </c>
      <c r="E1107" t="s">
        <v>42</v>
      </c>
      <c r="F1107" t="str">
        <f ca="1">OFFSET(Industries!B$1,MATCH(Table1[[#This Row],[Ticker]],Industries!$A$2:$A$140,0),0)</f>
        <v>Mega-Cap</v>
      </c>
      <c r="G1107" t="str">
        <f ca="1">OFFSET(Industries!F$1,MATCH(Table1[[#This Row],[Ticker]],Industries!$A$2:$A$140,0),0)</f>
        <v>A-</v>
      </c>
      <c r="H1107" t="s">
        <v>1434</v>
      </c>
      <c r="I1107" t="s">
        <v>1434</v>
      </c>
      <c r="J1107" s="2">
        <v>45386</v>
      </c>
      <c r="K1107" t="s">
        <v>2</v>
      </c>
      <c r="L1107" t="s">
        <v>1710</v>
      </c>
      <c r="M1107" t="s">
        <v>1709</v>
      </c>
      <c r="N1107" s="1"/>
      <c r="O1107" t="s">
        <v>476</v>
      </c>
      <c r="P1107" s="1">
        <f>0.88*0.6</f>
        <v>0.52800000000000002</v>
      </c>
      <c r="Q1107" s="1" t="s">
        <v>1646</v>
      </c>
      <c r="R1107" t="s">
        <v>28</v>
      </c>
      <c r="S1107" t="s">
        <v>1085</v>
      </c>
      <c r="T1107" t="s">
        <v>30</v>
      </c>
      <c r="V1107" t="s">
        <v>686</v>
      </c>
    </row>
    <row r="1108" spans="1:22" x14ac:dyDescent="0.3">
      <c r="A1108" t="s">
        <v>678</v>
      </c>
      <c r="B1108" t="str">
        <f ca="1">OFFSET(Industries!C$1,MATCH(Table1[[#This Row],[Ticker]],Industries!$A$2:$A$150,0),0)</f>
        <v>Information Technology</v>
      </c>
      <c r="C1108" t="str">
        <f ca="1">OFFSET(Industries!D$1,MATCH(Table1[[#This Row],[Ticker]],Industries!$A$2:$A$150,0),0)</f>
        <v>Software and Services</v>
      </c>
      <c r="D1108" t="str">
        <f ca="1">OFFSET(Industries!E$1,MATCH(Table1[[#This Row],[Ticker]],Industries!$A$2:$A$150,0),0)</f>
        <v>Software</v>
      </c>
      <c r="E1108" t="s">
        <v>42</v>
      </c>
      <c r="F1108" t="str">
        <f ca="1">OFFSET(Industries!B$1,MATCH(Table1[[#This Row],[Ticker]],Industries!$A$2:$A$140,0),0)</f>
        <v>Mega-Cap</v>
      </c>
      <c r="G1108" t="str">
        <f ca="1">OFFSET(Industries!F$1,MATCH(Table1[[#This Row],[Ticker]],Industries!$A$2:$A$140,0),0)</f>
        <v>A-</v>
      </c>
      <c r="H1108" t="s">
        <v>1434</v>
      </c>
      <c r="I1108" t="s">
        <v>1434</v>
      </c>
      <c r="J1108" s="2">
        <v>45386</v>
      </c>
      <c r="K1108" t="s">
        <v>2</v>
      </c>
      <c r="L1108" t="s">
        <v>1710</v>
      </c>
      <c r="M1108" t="s">
        <v>1711</v>
      </c>
      <c r="N1108" s="1">
        <f>Table1[[#This Row],[Consideration Weight]]</f>
        <v>0.35200000000000004</v>
      </c>
      <c r="O1108" t="s">
        <v>194</v>
      </c>
      <c r="P1108" s="1">
        <f>0.4*0.88</f>
        <v>0.35200000000000004</v>
      </c>
    </row>
    <row r="1109" spans="1:22" x14ac:dyDescent="0.3">
      <c r="A1109" t="s">
        <v>678</v>
      </c>
      <c r="B1109" t="str">
        <f ca="1">OFFSET(Industries!C$1,MATCH(Table1[[#This Row],[Ticker]],Industries!$A$2:$A$150,0),0)</f>
        <v>Information Technology</v>
      </c>
      <c r="C1109" t="str">
        <f ca="1">OFFSET(Industries!D$1,MATCH(Table1[[#This Row],[Ticker]],Industries!$A$2:$A$150,0),0)</f>
        <v>Software and Services</v>
      </c>
      <c r="D1109" t="str">
        <f ca="1">OFFSET(Industries!E$1,MATCH(Table1[[#This Row],[Ticker]],Industries!$A$2:$A$150,0),0)</f>
        <v>Software</v>
      </c>
      <c r="E1109" t="s">
        <v>42</v>
      </c>
      <c r="F1109" t="str">
        <f ca="1">OFFSET(Industries!B$1,MATCH(Table1[[#This Row],[Ticker]],Industries!$A$2:$A$140,0),0)</f>
        <v>Mega-Cap</v>
      </c>
      <c r="G1109" t="str">
        <f ca="1">OFFSET(Industries!F$1,MATCH(Table1[[#This Row],[Ticker]],Industries!$A$2:$A$140,0),0)</f>
        <v>A-</v>
      </c>
      <c r="H1109" t="s">
        <v>1434</v>
      </c>
      <c r="I1109" t="s">
        <v>1434</v>
      </c>
      <c r="J1109" s="2">
        <v>45386</v>
      </c>
      <c r="K1109" t="s">
        <v>21</v>
      </c>
      <c r="L1109" t="s">
        <v>3</v>
      </c>
      <c r="M1109" t="s">
        <v>1711</v>
      </c>
      <c r="N1109" s="1">
        <f>Table1[[#This Row],[Consideration Weight]]</f>
        <v>0.06</v>
      </c>
      <c r="O1109" t="s">
        <v>3</v>
      </c>
      <c r="P1109" s="1">
        <v>0.06</v>
      </c>
    </row>
    <row r="1110" spans="1:22" x14ac:dyDescent="0.3">
      <c r="A1110" t="s">
        <v>678</v>
      </c>
      <c r="B1110" t="str">
        <f ca="1">OFFSET(Industries!C$1,MATCH(Table1[[#This Row],[Ticker]],Industries!$A$2:$A$150,0),0)</f>
        <v>Information Technology</v>
      </c>
      <c r="C1110" t="str">
        <f ca="1">OFFSET(Industries!D$1,MATCH(Table1[[#This Row],[Ticker]],Industries!$A$2:$A$150,0),0)</f>
        <v>Software and Services</v>
      </c>
      <c r="D1110" t="str">
        <f ca="1">OFFSET(Industries!E$1,MATCH(Table1[[#This Row],[Ticker]],Industries!$A$2:$A$150,0),0)</f>
        <v>Software</v>
      </c>
      <c r="E1110" t="s">
        <v>42</v>
      </c>
      <c r="F1110" t="str">
        <f ca="1">OFFSET(Industries!B$1,MATCH(Table1[[#This Row],[Ticker]],Industries!$A$2:$A$140,0),0)</f>
        <v>Mega-Cap</v>
      </c>
      <c r="G1110" t="str">
        <f ca="1">OFFSET(Industries!F$1,MATCH(Table1[[#This Row],[Ticker]],Industries!$A$2:$A$140,0),0)</f>
        <v>A-</v>
      </c>
      <c r="H1110" t="s">
        <v>1434</v>
      </c>
      <c r="I1110" t="s">
        <v>1434</v>
      </c>
      <c r="J1110" s="2">
        <v>45386</v>
      </c>
      <c r="K1110" t="s">
        <v>21</v>
      </c>
      <c r="L1110" t="s">
        <v>1708</v>
      </c>
      <c r="M1110" t="s">
        <v>1709</v>
      </c>
      <c r="N1110" s="1">
        <f>Table1[[#This Row],[Consideration Weight]]</f>
        <v>0.06</v>
      </c>
      <c r="O1110" t="s">
        <v>4</v>
      </c>
      <c r="P1110" s="1">
        <v>0.06</v>
      </c>
      <c r="Q1110" s="1" t="s">
        <v>1636</v>
      </c>
      <c r="R1110" t="s">
        <v>23</v>
      </c>
      <c r="S1110" t="s">
        <v>1086</v>
      </c>
      <c r="T1110" t="s">
        <v>679</v>
      </c>
      <c r="U1110" s="1">
        <v>0.7</v>
      </c>
    </row>
    <row r="1111" spans="1:22" x14ac:dyDescent="0.3">
      <c r="A1111" t="s">
        <v>678</v>
      </c>
      <c r="B1111" t="str">
        <f ca="1">OFFSET(Industries!C$1,MATCH(Table1[[#This Row],[Ticker]],Industries!$A$2:$A$150,0),0)</f>
        <v>Information Technology</v>
      </c>
      <c r="C1111" t="str">
        <f ca="1">OFFSET(Industries!D$1,MATCH(Table1[[#This Row],[Ticker]],Industries!$A$2:$A$150,0),0)</f>
        <v>Software and Services</v>
      </c>
      <c r="D1111" t="str">
        <f ca="1">OFFSET(Industries!E$1,MATCH(Table1[[#This Row],[Ticker]],Industries!$A$2:$A$150,0),0)</f>
        <v>Software</v>
      </c>
      <c r="E1111" t="s">
        <v>42</v>
      </c>
      <c r="F1111" t="str">
        <f ca="1">OFFSET(Industries!B$1,MATCH(Table1[[#This Row],[Ticker]],Industries!$A$2:$A$140,0),0)</f>
        <v>Mega-Cap</v>
      </c>
      <c r="G1111" t="str">
        <f ca="1">OFFSET(Industries!F$1,MATCH(Table1[[#This Row],[Ticker]],Industries!$A$2:$A$140,0),0)</f>
        <v>A-</v>
      </c>
      <c r="H1111" t="s">
        <v>1434</v>
      </c>
      <c r="I1111" t="s">
        <v>1434</v>
      </c>
      <c r="J1111" s="2">
        <v>45386</v>
      </c>
      <c r="K1111" t="s">
        <v>21</v>
      </c>
      <c r="L1111" t="s">
        <v>1708</v>
      </c>
      <c r="M1111" t="s">
        <v>1709</v>
      </c>
      <c r="N1111" s="1"/>
      <c r="O1111" t="s">
        <v>4</v>
      </c>
      <c r="P1111" s="1">
        <v>0.06</v>
      </c>
      <c r="Q1111" s="1" t="s">
        <v>1636</v>
      </c>
      <c r="R1111" t="s">
        <v>24</v>
      </c>
      <c r="S1111" t="s">
        <v>509</v>
      </c>
      <c r="T1111" t="s">
        <v>38</v>
      </c>
      <c r="U1111" s="1">
        <v>0.3</v>
      </c>
    </row>
    <row r="1112" spans="1:22" x14ac:dyDescent="0.3">
      <c r="A1112" t="s">
        <v>678</v>
      </c>
      <c r="B1112" t="str">
        <f ca="1">OFFSET(Industries!C$1,MATCH(Table1[[#This Row],[Ticker]],Industries!$A$2:$A$150,0),0)</f>
        <v>Information Technology</v>
      </c>
      <c r="C1112" t="str">
        <f ca="1">OFFSET(Industries!D$1,MATCH(Table1[[#This Row],[Ticker]],Industries!$A$2:$A$150,0),0)</f>
        <v>Software and Services</v>
      </c>
      <c r="D1112" t="str">
        <f ca="1">OFFSET(Industries!E$1,MATCH(Table1[[#This Row],[Ticker]],Industries!$A$2:$A$150,0),0)</f>
        <v>Software</v>
      </c>
      <c r="E1112" t="s">
        <v>42</v>
      </c>
      <c r="F1112" t="str">
        <f ca="1">OFFSET(Industries!B$1,MATCH(Table1[[#This Row],[Ticker]],Industries!$A$2:$A$140,0),0)</f>
        <v>Mega-Cap</v>
      </c>
      <c r="G1112" t="str">
        <f ca="1">OFFSET(Industries!F$1,MATCH(Table1[[#This Row],[Ticker]],Industries!$A$2:$A$140,0),0)</f>
        <v>A-</v>
      </c>
      <c r="H1112" t="s">
        <v>1434</v>
      </c>
      <c r="I1112" t="s">
        <v>1434</v>
      </c>
      <c r="J1112" s="2">
        <v>45386</v>
      </c>
      <c r="K1112" t="s">
        <v>21</v>
      </c>
      <c r="L1112" t="s">
        <v>1708</v>
      </c>
      <c r="M1112" t="s">
        <v>1709</v>
      </c>
      <c r="N1112" s="1"/>
      <c r="O1112" t="s">
        <v>4</v>
      </c>
      <c r="P1112" s="1">
        <v>0.06</v>
      </c>
      <c r="R1112" t="s">
        <v>28</v>
      </c>
      <c r="S1112" t="s">
        <v>1091</v>
      </c>
      <c r="T1112" t="s">
        <v>682</v>
      </c>
    </row>
    <row r="1113" spans="1:22" x14ac:dyDescent="0.3">
      <c r="A1113" t="s">
        <v>678</v>
      </c>
      <c r="B1113" t="str">
        <f ca="1">OFFSET(Industries!C$1,MATCH(Table1[[#This Row],[Ticker]],Industries!$A$2:$A$150,0),0)</f>
        <v>Information Technology</v>
      </c>
      <c r="C1113" t="str">
        <f ca="1">OFFSET(Industries!D$1,MATCH(Table1[[#This Row],[Ticker]],Industries!$A$2:$A$150,0),0)</f>
        <v>Software and Services</v>
      </c>
      <c r="D1113" t="str">
        <f ca="1">OFFSET(Industries!E$1,MATCH(Table1[[#This Row],[Ticker]],Industries!$A$2:$A$150,0),0)</f>
        <v>Software</v>
      </c>
      <c r="E1113" t="s">
        <v>42</v>
      </c>
      <c r="F1113" t="str">
        <f ca="1">OFFSET(Industries!B$1,MATCH(Table1[[#This Row],[Ticker]],Industries!$A$2:$A$140,0),0)</f>
        <v>Mega-Cap</v>
      </c>
      <c r="G1113" t="str">
        <f ca="1">OFFSET(Industries!F$1,MATCH(Table1[[#This Row],[Ticker]],Industries!$A$2:$A$140,0),0)</f>
        <v>A-</v>
      </c>
      <c r="H1113" t="s">
        <v>1434</v>
      </c>
      <c r="I1113" t="s">
        <v>1434</v>
      </c>
      <c r="J1113" s="2">
        <v>45386</v>
      </c>
      <c r="K1113" t="s">
        <v>21</v>
      </c>
      <c r="L1113" t="s">
        <v>1708</v>
      </c>
      <c r="M1113" t="s">
        <v>1709</v>
      </c>
      <c r="N1113" s="1"/>
      <c r="O1113" t="s">
        <v>4</v>
      </c>
      <c r="P1113" s="1">
        <v>0.06</v>
      </c>
      <c r="R1113" t="s">
        <v>28</v>
      </c>
      <c r="S1113" t="s">
        <v>1152</v>
      </c>
      <c r="T1113" t="s">
        <v>679</v>
      </c>
    </row>
    <row r="1114" spans="1:22" x14ac:dyDescent="0.3">
      <c r="A1114" t="s">
        <v>678</v>
      </c>
      <c r="B1114" t="str">
        <f ca="1">OFFSET(Industries!C$1,MATCH(Table1[[#This Row],[Ticker]],Industries!$A$2:$A$150,0),0)</f>
        <v>Information Technology</v>
      </c>
      <c r="C1114" t="str">
        <f ca="1">OFFSET(Industries!D$1,MATCH(Table1[[#This Row],[Ticker]],Industries!$A$2:$A$150,0),0)</f>
        <v>Software and Services</v>
      </c>
      <c r="D1114" t="str">
        <f ca="1">OFFSET(Industries!E$1,MATCH(Table1[[#This Row],[Ticker]],Industries!$A$2:$A$150,0),0)</f>
        <v>Software</v>
      </c>
      <c r="E1114" t="s">
        <v>42</v>
      </c>
      <c r="F1114" t="str">
        <f ca="1">OFFSET(Industries!B$1,MATCH(Table1[[#This Row],[Ticker]],Industries!$A$2:$A$140,0),0)</f>
        <v>Mega-Cap</v>
      </c>
      <c r="G1114" t="str">
        <f ca="1">OFFSET(Industries!F$1,MATCH(Table1[[#This Row],[Ticker]],Industries!$A$2:$A$140,0),0)</f>
        <v>A-</v>
      </c>
      <c r="H1114" t="s">
        <v>1434</v>
      </c>
      <c r="I1114" t="s">
        <v>1434</v>
      </c>
      <c r="J1114" s="2">
        <v>45386</v>
      </c>
      <c r="K1114" t="s">
        <v>21</v>
      </c>
      <c r="L1114" t="s">
        <v>1710</v>
      </c>
      <c r="M1114" t="s">
        <v>1709</v>
      </c>
      <c r="N1114" s="1">
        <f>Table1[[#This Row],[Consideration Weight]]</f>
        <v>0.52800000000000002</v>
      </c>
      <c r="O1114" t="s">
        <v>476</v>
      </c>
      <c r="P1114" s="1">
        <f>0.88*0.6</f>
        <v>0.52800000000000002</v>
      </c>
      <c r="Q1114" s="1" t="s">
        <v>1636</v>
      </c>
      <c r="R1114" t="s">
        <v>23</v>
      </c>
      <c r="S1114" t="s">
        <v>1083</v>
      </c>
      <c r="T1114" t="s">
        <v>685</v>
      </c>
      <c r="U1114" s="1">
        <v>1</v>
      </c>
    </row>
    <row r="1115" spans="1:22" x14ac:dyDescent="0.3">
      <c r="A1115" t="s">
        <v>678</v>
      </c>
      <c r="B1115" t="str">
        <f ca="1">OFFSET(Industries!C$1,MATCH(Table1[[#This Row],[Ticker]],Industries!$A$2:$A$150,0),0)</f>
        <v>Information Technology</v>
      </c>
      <c r="C1115" t="str">
        <f ca="1">OFFSET(Industries!D$1,MATCH(Table1[[#This Row],[Ticker]],Industries!$A$2:$A$150,0),0)</f>
        <v>Software and Services</v>
      </c>
      <c r="D1115" t="str">
        <f ca="1">OFFSET(Industries!E$1,MATCH(Table1[[#This Row],[Ticker]],Industries!$A$2:$A$150,0),0)</f>
        <v>Software</v>
      </c>
      <c r="E1115" t="s">
        <v>42</v>
      </c>
      <c r="F1115" t="str">
        <f ca="1">OFFSET(Industries!B$1,MATCH(Table1[[#This Row],[Ticker]],Industries!$A$2:$A$140,0),0)</f>
        <v>Mega-Cap</v>
      </c>
      <c r="G1115" t="str">
        <f ca="1">OFFSET(Industries!F$1,MATCH(Table1[[#This Row],[Ticker]],Industries!$A$2:$A$140,0),0)</f>
        <v>A-</v>
      </c>
      <c r="H1115" t="s">
        <v>1434</v>
      </c>
      <c r="I1115" t="s">
        <v>1434</v>
      </c>
      <c r="J1115" s="2">
        <v>45386</v>
      </c>
      <c r="K1115" t="s">
        <v>21</v>
      </c>
      <c r="L1115" t="s">
        <v>1710</v>
      </c>
      <c r="M1115" t="s">
        <v>1709</v>
      </c>
      <c r="N1115" s="1"/>
      <c r="O1115" t="s">
        <v>476</v>
      </c>
      <c r="P1115" s="1">
        <f>0.88*0.6</f>
        <v>0.52800000000000002</v>
      </c>
      <c r="R1115" t="s">
        <v>28</v>
      </c>
      <c r="S1115" t="s">
        <v>1085</v>
      </c>
      <c r="T1115" t="s">
        <v>30</v>
      </c>
    </row>
    <row r="1116" spans="1:22" x14ac:dyDescent="0.3">
      <c r="A1116" t="s">
        <v>678</v>
      </c>
      <c r="B1116" t="str">
        <f ca="1">OFFSET(Industries!C$1,MATCH(Table1[[#This Row],[Ticker]],Industries!$A$2:$A$150,0),0)</f>
        <v>Information Technology</v>
      </c>
      <c r="C1116" t="str">
        <f ca="1">OFFSET(Industries!D$1,MATCH(Table1[[#This Row],[Ticker]],Industries!$A$2:$A$150,0),0)</f>
        <v>Software and Services</v>
      </c>
      <c r="D1116" t="str">
        <f ca="1">OFFSET(Industries!E$1,MATCH(Table1[[#This Row],[Ticker]],Industries!$A$2:$A$150,0),0)</f>
        <v>Software</v>
      </c>
      <c r="E1116" t="s">
        <v>42</v>
      </c>
      <c r="F1116" t="str">
        <f ca="1">OFFSET(Industries!B$1,MATCH(Table1[[#This Row],[Ticker]],Industries!$A$2:$A$140,0),0)</f>
        <v>Mega-Cap</v>
      </c>
      <c r="G1116" t="str">
        <f ca="1">OFFSET(Industries!F$1,MATCH(Table1[[#This Row],[Ticker]],Industries!$A$2:$A$140,0),0)</f>
        <v>A-</v>
      </c>
      <c r="H1116" t="s">
        <v>1434</v>
      </c>
      <c r="I1116" t="s">
        <v>1434</v>
      </c>
      <c r="J1116" s="2">
        <v>45386</v>
      </c>
      <c r="K1116" t="s">
        <v>21</v>
      </c>
      <c r="L1116" t="s">
        <v>1710</v>
      </c>
      <c r="M1116" t="s">
        <v>1711</v>
      </c>
      <c r="N1116" s="1">
        <f>Table1[[#This Row],[Consideration Weight]]</f>
        <v>0.35200000000000004</v>
      </c>
      <c r="O1116" t="s">
        <v>194</v>
      </c>
      <c r="P1116" s="1">
        <f>0.4*0.88</f>
        <v>0.35200000000000004</v>
      </c>
    </row>
    <row r="1117" spans="1:22" x14ac:dyDescent="0.3">
      <c r="A1117" t="s">
        <v>688</v>
      </c>
      <c r="B1117" t="str">
        <f ca="1">OFFSET(Industries!C$1,MATCH(Table1[[#This Row],[Ticker]],Industries!$A$2:$A$150,0),0)</f>
        <v>Financials</v>
      </c>
      <c r="C1117" t="str">
        <f ca="1">OFFSET(Industries!D$1,MATCH(Table1[[#This Row],[Ticker]],Industries!$A$2:$A$150,0),0)</f>
        <v>Financial Services</v>
      </c>
      <c r="D1117" t="str">
        <f ca="1">OFFSET(Industries!E$1,MATCH(Table1[[#This Row],[Ticker]],Industries!$A$2:$A$150,0),0)</f>
        <v>Consumer Finance</v>
      </c>
      <c r="E1117" t="s">
        <v>93</v>
      </c>
      <c r="F1117" t="str">
        <f ca="1">OFFSET(Industries!B$1,MATCH(Table1[[#This Row],[Ticker]],Industries!$A$2:$A$140,0),0)</f>
        <v>Ultra-Cap</v>
      </c>
      <c r="G1117" t="str">
        <f ca="1">OFFSET(Industries!F$1,MATCH(Table1[[#This Row],[Ticker]],Industries!$A$2:$A$140,0),0)</f>
        <v>BBB</v>
      </c>
      <c r="H1117" t="s">
        <v>1434</v>
      </c>
      <c r="I1117" t="s">
        <v>1434</v>
      </c>
      <c r="J1117" s="2">
        <v>45371</v>
      </c>
      <c r="K1117" t="s">
        <v>2</v>
      </c>
      <c r="L1117" t="s">
        <v>3</v>
      </c>
      <c r="M1117" t="s">
        <v>1711</v>
      </c>
      <c r="N1117" s="1">
        <f>Table1[[#This Row],[Consideration Weight]]</f>
        <v>0.09</v>
      </c>
      <c r="O1117" t="s">
        <v>518</v>
      </c>
      <c r="P1117" s="1">
        <v>0.09</v>
      </c>
      <c r="R1117" t="s">
        <v>28</v>
      </c>
      <c r="S1117" t="s">
        <v>1154</v>
      </c>
      <c r="T1117" t="s">
        <v>107</v>
      </c>
      <c r="V1117" t="s">
        <v>1673</v>
      </c>
    </row>
    <row r="1118" spans="1:22" x14ac:dyDescent="0.3">
      <c r="A1118" t="s">
        <v>688</v>
      </c>
      <c r="B1118" t="str">
        <f ca="1">OFFSET(Industries!C$1,MATCH(Table1[[#This Row],[Ticker]],Industries!$A$2:$A$150,0),0)</f>
        <v>Financials</v>
      </c>
      <c r="C1118" t="str">
        <f ca="1">OFFSET(Industries!D$1,MATCH(Table1[[#This Row],[Ticker]],Industries!$A$2:$A$150,0),0)</f>
        <v>Financial Services</v>
      </c>
      <c r="D1118" t="str">
        <f ca="1">OFFSET(Industries!E$1,MATCH(Table1[[#This Row],[Ticker]],Industries!$A$2:$A$150,0),0)</f>
        <v>Consumer Finance</v>
      </c>
      <c r="E1118" t="s">
        <v>93</v>
      </c>
      <c r="F1118" t="str">
        <f ca="1">OFFSET(Industries!B$1,MATCH(Table1[[#This Row],[Ticker]],Industries!$A$2:$A$140,0),0)</f>
        <v>Ultra-Cap</v>
      </c>
      <c r="G1118" t="str">
        <f ca="1">OFFSET(Industries!F$1,MATCH(Table1[[#This Row],[Ticker]],Industries!$A$2:$A$140,0),0)</f>
        <v>BBB</v>
      </c>
      <c r="H1118" t="s">
        <v>1434</v>
      </c>
      <c r="I1118" t="s">
        <v>1434</v>
      </c>
      <c r="J1118" s="2">
        <v>45371</v>
      </c>
      <c r="K1118" t="s">
        <v>2</v>
      </c>
      <c r="L1118" t="s">
        <v>1708</v>
      </c>
      <c r="M1118" t="s">
        <v>1709</v>
      </c>
      <c r="N1118" s="1">
        <f>Table1[[#This Row],[Consideration Weight]]</f>
        <v>0.17</v>
      </c>
      <c r="O1118" t="s">
        <v>4</v>
      </c>
      <c r="P1118" s="1">
        <v>0.17</v>
      </c>
      <c r="Q1118" s="1" t="s">
        <v>1637</v>
      </c>
      <c r="R1118" t="s">
        <v>25</v>
      </c>
      <c r="S1118" t="s">
        <v>1086</v>
      </c>
      <c r="T1118" t="s">
        <v>1145</v>
      </c>
      <c r="U1118" s="1">
        <v>0.5</v>
      </c>
      <c r="V1118" t="s">
        <v>1674</v>
      </c>
    </row>
    <row r="1119" spans="1:22" x14ac:dyDescent="0.3">
      <c r="A1119" t="s">
        <v>688</v>
      </c>
      <c r="B1119" t="str">
        <f ca="1">OFFSET(Industries!C$1,MATCH(Table1[[#This Row],[Ticker]],Industries!$A$2:$A$150,0),0)</f>
        <v>Financials</v>
      </c>
      <c r="C1119" t="str">
        <f ca="1">OFFSET(Industries!D$1,MATCH(Table1[[#This Row],[Ticker]],Industries!$A$2:$A$150,0),0)</f>
        <v>Financial Services</v>
      </c>
      <c r="D1119" t="str">
        <f ca="1">OFFSET(Industries!E$1,MATCH(Table1[[#This Row],[Ticker]],Industries!$A$2:$A$150,0),0)</f>
        <v>Consumer Finance</v>
      </c>
      <c r="E1119" t="s">
        <v>93</v>
      </c>
      <c r="F1119" t="str">
        <f ca="1">OFFSET(Industries!B$1,MATCH(Table1[[#This Row],[Ticker]],Industries!$A$2:$A$140,0),0)</f>
        <v>Ultra-Cap</v>
      </c>
      <c r="G1119" t="str">
        <f ca="1">OFFSET(Industries!F$1,MATCH(Table1[[#This Row],[Ticker]],Industries!$A$2:$A$140,0),0)</f>
        <v>BBB</v>
      </c>
      <c r="H1119" t="s">
        <v>1434</v>
      </c>
      <c r="I1119" t="s">
        <v>1434</v>
      </c>
      <c r="J1119" s="2">
        <v>45371</v>
      </c>
      <c r="K1119" t="s">
        <v>2</v>
      </c>
      <c r="L1119" t="s">
        <v>1708</v>
      </c>
      <c r="M1119" t="s">
        <v>1709</v>
      </c>
      <c r="N1119" s="1"/>
      <c r="O1119" t="s">
        <v>4</v>
      </c>
      <c r="P1119" s="1">
        <v>0.17</v>
      </c>
      <c r="Q1119" s="1" t="s">
        <v>1637</v>
      </c>
      <c r="R1119" t="s">
        <v>332</v>
      </c>
      <c r="S1119" t="s">
        <v>380</v>
      </c>
      <c r="T1119" t="s">
        <v>380</v>
      </c>
      <c r="U1119" s="1">
        <v>0.5</v>
      </c>
    </row>
    <row r="1120" spans="1:22" x14ac:dyDescent="0.3">
      <c r="A1120" t="s">
        <v>688</v>
      </c>
      <c r="B1120" t="str">
        <f ca="1">OFFSET(Industries!C$1,MATCH(Table1[[#This Row],[Ticker]],Industries!$A$2:$A$150,0),0)</f>
        <v>Financials</v>
      </c>
      <c r="C1120" t="str">
        <f ca="1">OFFSET(Industries!D$1,MATCH(Table1[[#This Row],[Ticker]],Industries!$A$2:$A$150,0),0)</f>
        <v>Financial Services</v>
      </c>
      <c r="D1120" t="str">
        <f ca="1">OFFSET(Industries!E$1,MATCH(Table1[[#This Row],[Ticker]],Industries!$A$2:$A$150,0),0)</f>
        <v>Consumer Finance</v>
      </c>
      <c r="E1120" t="s">
        <v>93</v>
      </c>
      <c r="F1120" t="str">
        <f ca="1">OFFSET(Industries!B$1,MATCH(Table1[[#This Row],[Ticker]],Industries!$A$2:$A$140,0),0)</f>
        <v>Ultra-Cap</v>
      </c>
      <c r="G1120" t="str">
        <f ca="1">OFFSET(Industries!F$1,MATCH(Table1[[#This Row],[Ticker]],Industries!$A$2:$A$140,0),0)</f>
        <v>BBB</v>
      </c>
      <c r="H1120" t="s">
        <v>1434</v>
      </c>
      <c r="I1120" t="s">
        <v>1434</v>
      </c>
      <c r="J1120" s="2">
        <v>45371</v>
      </c>
      <c r="K1120" t="s">
        <v>2</v>
      </c>
      <c r="L1120" t="s">
        <v>1710</v>
      </c>
      <c r="M1120" t="s">
        <v>1709</v>
      </c>
      <c r="N1120" s="1">
        <f>Table1[[#This Row],[Consideration Weight]]</f>
        <v>0.57999999999999996</v>
      </c>
      <c r="O1120" t="s">
        <v>476</v>
      </c>
      <c r="P1120" s="1">
        <v>0.57999999999999996</v>
      </c>
      <c r="Q1120" s="1" t="s">
        <v>1636</v>
      </c>
      <c r="R1120" t="s">
        <v>24</v>
      </c>
      <c r="S1120" t="s">
        <v>1086</v>
      </c>
      <c r="T1120" t="s">
        <v>691</v>
      </c>
      <c r="U1120" s="1">
        <f>2/3*0.75</f>
        <v>0.5</v>
      </c>
      <c r="V1120" t="s">
        <v>1720</v>
      </c>
    </row>
    <row r="1121" spans="1:22" x14ac:dyDescent="0.3">
      <c r="A1121" t="s">
        <v>688</v>
      </c>
      <c r="B1121" t="str">
        <f ca="1">OFFSET(Industries!C$1,MATCH(Table1[[#This Row],[Ticker]],Industries!$A$2:$A$150,0),0)</f>
        <v>Financials</v>
      </c>
      <c r="C1121" t="str">
        <f ca="1">OFFSET(Industries!D$1,MATCH(Table1[[#This Row],[Ticker]],Industries!$A$2:$A$150,0),0)</f>
        <v>Financial Services</v>
      </c>
      <c r="D1121" t="str">
        <f ca="1">OFFSET(Industries!E$1,MATCH(Table1[[#This Row],[Ticker]],Industries!$A$2:$A$150,0),0)</f>
        <v>Consumer Finance</v>
      </c>
      <c r="E1121" t="s">
        <v>93</v>
      </c>
      <c r="F1121" t="str">
        <f ca="1">OFFSET(Industries!B$1,MATCH(Table1[[#This Row],[Ticker]],Industries!$A$2:$A$140,0),0)</f>
        <v>Ultra-Cap</v>
      </c>
      <c r="G1121" t="str">
        <f ca="1">OFFSET(Industries!F$1,MATCH(Table1[[#This Row],[Ticker]],Industries!$A$2:$A$140,0),0)</f>
        <v>BBB</v>
      </c>
      <c r="H1121" t="s">
        <v>1434</v>
      </c>
      <c r="I1121" t="s">
        <v>1434</v>
      </c>
      <c r="J1121" s="2">
        <v>45371</v>
      </c>
      <c r="K1121" t="s">
        <v>2</v>
      </c>
      <c r="L1121" t="s">
        <v>1710</v>
      </c>
      <c r="M1121" t="s">
        <v>1709</v>
      </c>
      <c r="N1121" s="1"/>
      <c r="O1121" t="s">
        <v>476</v>
      </c>
      <c r="P1121" s="1">
        <v>0.57999999999999996</v>
      </c>
      <c r="Q1121" s="1" t="s">
        <v>1636</v>
      </c>
      <c r="R1121" t="s">
        <v>1059</v>
      </c>
      <c r="S1121" t="s">
        <v>1146</v>
      </c>
      <c r="T1121" t="s">
        <v>690</v>
      </c>
      <c r="U1121" s="1">
        <v>0.25</v>
      </c>
      <c r="V1121" t="s">
        <v>694</v>
      </c>
    </row>
    <row r="1122" spans="1:22" x14ac:dyDescent="0.3">
      <c r="A1122" t="s">
        <v>688</v>
      </c>
      <c r="B1122" t="str">
        <f ca="1">OFFSET(Industries!C$1,MATCH(Table1[[#This Row],[Ticker]],Industries!$A$2:$A$150,0),0)</f>
        <v>Financials</v>
      </c>
      <c r="C1122" t="str">
        <f ca="1">OFFSET(Industries!D$1,MATCH(Table1[[#This Row],[Ticker]],Industries!$A$2:$A$150,0),0)</f>
        <v>Financial Services</v>
      </c>
      <c r="D1122" t="str">
        <f ca="1">OFFSET(Industries!E$1,MATCH(Table1[[#This Row],[Ticker]],Industries!$A$2:$A$150,0),0)</f>
        <v>Consumer Finance</v>
      </c>
      <c r="E1122" t="s">
        <v>93</v>
      </c>
      <c r="F1122" t="str">
        <f ca="1">OFFSET(Industries!B$1,MATCH(Table1[[#This Row],[Ticker]],Industries!$A$2:$A$140,0),0)</f>
        <v>Ultra-Cap</v>
      </c>
      <c r="G1122" t="str">
        <f ca="1">OFFSET(Industries!F$1,MATCH(Table1[[#This Row],[Ticker]],Industries!$A$2:$A$140,0),0)</f>
        <v>BBB</v>
      </c>
      <c r="H1122" t="s">
        <v>1434</v>
      </c>
      <c r="I1122" t="s">
        <v>1434</v>
      </c>
      <c r="J1122" s="2">
        <v>45371</v>
      </c>
      <c r="K1122" t="s">
        <v>2</v>
      </c>
      <c r="L1122" t="s">
        <v>1710</v>
      </c>
      <c r="M1122" t="s">
        <v>1709</v>
      </c>
      <c r="N1122" s="1"/>
      <c r="O1122" t="s">
        <v>476</v>
      </c>
      <c r="P1122" s="1">
        <v>0.57999999999999996</v>
      </c>
      <c r="Q1122" s="1" t="s">
        <v>1646</v>
      </c>
      <c r="R1122" t="s">
        <v>35</v>
      </c>
      <c r="S1122" t="s">
        <v>29</v>
      </c>
      <c r="T1122" t="s">
        <v>30</v>
      </c>
      <c r="U1122" s="1">
        <v>0.25</v>
      </c>
      <c r="V1122" t="s">
        <v>693</v>
      </c>
    </row>
    <row r="1123" spans="1:22" x14ac:dyDescent="0.3">
      <c r="A1123" t="s">
        <v>688</v>
      </c>
      <c r="B1123" t="str">
        <f ca="1">OFFSET(Industries!C$1,MATCH(Table1[[#This Row],[Ticker]],Industries!$A$2:$A$150,0),0)</f>
        <v>Financials</v>
      </c>
      <c r="C1123" t="str">
        <f ca="1">OFFSET(Industries!D$1,MATCH(Table1[[#This Row],[Ticker]],Industries!$A$2:$A$150,0),0)</f>
        <v>Financial Services</v>
      </c>
      <c r="D1123" t="str">
        <f ca="1">OFFSET(Industries!E$1,MATCH(Table1[[#This Row],[Ticker]],Industries!$A$2:$A$150,0),0)</f>
        <v>Consumer Finance</v>
      </c>
      <c r="E1123" t="s">
        <v>93</v>
      </c>
      <c r="F1123" t="str">
        <f ca="1">OFFSET(Industries!B$1,MATCH(Table1[[#This Row],[Ticker]],Industries!$A$2:$A$140,0),0)</f>
        <v>Ultra-Cap</v>
      </c>
      <c r="G1123" t="str">
        <f ca="1">OFFSET(Industries!F$1,MATCH(Table1[[#This Row],[Ticker]],Industries!$A$2:$A$140,0),0)</f>
        <v>BBB</v>
      </c>
      <c r="H1123" t="s">
        <v>1434</v>
      </c>
      <c r="I1123" t="s">
        <v>1434</v>
      </c>
      <c r="J1123" s="2">
        <v>45371</v>
      </c>
      <c r="K1123" t="s">
        <v>2</v>
      </c>
      <c r="L1123" t="s">
        <v>1710</v>
      </c>
      <c r="M1123" t="s">
        <v>1709</v>
      </c>
      <c r="N1123" s="1"/>
      <c r="O1123" t="s">
        <v>476</v>
      </c>
      <c r="P1123" s="1">
        <v>0.57999999999999996</v>
      </c>
      <c r="R1123" t="s">
        <v>28</v>
      </c>
      <c r="S1123" t="s">
        <v>1153</v>
      </c>
      <c r="T1123" t="s">
        <v>689</v>
      </c>
      <c r="V1123" t="s">
        <v>695</v>
      </c>
    </row>
    <row r="1124" spans="1:22" x14ac:dyDescent="0.3">
      <c r="A1124" t="s">
        <v>688</v>
      </c>
      <c r="B1124" t="str">
        <f ca="1">OFFSET(Industries!C$1,MATCH(Table1[[#This Row],[Ticker]],Industries!$A$2:$A$150,0),0)</f>
        <v>Financials</v>
      </c>
      <c r="C1124" t="str">
        <f ca="1">OFFSET(Industries!D$1,MATCH(Table1[[#This Row],[Ticker]],Industries!$A$2:$A$150,0),0)</f>
        <v>Financial Services</v>
      </c>
      <c r="D1124" t="str">
        <f ca="1">OFFSET(Industries!E$1,MATCH(Table1[[#This Row],[Ticker]],Industries!$A$2:$A$150,0),0)</f>
        <v>Consumer Finance</v>
      </c>
      <c r="E1124" t="s">
        <v>93</v>
      </c>
      <c r="F1124" t="str">
        <f ca="1">OFFSET(Industries!B$1,MATCH(Table1[[#This Row],[Ticker]],Industries!$A$2:$A$140,0),0)</f>
        <v>Ultra-Cap</v>
      </c>
      <c r="G1124" t="str">
        <f ca="1">OFFSET(Industries!F$1,MATCH(Table1[[#This Row],[Ticker]],Industries!$A$2:$A$140,0),0)</f>
        <v>BBB</v>
      </c>
      <c r="H1124" t="s">
        <v>1434</v>
      </c>
      <c r="I1124" t="s">
        <v>1434</v>
      </c>
      <c r="J1124" s="2">
        <v>45371</v>
      </c>
      <c r="K1124" t="s">
        <v>2</v>
      </c>
      <c r="L1124" t="s">
        <v>1710</v>
      </c>
      <c r="M1124" t="s">
        <v>1709</v>
      </c>
      <c r="N1124" s="1">
        <f>Table1[[#This Row],[Consideration Weight]]</f>
        <v>0.16</v>
      </c>
      <c r="O1124" t="s">
        <v>194</v>
      </c>
      <c r="P1124" s="1">
        <v>0.16</v>
      </c>
      <c r="R1124" t="s">
        <v>28</v>
      </c>
      <c r="S1124" t="s">
        <v>1154</v>
      </c>
      <c r="T1124" t="s">
        <v>107</v>
      </c>
      <c r="V1124" t="s">
        <v>1721</v>
      </c>
    </row>
    <row r="1125" spans="1:22" x14ac:dyDescent="0.3">
      <c r="A1125" t="s">
        <v>688</v>
      </c>
      <c r="B1125" t="str">
        <f ca="1">OFFSET(Industries!C$1,MATCH(Table1[[#This Row],[Ticker]],Industries!$A$2:$A$150,0),0)</f>
        <v>Financials</v>
      </c>
      <c r="C1125" t="str">
        <f ca="1">OFFSET(Industries!D$1,MATCH(Table1[[#This Row],[Ticker]],Industries!$A$2:$A$150,0),0)</f>
        <v>Financial Services</v>
      </c>
      <c r="D1125" t="str">
        <f ca="1">OFFSET(Industries!E$1,MATCH(Table1[[#This Row],[Ticker]],Industries!$A$2:$A$150,0),0)</f>
        <v>Consumer Finance</v>
      </c>
      <c r="E1125" t="s">
        <v>93</v>
      </c>
      <c r="F1125" t="str">
        <f ca="1">OFFSET(Industries!B$1,MATCH(Table1[[#This Row],[Ticker]],Industries!$A$2:$A$140,0),0)</f>
        <v>Ultra-Cap</v>
      </c>
      <c r="G1125" t="str">
        <f ca="1">OFFSET(Industries!F$1,MATCH(Table1[[#This Row],[Ticker]],Industries!$A$2:$A$140,0),0)</f>
        <v>BBB</v>
      </c>
      <c r="H1125" t="s">
        <v>1434</v>
      </c>
      <c r="I1125" t="s">
        <v>1434</v>
      </c>
      <c r="J1125" s="2">
        <v>45371</v>
      </c>
      <c r="K1125" t="s">
        <v>21</v>
      </c>
      <c r="L1125" t="s">
        <v>3</v>
      </c>
      <c r="M1125" t="s">
        <v>1711</v>
      </c>
      <c r="N1125" s="1">
        <f>Table1[[#This Row],[Consideration Weight]]</f>
        <v>0.2</v>
      </c>
      <c r="O1125" t="s">
        <v>3</v>
      </c>
      <c r="P1125" s="1">
        <v>0.2</v>
      </c>
    </row>
    <row r="1126" spans="1:22" x14ac:dyDescent="0.3">
      <c r="A1126" t="s">
        <v>688</v>
      </c>
      <c r="B1126" t="str">
        <f ca="1">OFFSET(Industries!C$1,MATCH(Table1[[#This Row],[Ticker]],Industries!$A$2:$A$150,0),0)</f>
        <v>Financials</v>
      </c>
      <c r="C1126" t="str">
        <f ca="1">OFFSET(Industries!D$1,MATCH(Table1[[#This Row],[Ticker]],Industries!$A$2:$A$150,0),0)</f>
        <v>Financial Services</v>
      </c>
      <c r="D1126" t="str">
        <f ca="1">OFFSET(Industries!E$1,MATCH(Table1[[#This Row],[Ticker]],Industries!$A$2:$A$150,0),0)</f>
        <v>Consumer Finance</v>
      </c>
      <c r="E1126" t="s">
        <v>93</v>
      </c>
      <c r="F1126" t="str">
        <f ca="1">OFFSET(Industries!B$1,MATCH(Table1[[#This Row],[Ticker]],Industries!$A$2:$A$140,0),0)</f>
        <v>Ultra-Cap</v>
      </c>
      <c r="G1126" t="str">
        <f ca="1">OFFSET(Industries!F$1,MATCH(Table1[[#This Row],[Ticker]],Industries!$A$2:$A$140,0),0)</f>
        <v>BBB</v>
      </c>
      <c r="H1126" t="s">
        <v>1434</v>
      </c>
      <c r="I1126" t="s">
        <v>1434</v>
      </c>
      <c r="J1126" s="2">
        <v>45371</v>
      </c>
      <c r="K1126" t="s">
        <v>21</v>
      </c>
      <c r="L1126" t="s">
        <v>1708</v>
      </c>
      <c r="M1126" t="s">
        <v>1709</v>
      </c>
      <c r="N1126" s="1">
        <f>Table1[[#This Row],[Consideration Weight]]</f>
        <v>0.25</v>
      </c>
      <c r="O1126" t="s">
        <v>4</v>
      </c>
      <c r="P1126" s="1">
        <v>0.25</v>
      </c>
      <c r="Q1126" s="1" t="s">
        <v>1637</v>
      </c>
      <c r="R1126" t="s">
        <v>25</v>
      </c>
      <c r="S1126" t="s">
        <v>1086</v>
      </c>
      <c r="T1126" t="s">
        <v>1145</v>
      </c>
      <c r="U1126" s="1">
        <v>0.5</v>
      </c>
      <c r="V1126" t="s">
        <v>692</v>
      </c>
    </row>
    <row r="1127" spans="1:22" x14ac:dyDescent="0.3">
      <c r="A1127" t="s">
        <v>688</v>
      </c>
      <c r="B1127" t="str">
        <f ca="1">OFFSET(Industries!C$1,MATCH(Table1[[#This Row],[Ticker]],Industries!$A$2:$A$150,0),0)</f>
        <v>Financials</v>
      </c>
      <c r="C1127" t="str">
        <f ca="1">OFFSET(Industries!D$1,MATCH(Table1[[#This Row],[Ticker]],Industries!$A$2:$A$150,0),0)</f>
        <v>Financial Services</v>
      </c>
      <c r="D1127" t="str">
        <f ca="1">OFFSET(Industries!E$1,MATCH(Table1[[#This Row],[Ticker]],Industries!$A$2:$A$150,0),0)</f>
        <v>Consumer Finance</v>
      </c>
      <c r="E1127" t="s">
        <v>93</v>
      </c>
      <c r="F1127" t="str">
        <f ca="1">OFFSET(Industries!B$1,MATCH(Table1[[#This Row],[Ticker]],Industries!$A$2:$A$140,0),0)</f>
        <v>Ultra-Cap</v>
      </c>
      <c r="G1127" t="str">
        <f ca="1">OFFSET(Industries!F$1,MATCH(Table1[[#This Row],[Ticker]],Industries!$A$2:$A$140,0),0)</f>
        <v>BBB</v>
      </c>
      <c r="H1127" t="s">
        <v>1434</v>
      </c>
      <c r="I1127" t="s">
        <v>1434</v>
      </c>
      <c r="J1127" s="2">
        <v>45371</v>
      </c>
      <c r="K1127" t="s">
        <v>21</v>
      </c>
      <c r="L1127" t="s">
        <v>1708</v>
      </c>
      <c r="M1127" t="s">
        <v>1709</v>
      </c>
      <c r="N1127" s="1"/>
      <c r="O1127" t="s">
        <v>4</v>
      </c>
      <c r="P1127" s="1">
        <v>0.25</v>
      </c>
      <c r="Q1127" s="1" t="s">
        <v>1637</v>
      </c>
      <c r="R1127" t="s">
        <v>332</v>
      </c>
      <c r="S1127" t="s">
        <v>380</v>
      </c>
      <c r="T1127" t="s">
        <v>380</v>
      </c>
      <c r="U1127" s="1">
        <v>0.5</v>
      </c>
    </row>
    <row r="1128" spans="1:22" x14ac:dyDescent="0.3">
      <c r="A1128" t="s">
        <v>688</v>
      </c>
      <c r="B1128" t="str">
        <f ca="1">OFFSET(Industries!C$1,MATCH(Table1[[#This Row],[Ticker]],Industries!$A$2:$A$150,0),0)</f>
        <v>Financials</v>
      </c>
      <c r="C1128" t="str">
        <f ca="1">OFFSET(Industries!D$1,MATCH(Table1[[#This Row],[Ticker]],Industries!$A$2:$A$150,0),0)</f>
        <v>Financial Services</v>
      </c>
      <c r="D1128" t="str">
        <f ca="1">OFFSET(Industries!E$1,MATCH(Table1[[#This Row],[Ticker]],Industries!$A$2:$A$150,0),0)</f>
        <v>Consumer Finance</v>
      </c>
      <c r="E1128" t="s">
        <v>93</v>
      </c>
      <c r="F1128" t="str">
        <f ca="1">OFFSET(Industries!B$1,MATCH(Table1[[#This Row],[Ticker]],Industries!$A$2:$A$140,0),0)</f>
        <v>Ultra-Cap</v>
      </c>
      <c r="G1128" t="str">
        <f ca="1">OFFSET(Industries!F$1,MATCH(Table1[[#This Row],[Ticker]],Industries!$A$2:$A$140,0),0)</f>
        <v>BBB</v>
      </c>
      <c r="H1128" t="s">
        <v>1434</v>
      </c>
      <c r="I1128" t="s">
        <v>1434</v>
      </c>
      <c r="J1128" s="2">
        <v>45371</v>
      </c>
      <c r="K1128" t="s">
        <v>21</v>
      </c>
      <c r="L1128" t="s">
        <v>1710</v>
      </c>
      <c r="M1128" t="s">
        <v>1709</v>
      </c>
      <c r="N1128" s="1">
        <f>Table1[[#This Row],[Consideration Weight]]</f>
        <v>0.3</v>
      </c>
      <c r="O1128" t="s">
        <v>476</v>
      </c>
      <c r="P1128" s="1">
        <v>0.3</v>
      </c>
      <c r="Q1128" s="1" t="s">
        <v>1636</v>
      </c>
      <c r="R1128" t="s">
        <v>24</v>
      </c>
      <c r="S1128" t="s">
        <v>1086</v>
      </c>
      <c r="T1128" t="s">
        <v>691</v>
      </c>
      <c r="U1128" s="1">
        <f>2/3</f>
        <v>0.66666666666666663</v>
      </c>
      <c r="V1128" t="s">
        <v>1722</v>
      </c>
    </row>
    <row r="1129" spans="1:22" x14ac:dyDescent="0.3">
      <c r="A1129" t="s">
        <v>688</v>
      </c>
      <c r="B1129" t="str">
        <f ca="1">OFFSET(Industries!C$1,MATCH(Table1[[#This Row],[Ticker]],Industries!$A$2:$A$150,0),0)</f>
        <v>Financials</v>
      </c>
      <c r="C1129" t="str">
        <f ca="1">OFFSET(Industries!D$1,MATCH(Table1[[#This Row],[Ticker]],Industries!$A$2:$A$150,0),0)</f>
        <v>Financial Services</v>
      </c>
      <c r="D1129" t="str">
        <f ca="1">OFFSET(Industries!E$1,MATCH(Table1[[#This Row],[Ticker]],Industries!$A$2:$A$150,0),0)</f>
        <v>Consumer Finance</v>
      </c>
      <c r="E1129" t="s">
        <v>93</v>
      </c>
      <c r="F1129" t="str">
        <f ca="1">OFFSET(Industries!B$1,MATCH(Table1[[#This Row],[Ticker]],Industries!$A$2:$A$140,0),0)</f>
        <v>Ultra-Cap</v>
      </c>
      <c r="G1129" t="str">
        <f ca="1">OFFSET(Industries!F$1,MATCH(Table1[[#This Row],[Ticker]],Industries!$A$2:$A$140,0),0)</f>
        <v>BBB</v>
      </c>
      <c r="H1129" t="s">
        <v>1434</v>
      </c>
      <c r="I1129" t="s">
        <v>1434</v>
      </c>
      <c r="J1129" s="2">
        <v>45371</v>
      </c>
      <c r="K1129" t="s">
        <v>21</v>
      </c>
      <c r="L1129" t="s">
        <v>1710</v>
      </c>
      <c r="M1129" t="s">
        <v>1709</v>
      </c>
      <c r="N1129" s="1"/>
      <c r="O1129" t="s">
        <v>476</v>
      </c>
      <c r="P1129" s="1">
        <v>0.3</v>
      </c>
      <c r="Q1129" s="1" t="s">
        <v>1636</v>
      </c>
      <c r="R1129" t="s">
        <v>1059</v>
      </c>
      <c r="S1129" t="s">
        <v>1146</v>
      </c>
      <c r="T1129" t="s">
        <v>690</v>
      </c>
      <c r="U1129" s="1">
        <f>1/3</f>
        <v>0.33333333333333331</v>
      </c>
    </row>
    <row r="1130" spans="1:22" x14ac:dyDescent="0.3">
      <c r="A1130" t="s">
        <v>688</v>
      </c>
      <c r="B1130" t="str">
        <f ca="1">OFFSET(Industries!C$1,MATCH(Table1[[#This Row],[Ticker]],Industries!$A$2:$A$150,0),0)</f>
        <v>Financials</v>
      </c>
      <c r="C1130" t="str">
        <f ca="1">OFFSET(Industries!D$1,MATCH(Table1[[#This Row],[Ticker]],Industries!$A$2:$A$150,0),0)</f>
        <v>Financial Services</v>
      </c>
      <c r="D1130" t="str">
        <f ca="1">OFFSET(Industries!E$1,MATCH(Table1[[#This Row],[Ticker]],Industries!$A$2:$A$150,0),0)</f>
        <v>Consumer Finance</v>
      </c>
      <c r="E1130" t="s">
        <v>93</v>
      </c>
      <c r="F1130" t="str">
        <f ca="1">OFFSET(Industries!B$1,MATCH(Table1[[#This Row],[Ticker]],Industries!$A$2:$A$140,0),0)</f>
        <v>Ultra-Cap</v>
      </c>
      <c r="G1130" t="str">
        <f ca="1">OFFSET(Industries!F$1,MATCH(Table1[[#This Row],[Ticker]],Industries!$A$2:$A$140,0),0)</f>
        <v>BBB</v>
      </c>
      <c r="H1130" t="s">
        <v>1434</v>
      </c>
      <c r="I1130" t="s">
        <v>1434</v>
      </c>
      <c r="J1130" s="2">
        <v>45371</v>
      </c>
      <c r="K1130" t="s">
        <v>21</v>
      </c>
      <c r="L1130" t="s">
        <v>1710</v>
      </c>
      <c r="M1130" t="s">
        <v>1709</v>
      </c>
      <c r="N1130" s="1"/>
      <c r="O1130" t="s">
        <v>476</v>
      </c>
      <c r="P1130" s="1">
        <v>0.3</v>
      </c>
      <c r="Q1130" s="1" t="s">
        <v>1646</v>
      </c>
      <c r="R1130" t="s">
        <v>28</v>
      </c>
      <c r="S1130" t="s">
        <v>1153</v>
      </c>
      <c r="T1130" t="s">
        <v>689</v>
      </c>
    </row>
    <row r="1131" spans="1:22" x14ac:dyDescent="0.3">
      <c r="A1131" t="s">
        <v>688</v>
      </c>
      <c r="B1131" t="str">
        <f ca="1">OFFSET(Industries!C$1,MATCH(Table1[[#This Row],[Ticker]],Industries!$A$2:$A$150,0),0)</f>
        <v>Financials</v>
      </c>
      <c r="C1131" t="str">
        <f ca="1">OFFSET(Industries!D$1,MATCH(Table1[[#This Row],[Ticker]],Industries!$A$2:$A$150,0),0)</f>
        <v>Financial Services</v>
      </c>
      <c r="D1131" t="str">
        <f ca="1">OFFSET(Industries!E$1,MATCH(Table1[[#This Row],[Ticker]],Industries!$A$2:$A$150,0),0)</f>
        <v>Consumer Finance</v>
      </c>
      <c r="E1131" t="s">
        <v>93</v>
      </c>
      <c r="F1131" t="str">
        <f ca="1">OFFSET(Industries!B$1,MATCH(Table1[[#This Row],[Ticker]],Industries!$A$2:$A$140,0),0)</f>
        <v>Ultra-Cap</v>
      </c>
      <c r="G1131" t="str">
        <f ca="1">OFFSET(Industries!F$1,MATCH(Table1[[#This Row],[Ticker]],Industries!$A$2:$A$140,0),0)</f>
        <v>BBB</v>
      </c>
      <c r="H1131" t="s">
        <v>1434</v>
      </c>
      <c r="I1131" t="s">
        <v>1434</v>
      </c>
      <c r="J1131" s="2">
        <v>45371</v>
      </c>
      <c r="K1131" t="s">
        <v>21</v>
      </c>
      <c r="L1131" t="s">
        <v>1710</v>
      </c>
      <c r="M1131" t="s">
        <v>1711</v>
      </c>
      <c r="N1131" s="1">
        <f>Table1[[#This Row],[Consideration Weight]]</f>
        <v>0.25</v>
      </c>
      <c r="O1131" t="s">
        <v>194</v>
      </c>
      <c r="P1131" s="1">
        <v>0.25</v>
      </c>
      <c r="R1131" t="s">
        <v>28</v>
      </c>
      <c r="S1131" t="s">
        <v>1154</v>
      </c>
      <c r="T1131" t="s">
        <v>107</v>
      </c>
      <c r="V1131" t="s">
        <v>1723</v>
      </c>
    </row>
    <row r="1132" spans="1:22" x14ac:dyDescent="0.3">
      <c r="A1132" t="s">
        <v>1357</v>
      </c>
      <c r="B1132" t="str">
        <f ca="1">OFFSET(Industries!C$1,MATCH(Table1[[#This Row],[Ticker]],Industries!$A$2:$A$150,0),0)</f>
        <v>Health Care</v>
      </c>
      <c r="C1132" t="str">
        <f ca="1">OFFSET(Industries!D$1,MATCH(Table1[[#This Row],[Ticker]],Industries!$A$2:$A$150,0),0)</f>
        <v>Health Care Equipment and Services</v>
      </c>
      <c r="D1132" t="str">
        <f ca="1">OFFSET(Industries!E$1,MATCH(Table1[[#This Row],[Ticker]],Industries!$A$2:$A$150,0),0)</f>
        <v>Health Care Equipment and Supplies</v>
      </c>
      <c r="E1132" t="s">
        <v>127</v>
      </c>
      <c r="F1132" t="str">
        <f ca="1">OFFSET(Industries!B$1,MATCH(Table1[[#This Row],[Ticker]],Industries!$A$2:$A$140,0),0)</f>
        <v>Large-Cap</v>
      </c>
      <c r="G1132" t="str">
        <f ca="1">OFFSET(Industries!F$1,MATCH(Table1[[#This Row],[Ticker]],Industries!$A$2:$A$140,0),0)</f>
        <v>BBB</v>
      </c>
      <c r="H1132" t="s">
        <v>1434</v>
      </c>
      <c r="I1132" t="s">
        <v>1434</v>
      </c>
      <c r="J1132" s="2">
        <v>45386</v>
      </c>
      <c r="K1132" t="s">
        <v>2</v>
      </c>
      <c r="L1132" t="s">
        <v>3</v>
      </c>
      <c r="M1132" t="s">
        <v>1711</v>
      </c>
      <c r="N1132" s="1">
        <f>Table1[[#This Row],[Consideration Weight]]</f>
        <v>0.08</v>
      </c>
      <c r="O1132" t="s">
        <v>3</v>
      </c>
      <c r="P1132" s="1">
        <v>0.08</v>
      </c>
    </row>
    <row r="1133" spans="1:22" x14ac:dyDescent="0.3">
      <c r="A1133" t="s">
        <v>1357</v>
      </c>
      <c r="B1133" t="str">
        <f ca="1">OFFSET(Industries!C$1,MATCH(Table1[[#This Row],[Ticker]],Industries!$A$2:$A$150,0),0)</f>
        <v>Health Care</v>
      </c>
      <c r="C1133" t="str">
        <f ca="1">OFFSET(Industries!D$1,MATCH(Table1[[#This Row],[Ticker]],Industries!$A$2:$A$150,0),0)</f>
        <v>Health Care Equipment and Services</v>
      </c>
      <c r="D1133" t="str">
        <f ca="1">OFFSET(Industries!E$1,MATCH(Table1[[#This Row],[Ticker]],Industries!$A$2:$A$150,0),0)</f>
        <v>Health Care Equipment and Supplies</v>
      </c>
      <c r="E1133" t="s">
        <v>127</v>
      </c>
      <c r="F1133" t="str">
        <f ca="1">OFFSET(Industries!B$1,MATCH(Table1[[#This Row],[Ticker]],Industries!$A$2:$A$140,0),0)</f>
        <v>Large-Cap</v>
      </c>
      <c r="G1133" t="str">
        <f ca="1">OFFSET(Industries!F$1,MATCH(Table1[[#This Row],[Ticker]],Industries!$A$2:$A$140,0),0)</f>
        <v>BBB</v>
      </c>
      <c r="H1133" t="s">
        <v>1434</v>
      </c>
      <c r="I1133" t="s">
        <v>1434</v>
      </c>
      <c r="J1133" s="2">
        <v>45386</v>
      </c>
      <c r="K1133" t="s">
        <v>2</v>
      </c>
      <c r="L1133" t="s">
        <v>1708</v>
      </c>
      <c r="M1133" t="s">
        <v>1709</v>
      </c>
      <c r="N1133" s="1">
        <f>Table1[[#This Row],[Consideration Weight]]</f>
        <v>0.12</v>
      </c>
      <c r="O1133" t="s">
        <v>4</v>
      </c>
      <c r="P1133" s="1">
        <v>0.12</v>
      </c>
      <c r="Q1133" s="1" t="s">
        <v>1636</v>
      </c>
      <c r="R1133" t="s">
        <v>23</v>
      </c>
      <c r="S1133" t="s">
        <v>1083</v>
      </c>
      <c r="T1133" t="s">
        <v>7</v>
      </c>
      <c r="U1133" s="1">
        <v>0.5</v>
      </c>
      <c r="V1133" t="s">
        <v>705</v>
      </c>
    </row>
    <row r="1134" spans="1:22" x14ac:dyDescent="0.3">
      <c r="A1134" t="s">
        <v>1357</v>
      </c>
      <c r="B1134" t="str">
        <f ca="1">OFFSET(Industries!C$1,MATCH(Table1[[#This Row],[Ticker]],Industries!$A$2:$A$150,0),0)</f>
        <v>Health Care</v>
      </c>
      <c r="C1134" t="str">
        <f ca="1">OFFSET(Industries!D$1,MATCH(Table1[[#This Row],[Ticker]],Industries!$A$2:$A$150,0),0)</f>
        <v>Health Care Equipment and Services</v>
      </c>
      <c r="D1134" t="str">
        <f ca="1">OFFSET(Industries!E$1,MATCH(Table1[[#This Row],[Ticker]],Industries!$A$2:$A$150,0),0)</f>
        <v>Health Care Equipment and Supplies</v>
      </c>
      <c r="E1134" t="s">
        <v>127</v>
      </c>
      <c r="F1134" t="str">
        <f ca="1">OFFSET(Industries!B$1,MATCH(Table1[[#This Row],[Ticker]],Industries!$A$2:$A$140,0),0)</f>
        <v>Large-Cap</v>
      </c>
      <c r="G1134" t="str">
        <f ca="1">OFFSET(Industries!F$1,MATCH(Table1[[#This Row],[Ticker]],Industries!$A$2:$A$140,0),0)</f>
        <v>BBB</v>
      </c>
      <c r="H1134" t="s">
        <v>1434</v>
      </c>
      <c r="I1134" t="s">
        <v>1434</v>
      </c>
      <c r="J1134" s="2">
        <v>45386</v>
      </c>
      <c r="K1134" t="s">
        <v>2</v>
      </c>
      <c r="L1134" t="s">
        <v>1708</v>
      </c>
      <c r="M1134" t="s">
        <v>1709</v>
      </c>
      <c r="N1134" s="1"/>
      <c r="O1134" t="s">
        <v>4</v>
      </c>
      <c r="P1134" s="1">
        <v>0.12</v>
      </c>
      <c r="Q1134" s="1" t="s">
        <v>1636</v>
      </c>
      <c r="R1134" t="s">
        <v>24</v>
      </c>
      <c r="S1134" t="s">
        <v>90</v>
      </c>
      <c r="T1134" t="s">
        <v>8</v>
      </c>
      <c r="U1134" s="1">
        <v>0.3</v>
      </c>
      <c r="V1134" t="s">
        <v>706</v>
      </c>
    </row>
    <row r="1135" spans="1:22" x14ac:dyDescent="0.3">
      <c r="A1135" t="s">
        <v>1357</v>
      </c>
      <c r="B1135" t="str">
        <f ca="1">OFFSET(Industries!C$1,MATCH(Table1[[#This Row],[Ticker]],Industries!$A$2:$A$150,0),0)</f>
        <v>Health Care</v>
      </c>
      <c r="C1135" t="str">
        <f ca="1">OFFSET(Industries!D$1,MATCH(Table1[[#This Row],[Ticker]],Industries!$A$2:$A$150,0),0)</f>
        <v>Health Care Equipment and Services</v>
      </c>
      <c r="D1135" t="str">
        <f ca="1">OFFSET(Industries!E$1,MATCH(Table1[[#This Row],[Ticker]],Industries!$A$2:$A$150,0),0)</f>
        <v>Health Care Equipment and Supplies</v>
      </c>
      <c r="E1135" t="s">
        <v>127</v>
      </c>
      <c r="F1135" t="str">
        <f ca="1">OFFSET(Industries!B$1,MATCH(Table1[[#This Row],[Ticker]],Industries!$A$2:$A$140,0),0)</f>
        <v>Large-Cap</v>
      </c>
      <c r="G1135" t="str">
        <f ca="1">OFFSET(Industries!F$1,MATCH(Table1[[#This Row],[Ticker]],Industries!$A$2:$A$140,0),0)</f>
        <v>BBB</v>
      </c>
      <c r="H1135" t="s">
        <v>1434</v>
      </c>
      <c r="I1135" t="s">
        <v>1434</v>
      </c>
      <c r="J1135" s="2">
        <v>45386</v>
      </c>
      <c r="K1135" t="s">
        <v>2</v>
      </c>
      <c r="L1135" t="s">
        <v>1708</v>
      </c>
      <c r="M1135" t="s">
        <v>1709</v>
      </c>
      <c r="N1135" s="1"/>
      <c r="O1135" t="s">
        <v>4</v>
      </c>
      <c r="P1135" s="1">
        <v>0.12</v>
      </c>
      <c r="Q1135" s="1" t="s">
        <v>1636</v>
      </c>
      <c r="R1135" t="s">
        <v>62</v>
      </c>
      <c r="S1135" t="s">
        <v>129</v>
      </c>
      <c r="T1135" t="s">
        <v>117</v>
      </c>
      <c r="U1135" s="1">
        <v>0.2</v>
      </c>
      <c r="V1135" t="s">
        <v>707</v>
      </c>
    </row>
    <row r="1136" spans="1:22" x14ac:dyDescent="0.3">
      <c r="A1136" t="s">
        <v>1357</v>
      </c>
      <c r="B1136" t="str">
        <f ca="1">OFFSET(Industries!C$1,MATCH(Table1[[#This Row],[Ticker]],Industries!$A$2:$A$150,0),0)</f>
        <v>Health Care</v>
      </c>
      <c r="C1136" t="str">
        <f ca="1">OFFSET(Industries!D$1,MATCH(Table1[[#This Row],[Ticker]],Industries!$A$2:$A$150,0),0)</f>
        <v>Health Care Equipment and Services</v>
      </c>
      <c r="D1136" t="str">
        <f ca="1">OFFSET(Industries!E$1,MATCH(Table1[[#This Row],[Ticker]],Industries!$A$2:$A$150,0),0)</f>
        <v>Health Care Equipment and Supplies</v>
      </c>
      <c r="E1136" t="s">
        <v>127</v>
      </c>
      <c r="F1136" t="str">
        <f ca="1">OFFSET(Industries!B$1,MATCH(Table1[[#This Row],[Ticker]],Industries!$A$2:$A$140,0),0)</f>
        <v>Large-Cap</v>
      </c>
      <c r="G1136" t="str">
        <f ca="1">OFFSET(Industries!F$1,MATCH(Table1[[#This Row],[Ticker]],Industries!$A$2:$A$140,0),0)</f>
        <v>BBB</v>
      </c>
      <c r="H1136" t="s">
        <v>1434</v>
      </c>
      <c r="I1136" t="s">
        <v>1434</v>
      </c>
      <c r="J1136" s="2">
        <v>45386</v>
      </c>
      <c r="K1136" t="s">
        <v>2</v>
      </c>
      <c r="L1136" t="s">
        <v>1708</v>
      </c>
      <c r="M1136" t="s">
        <v>1709</v>
      </c>
      <c r="N1136" s="1"/>
      <c r="O1136" t="s">
        <v>4</v>
      </c>
      <c r="P1136" s="1">
        <v>0.12</v>
      </c>
      <c r="R1136" t="s">
        <v>28</v>
      </c>
      <c r="S1136" t="s">
        <v>1091</v>
      </c>
      <c r="T1136" t="s">
        <v>701</v>
      </c>
      <c r="V1136" t="s">
        <v>703</v>
      </c>
    </row>
    <row r="1137" spans="1:22" x14ac:dyDescent="0.3">
      <c r="A1137" t="s">
        <v>1357</v>
      </c>
      <c r="B1137" t="str">
        <f ca="1">OFFSET(Industries!C$1,MATCH(Table1[[#This Row],[Ticker]],Industries!$A$2:$A$150,0),0)</f>
        <v>Health Care</v>
      </c>
      <c r="C1137" t="str">
        <f ca="1">OFFSET(Industries!D$1,MATCH(Table1[[#This Row],[Ticker]],Industries!$A$2:$A$150,0),0)</f>
        <v>Health Care Equipment and Services</v>
      </c>
      <c r="D1137" t="str">
        <f ca="1">OFFSET(Industries!E$1,MATCH(Table1[[#This Row],[Ticker]],Industries!$A$2:$A$150,0),0)</f>
        <v>Health Care Equipment and Supplies</v>
      </c>
      <c r="E1137" t="s">
        <v>127</v>
      </c>
      <c r="F1137" t="str">
        <f ca="1">OFFSET(Industries!B$1,MATCH(Table1[[#This Row],[Ticker]],Industries!$A$2:$A$140,0),0)</f>
        <v>Large-Cap</v>
      </c>
      <c r="G1137" t="str">
        <f ca="1">OFFSET(Industries!F$1,MATCH(Table1[[#This Row],[Ticker]],Industries!$A$2:$A$140,0),0)</f>
        <v>BBB</v>
      </c>
      <c r="H1137" t="s">
        <v>1434</v>
      </c>
      <c r="I1137" t="s">
        <v>1434</v>
      </c>
      <c r="J1137" s="2">
        <v>45386</v>
      </c>
      <c r="K1137" t="s">
        <v>2</v>
      </c>
      <c r="L1137" t="s">
        <v>1708</v>
      </c>
      <c r="M1137" t="s">
        <v>1709</v>
      </c>
      <c r="N1137" s="1"/>
      <c r="O1137" t="s">
        <v>4</v>
      </c>
      <c r="P1137" s="1">
        <v>0.12</v>
      </c>
      <c r="R1137" t="s">
        <v>28</v>
      </c>
      <c r="S1137" t="s">
        <v>1120</v>
      </c>
      <c r="T1137" t="s">
        <v>702</v>
      </c>
      <c r="V1137" t="s">
        <v>704</v>
      </c>
    </row>
    <row r="1138" spans="1:22" x14ac:dyDescent="0.3">
      <c r="A1138" t="s">
        <v>1357</v>
      </c>
      <c r="B1138" t="str">
        <f ca="1">OFFSET(Industries!C$1,MATCH(Table1[[#This Row],[Ticker]],Industries!$A$2:$A$150,0),0)</f>
        <v>Health Care</v>
      </c>
      <c r="C1138" t="str">
        <f ca="1">OFFSET(Industries!D$1,MATCH(Table1[[#This Row],[Ticker]],Industries!$A$2:$A$150,0),0)</f>
        <v>Health Care Equipment and Services</v>
      </c>
      <c r="D1138" t="str">
        <f ca="1">OFFSET(Industries!E$1,MATCH(Table1[[#This Row],[Ticker]],Industries!$A$2:$A$150,0),0)</f>
        <v>Health Care Equipment and Supplies</v>
      </c>
      <c r="E1138" t="s">
        <v>127</v>
      </c>
      <c r="F1138" t="str">
        <f ca="1">OFFSET(Industries!B$1,MATCH(Table1[[#This Row],[Ticker]],Industries!$A$2:$A$140,0),0)</f>
        <v>Large-Cap</v>
      </c>
      <c r="G1138" t="str">
        <f ca="1">OFFSET(Industries!F$1,MATCH(Table1[[#This Row],[Ticker]],Industries!$A$2:$A$140,0),0)</f>
        <v>BBB</v>
      </c>
      <c r="H1138" t="s">
        <v>1434</v>
      </c>
      <c r="I1138" t="s">
        <v>1434</v>
      </c>
      <c r="J1138" s="2">
        <v>45386</v>
      </c>
      <c r="K1138" t="s">
        <v>2</v>
      </c>
      <c r="L1138" t="s">
        <v>1708</v>
      </c>
      <c r="M1138" t="s">
        <v>1709</v>
      </c>
      <c r="N1138" s="1"/>
      <c r="O1138" t="s">
        <v>4</v>
      </c>
      <c r="P1138" s="1">
        <v>0.12</v>
      </c>
      <c r="R1138" t="s">
        <v>28</v>
      </c>
      <c r="S1138" t="s">
        <v>1087</v>
      </c>
      <c r="T1138" t="s">
        <v>40</v>
      </c>
    </row>
    <row r="1139" spans="1:22" x14ac:dyDescent="0.3">
      <c r="A1139" t="s">
        <v>1357</v>
      </c>
      <c r="B1139" t="str">
        <f ca="1">OFFSET(Industries!C$1,MATCH(Table1[[#This Row],[Ticker]],Industries!$A$2:$A$150,0),0)</f>
        <v>Health Care</v>
      </c>
      <c r="C1139" t="str">
        <f ca="1">OFFSET(Industries!D$1,MATCH(Table1[[#This Row],[Ticker]],Industries!$A$2:$A$150,0),0)</f>
        <v>Health Care Equipment and Services</v>
      </c>
      <c r="D1139" t="str">
        <f ca="1">OFFSET(Industries!E$1,MATCH(Table1[[#This Row],[Ticker]],Industries!$A$2:$A$150,0),0)</f>
        <v>Health Care Equipment and Supplies</v>
      </c>
      <c r="E1139" t="s">
        <v>127</v>
      </c>
      <c r="F1139" t="str">
        <f ca="1">OFFSET(Industries!B$1,MATCH(Table1[[#This Row],[Ticker]],Industries!$A$2:$A$140,0),0)</f>
        <v>Large-Cap</v>
      </c>
      <c r="G1139" t="str">
        <f ca="1">OFFSET(Industries!F$1,MATCH(Table1[[#This Row],[Ticker]],Industries!$A$2:$A$140,0),0)</f>
        <v>BBB</v>
      </c>
      <c r="H1139" t="s">
        <v>1434</v>
      </c>
      <c r="I1139" t="s">
        <v>1434</v>
      </c>
      <c r="J1139" s="2">
        <v>45386</v>
      </c>
      <c r="K1139" t="s">
        <v>2</v>
      </c>
      <c r="L1139" t="s">
        <v>1710</v>
      </c>
      <c r="M1139" t="s">
        <v>1709</v>
      </c>
      <c r="N1139" s="1">
        <f>Table1[[#This Row],[Consideration Weight]]</f>
        <v>0.4</v>
      </c>
      <c r="O1139" t="s">
        <v>476</v>
      </c>
      <c r="P1139" s="1">
        <v>0.4</v>
      </c>
      <c r="Q1139" s="1" t="s">
        <v>1636</v>
      </c>
      <c r="R1139" t="s">
        <v>23</v>
      </c>
      <c r="S1139" t="s">
        <v>1083</v>
      </c>
      <c r="T1139" t="s">
        <v>696</v>
      </c>
      <c r="U1139" s="1">
        <v>0.5</v>
      </c>
    </row>
    <row r="1140" spans="1:22" x14ac:dyDescent="0.3">
      <c r="A1140" t="s">
        <v>1357</v>
      </c>
      <c r="B1140" t="str">
        <f ca="1">OFFSET(Industries!C$1,MATCH(Table1[[#This Row],[Ticker]],Industries!$A$2:$A$150,0),0)</f>
        <v>Health Care</v>
      </c>
      <c r="C1140" t="str">
        <f ca="1">OFFSET(Industries!D$1,MATCH(Table1[[#This Row],[Ticker]],Industries!$A$2:$A$150,0),0)</f>
        <v>Health Care Equipment and Services</v>
      </c>
      <c r="D1140" t="str">
        <f ca="1">OFFSET(Industries!E$1,MATCH(Table1[[#This Row],[Ticker]],Industries!$A$2:$A$150,0),0)</f>
        <v>Health Care Equipment and Supplies</v>
      </c>
      <c r="E1140" t="s">
        <v>127</v>
      </c>
      <c r="F1140" t="str">
        <f ca="1">OFFSET(Industries!B$1,MATCH(Table1[[#This Row],[Ticker]],Industries!$A$2:$A$140,0),0)</f>
        <v>Large-Cap</v>
      </c>
      <c r="G1140" t="str">
        <f ca="1">OFFSET(Industries!F$1,MATCH(Table1[[#This Row],[Ticker]],Industries!$A$2:$A$140,0),0)</f>
        <v>BBB</v>
      </c>
      <c r="H1140" t="s">
        <v>1434</v>
      </c>
      <c r="I1140" t="s">
        <v>1434</v>
      </c>
      <c r="J1140" s="2">
        <v>45386</v>
      </c>
      <c r="K1140" t="s">
        <v>2</v>
      </c>
      <c r="L1140" t="s">
        <v>1710</v>
      </c>
      <c r="M1140" t="s">
        <v>1709</v>
      </c>
      <c r="N1140" s="1"/>
      <c r="O1140" t="s">
        <v>476</v>
      </c>
      <c r="P1140" s="1">
        <v>0.4</v>
      </c>
      <c r="Q1140" s="1" t="s">
        <v>1636</v>
      </c>
      <c r="R1140" t="s">
        <v>24</v>
      </c>
      <c r="S1140" t="s">
        <v>1089</v>
      </c>
      <c r="T1140" t="s">
        <v>86</v>
      </c>
      <c r="U1140" s="1">
        <v>0.5</v>
      </c>
      <c r="V1140" t="s">
        <v>708</v>
      </c>
    </row>
    <row r="1141" spans="1:22" x14ac:dyDescent="0.3">
      <c r="A1141" t="s">
        <v>1357</v>
      </c>
      <c r="B1141" t="str">
        <f ca="1">OFFSET(Industries!C$1,MATCH(Table1[[#This Row],[Ticker]],Industries!$A$2:$A$150,0),0)</f>
        <v>Health Care</v>
      </c>
      <c r="C1141" t="str">
        <f ca="1">OFFSET(Industries!D$1,MATCH(Table1[[#This Row],[Ticker]],Industries!$A$2:$A$150,0),0)</f>
        <v>Health Care Equipment and Services</v>
      </c>
      <c r="D1141" t="str">
        <f ca="1">OFFSET(Industries!E$1,MATCH(Table1[[#This Row],[Ticker]],Industries!$A$2:$A$150,0),0)</f>
        <v>Health Care Equipment and Supplies</v>
      </c>
      <c r="E1141" t="s">
        <v>127</v>
      </c>
      <c r="F1141" t="str">
        <f ca="1">OFFSET(Industries!B$1,MATCH(Table1[[#This Row],[Ticker]],Industries!$A$2:$A$140,0),0)</f>
        <v>Large-Cap</v>
      </c>
      <c r="G1141" t="str">
        <f ca="1">OFFSET(Industries!F$1,MATCH(Table1[[#This Row],[Ticker]],Industries!$A$2:$A$140,0),0)</f>
        <v>BBB</v>
      </c>
      <c r="H1141" t="s">
        <v>1434</v>
      </c>
      <c r="I1141" t="s">
        <v>1434</v>
      </c>
      <c r="J1141" s="2">
        <v>45386</v>
      </c>
      <c r="K1141" t="s">
        <v>2</v>
      </c>
      <c r="L1141" t="s">
        <v>1710</v>
      </c>
      <c r="M1141" t="s">
        <v>1709</v>
      </c>
      <c r="N1141" s="1"/>
      <c r="O1141" t="s">
        <v>476</v>
      </c>
      <c r="P1141" s="1">
        <v>0.4</v>
      </c>
      <c r="R1141" t="s">
        <v>28</v>
      </c>
      <c r="S1141" t="s">
        <v>1085</v>
      </c>
      <c r="T1141" t="s">
        <v>30</v>
      </c>
      <c r="V1141" t="s">
        <v>697</v>
      </c>
    </row>
    <row r="1142" spans="1:22" x14ac:dyDescent="0.3">
      <c r="A1142" t="s">
        <v>1357</v>
      </c>
      <c r="B1142" t="str">
        <f ca="1">OFFSET(Industries!C$1,MATCH(Table1[[#This Row],[Ticker]],Industries!$A$2:$A$150,0),0)</f>
        <v>Health Care</v>
      </c>
      <c r="C1142" t="str">
        <f ca="1">OFFSET(Industries!D$1,MATCH(Table1[[#This Row],[Ticker]],Industries!$A$2:$A$150,0),0)</f>
        <v>Health Care Equipment and Services</v>
      </c>
      <c r="D1142" t="str">
        <f ca="1">OFFSET(Industries!E$1,MATCH(Table1[[#This Row],[Ticker]],Industries!$A$2:$A$150,0),0)</f>
        <v>Health Care Equipment and Supplies</v>
      </c>
      <c r="E1142" t="s">
        <v>127</v>
      </c>
      <c r="F1142" t="str">
        <f ca="1">OFFSET(Industries!B$1,MATCH(Table1[[#This Row],[Ticker]],Industries!$A$2:$A$140,0),0)</f>
        <v>Large-Cap</v>
      </c>
      <c r="G1142" t="str">
        <f ca="1">OFFSET(Industries!F$1,MATCH(Table1[[#This Row],[Ticker]],Industries!$A$2:$A$140,0),0)</f>
        <v>BBB</v>
      </c>
      <c r="H1142" t="s">
        <v>1434</v>
      </c>
      <c r="I1142" t="s">
        <v>1434</v>
      </c>
      <c r="J1142" s="2">
        <v>45386</v>
      </c>
      <c r="K1142" t="s">
        <v>2</v>
      </c>
      <c r="L1142" t="s">
        <v>1710</v>
      </c>
      <c r="M1142" t="s">
        <v>1711</v>
      </c>
      <c r="N1142" s="1">
        <f>Table1[[#This Row],[Consideration Weight]]</f>
        <v>0.2</v>
      </c>
      <c r="O1142" t="s">
        <v>87</v>
      </c>
      <c r="P1142" s="1">
        <v>0.2</v>
      </c>
    </row>
    <row r="1143" spans="1:22" x14ac:dyDescent="0.3">
      <c r="A1143" t="s">
        <v>1357</v>
      </c>
      <c r="B1143" t="str">
        <f ca="1">OFFSET(Industries!C$1,MATCH(Table1[[#This Row],[Ticker]],Industries!$A$2:$A$150,0),0)</f>
        <v>Health Care</v>
      </c>
      <c r="C1143" t="str">
        <f ca="1">OFFSET(Industries!D$1,MATCH(Table1[[#This Row],[Ticker]],Industries!$A$2:$A$150,0),0)</f>
        <v>Health Care Equipment and Services</v>
      </c>
      <c r="D1143" t="str">
        <f ca="1">OFFSET(Industries!E$1,MATCH(Table1[[#This Row],[Ticker]],Industries!$A$2:$A$150,0),0)</f>
        <v>Health Care Equipment and Supplies</v>
      </c>
      <c r="E1143" t="s">
        <v>127</v>
      </c>
      <c r="F1143" t="str">
        <f ca="1">OFFSET(Industries!B$1,MATCH(Table1[[#This Row],[Ticker]],Industries!$A$2:$A$140,0),0)</f>
        <v>Large-Cap</v>
      </c>
      <c r="G1143" t="str">
        <f ca="1">OFFSET(Industries!F$1,MATCH(Table1[[#This Row],[Ticker]],Industries!$A$2:$A$140,0),0)</f>
        <v>BBB</v>
      </c>
      <c r="H1143" t="s">
        <v>1434</v>
      </c>
      <c r="I1143" t="s">
        <v>1434</v>
      </c>
      <c r="J1143" s="2">
        <v>45386</v>
      </c>
      <c r="K1143" t="s">
        <v>2</v>
      </c>
      <c r="L1143" t="s">
        <v>1710</v>
      </c>
      <c r="M1143" t="s">
        <v>1711</v>
      </c>
      <c r="N1143" s="1">
        <f>Table1[[#This Row],[Consideration Weight]]</f>
        <v>0.2</v>
      </c>
      <c r="O1143" t="s">
        <v>194</v>
      </c>
      <c r="P1143" s="1">
        <v>0.2</v>
      </c>
    </row>
    <row r="1144" spans="1:22" x14ac:dyDescent="0.3">
      <c r="A1144" t="s">
        <v>1357</v>
      </c>
      <c r="B1144" t="str">
        <f ca="1">OFFSET(Industries!C$1,MATCH(Table1[[#This Row],[Ticker]],Industries!$A$2:$A$150,0),0)</f>
        <v>Health Care</v>
      </c>
      <c r="C1144" t="str">
        <f ca="1">OFFSET(Industries!D$1,MATCH(Table1[[#This Row],[Ticker]],Industries!$A$2:$A$150,0),0)</f>
        <v>Health Care Equipment and Services</v>
      </c>
      <c r="D1144" t="str">
        <f ca="1">OFFSET(Industries!E$1,MATCH(Table1[[#This Row],[Ticker]],Industries!$A$2:$A$150,0),0)</f>
        <v>Health Care Equipment and Supplies</v>
      </c>
      <c r="E1144" t="s">
        <v>127</v>
      </c>
      <c r="F1144" t="str">
        <f ca="1">OFFSET(Industries!B$1,MATCH(Table1[[#This Row],[Ticker]],Industries!$A$2:$A$140,0),0)</f>
        <v>Large-Cap</v>
      </c>
      <c r="G1144" t="str">
        <f ca="1">OFFSET(Industries!F$1,MATCH(Table1[[#This Row],[Ticker]],Industries!$A$2:$A$140,0),0)</f>
        <v>BBB</v>
      </c>
      <c r="H1144" t="s">
        <v>1434</v>
      </c>
      <c r="I1144" t="s">
        <v>1434</v>
      </c>
      <c r="J1144" s="2">
        <v>45386</v>
      </c>
      <c r="K1144" t="s">
        <v>21</v>
      </c>
      <c r="L1144" t="s">
        <v>3</v>
      </c>
      <c r="M1144" t="s">
        <v>1711</v>
      </c>
      <c r="N1144" s="1">
        <f>Table1[[#This Row],[Consideration Weight]]</f>
        <v>0.16</v>
      </c>
      <c r="O1144" t="s">
        <v>3</v>
      </c>
      <c r="P1144" s="1">
        <v>0.16</v>
      </c>
    </row>
    <row r="1145" spans="1:22" x14ac:dyDescent="0.3">
      <c r="A1145" t="s">
        <v>1357</v>
      </c>
      <c r="B1145" t="str">
        <f ca="1">OFFSET(Industries!C$1,MATCH(Table1[[#This Row],[Ticker]],Industries!$A$2:$A$150,0),0)</f>
        <v>Health Care</v>
      </c>
      <c r="C1145" t="str">
        <f ca="1">OFFSET(Industries!D$1,MATCH(Table1[[#This Row],[Ticker]],Industries!$A$2:$A$150,0),0)</f>
        <v>Health Care Equipment and Services</v>
      </c>
      <c r="D1145" t="str">
        <f ca="1">OFFSET(Industries!E$1,MATCH(Table1[[#This Row],[Ticker]],Industries!$A$2:$A$150,0),0)</f>
        <v>Health Care Equipment and Supplies</v>
      </c>
      <c r="E1145" t="s">
        <v>127</v>
      </c>
      <c r="F1145" t="str">
        <f ca="1">OFFSET(Industries!B$1,MATCH(Table1[[#This Row],[Ticker]],Industries!$A$2:$A$140,0),0)</f>
        <v>Large-Cap</v>
      </c>
      <c r="G1145" t="str">
        <f ca="1">OFFSET(Industries!F$1,MATCH(Table1[[#This Row],[Ticker]],Industries!$A$2:$A$140,0),0)</f>
        <v>BBB</v>
      </c>
      <c r="H1145" t="s">
        <v>1434</v>
      </c>
      <c r="I1145" t="s">
        <v>1434</v>
      </c>
      <c r="J1145" s="2">
        <v>45386</v>
      </c>
      <c r="K1145" t="s">
        <v>21</v>
      </c>
      <c r="L1145" t="s">
        <v>1708</v>
      </c>
      <c r="M1145" t="s">
        <v>1709</v>
      </c>
      <c r="N1145" s="1">
        <f>Table1[[#This Row],[Consideration Weight]]</f>
        <v>0.16</v>
      </c>
      <c r="O1145" t="s">
        <v>4</v>
      </c>
      <c r="P1145" s="1">
        <v>0.16</v>
      </c>
      <c r="Q1145" s="1" t="s">
        <v>1636</v>
      </c>
      <c r="R1145" t="s">
        <v>23</v>
      </c>
      <c r="S1145" t="s">
        <v>1083</v>
      </c>
      <c r="T1145" t="s">
        <v>7</v>
      </c>
      <c r="U1145" s="1">
        <v>0.5</v>
      </c>
      <c r="V1145" t="s">
        <v>698</v>
      </c>
    </row>
    <row r="1146" spans="1:22" x14ac:dyDescent="0.3">
      <c r="A1146" t="s">
        <v>1357</v>
      </c>
      <c r="B1146" t="str">
        <f ca="1">OFFSET(Industries!C$1,MATCH(Table1[[#This Row],[Ticker]],Industries!$A$2:$A$150,0),0)</f>
        <v>Health Care</v>
      </c>
      <c r="C1146" t="str">
        <f ca="1">OFFSET(Industries!D$1,MATCH(Table1[[#This Row],[Ticker]],Industries!$A$2:$A$150,0),0)</f>
        <v>Health Care Equipment and Services</v>
      </c>
      <c r="D1146" t="str">
        <f ca="1">OFFSET(Industries!E$1,MATCH(Table1[[#This Row],[Ticker]],Industries!$A$2:$A$150,0),0)</f>
        <v>Health Care Equipment and Supplies</v>
      </c>
      <c r="E1146" t="s">
        <v>127</v>
      </c>
      <c r="F1146" t="str">
        <f ca="1">OFFSET(Industries!B$1,MATCH(Table1[[#This Row],[Ticker]],Industries!$A$2:$A$140,0),0)</f>
        <v>Large-Cap</v>
      </c>
      <c r="G1146" t="str">
        <f ca="1">OFFSET(Industries!F$1,MATCH(Table1[[#This Row],[Ticker]],Industries!$A$2:$A$140,0),0)</f>
        <v>BBB</v>
      </c>
      <c r="H1146" t="s">
        <v>1434</v>
      </c>
      <c r="I1146" t="s">
        <v>1434</v>
      </c>
      <c r="J1146" s="2">
        <v>45386</v>
      </c>
      <c r="K1146" t="s">
        <v>21</v>
      </c>
      <c r="L1146" t="s">
        <v>1708</v>
      </c>
      <c r="M1146" t="s">
        <v>1709</v>
      </c>
      <c r="N1146" s="1"/>
      <c r="O1146" t="s">
        <v>4</v>
      </c>
      <c r="P1146" s="1">
        <v>0.16</v>
      </c>
      <c r="Q1146" s="1" t="s">
        <v>1636</v>
      </c>
      <c r="R1146" t="s">
        <v>24</v>
      </c>
      <c r="S1146" t="s">
        <v>90</v>
      </c>
      <c r="T1146" t="s">
        <v>8</v>
      </c>
      <c r="U1146" s="1">
        <v>0.3</v>
      </c>
      <c r="V1146" t="s">
        <v>698</v>
      </c>
    </row>
    <row r="1147" spans="1:22" x14ac:dyDescent="0.3">
      <c r="A1147" t="s">
        <v>1357</v>
      </c>
      <c r="B1147" t="str">
        <f ca="1">OFFSET(Industries!C$1,MATCH(Table1[[#This Row],[Ticker]],Industries!$A$2:$A$150,0),0)</f>
        <v>Health Care</v>
      </c>
      <c r="C1147" t="str">
        <f ca="1">OFFSET(Industries!D$1,MATCH(Table1[[#This Row],[Ticker]],Industries!$A$2:$A$150,0),0)</f>
        <v>Health Care Equipment and Services</v>
      </c>
      <c r="D1147" t="str">
        <f ca="1">OFFSET(Industries!E$1,MATCH(Table1[[#This Row],[Ticker]],Industries!$A$2:$A$150,0),0)</f>
        <v>Health Care Equipment and Supplies</v>
      </c>
      <c r="E1147" t="s">
        <v>127</v>
      </c>
      <c r="F1147" t="str">
        <f ca="1">OFFSET(Industries!B$1,MATCH(Table1[[#This Row],[Ticker]],Industries!$A$2:$A$140,0),0)</f>
        <v>Large-Cap</v>
      </c>
      <c r="G1147" t="str">
        <f ca="1">OFFSET(Industries!F$1,MATCH(Table1[[#This Row],[Ticker]],Industries!$A$2:$A$140,0),0)</f>
        <v>BBB</v>
      </c>
      <c r="H1147" t="s">
        <v>1434</v>
      </c>
      <c r="I1147" t="s">
        <v>1434</v>
      </c>
      <c r="J1147" s="2">
        <v>45386</v>
      </c>
      <c r="K1147" t="s">
        <v>21</v>
      </c>
      <c r="L1147" t="s">
        <v>1708</v>
      </c>
      <c r="M1147" t="s">
        <v>1709</v>
      </c>
      <c r="N1147" s="1"/>
      <c r="O1147" t="s">
        <v>4</v>
      </c>
      <c r="P1147" s="1">
        <v>0.16</v>
      </c>
      <c r="Q1147" s="1" t="s">
        <v>1636</v>
      </c>
      <c r="R1147" t="s">
        <v>62</v>
      </c>
      <c r="S1147" t="s">
        <v>129</v>
      </c>
      <c r="T1147" t="s">
        <v>117</v>
      </c>
      <c r="U1147" s="1">
        <v>0.17</v>
      </c>
      <c r="V1147" t="s">
        <v>699</v>
      </c>
    </row>
    <row r="1148" spans="1:22" x14ac:dyDescent="0.3">
      <c r="A1148" t="s">
        <v>1357</v>
      </c>
      <c r="B1148" t="str">
        <f ca="1">OFFSET(Industries!C$1,MATCH(Table1[[#This Row],[Ticker]],Industries!$A$2:$A$150,0),0)</f>
        <v>Health Care</v>
      </c>
      <c r="C1148" t="str">
        <f ca="1">OFFSET(Industries!D$1,MATCH(Table1[[#This Row],[Ticker]],Industries!$A$2:$A$150,0),0)</f>
        <v>Health Care Equipment and Services</v>
      </c>
      <c r="D1148" t="str">
        <f ca="1">OFFSET(Industries!E$1,MATCH(Table1[[#This Row],[Ticker]],Industries!$A$2:$A$150,0),0)</f>
        <v>Health Care Equipment and Supplies</v>
      </c>
      <c r="E1148" t="s">
        <v>127</v>
      </c>
      <c r="F1148" t="str">
        <f ca="1">OFFSET(Industries!B$1,MATCH(Table1[[#This Row],[Ticker]],Industries!$A$2:$A$140,0),0)</f>
        <v>Large-Cap</v>
      </c>
      <c r="G1148" t="str">
        <f ca="1">OFFSET(Industries!F$1,MATCH(Table1[[#This Row],[Ticker]],Industries!$A$2:$A$140,0),0)</f>
        <v>BBB</v>
      </c>
      <c r="H1148" t="s">
        <v>1434</v>
      </c>
      <c r="I1148" t="s">
        <v>1434</v>
      </c>
      <c r="J1148" s="2">
        <v>45386</v>
      </c>
      <c r="K1148" t="s">
        <v>21</v>
      </c>
      <c r="L1148" t="s">
        <v>1708</v>
      </c>
      <c r="M1148" t="s">
        <v>1709</v>
      </c>
      <c r="N1148" s="1"/>
      <c r="O1148" t="s">
        <v>4</v>
      </c>
      <c r="P1148" s="1">
        <v>0.16</v>
      </c>
      <c r="Q1148" s="1" t="s">
        <v>1636</v>
      </c>
      <c r="R1148" t="s">
        <v>62</v>
      </c>
      <c r="S1148" t="s">
        <v>1112</v>
      </c>
      <c r="T1148" t="s">
        <v>183</v>
      </c>
      <c r="U1148" s="1">
        <v>0.03</v>
      </c>
      <c r="V1148" t="s">
        <v>700</v>
      </c>
    </row>
    <row r="1149" spans="1:22" x14ac:dyDescent="0.3">
      <c r="A1149" t="s">
        <v>1357</v>
      </c>
      <c r="B1149" t="str">
        <f ca="1">OFFSET(Industries!C$1,MATCH(Table1[[#This Row],[Ticker]],Industries!$A$2:$A$150,0),0)</f>
        <v>Health Care</v>
      </c>
      <c r="C1149" t="str">
        <f ca="1">OFFSET(Industries!D$1,MATCH(Table1[[#This Row],[Ticker]],Industries!$A$2:$A$150,0),0)</f>
        <v>Health Care Equipment and Services</v>
      </c>
      <c r="D1149" t="str">
        <f ca="1">OFFSET(Industries!E$1,MATCH(Table1[[#This Row],[Ticker]],Industries!$A$2:$A$150,0),0)</f>
        <v>Health Care Equipment and Supplies</v>
      </c>
      <c r="E1149" t="s">
        <v>127</v>
      </c>
      <c r="F1149" t="str">
        <f ca="1">OFFSET(Industries!B$1,MATCH(Table1[[#This Row],[Ticker]],Industries!$A$2:$A$140,0),0)</f>
        <v>Large-Cap</v>
      </c>
      <c r="G1149" t="str">
        <f ca="1">OFFSET(Industries!F$1,MATCH(Table1[[#This Row],[Ticker]],Industries!$A$2:$A$140,0),0)</f>
        <v>BBB</v>
      </c>
      <c r="H1149" t="s">
        <v>1434</v>
      </c>
      <c r="I1149" t="s">
        <v>1434</v>
      </c>
      <c r="J1149" s="2">
        <v>45386</v>
      </c>
      <c r="K1149" t="s">
        <v>21</v>
      </c>
      <c r="L1149" t="s">
        <v>1708</v>
      </c>
      <c r="M1149" t="s">
        <v>1709</v>
      </c>
      <c r="N1149" s="1"/>
      <c r="O1149" t="s">
        <v>4</v>
      </c>
      <c r="P1149" s="1">
        <v>0.16</v>
      </c>
      <c r="R1149" t="s">
        <v>28</v>
      </c>
      <c r="S1149" t="s">
        <v>1091</v>
      </c>
      <c r="T1149" t="s">
        <v>701</v>
      </c>
    </row>
    <row r="1150" spans="1:22" x14ac:dyDescent="0.3">
      <c r="A1150" t="s">
        <v>1357</v>
      </c>
      <c r="B1150" t="str">
        <f ca="1">OFFSET(Industries!C$1,MATCH(Table1[[#This Row],[Ticker]],Industries!$A$2:$A$150,0),0)</f>
        <v>Health Care</v>
      </c>
      <c r="C1150" t="str">
        <f ca="1">OFFSET(Industries!D$1,MATCH(Table1[[#This Row],[Ticker]],Industries!$A$2:$A$150,0),0)</f>
        <v>Health Care Equipment and Services</v>
      </c>
      <c r="D1150" t="str">
        <f ca="1">OFFSET(Industries!E$1,MATCH(Table1[[#This Row],[Ticker]],Industries!$A$2:$A$150,0),0)</f>
        <v>Health Care Equipment and Supplies</v>
      </c>
      <c r="E1150" t="s">
        <v>127</v>
      </c>
      <c r="F1150" t="str">
        <f ca="1">OFFSET(Industries!B$1,MATCH(Table1[[#This Row],[Ticker]],Industries!$A$2:$A$140,0),0)</f>
        <v>Large-Cap</v>
      </c>
      <c r="G1150" t="str">
        <f ca="1">OFFSET(Industries!F$1,MATCH(Table1[[#This Row],[Ticker]],Industries!$A$2:$A$140,0),0)</f>
        <v>BBB</v>
      </c>
      <c r="H1150" t="s">
        <v>1434</v>
      </c>
      <c r="I1150" t="s">
        <v>1434</v>
      </c>
      <c r="J1150" s="2">
        <v>45386</v>
      </c>
      <c r="K1150" t="s">
        <v>21</v>
      </c>
      <c r="L1150" t="s">
        <v>1708</v>
      </c>
      <c r="M1150" t="s">
        <v>1709</v>
      </c>
      <c r="N1150" s="1"/>
      <c r="O1150" t="s">
        <v>4</v>
      </c>
      <c r="P1150" s="1">
        <v>0.16</v>
      </c>
      <c r="R1150" t="s">
        <v>28</v>
      </c>
      <c r="S1150" t="s">
        <v>1120</v>
      </c>
      <c r="T1150" t="s">
        <v>702</v>
      </c>
    </row>
    <row r="1151" spans="1:22" x14ac:dyDescent="0.3">
      <c r="A1151" t="s">
        <v>1357</v>
      </c>
      <c r="B1151" t="str">
        <f ca="1">OFFSET(Industries!C$1,MATCH(Table1[[#This Row],[Ticker]],Industries!$A$2:$A$150,0),0)</f>
        <v>Health Care</v>
      </c>
      <c r="C1151" t="str">
        <f ca="1">OFFSET(Industries!D$1,MATCH(Table1[[#This Row],[Ticker]],Industries!$A$2:$A$150,0),0)</f>
        <v>Health Care Equipment and Services</v>
      </c>
      <c r="D1151" t="str">
        <f ca="1">OFFSET(Industries!E$1,MATCH(Table1[[#This Row],[Ticker]],Industries!$A$2:$A$150,0),0)</f>
        <v>Health Care Equipment and Supplies</v>
      </c>
      <c r="E1151" t="s">
        <v>127</v>
      </c>
      <c r="F1151" t="str">
        <f ca="1">OFFSET(Industries!B$1,MATCH(Table1[[#This Row],[Ticker]],Industries!$A$2:$A$140,0),0)</f>
        <v>Large-Cap</v>
      </c>
      <c r="G1151" t="str">
        <f ca="1">OFFSET(Industries!F$1,MATCH(Table1[[#This Row],[Ticker]],Industries!$A$2:$A$140,0),0)</f>
        <v>BBB</v>
      </c>
      <c r="H1151" t="s">
        <v>1434</v>
      </c>
      <c r="I1151" t="s">
        <v>1434</v>
      </c>
      <c r="J1151" s="2">
        <v>45386</v>
      </c>
      <c r="K1151" t="s">
        <v>21</v>
      </c>
      <c r="L1151" t="s">
        <v>1708</v>
      </c>
      <c r="M1151" t="s">
        <v>1709</v>
      </c>
      <c r="N1151" s="1"/>
      <c r="O1151" t="s">
        <v>4</v>
      </c>
      <c r="P1151" s="1">
        <v>0.16</v>
      </c>
      <c r="R1151" t="s">
        <v>28</v>
      </c>
      <c r="S1151" t="s">
        <v>1087</v>
      </c>
      <c r="T1151" t="s">
        <v>40</v>
      </c>
    </row>
    <row r="1152" spans="1:22" x14ac:dyDescent="0.3">
      <c r="A1152" t="s">
        <v>1357</v>
      </c>
      <c r="B1152" t="str">
        <f ca="1">OFFSET(Industries!C$1,MATCH(Table1[[#This Row],[Ticker]],Industries!$A$2:$A$150,0),0)</f>
        <v>Health Care</v>
      </c>
      <c r="C1152" t="str">
        <f ca="1">OFFSET(Industries!D$1,MATCH(Table1[[#This Row],[Ticker]],Industries!$A$2:$A$150,0),0)</f>
        <v>Health Care Equipment and Services</v>
      </c>
      <c r="D1152" t="str">
        <f ca="1">OFFSET(Industries!E$1,MATCH(Table1[[#This Row],[Ticker]],Industries!$A$2:$A$150,0),0)</f>
        <v>Health Care Equipment and Supplies</v>
      </c>
      <c r="E1152" t="s">
        <v>127</v>
      </c>
      <c r="F1152" t="str">
        <f ca="1">OFFSET(Industries!B$1,MATCH(Table1[[#This Row],[Ticker]],Industries!$A$2:$A$140,0),0)</f>
        <v>Large-Cap</v>
      </c>
      <c r="G1152" t="str">
        <f ca="1">OFFSET(Industries!F$1,MATCH(Table1[[#This Row],[Ticker]],Industries!$A$2:$A$140,0),0)</f>
        <v>BBB</v>
      </c>
      <c r="H1152" t="s">
        <v>1434</v>
      </c>
      <c r="I1152" t="s">
        <v>1434</v>
      </c>
      <c r="J1152" s="2">
        <v>45386</v>
      </c>
      <c r="K1152" t="s">
        <v>21</v>
      </c>
      <c r="L1152" t="s">
        <v>1710</v>
      </c>
      <c r="M1152" t="s">
        <v>1709</v>
      </c>
      <c r="N1152" s="1">
        <f>Table1[[#This Row],[Consideration Weight]]</f>
        <v>0.34</v>
      </c>
      <c r="O1152" t="s">
        <v>476</v>
      </c>
      <c r="P1152" s="1">
        <v>0.34</v>
      </c>
      <c r="Q1152" s="1" t="s">
        <v>1636</v>
      </c>
      <c r="R1152" t="s">
        <v>23</v>
      </c>
      <c r="S1152" t="s">
        <v>1083</v>
      </c>
      <c r="T1152" t="s">
        <v>696</v>
      </c>
      <c r="U1152" s="1">
        <v>0.5</v>
      </c>
    </row>
    <row r="1153" spans="1:22" x14ac:dyDescent="0.3">
      <c r="A1153" t="s">
        <v>1357</v>
      </c>
      <c r="B1153" t="str">
        <f ca="1">OFFSET(Industries!C$1,MATCH(Table1[[#This Row],[Ticker]],Industries!$A$2:$A$150,0),0)</f>
        <v>Health Care</v>
      </c>
      <c r="C1153" t="str">
        <f ca="1">OFFSET(Industries!D$1,MATCH(Table1[[#This Row],[Ticker]],Industries!$A$2:$A$150,0),0)</f>
        <v>Health Care Equipment and Services</v>
      </c>
      <c r="D1153" t="str">
        <f ca="1">OFFSET(Industries!E$1,MATCH(Table1[[#This Row],[Ticker]],Industries!$A$2:$A$150,0),0)</f>
        <v>Health Care Equipment and Supplies</v>
      </c>
      <c r="E1153" t="s">
        <v>127</v>
      </c>
      <c r="F1153" t="str">
        <f ca="1">OFFSET(Industries!B$1,MATCH(Table1[[#This Row],[Ticker]],Industries!$A$2:$A$140,0),0)</f>
        <v>Large-Cap</v>
      </c>
      <c r="G1153" t="str">
        <f ca="1">OFFSET(Industries!F$1,MATCH(Table1[[#This Row],[Ticker]],Industries!$A$2:$A$140,0),0)</f>
        <v>BBB</v>
      </c>
      <c r="H1153" t="s">
        <v>1434</v>
      </c>
      <c r="I1153" t="s">
        <v>1434</v>
      </c>
      <c r="J1153" s="2">
        <v>45386</v>
      </c>
      <c r="K1153" t="s">
        <v>21</v>
      </c>
      <c r="L1153" t="s">
        <v>1710</v>
      </c>
      <c r="M1153" t="s">
        <v>1709</v>
      </c>
      <c r="N1153" s="1"/>
      <c r="O1153" t="s">
        <v>476</v>
      </c>
      <c r="P1153" s="1">
        <v>0.34</v>
      </c>
      <c r="Q1153" s="1" t="s">
        <v>1636</v>
      </c>
      <c r="R1153" t="s">
        <v>24</v>
      </c>
      <c r="S1153" t="s">
        <v>1089</v>
      </c>
      <c r="T1153" t="s">
        <v>86</v>
      </c>
      <c r="U1153" s="1">
        <v>0.5</v>
      </c>
    </row>
    <row r="1154" spans="1:22" x14ac:dyDescent="0.3">
      <c r="A1154" t="s">
        <v>1357</v>
      </c>
      <c r="B1154" t="str">
        <f ca="1">OFFSET(Industries!C$1,MATCH(Table1[[#This Row],[Ticker]],Industries!$A$2:$A$150,0),0)</f>
        <v>Health Care</v>
      </c>
      <c r="C1154" t="str">
        <f ca="1">OFFSET(Industries!D$1,MATCH(Table1[[#This Row],[Ticker]],Industries!$A$2:$A$150,0),0)</f>
        <v>Health Care Equipment and Services</v>
      </c>
      <c r="D1154" t="str">
        <f ca="1">OFFSET(Industries!E$1,MATCH(Table1[[#This Row],[Ticker]],Industries!$A$2:$A$150,0),0)</f>
        <v>Health Care Equipment and Supplies</v>
      </c>
      <c r="E1154" t="s">
        <v>127</v>
      </c>
      <c r="F1154" t="str">
        <f ca="1">OFFSET(Industries!B$1,MATCH(Table1[[#This Row],[Ticker]],Industries!$A$2:$A$140,0),0)</f>
        <v>Large-Cap</v>
      </c>
      <c r="G1154" t="str">
        <f ca="1">OFFSET(Industries!F$1,MATCH(Table1[[#This Row],[Ticker]],Industries!$A$2:$A$140,0),0)</f>
        <v>BBB</v>
      </c>
      <c r="H1154" t="s">
        <v>1434</v>
      </c>
      <c r="I1154" t="s">
        <v>1434</v>
      </c>
      <c r="J1154" s="2">
        <v>45386</v>
      </c>
      <c r="K1154" t="s">
        <v>21</v>
      </c>
      <c r="L1154" t="s">
        <v>1710</v>
      </c>
      <c r="M1154" t="s">
        <v>1709</v>
      </c>
      <c r="N1154" s="1"/>
      <c r="O1154" t="s">
        <v>476</v>
      </c>
      <c r="P1154" s="1">
        <v>0.34</v>
      </c>
      <c r="R1154" t="s">
        <v>28</v>
      </c>
      <c r="S1154" t="s">
        <v>1085</v>
      </c>
      <c r="T1154" t="s">
        <v>30</v>
      </c>
    </row>
    <row r="1155" spans="1:22" x14ac:dyDescent="0.3">
      <c r="A1155" t="s">
        <v>1357</v>
      </c>
      <c r="B1155" t="str">
        <f ca="1">OFFSET(Industries!C$1,MATCH(Table1[[#This Row],[Ticker]],Industries!$A$2:$A$150,0),0)</f>
        <v>Health Care</v>
      </c>
      <c r="C1155" t="str">
        <f ca="1">OFFSET(Industries!D$1,MATCH(Table1[[#This Row],[Ticker]],Industries!$A$2:$A$150,0),0)</f>
        <v>Health Care Equipment and Services</v>
      </c>
      <c r="D1155" t="str">
        <f ca="1">OFFSET(Industries!E$1,MATCH(Table1[[#This Row],[Ticker]],Industries!$A$2:$A$150,0),0)</f>
        <v>Health Care Equipment and Supplies</v>
      </c>
      <c r="E1155" t="s">
        <v>127</v>
      </c>
      <c r="F1155" t="str">
        <f ca="1">OFFSET(Industries!B$1,MATCH(Table1[[#This Row],[Ticker]],Industries!$A$2:$A$140,0),0)</f>
        <v>Large-Cap</v>
      </c>
      <c r="G1155" t="str">
        <f ca="1">OFFSET(Industries!F$1,MATCH(Table1[[#This Row],[Ticker]],Industries!$A$2:$A$140,0),0)</f>
        <v>BBB</v>
      </c>
      <c r="H1155" t="s">
        <v>1434</v>
      </c>
      <c r="I1155" t="s">
        <v>1434</v>
      </c>
      <c r="J1155" s="2">
        <v>45386</v>
      </c>
      <c r="K1155" t="s">
        <v>21</v>
      </c>
      <c r="L1155" t="s">
        <v>1710</v>
      </c>
      <c r="M1155" t="s">
        <v>1711</v>
      </c>
      <c r="N1155" s="1">
        <f>Table1[[#This Row],[Consideration Weight]]</f>
        <v>0.17</v>
      </c>
      <c r="O1155" t="s">
        <v>87</v>
      </c>
      <c r="P1155" s="1">
        <v>0.17</v>
      </c>
    </row>
    <row r="1156" spans="1:22" x14ac:dyDescent="0.3">
      <c r="A1156" t="s">
        <v>1357</v>
      </c>
      <c r="B1156" t="str">
        <f ca="1">OFFSET(Industries!C$1,MATCH(Table1[[#This Row],[Ticker]],Industries!$A$2:$A$150,0),0)</f>
        <v>Health Care</v>
      </c>
      <c r="C1156" t="str">
        <f ca="1">OFFSET(Industries!D$1,MATCH(Table1[[#This Row],[Ticker]],Industries!$A$2:$A$150,0),0)</f>
        <v>Health Care Equipment and Services</v>
      </c>
      <c r="D1156" t="str">
        <f ca="1">OFFSET(Industries!E$1,MATCH(Table1[[#This Row],[Ticker]],Industries!$A$2:$A$150,0),0)</f>
        <v>Health Care Equipment and Supplies</v>
      </c>
      <c r="E1156" t="s">
        <v>127</v>
      </c>
      <c r="F1156" t="str">
        <f ca="1">OFFSET(Industries!B$1,MATCH(Table1[[#This Row],[Ticker]],Industries!$A$2:$A$140,0),0)</f>
        <v>Large-Cap</v>
      </c>
      <c r="G1156" t="str">
        <f ca="1">OFFSET(Industries!F$1,MATCH(Table1[[#This Row],[Ticker]],Industries!$A$2:$A$140,0),0)</f>
        <v>BBB</v>
      </c>
      <c r="H1156" t="s">
        <v>1434</v>
      </c>
      <c r="I1156" t="s">
        <v>1434</v>
      </c>
      <c r="J1156" s="2">
        <v>45386</v>
      </c>
      <c r="K1156" t="s">
        <v>21</v>
      </c>
      <c r="L1156" t="s">
        <v>1710</v>
      </c>
      <c r="M1156" t="s">
        <v>1711</v>
      </c>
      <c r="N1156" s="1">
        <f>Table1[[#This Row],[Consideration Weight]]</f>
        <v>0.17</v>
      </c>
      <c r="O1156" t="s">
        <v>194</v>
      </c>
      <c r="P1156" s="1">
        <v>0.17</v>
      </c>
    </row>
    <row r="1157" spans="1:22" x14ac:dyDescent="0.3">
      <c r="A1157" t="s">
        <v>709</v>
      </c>
      <c r="B1157" t="str">
        <f ca="1">OFFSET(Industries!C$1,MATCH(Table1[[#This Row],[Ticker]],Industries!$A$2:$A$150,0),0)</f>
        <v>Industrials</v>
      </c>
      <c r="C1157" t="str">
        <f ca="1">OFFSET(Industries!D$1,MATCH(Table1[[#This Row],[Ticker]],Industries!$A$2:$A$150,0),0)</f>
        <v>Transportation</v>
      </c>
      <c r="D1157" t="str">
        <f ca="1">OFFSET(Industries!E$1,MATCH(Table1[[#This Row],[Ticker]],Industries!$A$2:$A$150,0),0)</f>
        <v>Ground Transportation</v>
      </c>
      <c r="E1157" t="s">
        <v>710</v>
      </c>
      <c r="F1157" t="str">
        <f ca="1">OFFSET(Industries!B$1,MATCH(Table1[[#This Row],[Ticker]],Industries!$A$2:$A$140,0),0)</f>
        <v>Mega-Cap</v>
      </c>
      <c r="G1157" t="str">
        <f ca="1">OFFSET(Industries!F$1,MATCH(Table1[[#This Row],[Ticker]],Industries!$A$2:$A$140,0),0)</f>
        <v>BB+</v>
      </c>
      <c r="H1157" t="s">
        <v>1434</v>
      </c>
      <c r="I1157" t="s">
        <v>1434</v>
      </c>
      <c r="J1157" s="2">
        <v>45376</v>
      </c>
      <c r="K1157" t="s">
        <v>2</v>
      </c>
      <c r="L1157" t="s">
        <v>3</v>
      </c>
      <c r="M1157" t="s">
        <v>1711</v>
      </c>
      <c r="N1157" s="1">
        <f>Table1[[#This Row],[Consideration Weight]]</f>
        <v>0.05</v>
      </c>
      <c r="O1157" t="s">
        <v>3</v>
      </c>
      <c r="P1157" s="1">
        <v>0.05</v>
      </c>
    </row>
    <row r="1158" spans="1:22" x14ac:dyDescent="0.3">
      <c r="A1158" t="s">
        <v>709</v>
      </c>
      <c r="B1158" t="str">
        <f ca="1">OFFSET(Industries!C$1,MATCH(Table1[[#This Row],[Ticker]],Industries!$A$2:$A$150,0),0)</f>
        <v>Industrials</v>
      </c>
      <c r="C1158" t="str">
        <f ca="1">OFFSET(Industries!D$1,MATCH(Table1[[#This Row],[Ticker]],Industries!$A$2:$A$150,0),0)</f>
        <v>Transportation</v>
      </c>
      <c r="D1158" t="str">
        <f ca="1">OFFSET(Industries!E$1,MATCH(Table1[[#This Row],[Ticker]],Industries!$A$2:$A$150,0),0)</f>
        <v>Ground Transportation</v>
      </c>
      <c r="E1158" t="s">
        <v>710</v>
      </c>
      <c r="F1158" t="str">
        <f ca="1">OFFSET(Industries!B$1,MATCH(Table1[[#This Row],[Ticker]],Industries!$A$2:$A$140,0),0)</f>
        <v>Mega-Cap</v>
      </c>
      <c r="G1158" t="str">
        <f ca="1">OFFSET(Industries!F$1,MATCH(Table1[[#This Row],[Ticker]],Industries!$A$2:$A$140,0),0)</f>
        <v>BB+</v>
      </c>
      <c r="H1158" t="s">
        <v>1434</v>
      </c>
      <c r="I1158" t="s">
        <v>1434</v>
      </c>
      <c r="J1158" s="2">
        <v>45376</v>
      </c>
      <c r="K1158" t="s">
        <v>2</v>
      </c>
      <c r="L1158" t="s">
        <v>1708</v>
      </c>
      <c r="M1158" t="s">
        <v>1709</v>
      </c>
      <c r="N1158" s="1">
        <f>Table1[[#This Row],[Consideration Weight]]</f>
        <v>0.09</v>
      </c>
      <c r="O1158" t="s">
        <v>4</v>
      </c>
      <c r="P1158" s="1">
        <v>0.09</v>
      </c>
      <c r="Q1158" s="1" t="s">
        <v>1637</v>
      </c>
      <c r="R1158" t="s">
        <v>25</v>
      </c>
      <c r="S1158" t="s">
        <v>1086</v>
      </c>
      <c r="T1158" t="s">
        <v>711</v>
      </c>
      <c r="U1158" s="1">
        <v>0.4</v>
      </c>
      <c r="V1158" t="s">
        <v>1675</v>
      </c>
    </row>
    <row r="1159" spans="1:22" x14ac:dyDescent="0.3">
      <c r="A1159" t="s">
        <v>709</v>
      </c>
      <c r="B1159" t="str">
        <f ca="1">OFFSET(Industries!C$1,MATCH(Table1[[#This Row],[Ticker]],Industries!$A$2:$A$150,0),0)</f>
        <v>Industrials</v>
      </c>
      <c r="C1159" t="str">
        <f ca="1">OFFSET(Industries!D$1,MATCH(Table1[[#This Row],[Ticker]],Industries!$A$2:$A$150,0),0)</f>
        <v>Transportation</v>
      </c>
      <c r="D1159" t="str">
        <f ca="1">OFFSET(Industries!E$1,MATCH(Table1[[#This Row],[Ticker]],Industries!$A$2:$A$150,0),0)</f>
        <v>Ground Transportation</v>
      </c>
      <c r="E1159" t="s">
        <v>710</v>
      </c>
      <c r="F1159" t="str">
        <f ca="1">OFFSET(Industries!B$1,MATCH(Table1[[#This Row],[Ticker]],Industries!$A$2:$A$140,0),0)</f>
        <v>Mega-Cap</v>
      </c>
      <c r="G1159" t="str">
        <f ca="1">OFFSET(Industries!F$1,MATCH(Table1[[#This Row],[Ticker]],Industries!$A$2:$A$140,0),0)</f>
        <v>BB+</v>
      </c>
      <c r="H1159" t="s">
        <v>1434</v>
      </c>
      <c r="I1159" t="s">
        <v>1434</v>
      </c>
      <c r="J1159" s="2">
        <v>45376</v>
      </c>
      <c r="K1159" t="s">
        <v>2</v>
      </c>
      <c r="L1159" t="s">
        <v>1708</v>
      </c>
      <c r="M1159" t="s">
        <v>1709</v>
      </c>
      <c r="N1159" s="1"/>
      <c r="O1159" t="s">
        <v>4</v>
      </c>
      <c r="P1159" s="1">
        <v>0.09</v>
      </c>
      <c r="Q1159" s="1" t="s">
        <v>1636</v>
      </c>
      <c r="R1159" t="s">
        <v>23</v>
      </c>
      <c r="S1159" t="s">
        <v>1090</v>
      </c>
      <c r="T1159" t="s">
        <v>712</v>
      </c>
      <c r="U1159" s="1">
        <v>0.2</v>
      </c>
    </row>
    <row r="1160" spans="1:22" x14ac:dyDescent="0.3">
      <c r="A1160" t="s">
        <v>709</v>
      </c>
      <c r="B1160" t="str">
        <f ca="1">OFFSET(Industries!C$1,MATCH(Table1[[#This Row],[Ticker]],Industries!$A$2:$A$150,0),0)</f>
        <v>Industrials</v>
      </c>
      <c r="C1160" t="str">
        <f ca="1">OFFSET(Industries!D$1,MATCH(Table1[[#This Row],[Ticker]],Industries!$A$2:$A$150,0),0)</f>
        <v>Transportation</v>
      </c>
      <c r="D1160" t="str">
        <f ca="1">OFFSET(Industries!E$1,MATCH(Table1[[#This Row],[Ticker]],Industries!$A$2:$A$150,0),0)</f>
        <v>Ground Transportation</v>
      </c>
      <c r="E1160" t="s">
        <v>710</v>
      </c>
      <c r="F1160" t="str">
        <f ca="1">OFFSET(Industries!B$1,MATCH(Table1[[#This Row],[Ticker]],Industries!$A$2:$A$140,0),0)</f>
        <v>Mega-Cap</v>
      </c>
      <c r="G1160" t="str">
        <f ca="1">OFFSET(Industries!F$1,MATCH(Table1[[#This Row],[Ticker]],Industries!$A$2:$A$140,0),0)</f>
        <v>BB+</v>
      </c>
      <c r="H1160" t="s">
        <v>1434</v>
      </c>
      <c r="I1160" t="s">
        <v>1434</v>
      </c>
      <c r="J1160" s="2">
        <v>45376</v>
      </c>
      <c r="K1160" t="s">
        <v>2</v>
      </c>
      <c r="L1160" t="s">
        <v>1708</v>
      </c>
      <c r="M1160" t="s">
        <v>1709</v>
      </c>
      <c r="N1160" s="1"/>
      <c r="O1160" t="s">
        <v>4</v>
      </c>
      <c r="P1160" s="1">
        <v>0.09</v>
      </c>
      <c r="Q1160" s="1" t="s">
        <v>1636</v>
      </c>
      <c r="R1160" t="s">
        <v>24</v>
      </c>
      <c r="S1160" t="s">
        <v>1104</v>
      </c>
      <c r="T1160" t="s">
        <v>153</v>
      </c>
      <c r="U1160" s="1">
        <v>0.2</v>
      </c>
      <c r="V1160" t="s">
        <v>719</v>
      </c>
    </row>
    <row r="1161" spans="1:22" x14ac:dyDescent="0.3">
      <c r="A1161" t="s">
        <v>709</v>
      </c>
      <c r="B1161" t="str">
        <f ca="1">OFFSET(Industries!C$1,MATCH(Table1[[#This Row],[Ticker]],Industries!$A$2:$A$150,0),0)</f>
        <v>Industrials</v>
      </c>
      <c r="C1161" t="str">
        <f ca="1">OFFSET(Industries!D$1,MATCH(Table1[[#This Row],[Ticker]],Industries!$A$2:$A$150,0),0)</f>
        <v>Transportation</v>
      </c>
      <c r="D1161" t="str">
        <f ca="1">OFFSET(Industries!E$1,MATCH(Table1[[#This Row],[Ticker]],Industries!$A$2:$A$150,0),0)</f>
        <v>Ground Transportation</v>
      </c>
      <c r="E1161" t="s">
        <v>710</v>
      </c>
      <c r="F1161" t="str">
        <f ca="1">OFFSET(Industries!B$1,MATCH(Table1[[#This Row],[Ticker]],Industries!$A$2:$A$140,0),0)</f>
        <v>Mega-Cap</v>
      </c>
      <c r="G1161" t="str">
        <f ca="1">OFFSET(Industries!F$1,MATCH(Table1[[#This Row],[Ticker]],Industries!$A$2:$A$140,0),0)</f>
        <v>BB+</v>
      </c>
      <c r="H1161" t="s">
        <v>1434</v>
      </c>
      <c r="I1161" t="s">
        <v>1434</v>
      </c>
      <c r="J1161" s="2">
        <v>45376</v>
      </c>
      <c r="K1161" t="s">
        <v>2</v>
      </c>
      <c r="L1161" t="s">
        <v>1708</v>
      </c>
      <c r="M1161" t="s">
        <v>1709</v>
      </c>
      <c r="N1161" s="1"/>
      <c r="O1161" t="s">
        <v>4</v>
      </c>
      <c r="P1161" s="1">
        <v>0.09</v>
      </c>
      <c r="Q1161" s="1" t="s">
        <v>1636</v>
      </c>
      <c r="R1161" t="s">
        <v>24</v>
      </c>
      <c r="S1161" t="s">
        <v>1104</v>
      </c>
      <c r="T1161" t="s">
        <v>153</v>
      </c>
      <c r="U1161" s="1">
        <v>0.2</v>
      </c>
      <c r="V1161" t="s">
        <v>1078</v>
      </c>
    </row>
    <row r="1162" spans="1:22" x14ac:dyDescent="0.3">
      <c r="A1162" t="s">
        <v>709</v>
      </c>
      <c r="B1162" t="str">
        <f ca="1">OFFSET(Industries!C$1,MATCH(Table1[[#This Row],[Ticker]],Industries!$A$2:$A$150,0),0)</f>
        <v>Industrials</v>
      </c>
      <c r="C1162" t="str">
        <f ca="1">OFFSET(Industries!D$1,MATCH(Table1[[#This Row],[Ticker]],Industries!$A$2:$A$150,0),0)</f>
        <v>Transportation</v>
      </c>
      <c r="D1162" t="str">
        <f ca="1">OFFSET(Industries!E$1,MATCH(Table1[[#This Row],[Ticker]],Industries!$A$2:$A$150,0),0)</f>
        <v>Ground Transportation</v>
      </c>
      <c r="E1162" t="s">
        <v>710</v>
      </c>
      <c r="F1162" t="str">
        <f ca="1">OFFSET(Industries!B$1,MATCH(Table1[[#This Row],[Ticker]],Industries!$A$2:$A$140,0),0)</f>
        <v>Mega-Cap</v>
      </c>
      <c r="G1162" t="str">
        <f ca="1">OFFSET(Industries!F$1,MATCH(Table1[[#This Row],[Ticker]],Industries!$A$2:$A$140,0),0)</f>
        <v>BB+</v>
      </c>
      <c r="H1162" t="s">
        <v>1434</v>
      </c>
      <c r="I1162" t="s">
        <v>1434</v>
      </c>
      <c r="J1162" s="2">
        <v>45376</v>
      </c>
      <c r="K1162" t="s">
        <v>2</v>
      </c>
      <c r="L1162" t="s">
        <v>1708</v>
      </c>
      <c r="M1162" t="s">
        <v>1709</v>
      </c>
      <c r="N1162" s="1"/>
      <c r="O1162" t="s">
        <v>4</v>
      </c>
      <c r="P1162" s="1">
        <v>0.09</v>
      </c>
      <c r="R1162" t="s">
        <v>28</v>
      </c>
      <c r="S1162" t="s">
        <v>1087</v>
      </c>
      <c r="T1162" t="s">
        <v>40</v>
      </c>
    </row>
    <row r="1163" spans="1:22" x14ac:dyDescent="0.3">
      <c r="A1163" t="s">
        <v>709</v>
      </c>
      <c r="B1163" t="str">
        <f ca="1">OFFSET(Industries!C$1,MATCH(Table1[[#This Row],[Ticker]],Industries!$A$2:$A$150,0),0)</f>
        <v>Industrials</v>
      </c>
      <c r="C1163" t="str">
        <f ca="1">OFFSET(Industries!D$1,MATCH(Table1[[#This Row],[Ticker]],Industries!$A$2:$A$150,0),0)</f>
        <v>Transportation</v>
      </c>
      <c r="D1163" t="str">
        <f ca="1">OFFSET(Industries!E$1,MATCH(Table1[[#This Row],[Ticker]],Industries!$A$2:$A$150,0),0)</f>
        <v>Ground Transportation</v>
      </c>
      <c r="E1163" t="s">
        <v>710</v>
      </c>
      <c r="F1163" t="str">
        <f ca="1">OFFSET(Industries!B$1,MATCH(Table1[[#This Row],[Ticker]],Industries!$A$2:$A$140,0),0)</f>
        <v>Mega-Cap</v>
      </c>
      <c r="G1163" t="str">
        <f ca="1">OFFSET(Industries!F$1,MATCH(Table1[[#This Row],[Ticker]],Industries!$A$2:$A$140,0),0)</f>
        <v>BB+</v>
      </c>
      <c r="H1163" t="s">
        <v>1434</v>
      </c>
      <c r="I1163" t="s">
        <v>1434</v>
      </c>
      <c r="J1163" s="2">
        <v>45376</v>
      </c>
      <c r="K1163" t="s">
        <v>2</v>
      </c>
      <c r="L1163" t="s">
        <v>1708</v>
      </c>
      <c r="M1163" t="s">
        <v>1709</v>
      </c>
      <c r="N1163" s="1"/>
      <c r="O1163" t="s">
        <v>4</v>
      </c>
      <c r="P1163" s="1">
        <v>0.09</v>
      </c>
      <c r="R1163" t="s">
        <v>28</v>
      </c>
      <c r="S1163" t="s">
        <v>1110</v>
      </c>
      <c r="T1163" t="s">
        <v>172</v>
      </c>
      <c r="V1163" t="s">
        <v>1752</v>
      </c>
    </row>
    <row r="1164" spans="1:22" x14ac:dyDescent="0.3">
      <c r="A1164" t="s">
        <v>709</v>
      </c>
      <c r="B1164" t="str">
        <f ca="1">OFFSET(Industries!C$1,MATCH(Table1[[#This Row],[Ticker]],Industries!$A$2:$A$150,0),0)</f>
        <v>Industrials</v>
      </c>
      <c r="C1164" t="str">
        <f ca="1">OFFSET(Industries!D$1,MATCH(Table1[[#This Row],[Ticker]],Industries!$A$2:$A$150,0),0)</f>
        <v>Transportation</v>
      </c>
      <c r="D1164" t="str">
        <f ca="1">OFFSET(Industries!E$1,MATCH(Table1[[#This Row],[Ticker]],Industries!$A$2:$A$150,0),0)</f>
        <v>Ground Transportation</v>
      </c>
      <c r="E1164" t="s">
        <v>710</v>
      </c>
      <c r="F1164" t="str">
        <f ca="1">OFFSET(Industries!B$1,MATCH(Table1[[#This Row],[Ticker]],Industries!$A$2:$A$140,0),0)</f>
        <v>Mega-Cap</v>
      </c>
      <c r="G1164" t="str">
        <f ca="1">OFFSET(Industries!F$1,MATCH(Table1[[#This Row],[Ticker]],Industries!$A$2:$A$140,0),0)</f>
        <v>BB+</v>
      </c>
      <c r="H1164" t="s">
        <v>1434</v>
      </c>
      <c r="I1164" t="s">
        <v>1434</v>
      </c>
      <c r="J1164" s="2">
        <v>45376</v>
      </c>
      <c r="K1164" t="s">
        <v>2</v>
      </c>
      <c r="L1164" t="s">
        <v>1710</v>
      </c>
      <c r="M1164" t="s">
        <v>1709</v>
      </c>
      <c r="N1164" s="1">
        <f>Table1[[#This Row],[Consideration Weight]]</f>
        <v>0.43</v>
      </c>
      <c r="O1164" t="s">
        <v>476</v>
      </c>
      <c r="P1164" s="1">
        <f t="shared" ref="P1164:P1169" si="20">0.5*0.86</f>
        <v>0.43</v>
      </c>
      <c r="Q1164" s="1" t="s">
        <v>1636</v>
      </c>
      <c r="R1164" t="s">
        <v>24</v>
      </c>
      <c r="S1164" t="s">
        <v>1107</v>
      </c>
      <c r="T1164" t="s">
        <v>154</v>
      </c>
      <c r="U1164" s="1">
        <v>0.4</v>
      </c>
      <c r="V1164" t="s">
        <v>713</v>
      </c>
    </row>
    <row r="1165" spans="1:22" x14ac:dyDescent="0.3">
      <c r="A1165" t="s">
        <v>709</v>
      </c>
      <c r="B1165" t="str">
        <f ca="1">OFFSET(Industries!C$1,MATCH(Table1[[#This Row],[Ticker]],Industries!$A$2:$A$150,0),0)</f>
        <v>Industrials</v>
      </c>
      <c r="C1165" t="str">
        <f ca="1">OFFSET(Industries!D$1,MATCH(Table1[[#This Row],[Ticker]],Industries!$A$2:$A$150,0),0)</f>
        <v>Transportation</v>
      </c>
      <c r="D1165" t="str">
        <f ca="1">OFFSET(Industries!E$1,MATCH(Table1[[#This Row],[Ticker]],Industries!$A$2:$A$150,0),0)</f>
        <v>Ground Transportation</v>
      </c>
      <c r="E1165" t="s">
        <v>710</v>
      </c>
      <c r="F1165" t="str">
        <f ca="1">OFFSET(Industries!B$1,MATCH(Table1[[#This Row],[Ticker]],Industries!$A$2:$A$140,0),0)</f>
        <v>Mega-Cap</v>
      </c>
      <c r="G1165" t="str">
        <f ca="1">OFFSET(Industries!F$1,MATCH(Table1[[#This Row],[Ticker]],Industries!$A$2:$A$140,0),0)</f>
        <v>BB+</v>
      </c>
      <c r="H1165" t="s">
        <v>1434</v>
      </c>
      <c r="I1165" t="s">
        <v>1434</v>
      </c>
      <c r="J1165" s="2">
        <v>45376</v>
      </c>
      <c r="K1165" t="s">
        <v>2</v>
      </c>
      <c r="L1165" t="s">
        <v>1710</v>
      </c>
      <c r="M1165" t="s">
        <v>1709</v>
      </c>
      <c r="N1165" s="1"/>
      <c r="O1165" t="s">
        <v>476</v>
      </c>
      <c r="P1165" s="1">
        <f t="shared" si="20"/>
        <v>0.43</v>
      </c>
      <c r="Q1165" s="1" t="s">
        <v>1636</v>
      </c>
      <c r="R1165" t="s">
        <v>23</v>
      </c>
      <c r="S1165" t="s">
        <v>1090</v>
      </c>
      <c r="T1165" t="s">
        <v>714</v>
      </c>
      <c r="U1165" s="1">
        <v>0.4</v>
      </c>
      <c r="V1165" t="s">
        <v>715</v>
      </c>
    </row>
    <row r="1166" spans="1:22" x14ac:dyDescent="0.3">
      <c r="A1166" t="s">
        <v>709</v>
      </c>
      <c r="B1166" t="str">
        <f ca="1">OFFSET(Industries!C$1,MATCH(Table1[[#This Row],[Ticker]],Industries!$A$2:$A$150,0),0)</f>
        <v>Industrials</v>
      </c>
      <c r="C1166" t="str">
        <f ca="1">OFFSET(Industries!D$1,MATCH(Table1[[#This Row],[Ticker]],Industries!$A$2:$A$150,0),0)</f>
        <v>Transportation</v>
      </c>
      <c r="D1166" t="str">
        <f ca="1">OFFSET(Industries!E$1,MATCH(Table1[[#This Row],[Ticker]],Industries!$A$2:$A$150,0),0)</f>
        <v>Ground Transportation</v>
      </c>
      <c r="E1166" t="s">
        <v>710</v>
      </c>
      <c r="F1166" t="str">
        <f ca="1">OFFSET(Industries!B$1,MATCH(Table1[[#This Row],[Ticker]],Industries!$A$2:$A$140,0),0)</f>
        <v>Mega-Cap</v>
      </c>
      <c r="G1166" t="str">
        <f ca="1">OFFSET(Industries!F$1,MATCH(Table1[[#This Row],[Ticker]],Industries!$A$2:$A$140,0),0)</f>
        <v>BB+</v>
      </c>
      <c r="H1166" t="s">
        <v>1434</v>
      </c>
      <c r="I1166" t="s">
        <v>1434</v>
      </c>
      <c r="J1166" s="2">
        <v>45376</v>
      </c>
      <c r="K1166" t="s">
        <v>2</v>
      </c>
      <c r="L1166" t="s">
        <v>1710</v>
      </c>
      <c r="M1166" t="s">
        <v>1709</v>
      </c>
      <c r="N1166" s="1"/>
      <c r="O1166" t="s">
        <v>476</v>
      </c>
      <c r="P1166" s="1">
        <f t="shared" si="20"/>
        <v>0.43</v>
      </c>
      <c r="Q1166" s="1" t="s">
        <v>1637</v>
      </c>
      <c r="R1166" t="s">
        <v>26</v>
      </c>
      <c r="S1166" t="s">
        <v>26</v>
      </c>
      <c r="T1166" t="s">
        <v>718</v>
      </c>
      <c r="U1166" s="1">
        <v>0.1</v>
      </c>
      <c r="V1166" t="s">
        <v>717</v>
      </c>
    </row>
    <row r="1167" spans="1:22" x14ac:dyDescent="0.3">
      <c r="A1167" t="s">
        <v>709</v>
      </c>
      <c r="B1167" t="str">
        <f ca="1">OFFSET(Industries!C$1,MATCH(Table1[[#This Row],[Ticker]],Industries!$A$2:$A$150,0),0)</f>
        <v>Industrials</v>
      </c>
      <c r="C1167" t="str">
        <f ca="1">OFFSET(Industries!D$1,MATCH(Table1[[#This Row],[Ticker]],Industries!$A$2:$A$150,0),0)</f>
        <v>Transportation</v>
      </c>
      <c r="D1167" t="str">
        <f ca="1">OFFSET(Industries!E$1,MATCH(Table1[[#This Row],[Ticker]],Industries!$A$2:$A$150,0),0)</f>
        <v>Ground Transportation</v>
      </c>
      <c r="E1167" t="s">
        <v>710</v>
      </c>
      <c r="F1167" t="str">
        <f ca="1">OFFSET(Industries!B$1,MATCH(Table1[[#This Row],[Ticker]],Industries!$A$2:$A$140,0),0)</f>
        <v>Mega-Cap</v>
      </c>
      <c r="G1167" t="str">
        <f ca="1">OFFSET(Industries!F$1,MATCH(Table1[[#This Row],[Ticker]],Industries!$A$2:$A$140,0),0)</f>
        <v>BB+</v>
      </c>
      <c r="H1167" t="s">
        <v>1434</v>
      </c>
      <c r="I1167" t="s">
        <v>1434</v>
      </c>
      <c r="J1167" s="2">
        <v>45376</v>
      </c>
      <c r="K1167" t="s">
        <v>2</v>
      </c>
      <c r="L1167" t="s">
        <v>1710</v>
      </c>
      <c r="M1167" t="s">
        <v>1709</v>
      </c>
      <c r="N1167" s="1"/>
      <c r="O1167" t="s">
        <v>476</v>
      </c>
      <c r="P1167" s="1">
        <f t="shared" si="20"/>
        <v>0.43</v>
      </c>
      <c r="Q1167" s="1" t="s">
        <v>1637</v>
      </c>
      <c r="R1167" t="s">
        <v>25</v>
      </c>
      <c r="S1167" t="s">
        <v>814</v>
      </c>
      <c r="T1167" t="s">
        <v>716</v>
      </c>
      <c r="U1167" s="1">
        <v>0.1</v>
      </c>
      <c r="V1167" t="s">
        <v>720</v>
      </c>
    </row>
    <row r="1168" spans="1:22" x14ac:dyDescent="0.3">
      <c r="A1168" t="s">
        <v>709</v>
      </c>
      <c r="B1168" t="str">
        <f ca="1">OFFSET(Industries!C$1,MATCH(Table1[[#This Row],[Ticker]],Industries!$A$2:$A$150,0),0)</f>
        <v>Industrials</v>
      </c>
      <c r="C1168" t="str">
        <f ca="1">OFFSET(Industries!D$1,MATCH(Table1[[#This Row],[Ticker]],Industries!$A$2:$A$150,0),0)</f>
        <v>Transportation</v>
      </c>
      <c r="D1168" t="str">
        <f ca="1">OFFSET(Industries!E$1,MATCH(Table1[[#This Row],[Ticker]],Industries!$A$2:$A$150,0),0)</f>
        <v>Ground Transportation</v>
      </c>
      <c r="E1168" t="s">
        <v>710</v>
      </c>
      <c r="F1168" t="str">
        <f ca="1">OFFSET(Industries!B$1,MATCH(Table1[[#This Row],[Ticker]],Industries!$A$2:$A$140,0),0)</f>
        <v>Mega-Cap</v>
      </c>
      <c r="G1168" t="str">
        <f ca="1">OFFSET(Industries!F$1,MATCH(Table1[[#This Row],[Ticker]],Industries!$A$2:$A$140,0),0)</f>
        <v>BB+</v>
      </c>
      <c r="H1168" t="s">
        <v>1434</v>
      </c>
      <c r="I1168" t="s">
        <v>1434</v>
      </c>
      <c r="J1168" s="2">
        <v>45376</v>
      </c>
      <c r="K1168" t="s">
        <v>2</v>
      </c>
      <c r="L1168" t="s">
        <v>1710</v>
      </c>
      <c r="M1168" t="s">
        <v>1709</v>
      </c>
      <c r="N1168" s="1"/>
      <c r="O1168" t="s">
        <v>476</v>
      </c>
      <c r="P1168" s="1">
        <f t="shared" si="20"/>
        <v>0.43</v>
      </c>
      <c r="R1168" t="s">
        <v>28</v>
      </c>
      <c r="S1168" t="s">
        <v>1085</v>
      </c>
      <c r="T1168" t="s">
        <v>200</v>
      </c>
      <c r="V1168" t="s">
        <v>408</v>
      </c>
    </row>
    <row r="1169" spans="1:22" x14ac:dyDescent="0.3">
      <c r="A1169" t="s">
        <v>709</v>
      </c>
      <c r="B1169" t="str">
        <f ca="1">OFFSET(Industries!C$1,MATCH(Table1[[#This Row],[Ticker]],Industries!$A$2:$A$150,0),0)</f>
        <v>Industrials</v>
      </c>
      <c r="C1169" t="str">
        <f ca="1">OFFSET(Industries!D$1,MATCH(Table1[[#This Row],[Ticker]],Industries!$A$2:$A$150,0),0)</f>
        <v>Transportation</v>
      </c>
      <c r="D1169" t="str">
        <f ca="1">OFFSET(Industries!E$1,MATCH(Table1[[#This Row],[Ticker]],Industries!$A$2:$A$150,0),0)</f>
        <v>Ground Transportation</v>
      </c>
      <c r="E1169" t="s">
        <v>710</v>
      </c>
      <c r="F1169" t="str">
        <f ca="1">OFFSET(Industries!B$1,MATCH(Table1[[#This Row],[Ticker]],Industries!$A$2:$A$140,0),0)</f>
        <v>Mega-Cap</v>
      </c>
      <c r="G1169" t="str">
        <f ca="1">OFFSET(Industries!F$1,MATCH(Table1[[#This Row],[Ticker]],Industries!$A$2:$A$140,0),0)</f>
        <v>BB+</v>
      </c>
      <c r="H1169" t="s">
        <v>1434</v>
      </c>
      <c r="I1169" t="s">
        <v>1434</v>
      </c>
      <c r="J1169" s="2">
        <v>45376</v>
      </c>
      <c r="K1169" t="s">
        <v>2</v>
      </c>
      <c r="L1169" t="s">
        <v>1710</v>
      </c>
      <c r="M1169" t="s">
        <v>1709</v>
      </c>
      <c r="N1169" s="1"/>
      <c r="O1169" t="s">
        <v>476</v>
      </c>
      <c r="P1169" s="1">
        <f t="shared" si="20"/>
        <v>0.43</v>
      </c>
      <c r="R1169" t="s">
        <v>28</v>
      </c>
      <c r="S1169" t="s">
        <v>1095</v>
      </c>
      <c r="T1169" t="s">
        <v>55</v>
      </c>
    </row>
    <row r="1170" spans="1:22" x14ac:dyDescent="0.3">
      <c r="A1170" t="s">
        <v>709</v>
      </c>
      <c r="B1170" t="str">
        <f ca="1">OFFSET(Industries!C$1,MATCH(Table1[[#This Row],[Ticker]],Industries!$A$2:$A$150,0),0)</f>
        <v>Industrials</v>
      </c>
      <c r="C1170" t="str">
        <f ca="1">OFFSET(Industries!D$1,MATCH(Table1[[#This Row],[Ticker]],Industries!$A$2:$A$150,0),0)</f>
        <v>Transportation</v>
      </c>
      <c r="D1170" t="str">
        <f ca="1">OFFSET(Industries!E$1,MATCH(Table1[[#This Row],[Ticker]],Industries!$A$2:$A$150,0),0)</f>
        <v>Ground Transportation</v>
      </c>
      <c r="E1170" t="s">
        <v>710</v>
      </c>
      <c r="F1170" t="str">
        <f ca="1">OFFSET(Industries!B$1,MATCH(Table1[[#This Row],[Ticker]],Industries!$A$2:$A$140,0),0)</f>
        <v>Mega-Cap</v>
      </c>
      <c r="G1170" t="str">
        <f ca="1">OFFSET(Industries!F$1,MATCH(Table1[[#This Row],[Ticker]],Industries!$A$2:$A$140,0),0)</f>
        <v>BB+</v>
      </c>
      <c r="H1170" t="s">
        <v>1434</v>
      </c>
      <c r="I1170" t="s">
        <v>1434</v>
      </c>
      <c r="J1170" s="2">
        <v>45376</v>
      </c>
      <c r="K1170" t="s">
        <v>2</v>
      </c>
      <c r="L1170" t="s">
        <v>1710</v>
      </c>
      <c r="M1170" t="s">
        <v>1711</v>
      </c>
      <c r="N1170" s="1">
        <f>Table1[[#This Row],[Consideration Weight]]</f>
        <v>0.215</v>
      </c>
      <c r="O1170" t="s">
        <v>87</v>
      </c>
      <c r="P1170" s="1">
        <f>0.86*0.25</f>
        <v>0.215</v>
      </c>
    </row>
    <row r="1171" spans="1:22" x14ac:dyDescent="0.3">
      <c r="A1171" t="s">
        <v>709</v>
      </c>
      <c r="B1171" t="str">
        <f ca="1">OFFSET(Industries!C$1,MATCH(Table1[[#This Row],[Ticker]],Industries!$A$2:$A$150,0),0)</f>
        <v>Industrials</v>
      </c>
      <c r="C1171" t="str">
        <f ca="1">OFFSET(Industries!D$1,MATCH(Table1[[#This Row],[Ticker]],Industries!$A$2:$A$150,0),0)</f>
        <v>Transportation</v>
      </c>
      <c r="D1171" t="str">
        <f ca="1">OFFSET(Industries!E$1,MATCH(Table1[[#This Row],[Ticker]],Industries!$A$2:$A$150,0),0)</f>
        <v>Ground Transportation</v>
      </c>
      <c r="E1171" t="s">
        <v>710</v>
      </c>
      <c r="F1171" t="str">
        <f ca="1">OFFSET(Industries!B$1,MATCH(Table1[[#This Row],[Ticker]],Industries!$A$2:$A$140,0),0)</f>
        <v>Mega-Cap</v>
      </c>
      <c r="G1171" t="str">
        <f ca="1">OFFSET(Industries!F$1,MATCH(Table1[[#This Row],[Ticker]],Industries!$A$2:$A$140,0),0)</f>
        <v>BB+</v>
      </c>
      <c r="H1171" t="s">
        <v>1434</v>
      </c>
      <c r="I1171" t="s">
        <v>1434</v>
      </c>
      <c r="J1171" s="2">
        <v>45376</v>
      </c>
      <c r="K1171" t="s">
        <v>2</v>
      </c>
      <c r="L1171" t="s">
        <v>1710</v>
      </c>
      <c r="M1171" t="s">
        <v>1711</v>
      </c>
      <c r="N1171" s="1">
        <f>Table1[[#This Row],[Consideration Weight]]</f>
        <v>0.215</v>
      </c>
      <c r="O1171" t="s">
        <v>194</v>
      </c>
      <c r="P1171" s="1">
        <f>0.86*0.25</f>
        <v>0.215</v>
      </c>
    </row>
    <row r="1172" spans="1:22" x14ac:dyDescent="0.3">
      <c r="A1172" t="s">
        <v>709</v>
      </c>
      <c r="B1172" t="str">
        <f ca="1">OFFSET(Industries!C$1,MATCH(Table1[[#This Row],[Ticker]],Industries!$A$2:$A$150,0),0)</f>
        <v>Industrials</v>
      </c>
      <c r="C1172" t="str">
        <f ca="1">OFFSET(Industries!D$1,MATCH(Table1[[#This Row],[Ticker]],Industries!$A$2:$A$150,0),0)</f>
        <v>Transportation</v>
      </c>
      <c r="D1172" t="str">
        <f ca="1">OFFSET(Industries!E$1,MATCH(Table1[[#This Row],[Ticker]],Industries!$A$2:$A$150,0),0)</f>
        <v>Ground Transportation</v>
      </c>
      <c r="E1172" t="s">
        <v>710</v>
      </c>
      <c r="F1172" t="str">
        <f ca="1">OFFSET(Industries!B$1,MATCH(Table1[[#This Row],[Ticker]],Industries!$A$2:$A$140,0),0)</f>
        <v>Mega-Cap</v>
      </c>
      <c r="G1172" t="str">
        <f ca="1">OFFSET(Industries!F$1,MATCH(Table1[[#This Row],[Ticker]],Industries!$A$2:$A$140,0),0)</f>
        <v>BB+</v>
      </c>
      <c r="H1172" t="s">
        <v>1434</v>
      </c>
      <c r="I1172" t="s">
        <v>1434</v>
      </c>
      <c r="J1172" s="2">
        <v>45376</v>
      </c>
      <c r="K1172" t="s">
        <v>21</v>
      </c>
      <c r="L1172" t="s">
        <v>3</v>
      </c>
      <c r="M1172" t="s">
        <v>1711</v>
      </c>
      <c r="N1172" s="1">
        <f>Table1[[#This Row],[Consideration Weight]]</f>
        <v>0.08</v>
      </c>
      <c r="O1172" t="s">
        <v>3</v>
      </c>
      <c r="P1172" s="1">
        <v>0.08</v>
      </c>
    </row>
    <row r="1173" spans="1:22" x14ac:dyDescent="0.3">
      <c r="A1173" t="s">
        <v>709</v>
      </c>
      <c r="B1173" t="str">
        <f ca="1">OFFSET(Industries!C$1,MATCH(Table1[[#This Row],[Ticker]],Industries!$A$2:$A$150,0),0)</f>
        <v>Industrials</v>
      </c>
      <c r="C1173" t="str">
        <f ca="1">OFFSET(Industries!D$1,MATCH(Table1[[#This Row],[Ticker]],Industries!$A$2:$A$150,0),0)</f>
        <v>Transportation</v>
      </c>
      <c r="D1173" t="str">
        <f ca="1">OFFSET(Industries!E$1,MATCH(Table1[[#This Row],[Ticker]],Industries!$A$2:$A$150,0),0)</f>
        <v>Ground Transportation</v>
      </c>
      <c r="E1173" t="s">
        <v>710</v>
      </c>
      <c r="F1173" t="str">
        <f ca="1">OFFSET(Industries!B$1,MATCH(Table1[[#This Row],[Ticker]],Industries!$A$2:$A$140,0),0)</f>
        <v>Mega-Cap</v>
      </c>
      <c r="G1173" t="str">
        <f ca="1">OFFSET(Industries!F$1,MATCH(Table1[[#This Row],[Ticker]],Industries!$A$2:$A$140,0),0)</f>
        <v>BB+</v>
      </c>
      <c r="H1173" t="s">
        <v>1434</v>
      </c>
      <c r="I1173" t="s">
        <v>1434</v>
      </c>
      <c r="J1173" s="2">
        <v>45376</v>
      </c>
      <c r="K1173" t="s">
        <v>21</v>
      </c>
      <c r="L1173" t="s">
        <v>1708</v>
      </c>
      <c r="M1173" t="s">
        <v>1709</v>
      </c>
      <c r="N1173" s="1">
        <f>Table1[[#This Row],[Consideration Weight]]</f>
        <v>0.1</v>
      </c>
      <c r="O1173" t="s">
        <v>4</v>
      </c>
      <c r="P1173" s="1">
        <v>0.1</v>
      </c>
      <c r="Q1173" s="1" t="s">
        <v>1637</v>
      </c>
      <c r="R1173" t="s">
        <v>25</v>
      </c>
      <c r="S1173" t="s">
        <v>1086</v>
      </c>
      <c r="T1173" t="s">
        <v>711</v>
      </c>
      <c r="U1173" s="1">
        <v>0.4</v>
      </c>
    </row>
    <row r="1174" spans="1:22" x14ac:dyDescent="0.3">
      <c r="A1174" t="s">
        <v>709</v>
      </c>
      <c r="B1174" t="str">
        <f ca="1">OFFSET(Industries!C$1,MATCH(Table1[[#This Row],[Ticker]],Industries!$A$2:$A$150,0),0)</f>
        <v>Industrials</v>
      </c>
      <c r="C1174" t="str">
        <f ca="1">OFFSET(Industries!D$1,MATCH(Table1[[#This Row],[Ticker]],Industries!$A$2:$A$150,0),0)</f>
        <v>Transportation</v>
      </c>
      <c r="D1174" t="str">
        <f ca="1">OFFSET(Industries!E$1,MATCH(Table1[[#This Row],[Ticker]],Industries!$A$2:$A$150,0),0)</f>
        <v>Ground Transportation</v>
      </c>
      <c r="E1174" t="s">
        <v>710</v>
      </c>
      <c r="F1174" t="str">
        <f ca="1">OFFSET(Industries!B$1,MATCH(Table1[[#This Row],[Ticker]],Industries!$A$2:$A$140,0),0)</f>
        <v>Mega-Cap</v>
      </c>
      <c r="G1174" t="str">
        <f ca="1">OFFSET(Industries!F$1,MATCH(Table1[[#This Row],[Ticker]],Industries!$A$2:$A$140,0),0)</f>
        <v>BB+</v>
      </c>
      <c r="H1174" t="s">
        <v>1434</v>
      </c>
      <c r="I1174" t="s">
        <v>1434</v>
      </c>
      <c r="J1174" s="2">
        <v>45376</v>
      </c>
      <c r="K1174" t="s">
        <v>21</v>
      </c>
      <c r="L1174" t="s">
        <v>1708</v>
      </c>
      <c r="M1174" t="s">
        <v>1709</v>
      </c>
      <c r="N1174" s="1"/>
      <c r="O1174" t="s">
        <v>4</v>
      </c>
      <c r="P1174" s="1">
        <v>0.1</v>
      </c>
      <c r="Q1174" s="1" t="s">
        <v>1636</v>
      </c>
      <c r="R1174" t="s">
        <v>23</v>
      </c>
      <c r="S1174" t="s">
        <v>1090</v>
      </c>
      <c r="T1174" t="s">
        <v>712</v>
      </c>
      <c r="U1174" s="1">
        <v>0.2</v>
      </c>
    </row>
    <row r="1175" spans="1:22" x14ac:dyDescent="0.3">
      <c r="A1175" t="s">
        <v>709</v>
      </c>
      <c r="B1175" t="str">
        <f ca="1">OFFSET(Industries!C$1,MATCH(Table1[[#This Row],[Ticker]],Industries!$A$2:$A$150,0),0)</f>
        <v>Industrials</v>
      </c>
      <c r="C1175" t="str">
        <f ca="1">OFFSET(Industries!D$1,MATCH(Table1[[#This Row],[Ticker]],Industries!$A$2:$A$150,0),0)</f>
        <v>Transportation</v>
      </c>
      <c r="D1175" t="str">
        <f ca="1">OFFSET(Industries!E$1,MATCH(Table1[[#This Row],[Ticker]],Industries!$A$2:$A$150,0),0)</f>
        <v>Ground Transportation</v>
      </c>
      <c r="E1175" t="s">
        <v>710</v>
      </c>
      <c r="F1175" t="str">
        <f ca="1">OFFSET(Industries!B$1,MATCH(Table1[[#This Row],[Ticker]],Industries!$A$2:$A$140,0),0)</f>
        <v>Mega-Cap</v>
      </c>
      <c r="G1175" t="str">
        <f ca="1">OFFSET(Industries!F$1,MATCH(Table1[[#This Row],[Ticker]],Industries!$A$2:$A$140,0),0)</f>
        <v>BB+</v>
      </c>
      <c r="H1175" t="s">
        <v>1434</v>
      </c>
      <c r="I1175" t="s">
        <v>1434</v>
      </c>
      <c r="J1175" s="2">
        <v>45376</v>
      </c>
      <c r="K1175" t="s">
        <v>21</v>
      </c>
      <c r="L1175" t="s">
        <v>1708</v>
      </c>
      <c r="M1175" t="s">
        <v>1709</v>
      </c>
      <c r="N1175" s="1"/>
      <c r="O1175" t="s">
        <v>4</v>
      </c>
      <c r="P1175" s="1">
        <v>0.1</v>
      </c>
      <c r="Q1175" s="1" t="s">
        <v>1636</v>
      </c>
      <c r="R1175" t="s">
        <v>24</v>
      </c>
      <c r="S1175" t="s">
        <v>1104</v>
      </c>
      <c r="T1175" t="s">
        <v>153</v>
      </c>
      <c r="U1175" s="1">
        <v>0.2</v>
      </c>
      <c r="V1175" t="s">
        <v>1078</v>
      </c>
    </row>
    <row r="1176" spans="1:22" x14ac:dyDescent="0.3">
      <c r="A1176" t="s">
        <v>709</v>
      </c>
      <c r="B1176" t="str">
        <f ca="1">OFFSET(Industries!C$1,MATCH(Table1[[#This Row],[Ticker]],Industries!$A$2:$A$150,0),0)</f>
        <v>Industrials</v>
      </c>
      <c r="C1176" t="str">
        <f ca="1">OFFSET(Industries!D$1,MATCH(Table1[[#This Row],[Ticker]],Industries!$A$2:$A$150,0),0)</f>
        <v>Transportation</v>
      </c>
      <c r="D1176" t="str">
        <f ca="1">OFFSET(Industries!E$1,MATCH(Table1[[#This Row],[Ticker]],Industries!$A$2:$A$150,0),0)</f>
        <v>Ground Transportation</v>
      </c>
      <c r="E1176" t="s">
        <v>710</v>
      </c>
      <c r="F1176" t="str">
        <f ca="1">OFFSET(Industries!B$1,MATCH(Table1[[#This Row],[Ticker]],Industries!$A$2:$A$140,0),0)</f>
        <v>Mega-Cap</v>
      </c>
      <c r="G1176" t="str">
        <f ca="1">OFFSET(Industries!F$1,MATCH(Table1[[#This Row],[Ticker]],Industries!$A$2:$A$140,0),0)</f>
        <v>BB+</v>
      </c>
      <c r="H1176" t="s">
        <v>1434</v>
      </c>
      <c r="I1176" t="s">
        <v>1434</v>
      </c>
      <c r="J1176" s="2">
        <v>45376</v>
      </c>
      <c r="K1176" t="s">
        <v>21</v>
      </c>
      <c r="L1176" t="s">
        <v>1708</v>
      </c>
      <c r="M1176" t="s">
        <v>1709</v>
      </c>
      <c r="N1176" s="1"/>
      <c r="O1176" t="s">
        <v>4</v>
      </c>
      <c r="P1176" s="1">
        <v>0.1</v>
      </c>
      <c r="Q1176" s="1" t="s">
        <v>1636</v>
      </c>
      <c r="R1176" t="s">
        <v>24</v>
      </c>
      <c r="S1176" t="s">
        <v>1104</v>
      </c>
      <c r="T1176" t="s">
        <v>153</v>
      </c>
      <c r="U1176" s="1">
        <v>0.2</v>
      </c>
      <c r="V1176" t="s">
        <v>1752</v>
      </c>
    </row>
    <row r="1177" spans="1:22" x14ac:dyDescent="0.3">
      <c r="A1177" t="s">
        <v>709</v>
      </c>
      <c r="B1177" t="str">
        <f ca="1">OFFSET(Industries!C$1,MATCH(Table1[[#This Row],[Ticker]],Industries!$A$2:$A$150,0),0)</f>
        <v>Industrials</v>
      </c>
      <c r="C1177" t="str">
        <f ca="1">OFFSET(Industries!D$1,MATCH(Table1[[#This Row],[Ticker]],Industries!$A$2:$A$150,0),0)</f>
        <v>Transportation</v>
      </c>
      <c r="D1177" t="str">
        <f ca="1">OFFSET(Industries!E$1,MATCH(Table1[[#This Row],[Ticker]],Industries!$A$2:$A$150,0),0)</f>
        <v>Ground Transportation</v>
      </c>
      <c r="E1177" t="s">
        <v>710</v>
      </c>
      <c r="F1177" t="str">
        <f ca="1">OFFSET(Industries!B$1,MATCH(Table1[[#This Row],[Ticker]],Industries!$A$2:$A$140,0),0)</f>
        <v>Mega-Cap</v>
      </c>
      <c r="G1177" t="str">
        <f ca="1">OFFSET(Industries!F$1,MATCH(Table1[[#This Row],[Ticker]],Industries!$A$2:$A$140,0),0)</f>
        <v>BB+</v>
      </c>
      <c r="H1177" t="s">
        <v>1434</v>
      </c>
      <c r="I1177" t="s">
        <v>1434</v>
      </c>
      <c r="J1177" s="2">
        <v>45376</v>
      </c>
      <c r="K1177" t="s">
        <v>21</v>
      </c>
      <c r="L1177" t="s">
        <v>1708</v>
      </c>
      <c r="M1177" t="s">
        <v>1709</v>
      </c>
      <c r="N1177" s="1"/>
      <c r="O1177" t="s">
        <v>4</v>
      </c>
      <c r="P1177" s="1">
        <v>0.1</v>
      </c>
      <c r="R1177" t="s">
        <v>28</v>
      </c>
      <c r="S1177" t="s">
        <v>1087</v>
      </c>
      <c r="T1177" t="s">
        <v>40</v>
      </c>
    </row>
    <row r="1178" spans="1:22" x14ac:dyDescent="0.3">
      <c r="A1178" t="s">
        <v>709</v>
      </c>
      <c r="B1178" t="str">
        <f ca="1">OFFSET(Industries!C$1,MATCH(Table1[[#This Row],[Ticker]],Industries!$A$2:$A$150,0),0)</f>
        <v>Industrials</v>
      </c>
      <c r="C1178" t="str">
        <f ca="1">OFFSET(Industries!D$1,MATCH(Table1[[#This Row],[Ticker]],Industries!$A$2:$A$150,0),0)</f>
        <v>Transportation</v>
      </c>
      <c r="D1178" t="str">
        <f ca="1">OFFSET(Industries!E$1,MATCH(Table1[[#This Row],[Ticker]],Industries!$A$2:$A$150,0),0)</f>
        <v>Ground Transportation</v>
      </c>
      <c r="E1178" t="s">
        <v>710</v>
      </c>
      <c r="F1178" t="str">
        <f ca="1">OFFSET(Industries!B$1,MATCH(Table1[[#This Row],[Ticker]],Industries!$A$2:$A$140,0),0)</f>
        <v>Mega-Cap</v>
      </c>
      <c r="G1178" t="str">
        <f ca="1">OFFSET(Industries!F$1,MATCH(Table1[[#This Row],[Ticker]],Industries!$A$2:$A$140,0),0)</f>
        <v>BB+</v>
      </c>
      <c r="H1178" t="s">
        <v>1434</v>
      </c>
      <c r="I1178" t="s">
        <v>1434</v>
      </c>
      <c r="J1178" s="2">
        <v>45376</v>
      </c>
      <c r="K1178" t="s">
        <v>21</v>
      </c>
      <c r="L1178" t="s">
        <v>1708</v>
      </c>
      <c r="M1178" t="s">
        <v>1709</v>
      </c>
      <c r="N1178" s="1"/>
      <c r="O1178" t="s">
        <v>4</v>
      </c>
      <c r="P1178" s="1">
        <v>0.1</v>
      </c>
      <c r="R1178" t="s">
        <v>28</v>
      </c>
      <c r="S1178" t="s">
        <v>1110</v>
      </c>
      <c r="T1178" t="s">
        <v>172</v>
      </c>
    </row>
    <row r="1179" spans="1:22" x14ac:dyDescent="0.3">
      <c r="A1179" t="s">
        <v>709</v>
      </c>
      <c r="B1179" t="str">
        <f ca="1">OFFSET(Industries!C$1,MATCH(Table1[[#This Row],[Ticker]],Industries!$A$2:$A$150,0),0)</f>
        <v>Industrials</v>
      </c>
      <c r="C1179" t="str">
        <f ca="1">OFFSET(Industries!D$1,MATCH(Table1[[#This Row],[Ticker]],Industries!$A$2:$A$150,0),0)</f>
        <v>Transportation</v>
      </c>
      <c r="D1179" t="str">
        <f ca="1">OFFSET(Industries!E$1,MATCH(Table1[[#This Row],[Ticker]],Industries!$A$2:$A$150,0),0)</f>
        <v>Ground Transportation</v>
      </c>
      <c r="E1179" t="s">
        <v>710</v>
      </c>
      <c r="F1179" t="str">
        <f ca="1">OFFSET(Industries!B$1,MATCH(Table1[[#This Row],[Ticker]],Industries!$A$2:$A$140,0),0)</f>
        <v>Mega-Cap</v>
      </c>
      <c r="G1179" t="str">
        <f ca="1">OFFSET(Industries!F$1,MATCH(Table1[[#This Row],[Ticker]],Industries!$A$2:$A$140,0),0)</f>
        <v>BB+</v>
      </c>
      <c r="H1179" t="s">
        <v>1434</v>
      </c>
      <c r="I1179" t="s">
        <v>1434</v>
      </c>
      <c r="J1179" s="2">
        <v>45376</v>
      </c>
      <c r="K1179" t="s">
        <v>21</v>
      </c>
      <c r="L1179" t="s">
        <v>1710</v>
      </c>
      <c r="M1179" t="s">
        <v>1709</v>
      </c>
      <c r="N1179" s="1">
        <f>Table1[[#This Row],[Consideration Weight]]</f>
        <v>0.27333333333333332</v>
      </c>
      <c r="O1179" t="s">
        <v>476</v>
      </c>
      <c r="P1179" s="1">
        <f>0.82/3</f>
        <v>0.27333333333333332</v>
      </c>
      <c r="Q1179" s="1" t="s">
        <v>1636</v>
      </c>
      <c r="R1179" t="s">
        <v>24</v>
      </c>
      <c r="S1179" t="s">
        <v>1107</v>
      </c>
      <c r="T1179" t="s">
        <v>154</v>
      </c>
      <c r="U1179" s="1">
        <v>0.4</v>
      </c>
    </row>
    <row r="1180" spans="1:22" x14ac:dyDescent="0.3">
      <c r="A1180" t="s">
        <v>709</v>
      </c>
      <c r="B1180" t="str">
        <f ca="1">OFFSET(Industries!C$1,MATCH(Table1[[#This Row],[Ticker]],Industries!$A$2:$A$150,0),0)</f>
        <v>Industrials</v>
      </c>
      <c r="C1180" t="str">
        <f ca="1">OFFSET(Industries!D$1,MATCH(Table1[[#This Row],[Ticker]],Industries!$A$2:$A$150,0),0)</f>
        <v>Transportation</v>
      </c>
      <c r="D1180" t="str">
        <f ca="1">OFFSET(Industries!E$1,MATCH(Table1[[#This Row],[Ticker]],Industries!$A$2:$A$150,0),0)</f>
        <v>Ground Transportation</v>
      </c>
      <c r="E1180" t="s">
        <v>710</v>
      </c>
      <c r="F1180" t="str">
        <f ca="1">OFFSET(Industries!B$1,MATCH(Table1[[#This Row],[Ticker]],Industries!$A$2:$A$140,0),0)</f>
        <v>Mega-Cap</v>
      </c>
      <c r="G1180" t="str">
        <f ca="1">OFFSET(Industries!F$1,MATCH(Table1[[#This Row],[Ticker]],Industries!$A$2:$A$140,0),0)</f>
        <v>BB+</v>
      </c>
      <c r="H1180" t="s">
        <v>1434</v>
      </c>
      <c r="I1180" t="s">
        <v>1434</v>
      </c>
      <c r="J1180" s="2">
        <v>45376</v>
      </c>
      <c r="K1180" t="s">
        <v>21</v>
      </c>
      <c r="L1180" t="s">
        <v>1710</v>
      </c>
      <c r="M1180" t="s">
        <v>1709</v>
      </c>
      <c r="N1180" s="1"/>
      <c r="O1180" t="s">
        <v>476</v>
      </c>
      <c r="P1180" s="1">
        <f t="shared" ref="P1180:P1184" si="21">0.82/3</f>
        <v>0.27333333333333332</v>
      </c>
      <c r="Q1180" s="1" t="s">
        <v>1636</v>
      </c>
      <c r="R1180" t="s">
        <v>23</v>
      </c>
      <c r="S1180" t="s">
        <v>1090</v>
      </c>
      <c r="T1180" t="s">
        <v>714</v>
      </c>
      <c r="U1180" s="1">
        <v>0.4</v>
      </c>
    </row>
    <row r="1181" spans="1:22" x14ac:dyDescent="0.3">
      <c r="A1181" t="s">
        <v>709</v>
      </c>
      <c r="B1181" t="str">
        <f ca="1">OFFSET(Industries!C$1,MATCH(Table1[[#This Row],[Ticker]],Industries!$A$2:$A$150,0),0)</f>
        <v>Industrials</v>
      </c>
      <c r="C1181" t="str">
        <f ca="1">OFFSET(Industries!D$1,MATCH(Table1[[#This Row],[Ticker]],Industries!$A$2:$A$150,0),0)</f>
        <v>Transportation</v>
      </c>
      <c r="D1181" t="str">
        <f ca="1">OFFSET(Industries!E$1,MATCH(Table1[[#This Row],[Ticker]],Industries!$A$2:$A$150,0),0)</f>
        <v>Ground Transportation</v>
      </c>
      <c r="E1181" t="s">
        <v>710</v>
      </c>
      <c r="F1181" t="str">
        <f ca="1">OFFSET(Industries!B$1,MATCH(Table1[[#This Row],[Ticker]],Industries!$A$2:$A$140,0),0)</f>
        <v>Mega-Cap</v>
      </c>
      <c r="G1181" t="str">
        <f ca="1">OFFSET(Industries!F$1,MATCH(Table1[[#This Row],[Ticker]],Industries!$A$2:$A$140,0),0)</f>
        <v>BB+</v>
      </c>
      <c r="H1181" t="s">
        <v>1434</v>
      </c>
      <c r="I1181" t="s">
        <v>1434</v>
      </c>
      <c r="J1181" s="2">
        <v>45376</v>
      </c>
      <c r="K1181" t="s">
        <v>21</v>
      </c>
      <c r="L1181" t="s">
        <v>1710</v>
      </c>
      <c r="M1181" t="s">
        <v>1709</v>
      </c>
      <c r="N1181" s="1"/>
      <c r="O1181" t="s">
        <v>476</v>
      </c>
      <c r="P1181" s="1">
        <f t="shared" si="21"/>
        <v>0.27333333333333332</v>
      </c>
      <c r="Q1181" s="1" t="s">
        <v>1637</v>
      </c>
      <c r="R1181" t="s">
        <v>26</v>
      </c>
      <c r="S1181" t="s">
        <v>26</v>
      </c>
      <c r="T1181" t="s">
        <v>718</v>
      </c>
      <c r="U1181" s="1">
        <v>0.1</v>
      </c>
    </row>
    <row r="1182" spans="1:22" x14ac:dyDescent="0.3">
      <c r="A1182" t="s">
        <v>709</v>
      </c>
      <c r="B1182" t="str">
        <f ca="1">OFFSET(Industries!C$1,MATCH(Table1[[#This Row],[Ticker]],Industries!$A$2:$A$150,0),0)</f>
        <v>Industrials</v>
      </c>
      <c r="C1182" t="str">
        <f ca="1">OFFSET(Industries!D$1,MATCH(Table1[[#This Row],[Ticker]],Industries!$A$2:$A$150,0),0)</f>
        <v>Transportation</v>
      </c>
      <c r="D1182" t="str">
        <f ca="1">OFFSET(Industries!E$1,MATCH(Table1[[#This Row],[Ticker]],Industries!$A$2:$A$150,0),0)</f>
        <v>Ground Transportation</v>
      </c>
      <c r="E1182" t="s">
        <v>710</v>
      </c>
      <c r="F1182" t="str">
        <f ca="1">OFFSET(Industries!B$1,MATCH(Table1[[#This Row],[Ticker]],Industries!$A$2:$A$140,0),0)</f>
        <v>Mega-Cap</v>
      </c>
      <c r="G1182" t="str">
        <f ca="1">OFFSET(Industries!F$1,MATCH(Table1[[#This Row],[Ticker]],Industries!$A$2:$A$140,0),0)</f>
        <v>BB+</v>
      </c>
      <c r="H1182" t="s">
        <v>1434</v>
      </c>
      <c r="I1182" t="s">
        <v>1434</v>
      </c>
      <c r="J1182" s="2">
        <v>45376</v>
      </c>
      <c r="K1182" t="s">
        <v>21</v>
      </c>
      <c r="L1182" t="s">
        <v>1710</v>
      </c>
      <c r="M1182" t="s">
        <v>1709</v>
      </c>
      <c r="N1182" s="1"/>
      <c r="O1182" t="s">
        <v>476</v>
      </c>
      <c r="P1182" s="1">
        <f t="shared" si="21"/>
        <v>0.27333333333333332</v>
      </c>
      <c r="Q1182" s="1" t="s">
        <v>1637</v>
      </c>
      <c r="R1182" t="s">
        <v>25</v>
      </c>
      <c r="S1182" t="s">
        <v>814</v>
      </c>
      <c r="T1182" t="s">
        <v>716</v>
      </c>
      <c r="U1182" s="1">
        <v>0.1</v>
      </c>
    </row>
    <row r="1183" spans="1:22" x14ac:dyDescent="0.3">
      <c r="A1183" t="s">
        <v>709</v>
      </c>
      <c r="B1183" t="str">
        <f ca="1">OFFSET(Industries!C$1,MATCH(Table1[[#This Row],[Ticker]],Industries!$A$2:$A$150,0),0)</f>
        <v>Industrials</v>
      </c>
      <c r="C1183" t="str">
        <f ca="1">OFFSET(Industries!D$1,MATCH(Table1[[#This Row],[Ticker]],Industries!$A$2:$A$150,0),0)</f>
        <v>Transportation</v>
      </c>
      <c r="D1183" t="str">
        <f ca="1">OFFSET(Industries!E$1,MATCH(Table1[[#This Row],[Ticker]],Industries!$A$2:$A$150,0),0)</f>
        <v>Ground Transportation</v>
      </c>
      <c r="E1183" t="s">
        <v>710</v>
      </c>
      <c r="F1183" t="str">
        <f ca="1">OFFSET(Industries!B$1,MATCH(Table1[[#This Row],[Ticker]],Industries!$A$2:$A$140,0),0)</f>
        <v>Mega-Cap</v>
      </c>
      <c r="G1183" t="str">
        <f ca="1">OFFSET(Industries!F$1,MATCH(Table1[[#This Row],[Ticker]],Industries!$A$2:$A$140,0),0)</f>
        <v>BB+</v>
      </c>
      <c r="H1183" t="s">
        <v>1434</v>
      </c>
      <c r="I1183" t="s">
        <v>1434</v>
      </c>
      <c r="J1183" s="2">
        <v>45376</v>
      </c>
      <c r="K1183" t="s">
        <v>21</v>
      </c>
      <c r="L1183" t="s">
        <v>1710</v>
      </c>
      <c r="M1183" t="s">
        <v>1709</v>
      </c>
      <c r="N1183" s="1"/>
      <c r="O1183" t="s">
        <v>476</v>
      </c>
      <c r="P1183" s="1">
        <f t="shared" si="21"/>
        <v>0.27333333333333332</v>
      </c>
      <c r="R1183" t="s">
        <v>28</v>
      </c>
      <c r="S1183" t="s">
        <v>1085</v>
      </c>
      <c r="T1183" t="s">
        <v>200</v>
      </c>
    </row>
    <row r="1184" spans="1:22" x14ac:dyDescent="0.3">
      <c r="A1184" t="s">
        <v>709</v>
      </c>
      <c r="B1184" t="str">
        <f ca="1">OFFSET(Industries!C$1,MATCH(Table1[[#This Row],[Ticker]],Industries!$A$2:$A$150,0),0)</f>
        <v>Industrials</v>
      </c>
      <c r="C1184" t="str">
        <f ca="1">OFFSET(Industries!D$1,MATCH(Table1[[#This Row],[Ticker]],Industries!$A$2:$A$150,0),0)</f>
        <v>Transportation</v>
      </c>
      <c r="D1184" t="str">
        <f ca="1">OFFSET(Industries!E$1,MATCH(Table1[[#This Row],[Ticker]],Industries!$A$2:$A$150,0),0)</f>
        <v>Ground Transportation</v>
      </c>
      <c r="E1184" t="s">
        <v>710</v>
      </c>
      <c r="F1184" t="str">
        <f ca="1">OFFSET(Industries!B$1,MATCH(Table1[[#This Row],[Ticker]],Industries!$A$2:$A$140,0),0)</f>
        <v>Mega-Cap</v>
      </c>
      <c r="G1184" t="str">
        <f ca="1">OFFSET(Industries!F$1,MATCH(Table1[[#This Row],[Ticker]],Industries!$A$2:$A$140,0),0)</f>
        <v>BB+</v>
      </c>
      <c r="H1184" t="s">
        <v>1434</v>
      </c>
      <c r="I1184" t="s">
        <v>1434</v>
      </c>
      <c r="J1184" s="2">
        <v>45376</v>
      </c>
      <c r="K1184" t="s">
        <v>21</v>
      </c>
      <c r="L1184" t="s">
        <v>1710</v>
      </c>
      <c r="M1184" t="s">
        <v>1709</v>
      </c>
      <c r="N1184" s="1"/>
      <c r="O1184" t="s">
        <v>476</v>
      </c>
      <c r="P1184" s="1">
        <f t="shared" si="21"/>
        <v>0.27333333333333332</v>
      </c>
      <c r="R1184" t="s">
        <v>28</v>
      </c>
      <c r="S1184" t="s">
        <v>1095</v>
      </c>
      <c r="T1184" t="s">
        <v>55</v>
      </c>
    </row>
    <row r="1185" spans="1:22" x14ac:dyDescent="0.3">
      <c r="A1185" t="s">
        <v>709</v>
      </c>
      <c r="B1185" t="str">
        <f ca="1">OFFSET(Industries!C$1,MATCH(Table1[[#This Row],[Ticker]],Industries!$A$2:$A$150,0),0)</f>
        <v>Industrials</v>
      </c>
      <c r="C1185" t="str">
        <f ca="1">OFFSET(Industries!D$1,MATCH(Table1[[#This Row],[Ticker]],Industries!$A$2:$A$150,0),0)</f>
        <v>Transportation</v>
      </c>
      <c r="D1185" t="str">
        <f ca="1">OFFSET(Industries!E$1,MATCH(Table1[[#This Row],[Ticker]],Industries!$A$2:$A$150,0),0)</f>
        <v>Ground Transportation</v>
      </c>
      <c r="E1185" t="s">
        <v>710</v>
      </c>
      <c r="F1185" t="str">
        <f ca="1">OFFSET(Industries!B$1,MATCH(Table1[[#This Row],[Ticker]],Industries!$A$2:$A$140,0),0)</f>
        <v>Mega-Cap</v>
      </c>
      <c r="G1185" t="str">
        <f ca="1">OFFSET(Industries!F$1,MATCH(Table1[[#This Row],[Ticker]],Industries!$A$2:$A$140,0),0)</f>
        <v>BB+</v>
      </c>
      <c r="H1185" t="s">
        <v>1434</v>
      </c>
      <c r="I1185" t="s">
        <v>1434</v>
      </c>
      <c r="J1185" s="2">
        <v>45376</v>
      </c>
      <c r="K1185" t="s">
        <v>21</v>
      </c>
      <c r="L1185" t="s">
        <v>1710</v>
      </c>
      <c r="M1185" t="s">
        <v>1711</v>
      </c>
      <c r="N1185" s="1">
        <f>Table1[[#This Row],[Consideration Weight]]</f>
        <v>0.54666666666666663</v>
      </c>
      <c r="O1185" t="s">
        <v>194</v>
      </c>
      <c r="P1185" s="1">
        <f>0.82*2/3</f>
        <v>0.54666666666666663</v>
      </c>
    </row>
    <row r="1186" spans="1:22" x14ac:dyDescent="0.3">
      <c r="A1186" t="s">
        <v>721</v>
      </c>
      <c r="B1186" t="str">
        <f ca="1">OFFSET(Industries!C$1,MATCH(Table1[[#This Row],[Ticker]],Industries!$A$2:$A$150,0),0)</f>
        <v>Consumer Staples</v>
      </c>
      <c r="C1186" t="str">
        <f ca="1">OFFSET(Industries!D$1,MATCH(Table1[[#This Row],[Ticker]],Industries!$A$2:$A$150,0),0)</f>
        <v>Consumer Staples Distribution and Retail</v>
      </c>
      <c r="D1186" t="str">
        <f ca="1">OFFSET(Industries!E$1,MATCH(Table1[[#This Row],[Ticker]],Industries!$A$2:$A$150,0),0)</f>
        <v>Consumer Staples Distribution and Retail</v>
      </c>
      <c r="E1186" t="s">
        <v>722</v>
      </c>
      <c r="F1186" t="str">
        <f ca="1">OFFSET(Industries!B$1,MATCH(Table1[[#This Row],[Ticker]],Industries!$A$2:$A$140,0),0)</f>
        <v>Large-Cap</v>
      </c>
      <c r="G1186" t="str">
        <f ca="1">OFFSET(Industries!F$1,MATCH(Table1[[#This Row],[Ticker]],Industries!$A$2:$A$140,0),0)</f>
        <v>BBB</v>
      </c>
      <c r="H1186" t="s">
        <v>1434</v>
      </c>
      <c r="I1186" t="s">
        <v>1434</v>
      </c>
      <c r="J1186" s="2">
        <v>45387</v>
      </c>
      <c r="K1186" t="s">
        <v>2</v>
      </c>
      <c r="L1186" t="s">
        <v>3</v>
      </c>
      <c r="M1186" t="s">
        <v>1711</v>
      </c>
      <c r="N1186" s="1">
        <f>Table1[[#This Row],[Consideration Weight]]</f>
        <v>0.12</v>
      </c>
      <c r="O1186" t="s">
        <v>3</v>
      </c>
      <c r="P1186" s="1">
        <v>0.12</v>
      </c>
      <c r="V1186" t="s">
        <v>723</v>
      </c>
    </row>
    <row r="1187" spans="1:22" x14ac:dyDescent="0.3">
      <c r="A1187" t="s">
        <v>721</v>
      </c>
      <c r="B1187" t="str">
        <f ca="1">OFFSET(Industries!C$1,MATCH(Table1[[#This Row],[Ticker]],Industries!$A$2:$A$150,0),0)</f>
        <v>Consumer Staples</v>
      </c>
      <c r="C1187" t="str">
        <f ca="1">OFFSET(Industries!D$1,MATCH(Table1[[#This Row],[Ticker]],Industries!$A$2:$A$150,0),0)</f>
        <v>Consumer Staples Distribution and Retail</v>
      </c>
      <c r="D1187" t="str">
        <f ca="1">OFFSET(Industries!E$1,MATCH(Table1[[#This Row],[Ticker]],Industries!$A$2:$A$150,0),0)</f>
        <v>Consumer Staples Distribution and Retail</v>
      </c>
      <c r="E1187" t="s">
        <v>722</v>
      </c>
      <c r="F1187" t="str">
        <f ca="1">OFFSET(Industries!B$1,MATCH(Table1[[#This Row],[Ticker]],Industries!$A$2:$A$140,0),0)</f>
        <v>Large-Cap</v>
      </c>
      <c r="G1187" t="str">
        <f ca="1">OFFSET(Industries!F$1,MATCH(Table1[[#This Row],[Ticker]],Industries!$A$2:$A$140,0),0)</f>
        <v>BBB</v>
      </c>
      <c r="H1187" t="s">
        <v>1434</v>
      </c>
      <c r="I1187" t="s">
        <v>1434</v>
      </c>
      <c r="J1187" s="2">
        <v>45387</v>
      </c>
      <c r="K1187" t="s">
        <v>2</v>
      </c>
      <c r="L1187" t="s">
        <v>1708</v>
      </c>
      <c r="M1187" t="s">
        <v>1709</v>
      </c>
      <c r="N1187" s="1">
        <f>Table1[[#This Row],[Consideration Weight]]</f>
        <v>0.18</v>
      </c>
      <c r="O1187" t="s">
        <v>4</v>
      </c>
      <c r="P1187" s="1">
        <v>0.18</v>
      </c>
      <c r="Q1187" s="1" t="s">
        <v>1636</v>
      </c>
      <c r="R1187" t="s">
        <v>24</v>
      </c>
      <c r="S1187" t="s">
        <v>90</v>
      </c>
      <c r="T1187" t="s">
        <v>8</v>
      </c>
      <c r="U1187" s="1">
        <v>1</v>
      </c>
      <c r="V1187" t="s">
        <v>725</v>
      </c>
    </row>
    <row r="1188" spans="1:22" x14ac:dyDescent="0.3">
      <c r="A1188" t="s">
        <v>721</v>
      </c>
      <c r="B1188" t="str">
        <f ca="1">OFFSET(Industries!C$1,MATCH(Table1[[#This Row],[Ticker]],Industries!$A$2:$A$150,0),0)</f>
        <v>Consumer Staples</v>
      </c>
      <c r="C1188" t="str">
        <f ca="1">OFFSET(Industries!D$1,MATCH(Table1[[#This Row],[Ticker]],Industries!$A$2:$A$150,0),0)</f>
        <v>Consumer Staples Distribution and Retail</v>
      </c>
      <c r="D1188" t="str">
        <f ca="1">OFFSET(Industries!E$1,MATCH(Table1[[#This Row],[Ticker]],Industries!$A$2:$A$150,0),0)</f>
        <v>Consumer Staples Distribution and Retail</v>
      </c>
      <c r="E1188" t="s">
        <v>722</v>
      </c>
      <c r="F1188" t="str">
        <f ca="1">OFFSET(Industries!B$1,MATCH(Table1[[#This Row],[Ticker]],Industries!$A$2:$A$140,0),0)</f>
        <v>Large-Cap</v>
      </c>
      <c r="G1188" t="str">
        <f ca="1">OFFSET(Industries!F$1,MATCH(Table1[[#This Row],[Ticker]],Industries!$A$2:$A$140,0),0)</f>
        <v>BBB</v>
      </c>
      <c r="H1188" t="s">
        <v>1434</v>
      </c>
      <c r="I1188" t="s">
        <v>1434</v>
      </c>
      <c r="J1188" s="2">
        <v>45387</v>
      </c>
      <c r="K1188" t="s">
        <v>2</v>
      </c>
      <c r="L1188" t="s">
        <v>1710</v>
      </c>
      <c r="M1188" t="s">
        <v>1709</v>
      </c>
      <c r="N1188" s="1">
        <f>Table1[[#This Row],[Consideration Weight]]</f>
        <v>0.35</v>
      </c>
      <c r="O1188" t="s">
        <v>476</v>
      </c>
      <c r="P1188" s="1">
        <v>0.35</v>
      </c>
      <c r="Q1188" s="1" t="s">
        <v>1636</v>
      </c>
      <c r="R1188" t="s">
        <v>24</v>
      </c>
      <c r="S1188" t="s">
        <v>1104</v>
      </c>
      <c r="T1188" t="s">
        <v>153</v>
      </c>
      <c r="U1188" s="1">
        <v>0.5</v>
      </c>
      <c r="V1188" t="s">
        <v>724</v>
      </c>
    </row>
    <row r="1189" spans="1:22" x14ac:dyDescent="0.3">
      <c r="A1189" t="s">
        <v>721</v>
      </c>
      <c r="B1189" t="str">
        <f ca="1">OFFSET(Industries!C$1,MATCH(Table1[[#This Row],[Ticker]],Industries!$A$2:$A$150,0),0)</f>
        <v>Consumer Staples</v>
      </c>
      <c r="C1189" t="str">
        <f ca="1">OFFSET(Industries!D$1,MATCH(Table1[[#This Row],[Ticker]],Industries!$A$2:$A$150,0),0)</f>
        <v>Consumer Staples Distribution and Retail</v>
      </c>
      <c r="D1189" t="str">
        <f ca="1">OFFSET(Industries!E$1,MATCH(Table1[[#This Row],[Ticker]],Industries!$A$2:$A$150,0),0)</f>
        <v>Consumer Staples Distribution and Retail</v>
      </c>
      <c r="E1189" t="s">
        <v>722</v>
      </c>
      <c r="F1189" t="str">
        <f ca="1">OFFSET(Industries!B$1,MATCH(Table1[[#This Row],[Ticker]],Industries!$A$2:$A$140,0),0)</f>
        <v>Large-Cap</v>
      </c>
      <c r="G1189" t="str">
        <f ca="1">OFFSET(Industries!F$1,MATCH(Table1[[#This Row],[Ticker]],Industries!$A$2:$A$140,0),0)</f>
        <v>BBB</v>
      </c>
      <c r="H1189" t="s">
        <v>1434</v>
      </c>
      <c r="I1189" t="s">
        <v>1434</v>
      </c>
      <c r="J1189" s="2">
        <v>45387</v>
      </c>
      <c r="K1189" t="s">
        <v>2</v>
      </c>
      <c r="L1189" t="s">
        <v>1710</v>
      </c>
      <c r="M1189" t="s">
        <v>1709</v>
      </c>
      <c r="N1189" s="1"/>
      <c r="O1189" t="s">
        <v>476</v>
      </c>
      <c r="P1189" s="1">
        <v>0.35</v>
      </c>
      <c r="Q1189" s="1" t="s">
        <v>1636</v>
      </c>
      <c r="R1189" t="s">
        <v>1059</v>
      </c>
      <c r="S1189" t="s">
        <v>1101</v>
      </c>
      <c r="T1189" t="s">
        <v>465</v>
      </c>
      <c r="U1189" s="1">
        <v>0.5</v>
      </c>
    </row>
    <row r="1190" spans="1:22" x14ac:dyDescent="0.3">
      <c r="A1190" t="s">
        <v>721</v>
      </c>
      <c r="B1190" t="str">
        <f ca="1">OFFSET(Industries!C$1,MATCH(Table1[[#This Row],[Ticker]],Industries!$A$2:$A$150,0),0)</f>
        <v>Consumer Staples</v>
      </c>
      <c r="C1190" t="str">
        <f ca="1">OFFSET(Industries!D$1,MATCH(Table1[[#This Row],[Ticker]],Industries!$A$2:$A$150,0),0)</f>
        <v>Consumer Staples Distribution and Retail</v>
      </c>
      <c r="D1190" t="str">
        <f ca="1">OFFSET(Industries!E$1,MATCH(Table1[[#This Row],[Ticker]],Industries!$A$2:$A$150,0),0)</f>
        <v>Consumer Staples Distribution and Retail</v>
      </c>
      <c r="E1190" t="s">
        <v>722</v>
      </c>
      <c r="F1190" t="str">
        <f ca="1">OFFSET(Industries!B$1,MATCH(Table1[[#This Row],[Ticker]],Industries!$A$2:$A$140,0),0)</f>
        <v>Large-Cap</v>
      </c>
      <c r="G1190" t="str">
        <f ca="1">OFFSET(Industries!F$1,MATCH(Table1[[#This Row],[Ticker]],Industries!$A$2:$A$140,0),0)</f>
        <v>BBB</v>
      </c>
      <c r="H1190" t="s">
        <v>1434</v>
      </c>
      <c r="I1190" t="s">
        <v>1434</v>
      </c>
      <c r="J1190" s="2">
        <v>45387</v>
      </c>
      <c r="K1190" t="s">
        <v>2</v>
      </c>
      <c r="L1190" t="s">
        <v>1710</v>
      </c>
      <c r="M1190" t="s">
        <v>1711</v>
      </c>
      <c r="N1190" s="1">
        <f>Table1[[#This Row],[Consideration Weight]]</f>
        <v>0.35</v>
      </c>
      <c r="O1190" t="s">
        <v>87</v>
      </c>
      <c r="P1190" s="1">
        <v>0.35</v>
      </c>
    </row>
    <row r="1191" spans="1:22" x14ac:dyDescent="0.3">
      <c r="A1191" t="s">
        <v>721</v>
      </c>
      <c r="B1191" t="str">
        <f ca="1">OFFSET(Industries!C$1,MATCH(Table1[[#This Row],[Ticker]],Industries!$A$2:$A$150,0),0)</f>
        <v>Consumer Staples</v>
      </c>
      <c r="C1191" t="str">
        <f ca="1">OFFSET(Industries!D$1,MATCH(Table1[[#This Row],[Ticker]],Industries!$A$2:$A$150,0),0)</f>
        <v>Consumer Staples Distribution and Retail</v>
      </c>
      <c r="D1191" t="str">
        <f ca="1">OFFSET(Industries!E$1,MATCH(Table1[[#This Row],[Ticker]],Industries!$A$2:$A$150,0),0)</f>
        <v>Consumer Staples Distribution and Retail</v>
      </c>
      <c r="E1191" t="s">
        <v>722</v>
      </c>
      <c r="F1191" t="str">
        <f ca="1">OFFSET(Industries!B$1,MATCH(Table1[[#This Row],[Ticker]],Industries!$A$2:$A$140,0),0)</f>
        <v>Large-Cap</v>
      </c>
      <c r="G1191" t="str">
        <f ca="1">OFFSET(Industries!F$1,MATCH(Table1[[#This Row],[Ticker]],Industries!$A$2:$A$140,0),0)</f>
        <v>BBB</v>
      </c>
      <c r="H1191" t="s">
        <v>1434</v>
      </c>
      <c r="I1191" t="s">
        <v>1434</v>
      </c>
      <c r="J1191" s="2">
        <v>45387</v>
      </c>
      <c r="K1191" t="s">
        <v>21</v>
      </c>
      <c r="L1191" t="s">
        <v>3</v>
      </c>
      <c r="M1191" t="s">
        <v>1711</v>
      </c>
      <c r="N1191" s="1">
        <f>Table1[[#This Row],[Consideration Weight]]</f>
        <v>0.23</v>
      </c>
      <c r="O1191" t="s">
        <v>3</v>
      </c>
      <c r="P1191" s="1">
        <v>0.23</v>
      </c>
    </row>
    <row r="1192" spans="1:22" x14ac:dyDescent="0.3">
      <c r="A1192" t="s">
        <v>721</v>
      </c>
      <c r="B1192" t="str">
        <f ca="1">OFFSET(Industries!C$1,MATCH(Table1[[#This Row],[Ticker]],Industries!$A$2:$A$150,0),0)</f>
        <v>Consumer Staples</v>
      </c>
      <c r="C1192" t="str">
        <f ca="1">OFFSET(Industries!D$1,MATCH(Table1[[#This Row],[Ticker]],Industries!$A$2:$A$150,0),0)</f>
        <v>Consumer Staples Distribution and Retail</v>
      </c>
      <c r="D1192" t="str">
        <f ca="1">OFFSET(Industries!E$1,MATCH(Table1[[#This Row],[Ticker]],Industries!$A$2:$A$150,0),0)</f>
        <v>Consumer Staples Distribution and Retail</v>
      </c>
      <c r="E1192" t="s">
        <v>722</v>
      </c>
      <c r="F1192" t="str">
        <f ca="1">OFFSET(Industries!B$1,MATCH(Table1[[#This Row],[Ticker]],Industries!$A$2:$A$140,0),0)</f>
        <v>Large-Cap</v>
      </c>
      <c r="G1192" t="str">
        <f ca="1">OFFSET(Industries!F$1,MATCH(Table1[[#This Row],[Ticker]],Industries!$A$2:$A$140,0),0)</f>
        <v>BBB</v>
      </c>
      <c r="H1192" t="s">
        <v>1434</v>
      </c>
      <c r="I1192" t="s">
        <v>1434</v>
      </c>
      <c r="J1192" s="2">
        <v>45387</v>
      </c>
      <c r="K1192" t="s">
        <v>21</v>
      </c>
      <c r="L1192" t="s">
        <v>1708</v>
      </c>
      <c r="M1192" t="s">
        <v>1709</v>
      </c>
      <c r="N1192" s="1">
        <f>Table1[[#This Row],[Consideration Weight]]</f>
        <v>0.18</v>
      </c>
      <c r="O1192" t="s">
        <v>4</v>
      </c>
      <c r="P1192" s="1">
        <v>0.18</v>
      </c>
      <c r="Q1192" s="1" t="s">
        <v>1636</v>
      </c>
      <c r="R1192" t="s">
        <v>24</v>
      </c>
      <c r="S1192" t="s">
        <v>90</v>
      </c>
      <c r="T1192" t="s">
        <v>8</v>
      </c>
      <c r="U1192" s="1">
        <v>1</v>
      </c>
    </row>
    <row r="1193" spans="1:22" x14ac:dyDescent="0.3">
      <c r="A1193" t="s">
        <v>721</v>
      </c>
      <c r="B1193" t="str">
        <f ca="1">OFFSET(Industries!C$1,MATCH(Table1[[#This Row],[Ticker]],Industries!$A$2:$A$150,0),0)</f>
        <v>Consumer Staples</v>
      </c>
      <c r="C1193" t="str">
        <f ca="1">OFFSET(Industries!D$1,MATCH(Table1[[#This Row],[Ticker]],Industries!$A$2:$A$150,0),0)</f>
        <v>Consumer Staples Distribution and Retail</v>
      </c>
      <c r="D1193" t="str">
        <f ca="1">OFFSET(Industries!E$1,MATCH(Table1[[#This Row],[Ticker]],Industries!$A$2:$A$150,0),0)</f>
        <v>Consumer Staples Distribution and Retail</v>
      </c>
      <c r="E1193" t="s">
        <v>722</v>
      </c>
      <c r="F1193" t="str">
        <f ca="1">OFFSET(Industries!B$1,MATCH(Table1[[#This Row],[Ticker]],Industries!$A$2:$A$140,0),0)</f>
        <v>Large-Cap</v>
      </c>
      <c r="G1193" t="str">
        <f ca="1">OFFSET(Industries!F$1,MATCH(Table1[[#This Row],[Ticker]],Industries!$A$2:$A$140,0),0)</f>
        <v>BBB</v>
      </c>
      <c r="H1193" t="s">
        <v>1434</v>
      </c>
      <c r="I1193" t="s">
        <v>1434</v>
      </c>
      <c r="J1193" s="2">
        <v>45387</v>
      </c>
      <c r="K1193" t="s">
        <v>21</v>
      </c>
      <c r="L1193" t="s">
        <v>1710</v>
      </c>
      <c r="M1193" t="s">
        <v>1709</v>
      </c>
      <c r="N1193" s="1">
        <f>Table1[[#This Row],[Consideration Weight]]</f>
        <v>0.29499999999999998</v>
      </c>
      <c r="O1193" t="s">
        <v>476</v>
      </c>
      <c r="P1193" s="1">
        <f>0.5*0.59</f>
        <v>0.29499999999999998</v>
      </c>
      <c r="Q1193" s="1" t="s">
        <v>1636</v>
      </c>
      <c r="R1193" t="s">
        <v>24</v>
      </c>
      <c r="S1193" t="s">
        <v>1104</v>
      </c>
      <c r="T1193" t="s">
        <v>153</v>
      </c>
      <c r="U1193" s="1">
        <v>0.5</v>
      </c>
    </row>
    <row r="1194" spans="1:22" x14ac:dyDescent="0.3">
      <c r="A1194" t="s">
        <v>721</v>
      </c>
      <c r="B1194" t="str">
        <f ca="1">OFFSET(Industries!C$1,MATCH(Table1[[#This Row],[Ticker]],Industries!$A$2:$A$150,0),0)</f>
        <v>Consumer Staples</v>
      </c>
      <c r="C1194" t="str">
        <f ca="1">OFFSET(Industries!D$1,MATCH(Table1[[#This Row],[Ticker]],Industries!$A$2:$A$150,0),0)</f>
        <v>Consumer Staples Distribution and Retail</v>
      </c>
      <c r="D1194" t="str">
        <f ca="1">OFFSET(Industries!E$1,MATCH(Table1[[#This Row],[Ticker]],Industries!$A$2:$A$150,0),0)</f>
        <v>Consumer Staples Distribution and Retail</v>
      </c>
      <c r="E1194" t="s">
        <v>722</v>
      </c>
      <c r="F1194" t="str">
        <f ca="1">OFFSET(Industries!B$1,MATCH(Table1[[#This Row],[Ticker]],Industries!$A$2:$A$140,0),0)</f>
        <v>Large-Cap</v>
      </c>
      <c r="G1194" t="str">
        <f ca="1">OFFSET(Industries!F$1,MATCH(Table1[[#This Row],[Ticker]],Industries!$A$2:$A$140,0),0)</f>
        <v>BBB</v>
      </c>
      <c r="H1194" t="s">
        <v>1434</v>
      </c>
      <c r="I1194" t="s">
        <v>1434</v>
      </c>
      <c r="J1194" s="2">
        <v>45387</v>
      </c>
      <c r="K1194" t="s">
        <v>21</v>
      </c>
      <c r="L1194" t="s">
        <v>1710</v>
      </c>
      <c r="M1194" t="s">
        <v>1709</v>
      </c>
      <c r="N1194" s="1"/>
      <c r="O1194" t="s">
        <v>476</v>
      </c>
      <c r="P1194" s="1">
        <f>0.5*0.59</f>
        <v>0.29499999999999998</v>
      </c>
      <c r="Q1194" s="1" t="s">
        <v>1636</v>
      </c>
      <c r="R1194" t="s">
        <v>1059</v>
      </c>
      <c r="S1194" t="s">
        <v>1101</v>
      </c>
      <c r="T1194" t="s">
        <v>465</v>
      </c>
      <c r="U1194" s="1">
        <v>0.5</v>
      </c>
    </row>
    <row r="1195" spans="1:22" x14ac:dyDescent="0.3">
      <c r="A1195" t="s">
        <v>721</v>
      </c>
      <c r="B1195" t="str">
        <f ca="1">OFFSET(Industries!C$1,MATCH(Table1[[#This Row],[Ticker]],Industries!$A$2:$A$150,0),0)</f>
        <v>Consumer Staples</v>
      </c>
      <c r="C1195" t="str">
        <f ca="1">OFFSET(Industries!D$1,MATCH(Table1[[#This Row],[Ticker]],Industries!$A$2:$A$150,0),0)</f>
        <v>Consumer Staples Distribution and Retail</v>
      </c>
      <c r="D1195" t="str">
        <f ca="1">OFFSET(Industries!E$1,MATCH(Table1[[#This Row],[Ticker]],Industries!$A$2:$A$150,0),0)</f>
        <v>Consumer Staples Distribution and Retail</v>
      </c>
      <c r="E1195" t="s">
        <v>722</v>
      </c>
      <c r="F1195" t="str">
        <f ca="1">OFFSET(Industries!B$1,MATCH(Table1[[#This Row],[Ticker]],Industries!$A$2:$A$140,0),0)</f>
        <v>Large-Cap</v>
      </c>
      <c r="G1195" t="str">
        <f ca="1">OFFSET(Industries!F$1,MATCH(Table1[[#This Row],[Ticker]],Industries!$A$2:$A$140,0),0)</f>
        <v>BBB</v>
      </c>
      <c r="H1195" t="s">
        <v>1434</v>
      </c>
      <c r="I1195" t="s">
        <v>1434</v>
      </c>
      <c r="J1195" s="2">
        <v>45387</v>
      </c>
      <c r="K1195" t="s">
        <v>21</v>
      </c>
      <c r="L1195" t="s">
        <v>1710</v>
      </c>
      <c r="M1195" t="s">
        <v>1711</v>
      </c>
      <c r="N1195" s="1">
        <f>Table1[[#This Row],[Consideration Weight]]</f>
        <v>0.29499999999999998</v>
      </c>
      <c r="O1195" t="s">
        <v>87</v>
      </c>
      <c r="P1195" s="1">
        <f>0.5*0.59</f>
        <v>0.29499999999999998</v>
      </c>
    </row>
    <row r="1196" spans="1:22" x14ac:dyDescent="0.3">
      <c r="A1196" t="s">
        <v>726</v>
      </c>
      <c r="B1196" t="str">
        <f ca="1">OFFSET(Industries!C$1,MATCH(Table1[[#This Row],[Ticker]],Industries!$A$2:$A$150,0),0)</f>
        <v>Consumer Staples</v>
      </c>
      <c r="C1196" t="str">
        <f ca="1">OFFSET(Industries!D$1,MATCH(Table1[[#This Row],[Ticker]],Industries!$A$2:$A$150,0),0)</f>
        <v>Food, Beverage and Tobacco</v>
      </c>
      <c r="D1196" t="str">
        <f ca="1">OFFSET(Industries!E$1,MATCH(Table1[[#This Row],[Ticker]],Industries!$A$2:$A$150,0),0)</f>
        <v>Food Products</v>
      </c>
      <c r="E1196" t="s">
        <v>727</v>
      </c>
      <c r="F1196" t="str">
        <f ca="1">OFFSET(Industries!B$1,MATCH(Table1[[#This Row],[Ticker]],Industries!$A$2:$A$140,0),0)</f>
        <v>Ultra-Cap</v>
      </c>
      <c r="G1196" t="str">
        <f ca="1">OFFSET(Industries!F$1,MATCH(Table1[[#This Row],[Ticker]],Industries!$A$2:$A$140,0),0)</f>
        <v>BBB</v>
      </c>
      <c r="H1196" t="s">
        <v>1434</v>
      </c>
      <c r="I1196" t="s">
        <v>1434</v>
      </c>
      <c r="J1196" s="2">
        <v>45387</v>
      </c>
      <c r="K1196" t="s">
        <v>2</v>
      </c>
      <c r="L1196" t="s">
        <v>3</v>
      </c>
      <c r="M1196" t="s">
        <v>1711</v>
      </c>
      <c r="N1196" s="1">
        <f>Table1[[#This Row],[Consideration Weight]]</f>
        <v>0.09</v>
      </c>
      <c r="O1196" t="s">
        <v>3</v>
      </c>
      <c r="P1196" s="1">
        <v>0.09</v>
      </c>
      <c r="V1196" t="s">
        <v>729</v>
      </c>
    </row>
    <row r="1197" spans="1:22" x14ac:dyDescent="0.3">
      <c r="A1197" t="s">
        <v>726</v>
      </c>
      <c r="B1197" t="str">
        <f ca="1">OFFSET(Industries!C$1,MATCH(Table1[[#This Row],[Ticker]],Industries!$A$2:$A$150,0),0)</f>
        <v>Consumer Staples</v>
      </c>
      <c r="C1197" t="str">
        <f ca="1">OFFSET(Industries!D$1,MATCH(Table1[[#This Row],[Ticker]],Industries!$A$2:$A$150,0),0)</f>
        <v>Food, Beverage and Tobacco</v>
      </c>
      <c r="D1197" t="str">
        <f ca="1">OFFSET(Industries!E$1,MATCH(Table1[[#This Row],[Ticker]],Industries!$A$2:$A$150,0),0)</f>
        <v>Food Products</v>
      </c>
      <c r="E1197" t="s">
        <v>727</v>
      </c>
      <c r="F1197" t="str">
        <f ca="1">OFFSET(Industries!B$1,MATCH(Table1[[#This Row],[Ticker]],Industries!$A$2:$A$140,0),0)</f>
        <v>Ultra-Cap</v>
      </c>
      <c r="G1197" t="str">
        <f ca="1">OFFSET(Industries!F$1,MATCH(Table1[[#This Row],[Ticker]],Industries!$A$2:$A$140,0),0)</f>
        <v>BBB</v>
      </c>
      <c r="H1197" t="s">
        <v>1434</v>
      </c>
      <c r="I1197" t="s">
        <v>1434</v>
      </c>
      <c r="J1197" s="2">
        <v>45387</v>
      </c>
      <c r="K1197" t="s">
        <v>2</v>
      </c>
      <c r="L1197" t="s">
        <v>1708</v>
      </c>
      <c r="M1197" t="s">
        <v>1709</v>
      </c>
      <c r="N1197" s="1">
        <f>Table1[[#This Row],[Consideration Weight]]</f>
        <v>0.16</v>
      </c>
      <c r="O1197" t="s">
        <v>4</v>
      </c>
      <c r="P1197" s="1">
        <v>0.16</v>
      </c>
      <c r="Q1197" s="1" t="s">
        <v>1636</v>
      </c>
      <c r="R1197" t="s">
        <v>24</v>
      </c>
      <c r="S1197" t="s">
        <v>1156</v>
      </c>
      <c r="T1197" t="s">
        <v>728</v>
      </c>
      <c r="U1197" s="1">
        <f>0.35*0.8</f>
        <v>0.27999999999999997</v>
      </c>
    </row>
    <row r="1198" spans="1:22" x14ac:dyDescent="0.3">
      <c r="A1198" t="s">
        <v>726</v>
      </c>
      <c r="B1198" t="str">
        <f ca="1">OFFSET(Industries!C$1,MATCH(Table1[[#This Row],[Ticker]],Industries!$A$2:$A$150,0),0)</f>
        <v>Consumer Staples</v>
      </c>
      <c r="C1198" t="str">
        <f ca="1">OFFSET(Industries!D$1,MATCH(Table1[[#This Row],[Ticker]],Industries!$A$2:$A$150,0),0)</f>
        <v>Food, Beverage and Tobacco</v>
      </c>
      <c r="D1198" t="str">
        <f ca="1">OFFSET(Industries!E$1,MATCH(Table1[[#This Row],[Ticker]],Industries!$A$2:$A$150,0),0)</f>
        <v>Food Products</v>
      </c>
      <c r="E1198" t="s">
        <v>727</v>
      </c>
      <c r="F1198" t="str">
        <f ca="1">OFFSET(Industries!B$1,MATCH(Table1[[#This Row],[Ticker]],Industries!$A$2:$A$140,0),0)</f>
        <v>Ultra-Cap</v>
      </c>
      <c r="G1198" t="str">
        <f ca="1">OFFSET(Industries!F$1,MATCH(Table1[[#This Row],[Ticker]],Industries!$A$2:$A$140,0),0)</f>
        <v>BBB</v>
      </c>
      <c r="H1198" t="s">
        <v>1434</v>
      </c>
      <c r="I1198" t="s">
        <v>1434</v>
      </c>
      <c r="J1198" s="2">
        <v>45387</v>
      </c>
      <c r="K1198" t="s">
        <v>2</v>
      </c>
      <c r="L1198" t="s">
        <v>1708</v>
      </c>
      <c r="M1198" t="s">
        <v>1709</v>
      </c>
      <c r="N1198" s="1"/>
      <c r="O1198" t="s">
        <v>4</v>
      </c>
      <c r="P1198" s="1">
        <v>0.16</v>
      </c>
      <c r="Q1198" s="1" t="s">
        <v>1636</v>
      </c>
      <c r="R1198" t="s">
        <v>62</v>
      </c>
      <c r="S1198" t="s">
        <v>129</v>
      </c>
      <c r="T1198" t="s">
        <v>730</v>
      </c>
      <c r="U1198" s="1">
        <f>0.2*0.8</f>
        <v>0.16000000000000003</v>
      </c>
      <c r="V1198" t="s">
        <v>734</v>
      </c>
    </row>
    <row r="1199" spans="1:22" x14ac:dyDescent="0.3">
      <c r="A1199" t="s">
        <v>726</v>
      </c>
      <c r="B1199" t="str">
        <f ca="1">OFFSET(Industries!C$1,MATCH(Table1[[#This Row],[Ticker]],Industries!$A$2:$A$150,0),0)</f>
        <v>Consumer Staples</v>
      </c>
      <c r="C1199" t="str">
        <f ca="1">OFFSET(Industries!D$1,MATCH(Table1[[#This Row],[Ticker]],Industries!$A$2:$A$150,0),0)</f>
        <v>Food, Beverage and Tobacco</v>
      </c>
      <c r="D1199" t="str">
        <f ca="1">OFFSET(Industries!E$1,MATCH(Table1[[#This Row],[Ticker]],Industries!$A$2:$A$150,0),0)</f>
        <v>Food Products</v>
      </c>
      <c r="E1199" t="s">
        <v>727</v>
      </c>
      <c r="F1199" t="str">
        <f ca="1">OFFSET(Industries!B$1,MATCH(Table1[[#This Row],[Ticker]],Industries!$A$2:$A$140,0),0)</f>
        <v>Ultra-Cap</v>
      </c>
      <c r="G1199" t="str">
        <f ca="1">OFFSET(Industries!F$1,MATCH(Table1[[#This Row],[Ticker]],Industries!$A$2:$A$140,0),0)</f>
        <v>BBB</v>
      </c>
      <c r="H1199" t="s">
        <v>1434</v>
      </c>
      <c r="I1199" t="s">
        <v>1434</v>
      </c>
      <c r="J1199" s="2">
        <v>45387</v>
      </c>
      <c r="K1199" t="s">
        <v>2</v>
      </c>
      <c r="L1199" t="s">
        <v>1708</v>
      </c>
      <c r="M1199" t="s">
        <v>1709</v>
      </c>
      <c r="N1199" s="1"/>
      <c r="O1199" t="s">
        <v>4</v>
      </c>
      <c r="P1199" s="1">
        <v>0.16</v>
      </c>
      <c r="Q1199" s="1" t="s">
        <v>1636</v>
      </c>
      <c r="R1199" t="s">
        <v>23</v>
      </c>
      <c r="S1199" t="s">
        <v>1083</v>
      </c>
      <c r="T1199" t="s">
        <v>226</v>
      </c>
      <c r="U1199" s="1">
        <f>0.15*0.8</f>
        <v>0.12</v>
      </c>
      <c r="V1199" t="s">
        <v>735</v>
      </c>
    </row>
    <row r="1200" spans="1:22" x14ac:dyDescent="0.3">
      <c r="A1200" t="s">
        <v>726</v>
      </c>
      <c r="B1200" t="str">
        <f ca="1">OFFSET(Industries!C$1,MATCH(Table1[[#This Row],[Ticker]],Industries!$A$2:$A$150,0),0)</f>
        <v>Consumer Staples</v>
      </c>
      <c r="C1200" t="str">
        <f ca="1">OFFSET(Industries!D$1,MATCH(Table1[[#This Row],[Ticker]],Industries!$A$2:$A$150,0),0)</f>
        <v>Food, Beverage and Tobacco</v>
      </c>
      <c r="D1200" t="str">
        <f ca="1">OFFSET(Industries!E$1,MATCH(Table1[[#This Row],[Ticker]],Industries!$A$2:$A$150,0),0)</f>
        <v>Food Products</v>
      </c>
      <c r="E1200" t="s">
        <v>727</v>
      </c>
      <c r="F1200" t="str">
        <f ca="1">OFFSET(Industries!B$1,MATCH(Table1[[#This Row],[Ticker]],Industries!$A$2:$A$140,0),0)</f>
        <v>Ultra-Cap</v>
      </c>
      <c r="G1200" t="str">
        <f ca="1">OFFSET(Industries!F$1,MATCH(Table1[[#This Row],[Ticker]],Industries!$A$2:$A$140,0),0)</f>
        <v>BBB</v>
      </c>
      <c r="H1200" t="s">
        <v>1434</v>
      </c>
      <c r="I1200" t="s">
        <v>1434</v>
      </c>
      <c r="J1200" s="2">
        <v>45387</v>
      </c>
      <c r="K1200" t="s">
        <v>2</v>
      </c>
      <c r="L1200" t="s">
        <v>1708</v>
      </c>
      <c r="M1200" t="s">
        <v>1709</v>
      </c>
      <c r="N1200" s="1"/>
      <c r="O1200" t="s">
        <v>4</v>
      </c>
      <c r="P1200" s="1">
        <v>0.16</v>
      </c>
      <c r="Q1200" s="1" t="s">
        <v>1636</v>
      </c>
      <c r="R1200" t="s">
        <v>23</v>
      </c>
      <c r="S1200" t="s">
        <v>1090</v>
      </c>
      <c r="T1200" t="s">
        <v>731</v>
      </c>
      <c r="U1200" s="1">
        <f>0.15*0.8</f>
        <v>0.12</v>
      </c>
      <c r="V1200" t="s">
        <v>736</v>
      </c>
    </row>
    <row r="1201" spans="1:22" x14ac:dyDescent="0.3">
      <c r="A1201" t="s">
        <v>726</v>
      </c>
      <c r="B1201" t="str">
        <f ca="1">OFFSET(Industries!C$1,MATCH(Table1[[#This Row],[Ticker]],Industries!$A$2:$A$150,0),0)</f>
        <v>Consumer Staples</v>
      </c>
      <c r="C1201" t="str">
        <f ca="1">OFFSET(Industries!D$1,MATCH(Table1[[#This Row],[Ticker]],Industries!$A$2:$A$150,0),0)</f>
        <v>Food, Beverage and Tobacco</v>
      </c>
      <c r="D1201" t="str">
        <f ca="1">OFFSET(Industries!E$1,MATCH(Table1[[#This Row],[Ticker]],Industries!$A$2:$A$150,0),0)</f>
        <v>Food Products</v>
      </c>
      <c r="E1201" t="s">
        <v>727</v>
      </c>
      <c r="F1201" t="str">
        <f ca="1">OFFSET(Industries!B$1,MATCH(Table1[[#This Row],[Ticker]],Industries!$A$2:$A$140,0),0)</f>
        <v>Ultra-Cap</v>
      </c>
      <c r="G1201" t="str">
        <f ca="1">OFFSET(Industries!F$1,MATCH(Table1[[#This Row],[Ticker]],Industries!$A$2:$A$140,0),0)</f>
        <v>BBB</v>
      </c>
      <c r="H1201" t="s">
        <v>1434</v>
      </c>
      <c r="I1201" t="s">
        <v>1434</v>
      </c>
      <c r="J1201" s="2">
        <v>45387</v>
      </c>
      <c r="K1201" t="s">
        <v>2</v>
      </c>
      <c r="L1201" t="s">
        <v>1708</v>
      </c>
      <c r="M1201" t="s">
        <v>1709</v>
      </c>
      <c r="N1201" s="1"/>
      <c r="O1201" t="s">
        <v>4</v>
      </c>
      <c r="P1201" s="1">
        <v>0.16</v>
      </c>
      <c r="Q1201" s="1" t="s">
        <v>1636</v>
      </c>
      <c r="R1201" t="s">
        <v>24</v>
      </c>
      <c r="S1201" t="s">
        <v>90</v>
      </c>
      <c r="T1201" t="s">
        <v>732</v>
      </c>
      <c r="U1201" s="1">
        <f>0.15*0.8</f>
        <v>0.12</v>
      </c>
      <c r="V1201" t="s">
        <v>737</v>
      </c>
    </row>
    <row r="1202" spans="1:22" x14ac:dyDescent="0.3">
      <c r="A1202" t="s">
        <v>726</v>
      </c>
      <c r="B1202" t="str">
        <f ca="1">OFFSET(Industries!C$1,MATCH(Table1[[#This Row],[Ticker]],Industries!$A$2:$A$150,0),0)</f>
        <v>Consumer Staples</v>
      </c>
      <c r="C1202" t="str">
        <f ca="1">OFFSET(Industries!D$1,MATCH(Table1[[#This Row],[Ticker]],Industries!$A$2:$A$150,0),0)</f>
        <v>Food, Beverage and Tobacco</v>
      </c>
      <c r="D1202" t="str">
        <f ca="1">OFFSET(Industries!E$1,MATCH(Table1[[#This Row],[Ticker]],Industries!$A$2:$A$150,0),0)</f>
        <v>Food Products</v>
      </c>
      <c r="E1202" t="s">
        <v>727</v>
      </c>
      <c r="F1202" t="str">
        <f ca="1">OFFSET(Industries!B$1,MATCH(Table1[[#This Row],[Ticker]],Industries!$A$2:$A$140,0),0)</f>
        <v>Ultra-Cap</v>
      </c>
      <c r="G1202" t="str">
        <f ca="1">OFFSET(Industries!F$1,MATCH(Table1[[#This Row],[Ticker]],Industries!$A$2:$A$140,0),0)</f>
        <v>BBB</v>
      </c>
      <c r="H1202" t="s">
        <v>1434</v>
      </c>
      <c r="I1202" t="s">
        <v>1434</v>
      </c>
      <c r="J1202" s="2">
        <v>45387</v>
      </c>
      <c r="K1202" t="s">
        <v>2</v>
      </c>
      <c r="L1202" t="s">
        <v>1708</v>
      </c>
      <c r="M1202" t="s">
        <v>1709</v>
      </c>
      <c r="N1202" s="1"/>
      <c r="O1202" t="s">
        <v>4</v>
      </c>
      <c r="P1202" s="1">
        <v>0.16</v>
      </c>
      <c r="Q1202" s="1" t="s">
        <v>1636</v>
      </c>
      <c r="R1202" t="s">
        <v>25</v>
      </c>
      <c r="S1202" t="s">
        <v>1086</v>
      </c>
      <c r="T1202" t="s">
        <v>733</v>
      </c>
      <c r="U1202" s="1">
        <v>0.1</v>
      </c>
      <c r="V1202" t="s">
        <v>738</v>
      </c>
    </row>
    <row r="1203" spans="1:22" x14ac:dyDescent="0.3">
      <c r="A1203" t="s">
        <v>726</v>
      </c>
      <c r="B1203" t="str">
        <f ca="1">OFFSET(Industries!C$1,MATCH(Table1[[#This Row],[Ticker]],Industries!$A$2:$A$150,0),0)</f>
        <v>Consumer Staples</v>
      </c>
      <c r="C1203" t="str">
        <f ca="1">OFFSET(Industries!D$1,MATCH(Table1[[#This Row],[Ticker]],Industries!$A$2:$A$150,0),0)</f>
        <v>Food, Beverage and Tobacco</v>
      </c>
      <c r="D1203" t="str">
        <f ca="1">OFFSET(Industries!E$1,MATCH(Table1[[#This Row],[Ticker]],Industries!$A$2:$A$150,0),0)</f>
        <v>Food Products</v>
      </c>
      <c r="E1203" t="s">
        <v>727</v>
      </c>
      <c r="F1203" t="str">
        <f ca="1">OFFSET(Industries!B$1,MATCH(Table1[[#This Row],[Ticker]],Industries!$A$2:$A$140,0),0)</f>
        <v>Ultra-Cap</v>
      </c>
      <c r="G1203" t="str">
        <f ca="1">OFFSET(Industries!F$1,MATCH(Table1[[#This Row],[Ticker]],Industries!$A$2:$A$140,0),0)</f>
        <v>BBB</v>
      </c>
      <c r="H1203" t="s">
        <v>1434</v>
      </c>
      <c r="I1203" t="s">
        <v>1434</v>
      </c>
      <c r="J1203" s="2">
        <v>45387</v>
      </c>
      <c r="K1203" t="s">
        <v>2</v>
      </c>
      <c r="L1203" t="s">
        <v>1708</v>
      </c>
      <c r="M1203" t="s">
        <v>1709</v>
      </c>
      <c r="N1203" s="1"/>
      <c r="O1203" t="s">
        <v>4</v>
      </c>
      <c r="P1203" s="1">
        <v>0.16</v>
      </c>
      <c r="Q1203" s="1" t="s">
        <v>1637</v>
      </c>
      <c r="R1203" t="s">
        <v>26</v>
      </c>
      <c r="S1203" t="s">
        <v>26</v>
      </c>
      <c r="T1203" t="s">
        <v>26</v>
      </c>
      <c r="U1203" s="1">
        <v>0.1</v>
      </c>
      <c r="V1203" t="s">
        <v>739</v>
      </c>
    </row>
    <row r="1204" spans="1:22" x14ac:dyDescent="0.3">
      <c r="A1204" t="s">
        <v>726</v>
      </c>
      <c r="B1204" t="str">
        <f ca="1">OFFSET(Industries!C$1,MATCH(Table1[[#This Row],[Ticker]],Industries!$A$2:$A$150,0),0)</f>
        <v>Consumer Staples</v>
      </c>
      <c r="C1204" t="str">
        <f ca="1">OFFSET(Industries!D$1,MATCH(Table1[[#This Row],[Ticker]],Industries!$A$2:$A$150,0),0)</f>
        <v>Food, Beverage and Tobacco</v>
      </c>
      <c r="D1204" t="str">
        <f ca="1">OFFSET(Industries!E$1,MATCH(Table1[[#This Row],[Ticker]],Industries!$A$2:$A$150,0),0)</f>
        <v>Food Products</v>
      </c>
      <c r="E1204" t="s">
        <v>727</v>
      </c>
      <c r="F1204" t="str">
        <f ca="1">OFFSET(Industries!B$1,MATCH(Table1[[#This Row],[Ticker]],Industries!$A$2:$A$140,0),0)</f>
        <v>Ultra-Cap</v>
      </c>
      <c r="G1204" t="str">
        <f ca="1">OFFSET(Industries!F$1,MATCH(Table1[[#This Row],[Ticker]],Industries!$A$2:$A$140,0),0)</f>
        <v>BBB</v>
      </c>
      <c r="H1204" t="s">
        <v>1434</v>
      </c>
      <c r="I1204" t="s">
        <v>1434</v>
      </c>
      <c r="J1204" s="2">
        <v>45387</v>
      </c>
      <c r="K1204" t="s">
        <v>2</v>
      </c>
      <c r="L1204" t="s">
        <v>1708</v>
      </c>
      <c r="M1204" t="s">
        <v>1709</v>
      </c>
      <c r="N1204" s="1"/>
      <c r="O1204" t="s">
        <v>4</v>
      </c>
      <c r="P1204" s="1">
        <v>0.16</v>
      </c>
      <c r="R1204" t="s">
        <v>28</v>
      </c>
      <c r="S1204" t="s">
        <v>1157</v>
      </c>
      <c r="T1204" t="s">
        <v>137</v>
      </c>
      <c r="V1204" t="s">
        <v>506</v>
      </c>
    </row>
    <row r="1205" spans="1:22" x14ac:dyDescent="0.3">
      <c r="A1205" t="s">
        <v>726</v>
      </c>
      <c r="B1205" t="str">
        <f ca="1">OFFSET(Industries!C$1,MATCH(Table1[[#This Row],[Ticker]],Industries!$A$2:$A$150,0),0)</f>
        <v>Consumer Staples</v>
      </c>
      <c r="C1205" t="str">
        <f ca="1">OFFSET(Industries!D$1,MATCH(Table1[[#This Row],[Ticker]],Industries!$A$2:$A$150,0),0)</f>
        <v>Food, Beverage and Tobacco</v>
      </c>
      <c r="D1205" t="str">
        <f ca="1">OFFSET(Industries!E$1,MATCH(Table1[[#This Row],[Ticker]],Industries!$A$2:$A$150,0),0)</f>
        <v>Food Products</v>
      </c>
      <c r="E1205" t="s">
        <v>727</v>
      </c>
      <c r="F1205" t="str">
        <f ca="1">OFFSET(Industries!B$1,MATCH(Table1[[#This Row],[Ticker]],Industries!$A$2:$A$140,0),0)</f>
        <v>Ultra-Cap</v>
      </c>
      <c r="G1205" t="str">
        <f ca="1">OFFSET(Industries!F$1,MATCH(Table1[[#This Row],[Ticker]],Industries!$A$2:$A$140,0),0)</f>
        <v>BBB</v>
      </c>
      <c r="H1205" t="s">
        <v>1434</v>
      </c>
      <c r="I1205" t="s">
        <v>1434</v>
      </c>
      <c r="J1205" s="2">
        <v>45387</v>
      </c>
      <c r="K1205" t="s">
        <v>2</v>
      </c>
      <c r="L1205" t="s">
        <v>1710</v>
      </c>
      <c r="M1205" t="s">
        <v>1709</v>
      </c>
      <c r="N1205" s="1">
        <f>Table1[[#This Row],[Consideration Weight]]</f>
        <v>0.5625</v>
      </c>
      <c r="O1205" t="s">
        <v>476</v>
      </c>
      <c r="P1205" s="1">
        <f>0.75*0.75</f>
        <v>0.5625</v>
      </c>
      <c r="Q1205" s="1" t="s">
        <v>1646</v>
      </c>
      <c r="R1205" t="s">
        <v>35</v>
      </c>
      <c r="S1205" t="s">
        <v>29</v>
      </c>
      <c r="T1205" t="s">
        <v>30</v>
      </c>
      <c r="U1205" s="1">
        <v>0.5</v>
      </c>
      <c r="V1205" t="s">
        <v>740</v>
      </c>
    </row>
    <row r="1206" spans="1:22" x14ac:dyDescent="0.3">
      <c r="A1206" t="s">
        <v>726</v>
      </c>
      <c r="B1206" t="str">
        <f ca="1">OFFSET(Industries!C$1,MATCH(Table1[[#This Row],[Ticker]],Industries!$A$2:$A$150,0),0)</f>
        <v>Consumer Staples</v>
      </c>
      <c r="C1206" t="str">
        <f ca="1">OFFSET(Industries!D$1,MATCH(Table1[[#This Row],[Ticker]],Industries!$A$2:$A$150,0),0)</f>
        <v>Food, Beverage and Tobacco</v>
      </c>
      <c r="D1206" t="str">
        <f ca="1">OFFSET(Industries!E$1,MATCH(Table1[[#This Row],[Ticker]],Industries!$A$2:$A$150,0),0)</f>
        <v>Food Products</v>
      </c>
      <c r="E1206" t="s">
        <v>727</v>
      </c>
      <c r="F1206" t="str">
        <f ca="1">OFFSET(Industries!B$1,MATCH(Table1[[#This Row],[Ticker]],Industries!$A$2:$A$140,0),0)</f>
        <v>Ultra-Cap</v>
      </c>
      <c r="G1206" t="str">
        <f ca="1">OFFSET(Industries!F$1,MATCH(Table1[[#This Row],[Ticker]],Industries!$A$2:$A$140,0),0)</f>
        <v>BBB</v>
      </c>
      <c r="H1206" t="s">
        <v>1434</v>
      </c>
      <c r="I1206" t="s">
        <v>1434</v>
      </c>
      <c r="J1206" s="2">
        <v>45387</v>
      </c>
      <c r="K1206" t="s">
        <v>2</v>
      </c>
      <c r="L1206" t="s">
        <v>1710</v>
      </c>
      <c r="M1206" t="s">
        <v>1709</v>
      </c>
      <c r="N1206" s="1"/>
      <c r="O1206" t="s">
        <v>476</v>
      </c>
      <c r="P1206" s="1">
        <f t="shared" ref="P1206:P1208" si="22">0.75*0.75</f>
        <v>0.5625</v>
      </c>
      <c r="Q1206" s="1" t="s">
        <v>1636</v>
      </c>
      <c r="R1206" t="s">
        <v>24</v>
      </c>
      <c r="S1206" t="s">
        <v>1089</v>
      </c>
      <c r="T1206" t="s">
        <v>111</v>
      </c>
      <c r="U1206" s="1">
        <v>0.25</v>
      </c>
      <c r="V1206" t="s">
        <v>741</v>
      </c>
    </row>
    <row r="1207" spans="1:22" x14ac:dyDescent="0.3">
      <c r="A1207" t="s">
        <v>726</v>
      </c>
      <c r="B1207" t="str">
        <f ca="1">OFFSET(Industries!C$1,MATCH(Table1[[#This Row],[Ticker]],Industries!$A$2:$A$150,0),0)</f>
        <v>Consumer Staples</v>
      </c>
      <c r="C1207" t="str">
        <f ca="1">OFFSET(Industries!D$1,MATCH(Table1[[#This Row],[Ticker]],Industries!$A$2:$A$150,0),0)</f>
        <v>Food, Beverage and Tobacco</v>
      </c>
      <c r="D1207" t="str">
        <f ca="1">OFFSET(Industries!E$1,MATCH(Table1[[#This Row],[Ticker]],Industries!$A$2:$A$150,0),0)</f>
        <v>Food Products</v>
      </c>
      <c r="E1207" t="s">
        <v>727</v>
      </c>
      <c r="F1207" t="str">
        <f ca="1">OFFSET(Industries!B$1,MATCH(Table1[[#This Row],[Ticker]],Industries!$A$2:$A$140,0),0)</f>
        <v>Ultra-Cap</v>
      </c>
      <c r="G1207" t="str">
        <f ca="1">OFFSET(Industries!F$1,MATCH(Table1[[#This Row],[Ticker]],Industries!$A$2:$A$140,0),0)</f>
        <v>BBB</v>
      </c>
      <c r="H1207" t="s">
        <v>1434</v>
      </c>
      <c r="I1207" t="s">
        <v>1434</v>
      </c>
      <c r="J1207" s="2">
        <v>45387</v>
      </c>
      <c r="K1207" t="s">
        <v>2</v>
      </c>
      <c r="L1207" t="s">
        <v>1710</v>
      </c>
      <c r="M1207" t="s">
        <v>1709</v>
      </c>
      <c r="N1207" s="1"/>
      <c r="O1207" t="s">
        <v>476</v>
      </c>
      <c r="P1207" s="1">
        <f t="shared" si="22"/>
        <v>0.5625</v>
      </c>
      <c r="Q1207" s="1" t="s">
        <v>1636</v>
      </c>
      <c r="R1207" t="s">
        <v>23</v>
      </c>
      <c r="S1207" t="s">
        <v>1083</v>
      </c>
      <c r="T1207" t="s">
        <v>441</v>
      </c>
      <c r="U1207" s="1">
        <v>0.25</v>
      </c>
      <c r="V1207" t="s">
        <v>580</v>
      </c>
    </row>
    <row r="1208" spans="1:22" x14ac:dyDescent="0.3">
      <c r="A1208" t="s">
        <v>726</v>
      </c>
      <c r="B1208" t="str">
        <f ca="1">OFFSET(Industries!C$1,MATCH(Table1[[#This Row],[Ticker]],Industries!$A$2:$A$150,0),0)</f>
        <v>Consumer Staples</v>
      </c>
      <c r="C1208" t="str">
        <f ca="1">OFFSET(Industries!D$1,MATCH(Table1[[#This Row],[Ticker]],Industries!$A$2:$A$150,0),0)</f>
        <v>Food, Beverage and Tobacco</v>
      </c>
      <c r="D1208" t="str">
        <f ca="1">OFFSET(Industries!E$1,MATCH(Table1[[#This Row],[Ticker]],Industries!$A$2:$A$150,0),0)</f>
        <v>Food Products</v>
      </c>
      <c r="E1208" t="s">
        <v>727</v>
      </c>
      <c r="F1208" t="str">
        <f ca="1">OFFSET(Industries!B$1,MATCH(Table1[[#This Row],[Ticker]],Industries!$A$2:$A$140,0),0)</f>
        <v>Ultra-Cap</v>
      </c>
      <c r="G1208" t="str">
        <f ca="1">OFFSET(Industries!F$1,MATCH(Table1[[#This Row],[Ticker]],Industries!$A$2:$A$140,0),0)</f>
        <v>BBB</v>
      </c>
      <c r="H1208" t="s">
        <v>1434</v>
      </c>
      <c r="I1208" t="s">
        <v>1434</v>
      </c>
      <c r="J1208" s="2">
        <v>45387</v>
      </c>
      <c r="K1208" t="s">
        <v>2</v>
      </c>
      <c r="L1208" t="s">
        <v>1710</v>
      </c>
      <c r="M1208" t="s">
        <v>1709</v>
      </c>
      <c r="N1208" s="1"/>
      <c r="O1208" t="s">
        <v>476</v>
      </c>
      <c r="P1208" s="1">
        <f t="shared" si="22"/>
        <v>0.5625</v>
      </c>
      <c r="R1208" t="s">
        <v>28</v>
      </c>
      <c r="S1208" t="s">
        <v>1095</v>
      </c>
      <c r="T1208" t="s">
        <v>55</v>
      </c>
    </row>
    <row r="1209" spans="1:22" x14ac:dyDescent="0.3">
      <c r="A1209" t="s">
        <v>726</v>
      </c>
      <c r="B1209" t="str">
        <f ca="1">OFFSET(Industries!C$1,MATCH(Table1[[#This Row],[Ticker]],Industries!$A$2:$A$150,0),0)</f>
        <v>Consumer Staples</v>
      </c>
      <c r="C1209" t="str">
        <f ca="1">OFFSET(Industries!D$1,MATCH(Table1[[#This Row],[Ticker]],Industries!$A$2:$A$150,0),0)</f>
        <v>Food, Beverage and Tobacco</v>
      </c>
      <c r="D1209" t="str">
        <f ca="1">OFFSET(Industries!E$1,MATCH(Table1[[#This Row],[Ticker]],Industries!$A$2:$A$150,0),0)</f>
        <v>Food Products</v>
      </c>
      <c r="E1209" t="s">
        <v>727</v>
      </c>
      <c r="F1209" t="str">
        <f ca="1">OFFSET(Industries!B$1,MATCH(Table1[[#This Row],[Ticker]],Industries!$A$2:$A$140,0),0)</f>
        <v>Ultra-Cap</v>
      </c>
      <c r="G1209" t="str">
        <f ca="1">OFFSET(Industries!F$1,MATCH(Table1[[#This Row],[Ticker]],Industries!$A$2:$A$140,0),0)</f>
        <v>BBB</v>
      </c>
      <c r="H1209" t="s">
        <v>1434</v>
      </c>
      <c r="I1209" t="s">
        <v>1434</v>
      </c>
      <c r="J1209" s="2">
        <v>45387</v>
      </c>
      <c r="K1209" t="s">
        <v>2</v>
      </c>
      <c r="L1209" t="s">
        <v>1710</v>
      </c>
      <c r="M1209" t="s">
        <v>1711</v>
      </c>
      <c r="N1209" s="1">
        <f>Table1[[#This Row],[Consideration Weight]]</f>
        <v>0.1875</v>
      </c>
      <c r="O1209" t="s">
        <v>87</v>
      </c>
      <c r="P1209" s="1">
        <f>0.25*0.75</f>
        <v>0.1875</v>
      </c>
    </row>
    <row r="1210" spans="1:22" x14ac:dyDescent="0.3">
      <c r="A1210" t="s">
        <v>726</v>
      </c>
      <c r="B1210" t="str">
        <f ca="1">OFFSET(Industries!C$1,MATCH(Table1[[#This Row],[Ticker]],Industries!$A$2:$A$150,0),0)</f>
        <v>Consumer Staples</v>
      </c>
      <c r="C1210" t="str">
        <f ca="1">OFFSET(Industries!D$1,MATCH(Table1[[#This Row],[Ticker]],Industries!$A$2:$A$150,0),0)</f>
        <v>Food, Beverage and Tobacco</v>
      </c>
      <c r="D1210" t="str">
        <f ca="1">OFFSET(Industries!E$1,MATCH(Table1[[#This Row],[Ticker]],Industries!$A$2:$A$150,0),0)</f>
        <v>Food Products</v>
      </c>
      <c r="E1210" t="s">
        <v>727</v>
      </c>
      <c r="F1210" t="str">
        <f ca="1">OFFSET(Industries!B$1,MATCH(Table1[[#This Row],[Ticker]],Industries!$A$2:$A$140,0),0)</f>
        <v>Ultra-Cap</v>
      </c>
      <c r="G1210" t="str">
        <f ca="1">OFFSET(Industries!F$1,MATCH(Table1[[#This Row],[Ticker]],Industries!$A$2:$A$140,0),0)</f>
        <v>BBB</v>
      </c>
      <c r="H1210" t="s">
        <v>1434</v>
      </c>
      <c r="I1210" t="s">
        <v>1434</v>
      </c>
      <c r="J1210" s="2">
        <v>45387</v>
      </c>
      <c r="K1210" t="s">
        <v>21</v>
      </c>
      <c r="L1210" t="s">
        <v>3</v>
      </c>
      <c r="M1210" t="s">
        <v>1711</v>
      </c>
      <c r="N1210" s="1">
        <f>Table1[[#This Row],[Consideration Weight]]</f>
        <v>0.17</v>
      </c>
      <c r="O1210" t="s">
        <v>3</v>
      </c>
      <c r="P1210" s="1">
        <v>0.17</v>
      </c>
      <c r="V1210" t="s">
        <v>742</v>
      </c>
    </row>
    <row r="1211" spans="1:22" x14ac:dyDescent="0.3">
      <c r="A1211" t="s">
        <v>726</v>
      </c>
      <c r="B1211" t="str">
        <f ca="1">OFFSET(Industries!C$1,MATCH(Table1[[#This Row],[Ticker]],Industries!$A$2:$A$150,0),0)</f>
        <v>Consumer Staples</v>
      </c>
      <c r="C1211" t="str">
        <f ca="1">OFFSET(Industries!D$1,MATCH(Table1[[#This Row],[Ticker]],Industries!$A$2:$A$150,0),0)</f>
        <v>Food, Beverage and Tobacco</v>
      </c>
      <c r="D1211" t="str">
        <f ca="1">OFFSET(Industries!E$1,MATCH(Table1[[#This Row],[Ticker]],Industries!$A$2:$A$150,0),0)</f>
        <v>Food Products</v>
      </c>
      <c r="E1211" t="s">
        <v>727</v>
      </c>
      <c r="F1211" t="str">
        <f ca="1">OFFSET(Industries!B$1,MATCH(Table1[[#This Row],[Ticker]],Industries!$A$2:$A$140,0),0)</f>
        <v>Ultra-Cap</v>
      </c>
      <c r="G1211" t="str">
        <f ca="1">OFFSET(Industries!F$1,MATCH(Table1[[#This Row],[Ticker]],Industries!$A$2:$A$140,0),0)</f>
        <v>BBB</v>
      </c>
      <c r="H1211" t="s">
        <v>1434</v>
      </c>
      <c r="I1211" t="s">
        <v>1434</v>
      </c>
      <c r="J1211" s="2">
        <v>45387</v>
      </c>
      <c r="K1211" t="s">
        <v>21</v>
      </c>
      <c r="L1211" t="s">
        <v>1708</v>
      </c>
      <c r="M1211" t="s">
        <v>1709</v>
      </c>
      <c r="N1211" s="1">
        <f>Table1[[#This Row],[Consideration Weight]]</f>
        <v>0.18</v>
      </c>
      <c r="O1211" t="s">
        <v>4</v>
      </c>
      <c r="P1211" s="1">
        <v>0.18</v>
      </c>
      <c r="Q1211" s="1" t="s">
        <v>1636</v>
      </c>
      <c r="R1211" t="s">
        <v>24</v>
      </c>
      <c r="S1211" t="s">
        <v>1156</v>
      </c>
      <c r="T1211" t="s">
        <v>728</v>
      </c>
      <c r="U1211" s="1">
        <f>0.35*0.8</f>
        <v>0.27999999999999997</v>
      </c>
      <c r="V1211" t="s">
        <v>742</v>
      </c>
    </row>
    <row r="1212" spans="1:22" x14ac:dyDescent="0.3">
      <c r="A1212" t="s">
        <v>726</v>
      </c>
      <c r="B1212" t="str">
        <f ca="1">OFFSET(Industries!C$1,MATCH(Table1[[#This Row],[Ticker]],Industries!$A$2:$A$150,0),0)</f>
        <v>Consumer Staples</v>
      </c>
      <c r="C1212" t="str">
        <f ca="1">OFFSET(Industries!D$1,MATCH(Table1[[#This Row],[Ticker]],Industries!$A$2:$A$150,0),0)</f>
        <v>Food, Beverage and Tobacco</v>
      </c>
      <c r="D1212" t="str">
        <f ca="1">OFFSET(Industries!E$1,MATCH(Table1[[#This Row],[Ticker]],Industries!$A$2:$A$150,0),0)</f>
        <v>Food Products</v>
      </c>
      <c r="E1212" t="s">
        <v>727</v>
      </c>
      <c r="F1212" t="str">
        <f ca="1">OFFSET(Industries!B$1,MATCH(Table1[[#This Row],[Ticker]],Industries!$A$2:$A$140,0),0)</f>
        <v>Ultra-Cap</v>
      </c>
      <c r="G1212" t="str">
        <f ca="1">OFFSET(Industries!F$1,MATCH(Table1[[#This Row],[Ticker]],Industries!$A$2:$A$140,0),0)</f>
        <v>BBB</v>
      </c>
      <c r="H1212" t="s">
        <v>1434</v>
      </c>
      <c r="I1212" t="s">
        <v>1434</v>
      </c>
      <c r="J1212" s="2">
        <v>45387</v>
      </c>
      <c r="K1212" t="s">
        <v>21</v>
      </c>
      <c r="L1212" t="s">
        <v>1708</v>
      </c>
      <c r="M1212" t="s">
        <v>1709</v>
      </c>
      <c r="N1212" s="1"/>
      <c r="O1212" t="s">
        <v>4</v>
      </c>
      <c r="P1212" s="1">
        <v>0.18</v>
      </c>
      <c r="Q1212" s="1" t="s">
        <v>1636</v>
      </c>
      <c r="R1212" t="s">
        <v>62</v>
      </c>
      <c r="S1212" t="s">
        <v>129</v>
      </c>
      <c r="T1212" t="s">
        <v>730</v>
      </c>
      <c r="U1212" s="1">
        <f>0.2*0.8</f>
        <v>0.16000000000000003</v>
      </c>
      <c r="V1212" t="s">
        <v>742</v>
      </c>
    </row>
    <row r="1213" spans="1:22" x14ac:dyDescent="0.3">
      <c r="A1213" t="s">
        <v>726</v>
      </c>
      <c r="B1213" t="str">
        <f ca="1">OFFSET(Industries!C$1,MATCH(Table1[[#This Row],[Ticker]],Industries!$A$2:$A$150,0),0)</f>
        <v>Consumer Staples</v>
      </c>
      <c r="C1213" t="str">
        <f ca="1">OFFSET(Industries!D$1,MATCH(Table1[[#This Row],[Ticker]],Industries!$A$2:$A$150,0),0)</f>
        <v>Food, Beverage and Tobacco</v>
      </c>
      <c r="D1213" t="str">
        <f ca="1">OFFSET(Industries!E$1,MATCH(Table1[[#This Row],[Ticker]],Industries!$A$2:$A$150,0),0)</f>
        <v>Food Products</v>
      </c>
      <c r="E1213" t="s">
        <v>727</v>
      </c>
      <c r="F1213" t="str">
        <f ca="1">OFFSET(Industries!B$1,MATCH(Table1[[#This Row],[Ticker]],Industries!$A$2:$A$140,0),0)</f>
        <v>Ultra-Cap</v>
      </c>
      <c r="G1213" t="str">
        <f ca="1">OFFSET(Industries!F$1,MATCH(Table1[[#This Row],[Ticker]],Industries!$A$2:$A$140,0),0)</f>
        <v>BBB</v>
      </c>
      <c r="H1213" t="s">
        <v>1434</v>
      </c>
      <c r="I1213" t="s">
        <v>1434</v>
      </c>
      <c r="J1213" s="2">
        <v>45387</v>
      </c>
      <c r="K1213" t="s">
        <v>21</v>
      </c>
      <c r="L1213" t="s">
        <v>1708</v>
      </c>
      <c r="M1213" t="s">
        <v>1709</v>
      </c>
      <c r="N1213" s="1"/>
      <c r="O1213" t="s">
        <v>4</v>
      </c>
      <c r="P1213" s="1">
        <v>0.18</v>
      </c>
      <c r="Q1213" s="1" t="s">
        <v>1636</v>
      </c>
      <c r="R1213" t="s">
        <v>23</v>
      </c>
      <c r="S1213" t="s">
        <v>1083</v>
      </c>
      <c r="T1213" t="s">
        <v>226</v>
      </c>
      <c r="U1213" s="1">
        <f>0.15*0.8</f>
        <v>0.12</v>
      </c>
      <c r="V1213" t="s">
        <v>742</v>
      </c>
    </row>
    <row r="1214" spans="1:22" x14ac:dyDescent="0.3">
      <c r="A1214" t="s">
        <v>726</v>
      </c>
      <c r="B1214" t="str">
        <f ca="1">OFFSET(Industries!C$1,MATCH(Table1[[#This Row],[Ticker]],Industries!$A$2:$A$150,0),0)</f>
        <v>Consumer Staples</v>
      </c>
      <c r="C1214" t="str">
        <f ca="1">OFFSET(Industries!D$1,MATCH(Table1[[#This Row],[Ticker]],Industries!$A$2:$A$150,0),0)</f>
        <v>Food, Beverage and Tobacco</v>
      </c>
      <c r="D1214" t="str">
        <f ca="1">OFFSET(Industries!E$1,MATCH(Table1[[#This Row],[Ticker]],Industries!$A$2:$A$150,0),0)</f>
        <v>Food Products</v>
      </c>
      <c r="E1214" t="s">
        <v>727</v>
      </c>
      <c r="F1214" t="str">
        <f ca="1">OFFSET(Industries!B$1,MATCH(Table1[[#This Row],[Ticker]],Industries!$A$2:$A$140,0),0)</f>
        <v>Ultra-Cap</v>
      </c>
      <c r="G1214" t="str">
        <f ca="1">OFFSET(Industries!F$1,MATCH(Table1[[#This Row],[Ticker]],Industries!$A$2:$A$140,0),0)</f>
        <v>BBB</v>
      </c>
      <c r="H1214" t="s">
        <v>1434</v>
      </c>
      <c r="I1214" t="s">
        <v>1434</v>
      </c>
      <c r="J1214" s="2">
        <v>45387</v>
      </c>
      <c r="K1214" t="s">
        <v>21</v>
      </c>
      <c r="L1214" t="s">
        <v>1708</v>
      </c>
      <c r="M1214" t="s">
        <v>1709</v>
      </c>
      <c r="N1214" s="1"/>
      <c r="O1214" t="s">
        <v>4</v>
      </c>
      <c r="P1214" s="1">
        <v>0.18</v>
      </c>
      <c r="Q1214" s="1" t="s">
        <v>1636</v>
      </c>
      <c r="R1214" t="s">
        <v>23</v>
      </c>
      <c r="S1214" t="s">
        <v>1090</v>
      </c>
      <c r="T1214" t="s">
        <v>731</v>
      </c>
      <c r="U1214" s="1">
        <f>0.15*0.8</f>
        <v>0.12</v>
      </c>
      <c r="V1214" t="s">
        <v>742</v>
      </c>
    </row>
    <row r="1215" spans="1:22" x14ac:dyDescent="0.3">
      <c r="A1215" t="s">
        <v>726</v>
      </c>
      <c r="B1215" t="str">
        <f ca="1">OFFSET(Industries!C$1,MATCH(Table1[[#This Row],[Ticker]],Industries!$A$2:$A$150,0),0)</f>
        <v>Consumer Staples</v>
      </c>
      <c r="C1215" t="str">
        <f ca="1">OFFSET(Industries!D$1,MATCH(Table1[[#This Row],[Ticker]],Industries!$A$2:$A$150,0),0)</f>
        <v>Food, Beverage and Tobacco</v>
      </c>
      <c r="D1215" t="str">
        <f ca="1">OFFSET(Industries!E$1,MATCH(Table1[[#This Row],[Ticker]],Industries!$A$2:$A$150,0),0)</f>
        <v>Food Products</v>
      </c>
      <c r="E1215" t="s">
        <v>727</v>
      </c>
      <c r="F1215" t="str">
        <f ca="1">OFFSET(Industries!B$1,MATCH(Table1[[#This Row],[Ticker]],Industries!$A$2:$A$140,0),0)</f>
        <v>Ultra-Cap</v>
      </c>
      <c r="G1215" t="str">
        <f ca="1">OFFSET(Industries!F$1,MATCH(Table1[[#This Row],[Ticker]],Industries!$A$2:$A$140,0),0)</f>
        <v>BBB</v>
      </c>
      <c r="H1215" t="s">
        <v>1434</v>
      </c>
      <c r="I1215" t="s">
        <v>1434</v>
      </c>
      <c r="J1215" s="2">
        <v>45387</v>
      </c>
      <c r="K1215" t="s">
        <v>21</v>
      </c>
      <c r="L1215" t="s">
        <v>1708</v>
      </c>
      <c r="M1215" t="s">
        <v>1709</v>
      </c>
      <c r="N1215" s="1"/>
      <c r="O1215" t="s">
        <v>4</v>
      </c>
      <c r="P1215" s="1">
        <v>0.18</v>
      </c>
      <c r="Q1215" s="1" t="s">
        <v>1636</v>
      </c>
      <c r="R1215" t="s">
        <v>24</v>
      </c>
      <c r="S1215" t="s">
        <v>90</v>
      </c>
      <c r="T1215" t="s">
        <v>732</v>
      </c>
      <c r="U1215" s="1">
        <f>0.15*0.8</f>
        <v>0.12</v>
      </c>
      <c r="V1215" t="s">
        <v>742</v>
      </c>
    </row>
    <row r="1216" spans="1:22" x14ac:dyDescent="0.3">
      <c r="A1216" t="s">
        <v>726</v>
      </c>
      <c r="B1216" t="str">
        <f ca="1">OFFSET(Industries!C$1,MATCH(Table1[[#This Row],[Ticker]],Industries!$A$2:$A$150,0),0)</f>
        <v>Consumer Staples</v>
      </c>
      <c r="C1216" t="str">
        <f ca="1">OFFSET(Industries!D$1,MATCH(Table1[[#This Row],[Ticker]],Industries!$A$2:$A$150,0),0)</f>
        <v>Food, Beverage and Tobacco</v>
      </c>
      <c r="D1216" t="str">
        <f ca="1">OFFSET(Industries!E$1,MATCH(Table1[[#This Row],[Ticker]],Industries!$A$2:$A$150,0),0)</f>
        <v>Food Products</v>
      </c>
      <c r="E1216" t="s">
        <v>727</v>
      </c>
      <c r="F1216" t="str">
        <f ca="1">OFFSET(Industries!B$1,MATCH(Table1[[#This Row],[Ticker]],Industries!$A$2:$A$140,0),0)</f>
        <v>Ultra-Cap</v>
      </c>
      <c r="G1216" t="str">
        <f ca="1">OFFSET(Industries!F$1,MATCH(Table1[[#This Row],[Ticker]],Industries!$A$2:$A$140,0),0)</f>
        <v>BBB</v>
      </c>
      <c r="H1216" t="s">
        <v>1434</v>
      </c>
      <c r="I1216" t="s">
        <v>1434</v>
      </c>
      <c r="J1216" s="2">
        <v>45387</v>
      </c>
      <c r="K1216" t="s">
        <v>21</v>
      </c>
      <c r="L1216" t="s">
        <v>1708</v>
      </c>
      <c r="M1216" t="s">
        <v>1709</v>
      </c>
      <c r="N1216" s="1"/>
      <c r="O1216" t="s">
        <v>4</v>
      </c>
      <c r="P1216" s="1">
        <v>0.18</v>
      </c>
      <c r="Q1216" s="1" t="s">
        <v>1636</v>
      </c>
      <c r="R1216" t="s">
        <v>25</v>
      </c>
      <c r="S1216" t="s">
        <v>1086</v>
      </c>
      <c r="T1216" t="s">
        <v>733</v>
      </c>
      <c r="U1216" s="1">
        <v>0.1</v>
      </c>
      <c r="V1216" t="s">
        <v>742</v>
      </c>
    </row>
    <row r="1217" spans="1:22" x14ac:dyDescent="0.3">
      <c r="A1217" t="s">
        <v>726</v>
      </c>
      <c r="B1217" t="str">
        <f ca="1">OFFSET(Industries!C$1,MATCH(Table1[[#This Row],[Ticker]],Industries!$A$2:$A$150,0),0)</f>
        <v>Consumer Staples</v>
      </c>
      <c r="C1217" t="str">
        <f ca="1">OFFSET(Industries!D$1,MATCH(Table1[[#This Row],[Ticker]],Industries!$A$2:$A$150,0),0)</f>
        <v>Food, Beverage and Tobacco</v>
      </c>
      <c r="D1217" t="str">
        <f ca="1">OFFSET(Industries!E$1,MATCH(Table1[[#This Row],[Ticker]],Industries!$A$2:$A$150,0),0)</f>
        <v>Food Products</v>
      </c>
      <c r="E1217" t="s">
        <v>727</v>
      </c>
      <c r="F1217" t="str">
        <f ca="1">OFFSET(Industries!B$1,MATCH(Table1[[#This Row],[Ticker]],Industries!$A$2:$A$140,0),0)</f>
        <v>Ultra-Cap</v>
      </c>
      <c r="G1217" t="str">
        <f ca="1">OFFSET(Industries!F$1,MATCH(Table1[[#This Row],[Ticker]],Industries!$A$2:$A$140,0),0)</f>
        <v>BBB</v>
      </c>
      <c r="H1217" t="s">
        <v>1434</v>
      </c>
      <c r="I1217" t="s">
        <v>1434</v>
      </c>
      <c r="J1217" s="2">
        <v>45387</v>
      </c>
      <c r="K1217" t="s">
        <v>21</v>
      </c>
      <c r="L1217" t="s">
        <v>1708</v>
      </c>
      <c r="M1217" t="s">
        <v>1709</v>
      </c>
      <c r="N1217" s="1"/>
      <c r="O1217" t="s">
        <v>4</v>
      </c>
      <c r="P1217" s="1">
        <v>0.18</v>
      </c>
      <c r="Q1217" s="1" t="s">
        <v>1637</v>
      </c>
      <c r="R1217" t="s">
        <v>26</v>
      </c>
      <c r="S1217" t="s">
        <v>26</v>
      </c>
      <c r="T1217" t="s">
        <v>26</v>
      </c>
      <c r="U1217" s="1">
        <v>0.1</v>
      </c>
    </row>
    <row r="1218" spans="1:22" x14ac:dyDescent="0.3">
      <c r="A1218" t="s">
        <v>726</v>
      </c>
      <c r="B1218" t="str">
        <f ca="1">OFFSET(Industries!C$1,MATCH(Table1[[#This Row],[Ticker]],Industries!$A$2:$A$150,0),0)</f>
        <v>Consumer Staples</v>
      </c>
      <c r="C1218" t="str">
        <f ca="1">OFFSET(Industries!D$1,MATCH(Table1[[#This Row],[Ticker]],Industries!$A$2:$A$150,0),0)</f>
        <v>Food, Beverage and Tobacco</v>
      </c>
      <c r="D1218" t="str">
        <f ca="1">OFFSET(Industries!E$1,MATCH(Table1[[#This Row],[Ticker]],Industries!$A$2:$A$150,0),0)</f>
        <v>Food Products</v>
      </c>
      <c r="E1218" t="s">
        <v>727</v>
      </c>
      <c r="F1218" t="str">
        <f ca="1">OFFSET(Industries!B$1,MATCH(Table1[[#This Row],[Ticker]],Industries!$A$2:$A$140,0),0)</f>
        <v>Ultra-Cap</v>
      </c>
      <c r="G1218" t="str">
        <f ca="1">OFFSET(Industries!F$1,MATCH(Table1[[#This Row],[Ticker]],Industries!$A$2:$A$140,0),0)</f>
        <v>BBB</v>
      </c>
      <c r="H1218" t="s">
        <v>1434</v>
      </c>
      <c r="I1218" t="s">
        <v>1434</v>
      </c>
      <c r="J1218" s="2">
        <v>45387</v>
      </c>
      <c r="K1218" t="s">
        <v>21</v>
      </c>
      <c r="L1218" t="s">
        <v>1708</v>
      </c>
      <c r="M1218" t="s">
        <v>1709</v>
      </c>
      <c r="N1218" s="1"/>
      <c r="O1218" t="s">
        <v>4</v>
      </c>
      <c r="P1218" s="1">
        <v>0.18</v>
      </c>
      <c r="R1218" t="s">
        <v>28</v>
      </c>
      <c r="S1218" t="s">
        <v>1157</v>
      </c>
      <c r="T1218" t="s">
        <v>137</v>
      </c>
    </row>
    <row r="1219" spans="1:22" x14ac:dyDescent="0.3">
      <c r="A1219" t="s">
        <v>726</v>
      </c>
      <c r="B1219" t="str">
        <f ca="1">OFFSET(Industries!C$1,MATCH(Table1[[#This Row],[Ticker]],Industries!$A$2:$A$150,0),0)</f>
        <v>Consumer Staples</v>
      </c>
      <c r="C1219" t="str">
        <f ca="1">OFFSET(Industries!D$1,MATCH(Table1[[#This Row],[Ticker]],Industries!$A$2:$A$150,0),0)</f>
        <v>Food, Beverage and Tobacco</v>
      </c>
      <c r="D1219" t="str">
        <f ca="1">OFFSET(Industries!E$1,MATCH(Table1[[#This Row],[Ticker]],Industries!$A$2:$A$150,0),0)</f>
        <v>Food Products</v>
      </c>
      <c r="E1219" t="s">
        <v>727</v>
      </c>
      <c r="F1219" t="str">
        <f ca="1">OFFSET(Industries!B$1,MATCH(Table1[[#This Row],[Ticker]],Industries!$A$2:$A$140,0),0)</f>
        <v>Ultra-Cap</v>
      </c>
      <c r="G1219" t="str">
        <f ca="1">OFFSET(Industries!F$1,MATCH(Table1[[#This Row],[Ticker]],Industries!$A$2:$A$140,0),0)</f>
        <v>BBB</v>
      </c>
      <c r="H1219" t="s">
        <v>1434</v>
      </c>
      <c r="I1219" t="s">
        <v>1434</v>
      </c>
      <c r="J1219" s="2">
        <v>45387</v>
      </c>
      <c r="K1219" t="s">
        <v>21</v>
      </c>
      <c r="L1219" t="s">
        <v>1710</v>
      </c>
      <c r="M1219" t="s">
        <v>1709</v>
      </c>
      <c r="N1219" s="1">
        <f>Table1[[#This Row],[Consideration Weight]]</f>
        <v>0.48750000000000004</v>
      </c>
      <c r="O1219" t="s">
        <v>476</v>
      </c>
      <c r="P1219" s="1">
        <f>0.65*0.75</f>
        <v>0.48750000000000004</v>
      </c>
      <c r="Q1219" s="1" t="s">
        <v>1646</v>
      </c>
      <c r="R1219" t="s">
        <v>35</v>
      </c>
      <c r="S1219" t="s">
        <v>29</v>
      </c>
      <c r="T1219" t="s">
        <v>30</v>
      </c>
      <c r="U1219" s="1">
        <v>0.5</v>
      </c>
    </row>
    <row r="1220" spans="1:22" x14ac:dyDescent="0.3">
      <c r="A1220" t="s">
        <v>726</v>
      </c>
      <c r="B1220" t="str">
        <f ca="1">OFFSET(Industries!C$1,MATCH(Table1[[#This Row],[Ticker]],Industries!$A$2:$A$150,0),0)</f>
        <v>Consumer Staples</v>
      </c>
      <c r="C1220" t="str">
        <f ca="1">OFFSET(Industries!D$1,MATCH(Table1[[#This Row],[Ticker]],Industries!$A$2:$A$150,0),0)</f>
        <v>Food, Beverage and Tobacco</v>
      </c>
      <c r="D1220" t="str">
        <f ca="1">OFFSET(Industries!E$1,MATCH(Table1[[#This Row],[Ticker]],Industries!$A$2:$A$150,0),0)</f>
        <v>Food Products</v>
      </c>
      <c r="E1220" t="s">
        <v>727</v>
      </c>
      <c r="F1220" t="str">
        <f ca="1">OFFSET(Industries!B$1,MATCH(Table1[[#This Row],[Ticker]],Industries!$A$2:$A$140,0),0)</f>
        <v>Ultra-Cap</v>
      </c>
      <c r="G1220" t="str">
        <f ca="1">OFFSET(Industries!F$1,MATCH(Table1[[#This Row],[Ticker]],Industries!$A$2:$A$140,0),0)</f>
        <v>BBB</v>
      </c>
      <c r="H1220" t="s">
        <v>1434</v>
      </c>
      <c r="I1220" t="s">
        <v>1434</v>
      </c>
      <c r="J1220" s="2">
        <v>45387</v>
      </c>
      <c r="K1220" t="s">
        <v>21</v>
      </c>
      <c r="L1220" t="s">
        <v>1710</v>
      </c>
      <c r="M1220" t="s">
        <v>1709</v>
      </c>
      <c r="N1220" s="1"/>
      <c r="O1220" t="s">
        <v>476</v>
      </c>
      <c r="P1220" s="1">
        <f t="shared" ref="P1220:P1222" si="23">0.65*0.75</f>
        <v>0.48750000000000004</v>
      </c>
      <c r="Q1220" s="1" t="s">
        <v>1636</v>
      </c>
      <c r="R1220" t="s">
        <v>24</v>
      </c>
      <c r="S1220" t="s">
        <v>1089</v>
      </c>
      <c r="T1220" t="s">
        <v>111</v>
      </c>
      <c r="U1220" s="1">
        <v>0.25</v>
      </c>
    </row>
    <row r="1221" spans="1:22" x14ac:dyDescent="0.3">
      <c r="A1221" t="s">
        <v>726</v>
      </c>
      <c r="B1221" t="str">
        <f ca="1">OFFSET(Industries!C$1,MATCH(Table1[[#This Row],[Ticker]],Industries!$A$2:$A$150,0),0)</f>
        <v>Consumer Staples</v>
      </c>
      <c r="C1221" t="str">
        <f ca="1">OFFSET(Industries!D$1,MATCH(Table1[[#This Row],[Ticker]],Industries!$A$2:$A$150,0),0)</f>
        <v>Food, Beverage and Tobacco</v>
      </c>
      <c r="D1221" t="str">
        <f ca="1">OFFSET(Industries!E$1,MATCH(Table1[[#This Row],[Ticker]],Industries!$A$2:$A$150,0),0)</f>
        <v>Food Products</v>
      </c>
      <c r="E1221" t="s">
        <v>727</v>
      </c>
      <c r="F1221" t="str">
        <f ca="1">OFFSET(Industries!B$1,MATCH(Table1[[#This Row],[Ticker]],Industries!$A$2:$A$140,0),0)</f>
        <v>Ultra-Cap</v>
      </c>
      <c r="G1221" t="str">
        <f ca="1">OFFSET(Industries!F$1,MATCH(Table1[[#This Row],[Ticker]],Industries!$A$2:$A$140,0),0)</f>
        <v>BBB</v>
      </c>
      <c r="H1221" t="s">
        <v>1434</v>
      </c>
      <c r="I1221" t="s">
        <v>1434</v>
      </c>
      <c r="J1221" s="2">
        <v>45387</v>
      </c>
      <c r="K1221" t="s">
        <v>21</v>
      </c>
      <c r="L1221" t="s">
        <v>1710</v>
      </c>
      <c r="M1221" t="s">
        <v>1709</v>
      </c>
      <c r="N1221" s="1"/>
      <c r="O1221" t="s">
        <v>476</v>
      </c>
      <c r="P1221" s="1">
        <f t="shared" si="23"/>
        <v>0.48750000000000004</v>
      </c>
      <c r="Q1221" s="1" t="s">
        <v>1636</v>
      </c>
      <c r="R1221" t="s">
        <v>23</v>
      </c>
      <c r="S1221" t="s">
        <v>1083</v>
      </c>
      <c r="T1221" t="s">
        <v>441</v>
      </c>
      <c r="U1221" s="1">
        <v>0.25</v>
      </c>
    </row>
    <row r="1222" spans="1:22" x14ac:dyDescent="0.3">
      <c r="A1222" t="s">
        <v>726</v>
      </c>
      <c r="B1222" t="str">
        <f ca="1">OFFSET(Industries!C$1,MATCH(Table1[[#This Row],[Ticker]],Industries!$A$2:$A$150,0),0)</f>
        <v>Consumer Staples</v>
      </c>
      <c r="C1222" t="str">
        <f ca="1">OFFSET(Industries!D$1,MATCH(Table1[[#This Row],[Ticker]],Industries!$A$2:$A$150,0),0)</f>
        <v>Food, Beverage and Tobacco</v>
      </c>
      <c r="D1222" t="str">
        <f ca="1">OFFSET(Industries!E$1,MATCH(Table1[[#This Row],[Ticker]],Industries!$A$2:$A$150,0),0)</f>
        <v>Food Products</v>
      </c>
      <c r="E1222" t="s">
        <v>727</v>
      </c>
      <c r="F1222" t="str">
        <f ca="1">OFFSET(Industries!B$1,MATCH(Table1[[#This Row],[Ticker]],Industries!$A$2:$A$140,0),0)</f>
        <v>Ultra-Cap</v>
      </c>
      <c r="G1222" t="str">
        <f ca="1">OFFSET(Industries!F$1,MATCH(Table1[[#This Row],[Ticker]],Industries!$A$2:$A$140,0),0)</f>
        <v>BBB</v>
      </c>
      <c r="H1222" t="s">
        <v>1434</v>
      </c>
      <c r="I1222" t="s">
        <v>1434</v>
      </c>
      <c r="J1222" s="2">
        <v>45387</v>
      </c>
      <c r="K1222" t="s">
        <v>21</v>
      </c>
      <c r="L1222" t="s">
        <v>1710</v>
      </c>
      <c r="M1222" t="s">
        <v>1709</v>
      </c>
      <c r="N1222" s="1"/>
      <c r="O1222" t="s">
        <v>476</v>
      </c>
      <c r="P1222" s="1">
        <f t="shared" si="23"/>
        <v>0.48750000000000004</v>
      </c>
      <c r="R1222" t="s">
        <v>28</v>
      </c>
      <c r="S1222" t="s">
        <v>1095</v>
      </c>
      <c r="T1222" t="s">
        <v>55</v>
      </c>
    </row>
    <row r="1223" spans="1:22" x14ac:dyDescent="0.3">
      <c r="A1223" t="s">
        <v>726</v>
      </c>
      <c r="B1223" t="str">
        <f ca="1">OFFSET(Industries!C$1,MATCH(Table1[[#This Row],[Ticker]],Industries!$A$2:$A$150,0),0)</f>
        <v>Consumer Staples</v>
      </c>
      <c r="C1223" t="str">
        <f ca="1">OFFSET(Industries!D$1,MATCH(Table1[[#This Row],[Ticker]],Industries!$A$2:$A$150,0),0)</f>
        <v>Food, Beverage and Tobacco</v>
      </c>
      <c r="D1223" t="str">
        <f ca="1">OFFSET(Industries!E$1,MATCH(Table1[[#This Row],[Ticker]],Industries!$A$2:$A$150,0),0)</f>
        <v>Food Products</v>
      </c>
      <c r="E1223" t="s">
        <v>727</v>
      </c>
      <c r="F1223" t="str">
        <f ca="1">OFFSET(Industries!B$1,MATCH(Table1[[#This Row],[Ticker]],Industries!$A$2:$A$140,0),0)</f>
        <v>Ultra-Cap</v>
      </c>
      <c r="G1223" t="str">
        <f ca="1">OFFSET(Industries!F$1,MATCH(Table1[[#This Row],[Ticker]],Industries!$A$2:$A$140,0),0)</f>
        <v>BBB</v>
      </c>
      <c r="H1223" t="s">
        <v>1434</v>
      </c>
      <c r="I1223" t="s">
        <v>1434</v>
      </c>
      <c r="J1223" s="2">
        <v>45387</v>
      </c>
      <c r="K1223" t="s">
        <v>21</v>
      </c>
      <c r="L1223" t="s">
        <v>1710</v>
      </c>
      <c r="M1223" t="s">
        <v>1711</v>
      </c>
      <c r="N1223" s="1">
        <f>Table1[[#This Row],[Consideration Weight]]</f>
        <v>0.16250000000000001</v>
      </c>
      <c r="O1223" t="s">
        <v>87</v>
      </c>
      <c r="P1223" s="1">
        <f>0.65*0.25</f>
        <v>0.16250000000000001</v>
      </c>
    </row>
    <row r="1224" spans="1:22" x14ac:dyDescent="0.3">
      <c r="A1224" t="s">
        <v>743</v>
      </c>
      <c r="B1224" t="str">
        <f ca="1">OFFSET(Industries!C$1,MATCH(Table1[[#This Row],[Ticker]],Industries!$A$2:$A$150,0),0)</f>
        <v>Consumer Discretionary</v>
      </c>
      <c r="C1224" t="str">
        <f ca="1">OFFSET(Industries!D$1,MATCH(Table1[[#This Row],[Ticker]],Industries!$A$2:$A$150,0),0)</f>
        <v>Consumer Services</v>
      </c>
      <c r="D1224" t="str">
        <f ca="1">OFFSET(Industries!E$1,MATCH(Table1[[#This Row],[Ticker]],Industries!$A$2:$A$150,0),0)</f>
        <v>Hotels, Restaurants and Leisure</v>
      </c>
      <c r="E1224" t="s">
        <v>559</v>
      </c>
      <c r="F1224" t="str">
        <f ca="1">OFFSET(Industries!B$1,MATCH(Table1[[#This Row],[Ticker]],Industries!$A$2:$A$140,0),0)</f>
        <v>Large-Cap</v>
      </c>
      <c r="G1224" t="str">
        <f ca="1">OFFSET(Industries!F$1,MATCH(Table1[[#This Row],[Ticker]],Industries!$A$2:$A$140,0),0)</f>
        <v>BB</v>
      </c>
      <c r="H1224" t="s">
        <v>1434</v>
      </c>
      <c r="I1224" t="s">
        <v>1434</v>
      </c>
      <c r="J1224" s="2">
        <v>45407</v>
      </c>
      <c r="K1224" t="s">
        <v>2</v>
      </c>
      <c r="L1224" t="s">
        <v>3</v>
      </c>
      <c r="M1224" t="s">
        <v>1711</v>
      </c>
      <c r="N1224" s="1">
        <f>Table1[[#This Row],[Consideration Weight]]</f>
        <v>0.06</v>
      </c>
      <c r="O1224" t="s">
        <v>3</v>
      </c>
      <c r="P1224" s="1">
        <v>0.06</v>
      </c>
      <c r="V1224" t="s">
        <v>750</v>
      </c>
    </row>
    <row r="1225" spans="1:22" x14ac:dyDescent="0.3">
      <c r="A1225" t="s">
        <v>743</v>
      </c>
      <c r="B1225" t="str">
        <f ca="1">OFFSET(Industries!C$1,MATCH(Table1[[#This Row],[Ticker]],Industries!$A$2:$A$150,0),0)</f>
        <v>Consumer Discretionary</v>
      </c>
      <c r="C1225" t="str">
        <f ca="1">OFFSET(Industries!D$1,MATCH(Table1[[#This Row],[Ticker]],Industries!$A$2:$A$150,0),0)</f>
        <v>Consumer Services</v>
      </c>
      <c r="D1225" t="str">
        <f ca="1">OFFSET(Industries!E$1,MATCH(Table1[[#This Row],[Ticker]],Industries!$A$2:$A$150,0),0)</f>
        <v>Hotels, Restaurants and Leisure</v>
      </c>
      <c r="E1225" t="s">
        <v>559</v>
      </c>
      <c r="F1225" t="str">
        <f ca="1">OFFSET(Industries!B$1,MATCH(Table1[[#This Row],[Ticker]],Industries!$A$2:$A$140,0),0)</f>
        <v>Large-Cap</v>
      </c>
      <c r="G1225" t="str">
        <f ca="1">OFFSET(Industries!F$1,MATCH(Table1[[#This Row],[Ticker]],Industries!$A$2:$A$140,0),0)</f>
        <v>BB</v>
      </c>
      <c r="H1225" t="s">
        <v>1434</v>
      </c>
      <c r="I1225" t="s">
        <v>1434</v>
      </c>
      <c r="J1225" s="2">
        <v>45407</v>
      </c>
      <c r="K1225" t="s">
        <v>2</v>
      </c>
      <c r="L1225" t="s">
        <v>1708</v>
      </c>
      <c r="M1225" t="s">
        <v>1709</v>
      </c>
      <c r="N1225" s="1">
        <f>Table1[[#This Row],[Consideration Weight]]</f>
        <v>0.14000000000000001</v>
      </c>
      <c r="O1225" t="s">
        <v>4</v>
      </c>
      <c r="P1225" s="1">
        <v>0.14000000000000001</v>
      </c>
      <c r="Q1225" s="1" t="s">
        <v>1636</v>
      </c>
      <c r="R1225" t="s">
        <v>24</v>
      </c>
      <c r="S1225" t="s">
        <v>90</v>
      </c>
      <c r="T1225" t="s">
        <v>8</v>
      </c>
      <c r="U1225" s="1">
        <v>0.3</v>
      </c>
    </row>
    <row r="1226" spans="1:22" x14ac:dyDescent="0.3">
      <c r="A1226" t="s">
        <v>743</v>
      </c>
      <c r="B1226" t="str">
        <f ca="1">OFFSET(Industries!C$1,MATCH(Table1[[#This Row],[Ticker]],Industries!$A$2:$A$150,0),0)</f>
        <v>Consumer Discretionary</v>
      </c>
      <c r="C1226" t="str">
        <f ca="1">OFFSET(Industries!D$1,MATCH(Table1[[#This Row],[Ticker]],Industries!$A$2:$A$150,0),0)</f>
        <v>Consumer Services</v>
      </c>
      <c r="D1226" t="str">
        <f ca="1">OFFSET(Industries!E$1,MATCH(Table1[[#This Row],[Ticker]],Industries!$A$2:$A$150,0),0)</f>
        <v>Hotels, Restaurants and Leisure</v>
      </c>
      <c r="E1226" t="s">
        <v>559</v>
      </c>
      <c r="F1226" t="str">
        <f ca="1">OFFSET(Industries!B$1,MATCH(Table1[[#This Row],[Ticker]],Industries!$A$2:$A$140,0),0)</f>
        <v>Large-Cap</v>
      </c>
      <c r="G1226" t="str">
        <f ca="1">OFFSET(Industries!F$1,MATCH(Table1[[#This Row],[Ticker]],Industries!$A$2:$A$140,0),0)</f>
        <v>BB</v>
      </c>
      <c r="H1226" t="s">
        <v>1434</v>
      </c>
      <c r="I1226" t="s">
        <v>1434</v>
      </c>
      <c r="J1226" s="2">
        <v>45407</v>
      </c>
      <c r="K1226" t="s">
        <v>2</v>
      </c>
      <c r="L1226" t="s">
        <v>1708</v>
      </c>
      <c r="M1226" t="s">
        <v>1709</v>
      </c>
      <c r="N1226" s="1"/>
      <c r="O1226" t="s">
        <v>4</v>
      </c>
      <c r="P1226" s="1">
        <v>0.14000000000000001</v>
      </c>
      <c r="Q1226" s="1" t="s">
        <v>1637</v>
      </c>
      <c r="R1226" t="s">
        <v>332</v>
      </c>
      <c r="S1226" t="s">
        <v>380</v>
      </c>
      <c r="T1226" t="s">
        <v>380</v>
      </c>
      <c r="U1226" s="1">
        <v>0.25</v>
      </c>
    </row>
    <row r="1227" spans="1:22" x14ac:dyDescent="0.3">
      <c r="A1227" t="s">
        <v>743</v>
      </c>
      <c r="B1227" t="str">
        <f ca="1">OFFSET(Industries!C$1,MATCH(Table1[[#This Row],[Ticker]],Industries!$A$2:$A$150,0),0)</f>
        <v>Consumer Discretionary</v>
      </c>
      <c r="C1227" t="str">
        <f ca="1">OFFSET(Industries!D$1,MATCH(Table1[[#This Row],[Ticker]],Industries!$A$2:$A$150,0),0)</f>
        <v>Consumer Services</v>
      </c>
      <c r="D1227" t="str">
        <f ca="1">OFFSET(Industries!E$1,MATCH(Table1[[#This Row],[Ticker]],Industries!$A$2:$A$150,0),0)</f>
        <v>Hotels, Restaurants and Leisure</v>
      </c>
      <c r="E1227" t="s">
        <v>559</v>
      </c>
      <c r="F1227" t="str">
        <f ca="1">OFFSET(Industries!B$1,MATCH(Table1[[#This Row],[Ticker]],Industries!$A$2:$A$140,0),0)</f>
        <v>Large-Cap</v>
      </c>
      <c r="G1227" t="str">
        <f ca="1">OFFSET(Industries!F$1,MATCH(Table1[[#This Row],[Ticker]],Industries!$A$2:$A$140,0),0)</f>
        <v>BB</v>
      </c>
      <c r="H1227" t="s">
        <v>1434</v>
      </c>
      <c r="I1227" t="s">
        <v>1434</v>
      </c>
      <c r="J1227" s="2">
        <v>45407</v>
      </c>
      <c r="K1227" t="s">
        <v>2</v>
      </c>
      <c r="L1227" t="s">
        <v>1708</v>
      </c>
      <c r="M1227" t="s">
        <v>1709</v>
      </c>
      <c r="N1227" s="1"/>
      <c r="O1227" t="s">
        <v>4</v>
      </c>
      <c r="P1227" s="1">
        <v>0.14000000000000001</v>
      </c>
      <c r="Q1227" s="1" t="s">
        <v>1636</v>
      </c>
      <c r="R1227" t="s">
        <v>23</v>
      </c>
      <c r="S1227" t="s">
        <v>1139</v>
      </c>
      <c r="T1227" t="s">
        <v>572</v>
      </c>
      <c r="U1227" s="1">
        <v>0.2</v>
      </c>
    </row>
    <row r="1228" spans="1:22" x14ac:dyDescent="0.3">
      <c r="A1228" t="s">
        <v>743</v>
      </c>
      <c r="B1228" t="str">
        <f ca="1">OFFSET(Industries!C$1,MATCH(Table1[[#This Row],[Ticker]],Industries!$A$2:$A$150,0),0)</f>
        <v>Consumer Discretionary</v>
      </c>
      <c r="C1228" t="str">
        <f ca="1">OFFSET(Industries!D$1,MATCH(Table1[[#This Row],[Ticker]],Industries!$A$2:$A$150,0),0)</f>
        <v>Consumer Services</v>
      </c>
      <c r="D1228" t="str">
        <f ca="1">OFFSET(Industries!E$1,MATCH(Table1[[#This Row],[Ticker]],Industries!$A$2:$A$150,0),0)</f>
        <v>Hotels, Restaurants and Leisure</v>
      </c>
      <c r="E1228" t="s">
        <v>559</v>
      </c>
      <c r="F1228" t="str">
        <f ca="1">OFFSET(Industries!B$1,MATCH(Table1[[#This Row],[Ticker]],Industries!$A$2:$A$140,0),0)</f>
        <v>Large-Cap</v>
      </c>
      <c r="G1228" t="str">
        <f ca="1">OFFSET(Industries!F$1,MATCH(Table1[[#This Row],[Ticker]],Industries!$A$2:$A$140,0),0)</f>
        <v>BB</v>
      </c>
      <c r="H1228" t="s">
        <v>1434</v>
      </c>
      <c r="I1228" t="s">
        <v>1434</v>
      </c>
      <c r="J1228" s="2">
        <v>45407</v>
      </c>
      <c r="K1228" t="s">
        <v>2</v>
      </c>
      <c r="L1228" t="s">
        <v>1708</v>
      </c>
      <c r="M1228" t="s">
        <v>1709</v>
      </c>
      <c r="N1228" s="1"/>
      <c r="O1228" t="s">
        <v>4</v>
      </c>
      <c r="P1228" s="1">
        <v>0.14000000000000001</v>
      </c>
      <c r="Q1228" s="1" t="s">
        <v>1636</v>
      </c>
      <c r="R1228" t="s">
        <v>23</v>
      </c>
      <c r="S1228" t="s">
        <v>1141</v>
      </c>
      <c r="T1228" t="s">
        <v>744</v>
      </c>
      <c r="U1228" s="1">
        <v>0.15</v>
      </c>
      <c r="V1228" t="s">
        <v>756</v>
      </c>
    </row>
    <row r="1229" spans="1:22" x14ac:dyDescent="0.3">
      <c r="A1229" t="s">
        <v>743</v>
      </c>
      <c r="B1229" t="str">
        <f ca="1">OFFSET(Industries!C$1,MATCH(Table1[[#This Row],[Ticker]],Industries!$A$2:$A$150,0),0)</f>
        <v>Consumer Discretionary</v>
      </c>
      <c r="C1229" t="str">
        <f ca="1">OFFSET(Industries!D$1,MATCH(Table1[[#This Row],[Ticker]],Industries!$A$2:$A$150,0),0)</f>
        <v>Consumer Services</v>
      </c>
      <c r="D1229" t="str">
        <f ca="1">OFFSET(Industries!E$1,MATCH(Table1[[#This Row],[Ticker]],Industries!$A$2:$A$150,0),0)</f>
        <v>Hotels, Restaurants and Leisure</v>
      </c>
      <c r="E1229" t="s">
        <v>559</v>
      </c>
      <c r="F1229" t="str">
        <f ca="1">OFFSET(Industries!B$1,MATCH(Table1[[#This Row],[Ticker]],Industries!$A$2:$A$140,0),0)</f>
        <v>Large-Cap</v>
      </c>
      <c r="G1229" t="str">
        <f ca="1">OFFSET(Industries!F$1,MATCH(Table1[[#This Row],[Ticker]],Industries!$A$2:$A$140,0),0)</f>
        <v>BB</v>
      </c>
      <c r="H1229" t="s">
        <v>1434</v>
      </c>
      <c r="I1229" t="s">
        <v>1434</v>
      </c>
      <c r="J1229" s="2">
        <v>45407</v>
      </c>
      <c r="K1229" t="s">
        <v>2</v>
      </c>
      <c r="L1229" t="s">
        <v>1708</v>
      </c>
      <c r="M1229" t="s">
        <v>1709</v>
      </c>
      <c r="N1229" s="1"/>
      <c r="O1229" t="s">
        <v>4</v>
      </c>
      <c r="P1229" s="1">
        <v>0.14000000000000001</v>
      </c>
      <c r="Q1229" s="1" t="s">
        <v>1636</v>
      </c>
      <c r="R1229" t="s">
        <v>24</v>
      </c>
      <c r="S1229" t="s">
        <v>1086</v>
      </c>
      <c r="T1229" t="s">
        <v>751</v>
      </c>
      <c r="U1229" s="1">
        <v>0.1</v>
      </c>
      <c r="V1229" t="s">
        <v>753</v>
      </c>
    </row>
    <row r="1230" spans="1:22" x14ac:dyDescent="0.3">
      <c r="A1230" t="s">
        <v>743</v>
      </c>
      <c r="B1230" t="str">
        <f ca="1">OFFSET(Industries!C$1,MATCH(Table1[[#This Row],[Ticker]],Industries!$A$2:$A$150,0),0)</f>
        <v>Consumer Discretionary</v>
      </c>
      <c r="C1230" t="str">
        <f ca="1">OFFSET(Industries!D$1,MATCH(Table1[[#This Row],[Ticker]],Industries!$A$2:$A$150,0),0)</f>
        <v>Consumer Services</v>
      </c>
      <c r="D1230" t="str">
        <f ca="1">OFFSET(Industries!E$1,MATCH(Table1[[#This Row],[Ticker]],Industries!$A$2:$A$150,0),0)</f>
        <v>Hotels, Restaurants and Leisure</v>
      </c>
      <c r="E1230" t="s">
        <v>559</v>
      </c>
      <c r="F1230" t="str">
        <f ca="1">OFFSET(Industries!B$1,MATCH(Table1[[#This Row],[Ticker]],Industries!$A$2:$A$140,0),0)</f>
        <v>Large-Cap</v>
      </c>
      <c r="G1230" t="str">
        <f ca="1">OFFSET(Industries!F$1,MATCH(Table1[[#This Row],[Ticker]],Industries!$A$2:$A$140,0),0)</f>
        <v>BB</v>
      </c>
      <c r="H1230" t="s">
        <v>1434</v>
      </c>
      <c r="I1230" t="s">
        <v>1434</v>
      </c>
      <c r="J1230" s="2">
        <v>45407</v>
      </c>
      <c r="K1230" t="s">
        <v>2</v>
      </c>
      <c r="L1230" t="s">
        <v>1708</v>
      </c>
      <c r="M1230" t="s">
        <v>1709</v>
      </c>
      <c r="N1230" s="1"/>
      <c r="O1230" t="s">
        <v>4</v>
      </c>
      <c r="P1230" s="1">
        <v>0.14000000000000001</v>
      </c>
      <c r="R1230" t="s">
        <v>28</v>
      </c>
      <c r="S1230" t="s">
        <v>1087</v>
      </c>
      <c r="T1230" t="s">
        <v>752</v>
      </c>
      <c r="V1230" t="s">
        <v>754</v>
      </c>
    </row>
    <row r="1231" spans="1:22" x14ac:dyDescent="0.3">
      <c r="A1231" t="s">
        <v>743</v>
      </c>
      <c r="B1231" t="str">
        <f ca="1">OFFSET(Industries!C$1,MATCH(Table1[[#This Row],[Ticker]],Industries!$A$2:$A$150,0),0)</f>
        <v>Consumer Discretionary</v>
      </c>
      <c r="C1231" t="str">
        <f ca="1">OFFSET(Industries!D$1,MATCH(Table1[[#This Row],[Ticker]],Industries!$A$2:$A$150,0),0)</f>
        <v>Consumer Services</v>
      </c>
      <c r="D1231" t="str">
        <f ca="1">OFFSET(Industries!E$1,MATCH(Table1[[#This Row],[Ticker]],Industries!$A$2:$A$150,0),0)</f>
        <v>Hotels, Restaurants and Leisure</v>
      </c>
      <c r="E1231" t="s">
        <v>559</v>
      </c>
      <c r="F1231" t="str">
        <f ca="1">OFFSET(Industries!B$1,MATCH(Table1[[#This Row],[Ticker]],Industries!$A$2:$A$140,0),0)</f>
        <v>Large-Cap</v>
      </c>
      <c r="G1231" t="str">
        <f ca="1">OFFSET(Industries!F$1,MATCH(Table1[[#This Row],[Ticker]],Industries!$A$2:$A$140,0),0)</f>
        <v>BB</v>
      </c>
      <c r="H1231" t="s">
        <v>1434</v>
      </c>
      <c r="I1231" t="s">
        <v>1434</v>
      </c>
      <c r="J1231" s="2">
        <v>45407</v>
      </c>
      <c r="K1231" t="s">
        <v>2</v>
      </c>
      <c r="L1231" t="s">
        <v>1708</v>
      </c>
      <c r="M1231" t="s">
        <v>1709</v>
      </c>
      <c r="N1231" s="1"/>
      <c r="O1231" t="s">
        <v>4</v>
      </c>
      <c r="P1231" s="1">
        <v>0.14000000000000001</v>
      </c>
      <c r="R1231" t="s">
        <v>28</v>
      </c>
      <c r="S1231" t="s">
        <v>1158</v>
      </c>
      <c r="T1231" t="s">
        <v>1158</v>
      </c>
      <c r="V1231" t="s">
        <v>754</v>
      </c>
    </row>
    <row r="1232" spans="1:22" x14ac:dyDescent="0.3">
      <c r="A1232" t="s">
        <v>743</v>
      </c>
      <c r="B1232" t="str">
        <f ca="1">OFFSET(Industries!C$1,MATCH(Table1[[#This Row],[Ticker]],Industries!$A$2:$A$150,0),0)</f>
        <v>Consumer Discretionary</v>
      </c>
      <c r="C1232" t="str">
        <f ca="1">OFFSET(Industries!D$1,MATCH(Table1[[#This Row],[Ticker]],Industries!$A$2:$A$150,0),0)</f>
        <v>Consumer Services</v>
      </c>
      <c r="D1232" t="str">
        <f ca="1">OFFSET(Industries!E$1,MATCH(Table1[[#This Row],[Ticker]],Industries!$A$2:$A$150,0),0)</f>
        <v>Hotels, Restaurants and Leisure</v>
      </c>
      <c r="E1232" t="s">
        <v>559</v>
      </c>
      <c r="F1232" t="str">
        <f ca="1">OFFSET(Industries!B$1,MATCH(Table1[[#This Row],[Ticker]],Industries!$A$2:$A$140,0),0)</f>
        <v>Large-Cap</v>
      </c>
      <c r="G1232" t="str">
        <f ca="1">OFFSET(Industries!F$1,MATCH(Table1[[#This Row],[Ticker]],Industries!$A$2:$A$140,0),0)</f>
        <v>BB</v>
      </c>
      <c r="H1232" t="s">
        <v>1434</v>
      </c>
      <c r="I1232" t="s">
        <v>1434</v>
      </c>
      <c r="J1232" s="2">
        <v>45407</v>
      </c>
      <c r="K1232" t="s">
        <v>2</v>
      </c>
      <c r="L1232" t="s">
        <v>1708</v>
      </c>
      <c r="M1232" t="s">
        <v>1709</v>
      </c>
      <c r="N1232" s="1"/>
      <c r="O1232" t="s">
        <v>4</v>
      </c>
      <c r="P1232" s="1">
        <v>0.14000000000000001</v>
      </c>
      <c r="R1232" t="s">
        <v>28</v>
      </c>
      <c r="S1232" t="s">
        <v>1113</v>
      </c>
      <c r="T1232" t="s">
        <v>8</v>
      </c>
      <c r="V1232" t="s">
        <v>755</v>
      </c>
    </row>
    <row r="1233" spans="1:22" x14ac:dyDescent="0.3">
      <c r="A1233" t="s">
        <v>743</v>
      </c>
      <c r="B1233" t="str">
        <f ca="1">OFFSET(Industries!C$1,MATCH(Table1[[#This Row],[Ticker]],Industries!$A$2:$A$150,0),0)</f>
        <v>Consumer Discretionary</v>
      </c>
      <c r="C1233" t="str">
        <f ca="1">OFFSET(Industries!D$1,MATCH(Table1[[#This Row],[Ticker]],Industries!$A$2:$A$150,0),0)</f>
        <v>Consumer Services</v>
      </c>
      <c r="D1233" t="str">
        <f ca="1">OFFSET(Industries!E$1,MATCH(Table1[[#This Row],[Ticker]],Industries!$A$2:$A$150,0),0)</f>
        <v>Hotels, Restaurants and Leisure</v>
      </c>
      <c r="E1233" t="s">
        <v>559</v>
      </c>
      <c r="F1233" t="str">
        <f ca="1">OFFSET(Industries!B$1,MATCH(Table1[[#This Row],[Ticker]],Industries!$A$2:$A$140,0),0)</f>
        <v>Large-Cap</v>
      </c>
      <c r="G1233" t="str">
        <f ca="1">OFFSET(Industries!F$1,MATCH(Table1[[#This Row],[Ticker]],Industries!$A$2:$A$140,0),0)</f>
        <v>BB</v>
      </c>
      <c r="H1233" t="s">
        <v>1434</v>
      </c>
      <c r="I1233" t="s">
        <v>1434</v>
      </c>
      <c r="J1233" s="2">
        <v>45407</v>
      </c>
      <c r="K1233" t="s">
        <v>2</v>
      </c>
      <c r="L1233" t="s">
        <v>1708</v>
      </c>
      <c r="M1233" t="s">
        <v>1709</v>
      </c>
      <c r="N1233" s="1"/>
      <c r="O1233" t="s">
        <v>4</v>
      </c>
      <c r="P1233" s="1">
        <v>0.14000000000000001</v>
      </c>
      <c r="R1233" t="s">
        <v>28</v>
      </c>
      <c r="S1233" t="s">
        <v>1110</v>
      </c>
      <c r="T1233" t="s">
        <v>172</v>
      </c>
      <c r="V1233" t="s">
        <v>367</v>
      </c>
    </row>
    <row r="1234" spans="1:22" x14ac:dyDescent="0.3">
      <c r="A1234" t="s">
        <v>743</v>
      </c>
      <c r="B1234" t="str">
        <f ca="1">OFFSET(Industries!C$1,MATCH(Table1[[#This Row],[Ticker]],Industries!$A$2:$A$150,0),0)</f>
        <v>Consumer Discretionary</v>
      </c>
      <c r="C1234" t="str">
        <f ca="1">OFFSET(Industries!D$1,MATCH(Table1[[#This Row],[Ticker]],Industries!$A$2:$A$150,0),0)</f>
        <v>Consumer Services</v>
      </c>
      <c r="D1234" t="str">
        <f ca="1">OFFSET(Industries!E$1,MATCH(Table1[[#This Row],[Ticker]],Industries!$A$2:$A$150,0),0)</f>
        <v>Hotels, Restaurants and Leisure</v>
      </c>
      <c r="E1234" t="s">
        <v>559</v>
      </c>
      <c r="F1234" t="str">
        <f ca="1">OFFSET(Industries!B$1,MATCH(Table1[[#This Row],[Ticker]],Industries!$A$2:$A$140,0),0)</f>
        <v>Large-Cap</v>
      </c>
      <c r="G1234" t="str">
        <f ca="1">OFFSET(Industries!F$1,MATCH(Table1[[#This Row],[Ticker]],Industries!$A$2:$A$140,0),0)</f>
        <v>BB</v>
      </c>
      <c r="H1234" t="s">
        <v>1434</v>
      </c>
      <c r="I1234" t="s">
        <v>1434</v>
      </c>
      <c r="J1234" s="2">
        <v>45407</v>
      </c>
      <c r="K1234" t="s">
        <v>2</v>
      </c>
      <c r="L1234" t="s">
        <v>1710</v>
      </c>
      <c r="M1234" t="s">
        <v>1709</v>
      </c>
      <c r="N1234" s="1">
        <f>Table1[[#This Row],[Consideration Weight]]</f>
        <v>0.65</v>
      </c>
      <c r="O1234" t="s">
        <v>476</v>
      </c>
      <c r="P1234" s="1">
        <v>0.65</v>
      </c>
      <c r="Q1234" s="1" t="s">
        <v>1646</v>
      </c>
      <c r="R1234" t="s">
        <v>35</v>
      </c>
      <c r="S1234" t="s">
        <v>29</v>
      </c>
      <c r="T1234" t="s">
        <v>30</v>
      </c>
      <c r="U1234" s="1">
        <v>1</v>
      </c>
      <c r="V1234" t="s">
        <v>580</v>
      </c>
    </row>
    <row r="1235" spans="1:22" x14ac:dyDescent="0.3">
      <c r="A1235" t="s">
        <v>743</v>
      </c>
      <c r="B1235" t="str">
        <f ca="1">OFFSET(Industries!C$1,MATCH(Table1[[#This Row],[Ticker]],Industries!$A$2:$A$150,0),0)</f>
        <v>Consumer Discretionary</v>
      </c>
      <c r="C1235" t="str">
        <f ca="1">OFFSET(Industries!D$1,MATCH(Table1[[#This Row],[Ticker]],Industries!$A$2:$A$150,0),0)</f>
        <v>Consumer Services</v>
      </c>
      <c r="D1235" t="str">
        <f ca="1">OFFSET(Industries!E$1,MATCH(Table1[[#This Row],[Ticker]],Industries!$A$2:$A$150,0),0)</f>
        <v>Hotels, Restaurants and Leisure</v>
      </c>
      <c r="E1235" t="s">
        <v>559</v>
      </c>
      <c r="F1235" t="str">
        <f ca="1">OFFSET(Industries!B$1,MATCH(Table1[[#This Row],[Ticker]],Industries!$A$2:$A$140,0),0)</f>
        <v>Large-Cap</v>
      </c>
      <c r="G1235" t="str">
        <f ca="1">OFFSET(Industries!F$1,MATCH(Table1[[#This Row],[Ticker]],Industries!$A$2:$A$140,0),0)</f>
        <v>BB</v>
      </c>
      <c r="H1235" t="s">
        <v>1434</v>
      </c>
      <c r="I1235" t="s">
        <v>1434</v>
      </c>
      <c r="J1235" s="2">
        <v>45407</v>
      </c>
      <c r="K1235" t="s">
        <v>2</v>
      </c>
      <c r="L1235" t="s">
        <v>1710</v>
      </c>
      <c r="M1235" t="s">
        <v>1709</v>
      </c>
      <c r="N1235" s="1"/>
      <c r="O1235" t="s">
        <v>476</v>
      </c>
      <c r="P1235" s="1">
        <v>0.65</v>
      </c>
      <c r="R1235" t="s">
        <v>28</v>
      </c>
      <c r="S1235" t="s">
        <v>1095</v>
      </c>
      <c r="T1235" t="s">
        <v>55</v>
      </c>
      <c r="V1235" t="s">
        <v>746</v>
      </c>
    </row>
    <row r="1236" spans="1:22" x14ac:dyDescent="0.3">
      <c r="A1236" t="s">
        <v>743</v>
      </c>
      <c r="B1236" t="str">
        <f ca="1">OFFSET(Industries!C$1,MATCH(Table1[[#This Row],[Ticker]],Industries!$A$2:$A$150,0),0)</f>
        <v>Consumer Discretionary</v>
      </c>
      <c r="C1236" t="str">
        <f ca="1">OFFSET(Industries!D$1,MATCH(Table1[[#This Row],[Ticker]],Industries!$A$2:$A$150,0),0)</f>
        <v>Consumer Services</v>
      </c>
      <c r="D1236" t="str">
        <f ca="1">OFFSET(Industries!E$1,MATCH(Table1[[#This Row],[Ticker]],Industries!$A$2:$A$150,0),0)</f>
        <v>Hotels, Restaurants and Leisure</v>
      </c>
      <c r="E1236" t="s">
        <v>559</v>
      </c>
      <c r="F1236" t="str">
        <f ca="1">OFFSET(Industries!B$1,MATCH(Table1[[#This Row],[Ticker]],Industries!$A$2:$A$140,0),0)</f>
        <v>Large-Cap</v>
      </c>
      <c r="G1236" t="str">
        <f ca="1">OFFSET(Industries!F$1,MATCH(Table1[[#This Row],[Ticker]],Industries!$A$2:$A$140,0),0)</f>
        <v>BB</v>
      </c>
      <c r="H1236" t="s">
        <v>1434</v>
      </c>
      <c r="I1236" t="s">
        <v>1434</v>
      </c>
      <c r="J1236" s="2">
        <v>45407</v>
      </c>
      <c r="K1236" t="s">
        <v>2</v>
      </c>
      <c r="L1236" t="s">
        <v>1710</v>
      </c>
      <c r="M1236" t="s">
        <v>1711</v>
      </c>
      <c r="N1236" s="1">
        <f>Table1[[#This Row],[Consideration Weight]]</f>
        <v>0.15</v>
      </c>
      <c r="O1236" t="s">
        <v>194</v>
      </c>
      <c r="P1236" s="1">
        <v>0.15</v>
      </c>
    </row>
    <row r="1237" spans="1:22" x14ac:dyDescent="0.3">
      <c r="A1237" t="s">
        <v>743</v>
      </c>
      <c r="B1237" t="str">
        <f ca="1">OFFSET(Industries!C$1,MATCH(Table1[[#This Row],[Ticker]],Industries!$A$2:$A$150,0),0)</f>
        <v>Consumer Discretionary</v>
      </c>
      <c r="C1237" t="str">
        <f ca="1">OFFSET(Industries!D$1,MATCH(Table1[[#This Row],[Ticker]],Industries!$A$2:$A$150,0),0)</f>
        <v>Consumer Services</v>
      </c>
      <c r="D1237" t="str">
        <f ca="1">OFFSET(Industries!E$1,MATCH(Table1[[#This Row],[Ticker]],Industries!$A$2:$A$150,0),0)</f>
        <v>Hotels, Restaurants and Leisure</v>
      </c>
      <c r="E1237" t="s">
        <v>559</v>
      </c>
      <c r="F1237" t="str">
        <f ca="1">OFFSET(Industries!B$1,MATCH(Table1[[#This Row],[Ticker]],Industries!$A$2:$A$140,0),0)</f>
        <v>Large-Cap</v>
      </c>
      <c r="G1237" t="str">
        <f ca="1">OFFSET(Industries!F$1,MATCH(Table1[[#This Row],[Ticker]],Industries!$A$2:$A$140,0),0)</f>
        <v>BB</v>
      </c>
      <c r="H1237" t="s">
        <v>1434</v>
      </c>
      <c r="I1237" t="s">
        <v>1434</v>
      </c>
      <c r="J1237" s="2">
        <v>45407</v>
      </c>
      <c r="K1237" t="s">
        <v>21</v>
      </c>
      <c r="L1237" t="s">
        <v>3</v>
      </c>
      <c r="M1237" t="s">
        <v>1711</v>
      </c>
      <c r="N1237" s="1">
        <f>Table1[[#This Row],[Consideration Weight]]</f>
        <v>0.1</v>
      </c>
      <c r="O1237" t="s">
        <v>3</v>
      </c>
      <c r="P1237" s="1">
        <v>0.1</v>
      </c>
      <c r="V1237" t="s">
        <v>747</v>
      </c>
    </row>
    <row r="1238" spans="1:22" x14ac:dyDescent="0.3">
      <c r="A1238" t="s">
        <v>743</v>
      </c>
      <c r="B1238" t="str">
        <f ca="1">OFFSET(Industries!C$1,MATCH(Table1[[#This Row],[Ticker]],Industries!$A$2:$A$150,0),0)</f>
        <v>Consumer Discretionary</v>
      </c>
      <c r="C1238" t="str">
        <f ca="1">OFFSET(Industries!D$1,MATCH(Table1[[#This Row],[Ticker]],Industries!$A$2:$A$150,0),0)</f>
        <v>Consumer Services</v>
      </c>
      <c r="D1238" t="str">
        <f ca="1">OFFSET(Industries!E$1,MATCH(Table1[[#This Row],[Ticker]],Industries!$A$2:$A$150,0),0)</f>
        <v>Hotels, Restaurants and Leisure</v>
      </c>
      <c r="E1238" t="s">
        <v>559</v>
      </c>
      <c r="F1238" t="str">
        <f ca="1">OFFSET(Industries!B$1,MATCH(Table1[[#This Row],[Ticker]],Industries!$A$2:$A$140,0),0)</f>
        <v>Large-Cap</v>
      </c>
      <c r="G1238" t="str">
        <f ca="1">OFFSET(Industries!F$1,MATCH(Table1[[#This Row],[Ticker]],Industries!$A$2:$A$140,0),0)</f>
        <v>BB</v>
      </c>
      <c r="H1238" t="s">
        <v>1434</v>
      </c>
      <c r="I1238" t="s">
        <v>1434</v>
      </c>
      <c r="J1238" s="2">
        <v>45407</v>
      </c>
      <c r="K1238" t="s">
        <v>21</v>
      </c>
      <c r="L1238" t="s">
        <v>1708</v>
      </c>
      <c r="M1238" t="s">
        <v>1709</v>
      </c>
      <c r="N1238" s="1">
        <f>Table1[[#This Row],[Consideration Weight]]</f>
        <v>0.13</v>
      </c>
      <c r="O1238" t="s">
        <v>4</v>
      </c>
      <c r="P1238" s="1">
        <v>0.13</v>
      </c>
      <c r="Q1238" s="1" t="s">
        <v>1636</v>
      </c>
      <c r="R1238" t="s">
        <v>24</v>
      </c>
      <c r="S1238" t="s">
        <v>90</v>
      </c>
      <c r="T1238" t="s">
        <v>8</v>
      </c>
      <c r="U1238" s="1">
        <v>0.31</v>
      </c>
    </row>
    <row r="1239" spans="1:22" x14ac:dyDescent="0.3">
      <c r="A1239" t="s">
        <v>743</v>
      </c>
      <c r="B1239" t="str">
        <f ca="1">OFFSET(Industries!C$1,MATCH(Table1[[#This Row],[Ticker]],Industries!$A$2:$A$150,0),0)</f>
        <v>Consumer Discretionary</v>
      </c>
      <c r="C1239" t="str">
        <f ca="1">OFFSET(Industries!D$1,MATCH(Table1[[#This Row],[Ticker]],Industries!$A$2:$A$150,0),0)</f>
        <v>Consumer Services</v>
      </c>
      <c r="D1239" t="str">
        <f ca="1">OFFSET(Industries!E$1,MATCH(Table1[[#This Row],[Ticker]],Industries!$A$2:$A$150,0),0)</f>
        <v>Hotels, Restaurants and Leisure</v>
      </c>
      <c r="E1239" t="s">
        <v>559</v>
      </c>
      <c r="F1239" t="str">
        <f ca="1">OFFSET(Industries!B$1,MATCH(Table1[[#This Row],[Ticker]],Industries!$A$2:$A$140,0),0)</f>
        <v>Large-Cap</v>
      </c>
      <c r="G1239" t="str">
        <f ca="1">OFFSET(Industries!F$1,MATCH(Table1[[#This Row],[Ticker]],Industries!$A$2:$A$140,0),0)</f>
        <v>BB</v>
      </c>
      <c r="H1239" t="s">
        <v>1434</v>
      </c>
      <c r="I1239" t="s">
        <v>1434</v>
      </c>
      <c r="J1239" s="2">
        <v>45407</v>
      </c>
      <c r="K1239" t="s">
        <v>21</v>
      </c>
      <c r="L1239" t="s">
        <v>1708</v>
      </c>
      <c r="M1239" t="s">
        <v>1709</v>
      </c>
      <c r="N1239" s="1"/>
      <c r="O1239" t="s">
        <v>4</v>
      </c>
      <c r="P1239" s="1">
        <v>0.13</v>
      </c>
      <c r="Q1239" s="1" t="s">
        <v>1637</v>
      </c>
      <c r="R1239" t="s">
        <v>332</v>
      </c>
      <c r="S1239" t="s">
        <v>380</v>
      </c>
      <c r="T1239" t="s">
        <v>380</v>
      </c>
      <c r="U1239" s="1">
        <v>0.25</v>
      </c>
      <c r="V1239" t="s">
        <v>748</v>
      </c>
    </row>
    <row r="1240" spans="1:22" x14ac:dyDescent="0.3">
      <c r="A1240" t="s">
        <v>743</v>
      </c>
      <c r="B1240" t="str">
        <f ca="1">OFFSET(Industries!C$1,MATCH(Table1[[#This Row],[Ticker]],Industries!$A$2:$A$150,0),0)</f>
        <v>Consumer Discretionary</v>
      </c>
      <c r="C1240" t="str">
        <f ca="1">OFFSET(Industries!D$1,MATCH(Table1[[#This Row],[Ticker]],Industries!$A$2:$A$150,0),0)</f>
        <v>Consumer Services</v>
      </c>
      <c r="D1240" t="str">
        <f ca="1">OFFSET(Industries!E$1,MATCH(Table1[[#This Row],[Ticker]],Industries!$A$2:$A$150,0),0)</f>
        <v>Hotels, Restaurants and Leisure</v>
      </c>
      <c r="E1240" t="s">
        <v>559</v>
      </c>
      <c r="F1240" t="str">
        <f ca="1">OFFSET(Industries!B$1,MATCH(Table1[[#This Row],[Ticker]],Industries!$A$2:$A$140,0),0)</f>
        <v>Large-Cap</v>
      </c>
      <c r="G1240" t="str">
        <f ca="1">OFFSET(Industries!F$1,MATCH(Table1[[#This Row],[Ticker]],Industries!$A$2:$A$140,0),0)</f>
        <v>BB</v>
      </c>
      <c r="H1240" t="s">
        <v>1434</v>
      </c>
      <c r="I1240" t="s">
        <v>1434</v>
      </c>
      <c r="J1240" s="2">
        <v>45407</v>
      </c>
      <c r="K1240" t="s">
        <v>21</v>
      </c>
      <c r="L1240" t="s">
        <v>1708</v>
      </c>
      <c r="M1240" t="s">
        <v>1709</v>
      </c>
      <c r="N1240" s="1"/>
      <c r="O1240" t="s">
        <v>4</v>
      </c>
      <c r="P1240" s="1">
        <v>0.13</v>
      </c>
      <c r="Q1240" s="1" t="s">
        <v>1636</v>
      </c>
      <c r="R1240" t="s">
        <v>23</v>
      </c>
      <c r="S1240" t="s">
        <v>1139</v>
      </c>
      <c r="T1240" t="s">
        <v>572</v>
      </c>
      <c r="U1240" s="1">
        <v>0.21</v>
      </c>
      <c r="V1240" t="s">
        <v>748</v>
      </c>
    </row>
    <row r="1241" spans="1:22" x14ac:dyDescent="0.3">
      <c r="A1241" t="s">
        <v>743</v>
      </c>
      <c r="B1241" t="str">
        <f ca="1">OFFSET(Industries!C$1,MATCH(Table1[[#This Row],[Ticker]],Industries!$A$2:$A$150,0),0)</f>
        <v>Consumer Discretionary</v>
      </c>
      <c r="C1241" t="str">
        <f ca="1">OFFSET(Industries!D$1,MATCH(Table1[[#This Row],[Ticker]],Industries!$A$2:$A$150,0),0)</f>
        <v>Consumer Services</v>
      </c>
      <c r="D1241" t="str">
        <f ca="1">OFFSET(Industries!E$1,MATCH(Table1[[#This Row],[Ticker]],Industries!$A$2:$A$150,0),0)</f>
        <v>Hotels, Restaurants and Leisure</v>
      </c>
      <c r="E1241" t="s">
        <v>559</v>
      </c>
      <c r="F1241" t="str">
        <f ca="1">OFFSET(Industries!B$1,MATCH(Table1[[#This Row],[Ticker]],Industries!$A$2:$A$140,0),0)</f>
        <v>Large-Cap</v>
      </c>
      <c r="G1241" t="str">
        <f ca="1">OFFSET(Industries!F$1,MATCH(Table1[[#This Row],[Ticker]],Industries!$A$2:$A$140,0),0)</f>
        <v>BB</v>
      </c>
      <c r="H1241" t="s">
        <v>1434</v>
      </c>
      <c r="I1241" t="s">
        <v>1434</v>
      </c>
      <c r="J1241" s="2">
        <v>45407</v>
      </c>
      <c r="K1241" t="s">
        <v>21</v>
      </c>
      <c r="L1241" t="s">
        <v>1708</v>
      </c>
      <c r="M1241" t="s">
        <v>1709</v>
      </c>
      <c r="N1241" s="1"/>
      <c r="O1241" t="s">
        <v>4</v>
      </c>
      <c r="P1241" s="1">
        <v>0.13</v>
      </c>
      <c r="Q1241" s="1" t="s">
        <v>1636</v>
      </c>
      <c r="R1241" t="s">
        <v>23</v>
      </c>
      <c r="S1241" t="s">
        <v>1141</v>
      </c>
      <c r="T1241" t="s">
        <v>744</v>
      </c>
      <c r="U1241" s="1">
        <v>0.15</v>
      </c>
      <c r="V1241" t="s">
        <v>748</v>
      </c>
    </row>
    <row r="1242" spans="1:22" x14ac:dyDescent="0.3">
      <c r="A1242" t="s">
        <v>743</v>
      </c>
      <c r="B1242" t="str">
        <f ca="1">OFFSET(Industries!C$1,MATCH(Table1[[#This Row],[Ticker]],Industries!$A$2:$A$150,0),0)</f>
        <v>Consumer Discretionary</v>
      </c>
      <c r="C1242" t="str">
        <f ca="1">OFFSET(Industries!D$1,MATCH(Table1[[#This Row],[Ticker]],Industries!$A$2:$A$150,0),0)</f>
        <v>Consumer Services</v>
      </c>
      <c r="D1242" t="str">
        <f ca="1">OFFSET(Industries!E$1,MATCH(Table1[[#This Row],[Ticker]],Industries!$A$2:$A$150,0),0)</f>
        <v>Hotels, Restaurants and Leisure</v>
      </c>
      <c r="E1242" t="s">
        <v>559</v>
      </c>
      <c r="F1242" t="str">
        <f ca="1">OFFSET(Industries!B$1,MATCH(Table1[[#This Row],[Ticker]],Industries!$A$2:$A$140,0),0)</f>
        <v>Large-Cap</v>
      </c>
      <c r="G1242" t="str">
        <f ca="1">OFFSET(Industries!F$1,MATCH(Table1[[#This Row],[Ticker]],Industries!$A$2:$A$140,0),0)</f>
        <v>BB</v>
      </c>
      <c r="H1242" t="s">
        <v>1434</v>
      </c>
      <c r="I1242" t="s">
        <v>1434</v>
      </c>
      <c r="J1242" s="2">
        <v>45407</v>
      </c>
      <c r="K1242" t="s">
        <v>21</v>
      </c>
      <c r="L1242" t="s">
        <v>1708</v>
      </c>
      <c r="M1242" t="s">
        <v>1709</v>
      </c>
      <c r="N1242" s="1"/>
      <c r="O1242" t="s">
        <v>4</v>
      </c>
      <c r="P1242" s="1">
        <v>0.13</v>
      </c>
      <c r="Q1242" s="1" t="s">
        <v>1636</v>
      </c>
      <c r="R1242" t="s">
        <v>24</v>
      </c>
      <c r="S1242" t="s">
        <v>1086</v>
      </c>
      <c r="T1242" t="s">
        <v>751</v>
      </c>
      <c r="U1242" s="1">
        <v>0.08</v>
      </c>
    </row>
    <row r="1243" spans="1:22" x14ac:dyDescent="0.3">
      <c r="A1243" t="s">
        <v>743</v>
      </c>
      <c r="B1243" t="str">
        <f ca="1">OFFSET(Industries!C$1,MATCH(Table1[[#This Row],[Ticker]],Industries!$A$2:$A$150,0),0)</f>
        <v>Consumer Discretionary</v>
      </c>
      <c r="C1243" t="str">
        <f ca="1">OFFSET(Industries!D$1,MATCH(Table1[[#This Row],[Ticker]],Industries!$A$2:$A$150,0),0)</f>
        <v>Consumer Services</v>
      </c>
      <c r="D1243" t="str">
        <f ca="1">OFFSET(Industries!E$1,MATCH(Table1[[#This Row],[Ticker]],Industries!$A$2:$A$150,0),0)</f>
        <v>Hotels, Restaurants and Leisure</v>
      </c>
      <c r="E1243" t="s">
        <v>559</v>
      </c>
      <c r="F1243" t="str">
        <f ca="1">OFFSET(Industries!B$1,MATCH(Table1[[#This Row],[Ticker]],Industries!$A$2:$A$140,0),0)</f>
        <v>Large-Cap</v>
      </c>
      <c r="G1243" t="str">
        <f ca="1">OFFSET(Industries!F$1,MATCH(Table1[[#This Row],[Ticker]],Industries!$A$2:$A$140,0),0)</f>
        <v>BB</v>
      </c>
      <c r="H1243" t="s">
        <v>1434</v>
      </c>
      <c r="I1243" t="s">
        <v>1434</v>
      </c>
      <c r="J1243" s="2">
        <v>45407</v>
      </c>
      <c r="K1243" t="s">
        <v>21</v>
      </c>
      <c r="L1243" t="s">
        <v>1708</v>
      </c>
      <c r="M1243" t="s">
        <v>1709</v>
      </c>
      <c r="N1243" s="1"/>
      <c r="O1243" t="s">
        <v>4</v>
      </c>
      <c r="P1243" s="1">
        <v>0.13</v>
      </c>
      <c r="R1243" t="s">
        <v>28</v>
      </c>
      <c r="S1243" t="s">
        <v>1087</v>
      </c>
      <c r="T1243" t="s">
        <v>752</v>
      </c>
    </row>
    <row r="1244" spans="1:22" x14ac:dyDescent="0.3">
      <c r="A1244" t="s">
        <v>743</v>
      </c>
      <c r="B1244" t="str">
        <f ca="1">OFFSET(Industries!C$1,MATCH(Table1[[#This Row],[Ticker]],Industries!$A$2:$A$150,0),0)</f>
        <v>Consumer Discretionary</v>
      </c>
      <c r="C1244" t="str">
        <f ca="1">OFFSET(Industries!D$1,MATCH(Table1[[#This Row],[Ticker]],Industries!$A$2:$A$150,0),0)</f>
        <v>Consumer Services</v>
      </c>
      <c r="D1244" t="str">
        <f ca="1">OFFSET(Industries!E$1,MATCH(Table1[[#This Row],[Ticker]],Industries!$A$2:$A$150,0),0)</f>
        <v>Hotels, Restaurants and Leisure</v>
      </c>
      <c r="E1244" t="s">
        <v>559</v>
      </c>
      <c r="F1244" t="str">
        <f ca="1">OFFSET(Industries!B$1,MATCH(Table1[[#This Row],[Ticker]],Industries!$A$2:$A$140,0),0)</f>
        <v>Large-Cap</v>
      </c>
      <c r="G1244" t="str">
        <f ca="1">OFFSET(Industries!F$1,MATCH(Table1[[#This Row],[Ticker]],Industries!$A$2:$A$140,0),0)</f>
        <v>BB</v>
      </c>
      <c r="H1244" t="s">
        <v>1434</v>
      </c>
      <c r="I1244" t="s">
        <v>1434</v>
      </c>
      <c r="J1244" s="2">
        <v>45407</v>
      </c>
      <c r="K1244" t="s">
        <v>21</v>
      </c>
      <c r="L1244" t="s">
        <v>1708</v>
      </c>
      <c r="M1244" t="s">
        <v>1709</v>
      </c>
      <c r="N1244" s="1"/>
      <c r="O1244" t="s">
        <v>4</v>
      </c>
      <c r="P1244" s="1">
        <v>0.13</v>
      </c>
      <c r="R1244" t="s">
        <v>28</v>
      </c>
      <c r="S1244" t="s">
        <v>1158</v>
      </c>
      <c r="T1244" t="s">
        <v>1158</v>
      </c>
    </row>
    <row r="1245" spans="1:22" x14ac:dyDescent="0.3">
      <c r="A1245" t="s">
        <v>743</v>
      </c>
      <c r="B1245" t="str">
        <f ca="1">OFFSET(Industries!C$1,MATCH(Table1[[#This Row],[Ticker]],Industries!$A$2:$A$150,0),0)</f>
        <v>Consumer Discretionary</v>
      </c>
      <c r="C1245" t="str">
        <f ca="1">OFFSET(Industries!D$1,MATCH(Table1[[#This Row],[Ticker]],Industries!$A$2:$A$150,0),0)</f>
        <v>Consumer Services</v>
      </c>
      <c r="D1245" t="str">
        <f ca="1">OFFSET(Industries!E$1,MATCH(Table1[[#This Row],[Ticker]],Industries!$A$2:$A$150,0),0)</f>
        <v>Hotels, Restaurants and Leisure</v>
      </c>
      <c r="E1245" t="s">
        <v>559</v>
      </c>
      <c r="F1245" t="str">
        <f ca="1">OFFSET(Industries!B$1,MATCH(Table1[[#This Row],[Ticker]],Industries!$A$2:$A$140,0),0)</f>
        <v>Large-Cap</v>
      </c>
      <c r="G1245" t="str">
        <f ca="1">OFFSET(Industries!F$1,MATCH(Table1[[#This Row],[Ticker]],Industries!$A$2:$A$140,0),0)</f>
        <v>BB</v>
      </c>
      <c r="H1245" t="s">
        <v>1434</v>
      </c>
      <c r="I1245" t="s">
        <v>1434</v>
      </c>
      <c r="J1245" s="2">
        <v>45407</v>
      </c>
      <c r="K1245" t="s">
        <v>21</v>
      </c>
      <c r="L1245" t="s">
        <v>1708</v>
      </c>
      <c r="M1245" t="s">
        <v>1709</v>
      </c>
      <c r="N1245" s="1"/>
      <c r="O1245" t="s">
        <v>4</v>
      </c>
      <c r="P1245" s="1">
        <v>0.13</v>
      </c>
      <c r="R1245" t="s">
        <v>28</v>
      </c>
      <c r="S1245" t="s">
        <v>1113</v>
      </c>
      <c r="T1245" t="s">
        <v>8</v>
      </c>
    </row>
    <row r="1246" spans="1:22" x14ac:dyDescent="0.3">
      <c r="A1246" t="s">
        <v>743</v>
      </c>
      <c r="B1246" t="str">
        <f ca="1">OFFSET(Industries!C$1,MATCH(Table1[[#This Row],[Ticker]],Industries!$A$2:$A$150,0),0)</f>
        <v>Consumer Discretionary</v>
      </c>
      <c r="C1246" t="str">
        <f ca="1">OFFSET(Industries!D$1,MATCH(Table1[[#This Row],[Ticker]],Industries!$A$2:$A$150,0),0)</f>
        <v>Consumer Services</v>
      </c>
      <c r="D1246" t="str">
        <f ca="1">OFFSET(Industries!E$1,MATCH(Table1[[#This Row],[Ticker]],Industries!$A$2:$A$150,0),0)</f>
        <v>Hotels, Restaurants and Leisure</v>
      </c>
      <c r="E1246" t="s">
        <v>559</v>
      </c>
      <c r="F1246" t="str">
        <f ca="1">OFFSET(Industries!B$1,MATCH(Table1[[#This Row],[Ticker]],Industries!$A$2:$A$140,0),0)</f>
        <v>Large-Cap</v>
      </c>
      <c r="G1246" t="str">
        <f ca="1">OFFSET(Industries!F$1,MATCH(Table1[[#This Row],[Ticker]],Industries!$A$2:$A$140,0),0)</f>
        <v>BB</v>
      </c>
      <c r="H1246" t="s">
        <v>1434</v>
      </c>
      <c r="I1246" t="s">
        <v>1434</v>
      </c>
      <c r="J1246" s="2">
        <v>45407</v>
      </c>
      <c r="K1246" t="s">
        <v>21</v>
      </c>
      <c r="L1246" t="s">
        <v>1708</v>
      </c>
      <c r="M1246" t="s">
        <v>1709</v>
      </c>
      <c r="N1246" s="1"/>
      <c r="O1246" t="s">
        <v>4</v>
      </c>
      <c r="P1246" s="1">
        <v>0.13</v>
      </c>
      <c r="R1246" t="s">
        <v>28</v>
      </c>
      <c r="S1246" t="s">
        <v>1110</v>
      </c>
      <c r="T1246" t="s">
        <v>172</v>
      </c>
    </row>
    <row r="1247" spans="1:22" x14ac:dyDescent="0.3">
      <c r="A1247" t="s">
        <v>743</v>
      </c>
      <c r="B1247" t="str">
        <f ca="1">OFFSET(Industries!C$1,MATCH(Table1[[#This Row],[Ticker]],Industries!$A$2:$A$150,0),0)</f>
        <v>Consumer Discretionary</v>
      </c>
      <c r="C1247" t="str">
        <f ca="1">OFFSET(Industries!D$1,MATCH(Table1[[#This Row],[Ticker]],Industries!$A$2:$A$150,0),0)</f>
        <v>Consumer Services</v>
      </c>
      <c r="D1247" t="str">
        <f ca="1">OFFSET(Industries!E$1,MATCH(Table1[[#This Row],[Ticker]],Industries!$A$2:$A$150,0),0)</f>
        <v>Hotels, Restaurants and Leisure</v>
      </c>
      <c r="E1247" t="s">
        <v>559</v>
      </c>
      <c r="F1247" t="str">
        <f ca="1">OFFSET(Industries!B$1,MATCH(Table1[[#This Row],[Ticker]],Industries!$A$2:$A$140,0),0)</f>
        <v>Large-Cap</v>
      </c>
      <c r="G1247" t="str">
        <f ca="1">OFFSET(Industries!F$1,MATCH(Table1[[#This Row],[Ticker]],Industries!$A$2:$A$140,0),0)</f>
        <v>BB</v>
      </c>
      <c r="H1247" t="s">
        <v>1434</v>
      </c>
      <c r="I1247" t="s">
        <v>1434</v>
      </c>
      <c r="J1247" s="2">
        <v>45407</v>
      </c>
      <c r="K1247" t="s">
        <v>21</v>
      </c>
      <c r="L1247" t="s">
        <v>1710</v>
      </c>
      <c r="M1247" t="s">
        <v>1709</v>
      </c>
      <c r="N1247" s="1">
        <f>Table1[[#This Row],[Consideration Weight]]</f>
        <v>0.62</v>
      </c>
      <c r="O1247" t="s">
        <v>476</v>
      </c>
      <c r="P1247" s="1">
        <v>0.62</v>
      </c>
      <c r="R1247" t="s">
        <v>35</v>
      </c>
      <c r="S1247" t="s">
        <v>29</v>
      </c>
      <c r="T1247" t="s">
        <v>30</v>
      </c>
      <c r="U1247" s="1">
        <v>1</v>
      </c>
    </row>
    <row r="1248" spans="1:22" x14ac:dyDescent="0.3">
      <c r="A1248" t="s">
        <v>743</v>
      </c>
      <c r="B1248" t="str">
        <f ca="1">OFFSET(Industries!C$1,MATCH(Table1[[#This Row],[Ticker]],Industries!$A$2:$A$150,0),0)</f>
        <v>Consumer Discretionary</v>
      </c>
      <c r="C1248" t="str">
        <f ca="1">OFFSET(Industries!D$1,MATCH(Table1[[#This Row],[Ticker]],Industries!$A$2:$A$150,0),0)</f>
        <v>Consumer Services</v>
      </c>
      <c r="D1248" t="str">
        <f ca="1">OFFSET(Industries!E$1,MATCH(Table1[[#This Row],[Ticker]],Industries!$A$2:$A$150,0),0)</f>
        <v>Hotels, Restaurants and Leisure</v>
      </c>
      <c r="E1248" t="s">
        <v>559</v>
      </c>
      <c r="F1248" t="str">
        <f ca="1">OFFSET(Industries!B$1,MATCH(Table1[[#This Row],[Ticker]],Industries!$A$2:$A$140,0),0)</f>
        <v>Large-Cap</v>
      </c>
      <c r="G1248" t="str">
        <f ca="1">OFFSET(Industries!F$1,MATCH(Table1[[#This Row],[Ticker]],Industries!$A$2:$A$140,0),0)</f>
        <v>BB</v>
      </c>
      <c r="H1248" t="s">
        <v>1434</v>
      </c>
      <c r="I1248" t="s">
        <v>1434</v>
      </c>
      <c r="J1248" s="2">
        <v>45407</v>
      </c>
      <c r="K1248" t="s">
        <v>21</v>
      </c>
      <c r="L1248" t="s">
        <v>1710</v>
      </c>
      <c r="M1248" t="s">
        <v>1709</v>
      </c>
      <c r="N1248" s="1"/>
      <c r="O1248" t="s">
        <v>476</v>
      </c>
      <c r="P1248" s="1">
        <v>0.62</v>
      </c>
      <c r="R1248" t="s">
        <v>28</v>
      </c>
      <c r="S1248" t="s">
        <v>1095</v>
      </c>
      <c r="T1248" t="s">
        <v>55</v>
      </c>
      <c r="V1248" t="s">
        <v>749</v>
      </c>
    </row>
    <row r="1249" spans="1:22" x14ac:dyDescent="0.3">
      <c r="A1249" t="s">
        <v>743</v>
      </c>
      <c r="B1249" t="str">
        <f ca="1">OFFSET(Industries!C$1,MATCH(Table1[[#This Row],[Ticker]],Industries!$A$2:$A$150,0),0)</f>
        <v>Consumer Discretionary</v>
      </c>
      <c r="C1249" t="str">
        <f ca="1">OFFSET(Industries!D$1,MATCH(Table1[[#This Row],[Ticker]],Industries!$A$2:$A$150,0),0)</f>
        <v>Consumer Services</v>
      </c>
      <c r="D1249" t="str">
        <f ca="1">OFFSET(Industries!E$1,MATCH(Table1[[#This Row],[Ticker]],Industries!$A$2:$A$150,0),0)</f>
        <v>Hotels, Restaurants and Leisure</v>
      </c>
      <c r="E1249" t="s">
        <v>559</v>
      </c>
      <c r="F1249" t="str">
        <f ca="1">OFFSET(Industries!B$1,MATCH(Table1[[#This Row],[Ticker]],Industries!$A$2:$A$140,0),0)</f>
        <v>Large-Cap</v>
      </c>
      <c r="G1249" t="str">
        <f ca="1">OFFSET(Industries!F$1,MATCH(Table1[[#This Row],[Ticker]],Industries!$A$2:$A$140,0),0)</f>
        <v>BB</v>
      </c>
      <c r="H1249" t="s">
        <v>1434</v>
      </c>
      <c r="I1249" t="s">
        <v>1434</v>
      </c>
      <c r="J1249" s="2">
        <v>45407</v>
      </c>
      <c r="K1249" t="s">
        <v>21</v>
      </c>
      <c r="L1249" t="s">
        <v>1710</v>
      </c>
      <c r="M1249" t="s">
        <v>1711</v>
      </c>
      <c r="N1249" s="1">
        <f>Table1[[#This Row],[Consideration Weight]]</f>
        <v>0.15</v>
      </c>
      <c r="O1249" t="s">
        <v>194</v>
      </c>
      <c r="P1249" s="1">
        <v>0.15</v>
      </c>
    </row>
    <row r="1250" spans="1:22" x14ac:dyDescent="0.3">
      <c r="A1250" t="s">
        <v>757</v>
      </c>
      <c r="B1250" t="str">
        <f ca="1">OFFSET(Industries!C$1,MATCH(Table1[[#This Row],[Ticker]],Industries!$A$2:$A$150,0),0)</f>
        <v>Industrials</v>
      </c>
      <c r="C1250" t="str">
        <f ca="1">OFFSET(Industries!D$1,MATCH(Table1[[#This Row],[Ticker]],Industries!$A$2:$A$150,0),0)</f>
        <v>Machinery</v>
      </c>
      <c r="D1250" t="str">
        <f ca="1">OFFSET(Industries!E$1,MATCH(Table1[[#This Row],[Ticker]],Industries!$A$2:$A$150,0),0)</f>
        <v>Industrial Machinery and Supplies and Components</v>
      </c>
      <c r="E1250" t="s">
        <v>158</v>
      </c>
      <c r="F1250" t="str">
        <f ca="1">OFFSET(Industries!B$1,MATCH(Table1[[#This Row],[Ticker]],Industries!$A$2:$A$140,0),0)</f>
        <v>Ultra-Cap</v>
      </c>
      <c r="G1250" t="str">
        <f ca="1">OFFSET(Industries!F$1,MATCH(Table1[[#This Row],[Ticker]],Industries!$A$2:$A$140,0),0)</f>
        <v>BBB</v>
      </c>
      <c r="H1250" t="s">
        <v>1434</v>
      </c>
      <c r="I1250" t="s">
        <v>1434</v>
      </c>
      <c r="J1250" s="2">
        <v>45408</v>
      </c>
      <c r="K1250" t="s">
        <v>2</v>
      </c>
      <c r="L1250" t="s">
        <v>3</v>
      </c>
      <c r="M1250" t="s">
        <v>1711</v>
      </c>
      <c r="N1250" s="1">
        <f>Table1[[#This Row],[Consideration Weight]]</f>
        <v>0.12</v>
      </c>
      <c r="O1250" t="s">
        <v>3</v>
      </c>
      <c r="P1250" s="1">
        <v>0.12</v>
      </c>
      <c r="V1250" t="s">
        <v>758</v>
      </c>
    </row>
    <row r="1251" spans="1:22" x14ac:dyDescent="0.3">
      <c r="A1251" t="s">
        <v>757</v>
      </c>
      <c r="B1251" t="str">
        <f ca="1">OFFSET(Industries!C$1,MATCH(Table1[[#This Row],[Ticker]],Industries!$A$2:$A$150,0),0)</f>
        <v>Industrials</v>
      </c>
      <c r="C1251" t="str">
        <f ca="1">OFFSET(Industries!D$1,MATCH(Table1[[#This Row],[Ticker]],Industries!$A$2:$A$150,0),0)</f>
        <v>Machinery</v>
      </c>
      <c r="D1251" t="str">
        <f ca="1">OFFSET(Industries!E$1,MATCH(Table1[[#This Row],[Ticker]],Industries!$A$2:$A$150,0),0)</f>
        <v>Industrial Machinery and Supplies and Components</v>
      </c>
      <c r="E1251" t="s">
        <v>158</v>
      </c>
      <c r="F1251" t="str">
        <f ca="1">OFFSET(Industries!B$1,MATCH(Table1[[#This Row],[Ticker]],Industries!$A$2:$A$140,0),0)</f>
        <v>Ultra-Cap</v>
      </c>
      <c r="G1251" t="str">
        <f ca="1">OFFSET(Industries!F$1,MATCH(Table1[[#This Row],[Ticker]],Industries!$A$2:$A$140,0),0)</f>
        <v>BBB</v>
      </c>
      <c r="H1251" t="s">
        <v>1434</v>
      </c>
      <c r="I1251" t="s">
        <v>1434</v>
      </c>
      <c r="J1251" s="2">
        <v>45408</v>
      </c>
      <c r="K1251" t="s">
        <v>2</v>
      </c>
      <c r="L1251" t="s">
        <v>1708</v>
      </c>
      <c r="M1251" t="s">
        <v>1709</v>
      </c>
      <c r="N1251" s="1">
        <f>Table1[[#This Row],[Consideration Weight]]</f>
        <v>0.17</v>
      </c>
      <c r="O1251" t="s">
        <v>4</v>
      </c>
      <c r="P1251" s="1">
        <v>0.17</v>
      </c>
      <c r="Q1251" s="1" t="s">
        <v>1636</v>
      </c>
      <c r="R1251" t="s">
        <v>24</v>
      </c>
      <c r="S1251" t="s">
        <v>1089</v>
      </c>
      <c r="T1251" t="s">
        <v>50</v>
      </c>
      <c r="U1251" s="1">
        <v>0.75</v>
      </c>
    </row>
    <row r="1252" spans="1:22" x14ac:dyDescent="0.3">
      <c r="A1252" t="s">
        <v>757</v>
      </c>
      <c r="B1252" t="str">
        <f ca="1">OFFSET(Industries!C$1,MATCH(Table1[[#This Row],[Ticker]],Industries!$A$2:$A$150,0),0)</f>
        <v>Industrials</v>
      </c>
      <c r="C1252" t="str">
        <f ca="1">OFFSET(Industries!D$1,MATCH(Table1[[#This Row],[Ticker]],Industries!$A$2:$A$150,0),0)</f>
        <v>Machinery</v>
      </c>
      <c r="D1252" t="str">
        <f ca="1">OFFSET(Industries!E$1,MATCH(Table1[[#This Row],[Ticker]],Industries!$A$2:$A$150,0),0)</f>
        <v>Industrial Machinery and Supplies and Components</v>
      </c>
      <c r="E1252" t="s">
        <v>158</v>
      </c>
      <c r="F1252" t="str">
        <f ca="1">OFFSET(Industries!B$1,MATCH(Table1[[#This Row],[Ticker]],Industries!$A$2:$A$140,0),0)</f>
        <v>Ultra-Cap</v>
      </c>
      <c r="G1252" t="str">
        <f ca="1">OFFSET(Industries!F$1,MATCH(Table1[[#This Row],[Ticker]],Industries!$A$2:$A$140,0),0)</f>
        <v>BBB</v>
      </c>
      <c r="H1252" t="s">
        <v>1434</v>
      </c>
      <c r="I1252" t="s">
        <v>1434</v>
      </c>
      <c r="J1252" s="2">
        <v>45408</v>
      </c>
      <c r="K1252" t="s">
        <v>2</v>
      </c>
      <c r="L1252" t="s">
        <v>1708</v>
      </c>
      <c r="M1252" t="s">
        <v>1709</v>
      </c>
      <c r="N1252" s="1"/>
      <c r="O1252" t="s">
        <v>4</v>
      </c>
      <c r="P1252" s="1">
        <v>0.17</v>
      </c>
      <c r="Q1252" s="1" t="s">
        <v>1636</v>
      </c>
      <c r="R1252" t="s">
        <v>62</v>
      </c>
      <c r="S1252" t="s">
        <v>129</v>
      </c>
      <c r="T1252" t="s">
        <v>129</v>
      </c>
      <c r="U1252" s="1">
        <v>0.25</v>
      </c>
      <c r="V1252" t="s">
        <v>759</v>
      </c>
    </row>
    <row r="1253" spans="1:22" x14ac:dyDescent="0.3">
      <c r="A1253" t="s">
        <v>757</v>
      </c>
      <c r="B1253" t="str">
        <f ca="1">OFFSET(Industries!C$1,MATCH(Table1[[#This Row],[Ticker]],Industries!$A$2:$A$150,0),0)</f>
        <v>Industrials</v>
      </c>
      <c r="C1253" t="str">
        <f ca="1">OFFSET(Industries!D$1,MATCH(Table1[[#This Row],[Ticker]],Industries!$A$2:$A$150,0),0)</f>
        <v>Machinery</v>
      </c>
      <c r="D1253" t="str">
        <f ca="1">OFFSET(Industries!E$1,MATCH(Table1[[#This Row],[Ticker]],Industries!$A$2:$A$150,0),0)</f>
        <v>Industrial Machinery and Supplies and Components</v>
      </c>
      <c r="E1253" t="s">
        <v>158</v>
      </c>
      <c r="F1253" t="str">
        <f ca="1">OFFSET(Industries!B$1,MATCH(Table1[[#This Row],[Ticker]],Industries!$A$2:$A$140,0),0)</f>
        <v>Ultra-Cap</v>
      </c>
      <c r="G1253" t="str">
        <f ca="1">OFFSET(Industries!F$1,MATCH(Table1[[#This Row],[Ticker]],Industries!$A$2:$A$140,0),0)</f>
        <v>BBB</v>
      </c>
      <c r="H1253" t="s">
        <v>1434</v>
      </c>
      <c r="I1253" t="s">
        <v>1434</v>
      </c>
      <c r="J1253" s="2">
        <v>45408</v>
      </c>
      <c r="K1253" t="s">
        <v>2</v>
      </c>
      <c r="L1253" t="s">
        <v>1710</v>
      </c>
      <c r="M1253" t="s">
        <v>1709</v>
      </c>
      <c r="N1253" s="1">
        <f>Table1[[#This Row],[Consideration Weight]]</f>
        <v>0.35</v>
      </c>
      <c r="O1253" t="s">
        <v>476</v>
      </c>
      <c r="P1253" s="1">
        <v>0.35</v>
      </c>
      <c r="Q1253" s="1" t="s">
        <v>1646</v>
      </c>
      <c r="R1253" t="s">
        <v>35</v>
      </c>
      <c r="S1253" t="s">
        <v>29</v>
      </c>
      <c r="T1253" t="s">
        <v>30</v>
      </c>
      <c r="U1253" s="1">
        <v>1</v>
      </c>
      <c r="V1253" t="s">
        <v>580</v>
      </c>
    </row>
    <row r="1254" spans="1:22" x14ac:dyDescent="0.3">
      <c r="A1254" t="s">
        <v>757</v>
      </c>
      <c r="B1254" t="str">
        <f ca="1">OFFSET(Industries!C$1,MATCH(Table1[[#This Row],[Ticker]],Industries!$A$2:$A$150,0),0)</f>
        <v>Industrials</v>
      </c>
      <c r="C1254" t="str">
        <f ca="1">OFFSET(Industries!D$1,MATCH(Table1[[#This Row],[Ticker]],Industries!$A$2:$A$150,0),0)</f>
        <v>Machinery</v>
      </c>
      <c r="D1254" t="str">
        <f ca="1">OFFSET(Industries!E$1,MATCH(Table1[[#This Row],[Ticker]],Industries!$A$2:$A$150,0),0)</f>
        <v>Industrial Machinery and Supplies and Components</v>
      </c>
      <c r="E1254" t="s">
        <v>158</v>
      </c>
      <c r="F1254" t="str">
        <f ca="1">OFFSET(Industries!B$1,MATCH(Table1[[#This Row],[Ticker]],Industries!$A$2:$A$140,0),0)</f>
        <v>Ultra-Cap</v>
      </c>
      <c r="G1254" t="str">
        <f ca="1">OFFSET(Industries!F$1,MATCH(Table1[[#This Row],[Ticker]],Industries!$A$2:$A$140,0),0)</f>
        <v>BBB</v>
      </c>
      <c r="H1254" t="s">
        <v>1434</v>
      </c>
      <c r="I1254" t="s">
        <v>1434</v>
      </c>
      <c r="J1254" s="2">
        <v>45408</v>
      </c>
      <c r="K1254" t="s">
        <v>2</v>
      </c>
      <c r="L1254" t="s">
        <v>1710</v>
      </c>
      <c r="M1254" t="s">
        <v>1709</v>
      </c>
      <c r="N1254" s="1"/>
      <c r="O1254" t="s">
        <v>476</v>
      </c>
      <c r="P1254" s="1">
        <v>0.35</v>
      </c>
      <c r="R1254" t="s">
        <v>28</v>
      </c>
      <c r="S1254" t="s">
        <v>1095</v>
      </c>
      <c r="T1254" t="s">
        <v>55</v>
      </c>
      <c r="V1254" t="s">
        <v>761</v>
      </c>
    </row>
    <row r="1255" spans="1:22" x14ac:dyDescent="0.3">
      <c r="A1255" t="s">
        <v>757</v>
      </c>
      <c r="B1255" t="str">
        <f ca="1">OFFSET(Industries!C$1,MATCH(Table1[[#This Row],[Ticker]],Industries!$A$2:$A$150,0),0)</f>
        <v>Industrials</v>
      </c>
      <c r="C1255" t="str">
        <f ca="1">OFFSET(Industries!D$1,MATCH(Table1[[#This Row],[Ticker]],Industries!$A$2:$A$150,0),0)</f>
        <v>Machinery</v>
      </c>
      <c r="D1255" t="str">
        <f ca="1">OFFSET(Industries!E$1,MATCH(Table1[[#This Row],[Ticker]],Industries!$A$2:$A$150,0),0)</f>
        <v>Industrial Machinery and Supplies and Components</v>
      </c>
      <c r="E1255" t="s">
        <v>158</v>
      </c>
      <c r="F1255" t="str">
        <f ca="1">OFFSET(Industries!B$1,MATCH(Table1[[#This Row],[Ticker]],Industries!$A$2:$A$140,0),0)</f>
        <v>Ultra-Cap</v>
      </c>
      <c r="G1255" t="str">
        <f ca="1">OFFSET(Industries!F$1,MATCH(Table1[[#This Row],[Ticker]],Industries!$A$2:$A$140,0),0)</f>
        <v>BBB</v>
      </c>
      <c r="H1255" t="s">
        <v>1434</v>
      </c>
      <c r="I1255" t="s">
        <v>1434</v>
      </c>
      <c r="J1255" s="2">
        <v>45408</v>
      </c>
      <c r="K1255" t="s">
        <v>2</v>
      </c>
      <c r="L1255" t="s">
        <v>1710</v>
      </c>
      <c r="M1255" t="s">
        <v>1709</v>
      </c>
      <c r="N1255" s="1"/>
      <c r="O1255" t="s">
        <v>476</v>
      </c>
      <c r="P1255" s="1">
        <v>0.35</v>
      </c>
      <c r="Q1255" s="1" t="s">
        <v>1636</v>
      </c>
      <c r="R1255" t="s">
        <v>24</v>
      </c>
      <c r="S1255" t="s">
        <v>1089</v>
      </c>
      <c r="T1255" t="s">
        <v>760</v>
      </c>
      <c r="V1255" t="s">
        <v>762</v>
      </c>
    </row>
    <row r="1256" spans="1:22" x14ac:dyDescent="0.3">
      <c r="A1256" t="s">
        <v>757</v>
      </c>
      <c r="B1256" t="str">
        <f ca="1">OFFSET(Industries!C$1,MATCH(Table1[[#This Row],[Ticker]],Industries!$A$2:$A$150,0),0)</f>
        <v>Industrials</v>
      </c>
      <c r="C1256" t="str">
        <f ca="1">OFFSET(Industries!D$1,MATCH(Table1[[#This Row],[Ticker]],Industries!$A$2:$A$150,0),0)</f>
        <v>Machinery</v>
      </c>
      <c r="D1256" t="str">
        <f ca="1">OFFSET(Industries!E$1,MATCH(Table1[[#This Row],[Ticker]],Industries!$A$2:$A$150,0),0)</f>
        <v>Industrial Machinery and Supplies and Components</v>
      </c>
      <c r="E1256" t="s">
        <v>158</v>
      </c>
      <c r="F1256" t="str">
        <f ca="1">OFFSET(Industries!B$1,MATCH(Table1[[#This Row],[Ticker]],Industries!$A$2:$A$140,0),0)</f>
        <v>Ultra-Cap</v>
      </c>
      <c r="G1256" t="str">
        <f ca="1">OFFSET(Industries!F$1,MATCH(Table1[[#This Row],[Ticker]],Industries!$A$2:$A$140,0),0)</f>
        <v>BBB</v>
      </c>
      <c r="H1256" t="s">
        <v>1434</v>
      </c>
      <c r="I1256" t="s">
        <v>1434</v>
      </c>
      <c r="J1256" s="2">
        <v>45408</v>
      </c>
      <c r="K1256" t="s">
        <v>2</v>
      </c>
      <c r="L1256" t="s">
        <v>1710</v>
      </c>
      <c r="M1256" t="s">
        <v>1709</v>
      </c>
      <c r="N1256" s="1"/>
      <c r="O1256" t="s">
        <v>476</v>
      </c>
      <c r="P1256" s="1">
        <v>0.35</v>
      </c>
      <c r="Q1256" s="1" t="s">
        <v>1646</v>
      </c>
      <c r="R1256" t="s">
        <v>35</v>
      </c>
      <c r="S1256" t="s">
        <v>36</v>
      </c>
      <c r="T1256" t="s">
        <v>763</v>
      </c>
    </row>
    <row r="1257" spans="1:22" x14ac:dyDescent="0.3">
      <c r="A1257" t="s">
        <v>757</v>
      </c>
      <c r="B1257" t="str">
        <f ca="1">OFFSET(Industries!C$1,MATCH(Table1[[#This Row],[Ticker]],Industries!$A$2:$A$150,0),0)</f>
        <v>Industrials</v>
      </c>
      <c r="C1257" t="str">
        <f ca="1">OFFSET(Industries!D$1,MATCH(Table1[[#This Row],[Ticker]],Industries!$A$2:$A$150,0),0)</f>
        <v>Machinery</v>
      </c>
      <c r="D1257" t="str">
        <f ca="1">OFFSET(Industries!E$1,MATCH(Table1[[#This Row],[Ticker]],Industries!$A$2:$A$150,0),0)</f>
        <v>Industrial Machinery and Supplies and Components</v>
      </c>
      <c r="E1257" t="s">
        <v>158</v>
      </c>
      <c r="F1257" t="str">
        <f ca="1">OFFSET(Industries!B$1,MATCH(Table1[[#This Row],[Ticker]],Industries!$A$2:$A$140,0),0)</f>
        <v>Ultra-Cap</v>
      </c>
      <c r="G1257" t="str">
        <f ca="1">OFFSET(Industries!F$1,MATCH(Table1[[#This Row],[Ticker]],Industries!$A$2:$A$140,0),0)</f>
        <v>BBB</v>
      </c>
      <c r="H1257" t="s">
        <v>1434</v>
      </c>
      <c r="I1257" t="s">
        <v>1434</v>
      </c>
      <c r="J1257" s="2">
        <v>45408</v>
      </c>
      <c r="K1257" t="s">
        <v>2</v>
      </c>
      <c r="L1257" t="s">
        <v>1710</v>
      </c>
      <c r="M1257" t="s">
        <v>1711</v>
      </c>
      <c r="N1257" s="1">
        <f>Table1[[#This Row],[Consideration Weight]]</f>
        <v>0.18</v>
      </c>
      <c r="O1257" t="s">
        <v>87</v>
      </c>
      <c r="P1257" s="1">
        <v>0.18</v>
      </c>
    </row>
    <row r="1258" spans="1:22" x14ac:dyDescent="0.3">
      <c r="A1258" t="s">
        <v>757</v>
      </c>
      <c r="B1258" t="str">
        <f ca="1">OFFSET(Industries!C$1,MATCH(Table1[[#This Row],[Ticker]],Industries!$A$2:$A$150,0),0)</f>
        <v>Industrials</v>
      </c>
      <c r="C1258" t="str">
        <f ca="1">OFFSET(Industries!D$1,MATCH(Table1[[#This Row],[Ticker]],Industries!$A$2:$A$150,0),0)</f>
        <v>Machinery</v>
      </c>
      <c r="D1258" t="str">
        <f ca="1">OFFSET(Industries!E$1,MATCH(Table1[[#This Row],[Ticker]],Industries!$A$2:$A$150,0),0)</f>
        <v>Industrial Machinery and Supplies and Components</v>
      </c>
      <c r="E1258" t="s">
        <v>158</v>
      </c>
      <c r="F1258" t="str">
        <f ca="1">OFFSET(Industries!B$1,MATCH(Table1[[#This Row],[Ticker]],Industries!$A$2:$A$140,0),0)</f>
        <v>Ultra-Cap</v>
      </c>
      <c r="G1258" t="str">
        <f ca="1">OFFSET(Industries!F$1,MATCH(Table1[[#This Row],[Ticker]],Industries!$A$2:$A$140,0),0)</f>
        <v>BBB</v>
      </c>
      <c r="H1258" t="s">
        <v>1434</v>
      </c>
      <c r="I1258" t="s">
        <v>1434</v>
      </c>
      <c r="J1258" s="2">
        <v>45408</v>
      </c>
      <c r="K1258" t="s">
        <v>2</v>
      </c>
      <c r="L1258" t="s">
        <v>1710</v>
      </c>
      <c r="M1258" t="s">
        <v>1711</v>
      </c>
      <c r="N1258" s="1">
        <f>Table1[[#This Row],[Consideration Weight]]</f>
        <v>0.18</v>
      </c>
      <c r="O1258" t="s">
        <v>194</v>
      </c>
      <c r="P1258" s="1">
        <v>0.18</v>
      </c>
      <c r="V1258" t="s">
        <v>764</v>
      </c>
    </row>
    <row r="1259" spans="1:22" x14ac:dyDescent="0.3">
      <c r="A1259" t="s">
        <v>757</v>
      </c>
      <c r="B1259" t="str">
        <f ca="1">OFFSET(Industries!C$1,MATCH(Table1[[#This Row],[Ticker]],Industries!$A$2:$A$150,0),0)</f>
        <v>Industrials</v>
      </c>
      <c r="C1259" t="str">
        <f ca="1">OFFSET(Industries!D$1,MATCH(Table1[[#This Row],[Ticker]],Industries!$A$2:$A$150,0),0)</f>
        <v>Machinery</v>
      </c>
      <c r="D1259" t="str">
        <f ca="1">OFFSET(Industries!E$1,MATCH(Table1[[#This Row],[Ticker]],Industries!$A$2:$A$150,0),0)</f>
        <v>Industrial Machinery and Supplies and Components</v>
      </c>
      <c r="E1259" t="s">
        <v>158</v>
      </c>
      <c r="F1259" t="str">
        <f ca="1">OFFSET(Industries!B$1,MATCH(Table1[[#This Row],[Ticker]],Industries!$A$2:$A$140,0),0)</f>
        <v>Ultra-Cap</v>
      </c>
      <c r="G1259" t="str">
        <f ca="1">OFFSET(Industries!F$1,MATCH(Table1[[#This Row],[Ticker]],Industries!$A$2:$A$140,0),0)</f>
        <v>BBB</v>
      </c>
      <c r="H1259" t="s">
        <v>1434</v>
      </c>
      <c r="I1259" t="s">
        <v>1434</v>
      </c>
      <c r="J1259" s="2">
        <v>45408</v>
      </c>
      <c r="K1259" t="s">
        <v>2</v>
      </c>
      <c r="L1259" t="s">
        <v>1716</v>
      </c>
      <c r="M1259" t="s">
        <v>1709</v>
      </c>
      <c r="N1259" s="1"/>
      <c r="O1259" t="s">
        <v>462</v>
      </c>
      <c r="R1259" t="s">
        <v>28</v>
      </c>
      <c r="S1259" t="s">
        <v>1159</v>
      </c>
      <c r="T1259" t="s">
        <v>403</v>
      </c>
    </row>
    <row r="1260" spans="1:22" x14ac:dyDescent="0.3">
      <c r="A1260" t="s">
        <v>757</v>
      </c>
      <c r="B1260" t="str">
        <f ca="1">OFFSET(Industries!C$1,MATCH(Table1[[#This Row],[Ticker]],Industries!$A$2:$A$150,0),0)</f>
        <v>Industrials</v>
      </c>
      <c r="C1260" t="str">
        <f ca="1">OFFSET(Industries!D$1,MATCH(Table1[[#This Row],[Ticker]],Industries!$A$2:$A$150,0),0)</f>
        <v>Machinery</v>
      </c>
      <c r="D1260" t="str">
        <f ca="1">OFFSET(Industries!E$1,MATCH(Table1[[#This Row],[Ticker]],Industries!$A$2:$A$150,0),0)</f>
        <v>Industrial Machinery and Supplies and Components</v>
      </c>
      <c r="E1260" t="s">
        <v>158</v>
      </c>
      <c r="F1260" t="str">
        <f ca="1">OFFSET(Industries!B$1,MATCH(Table1[[#This Row],[Ticker]],Industries!$A$2:$A$140,0),0)</f>
        <v>Ultra-Cap</v>
      </c>
      <c r="G1260" t="str">
        <f ca="1">OFFSET(Industries!F$1,MATCH(Table1[[#This Row],[Ticker]],Industries!$A$2:$A$140,0),0)</f>
        <v>BBB</v>
      </c>
      <c r="H1260" t="s">
        <v>1434</v>
      </c>
      <c r="I1260" t="s">
        <v>1434</v>
      </c>
      <c r="J1260" s="2">
        <v>45408</v>
      </c>
      <c r="K1260" t="s">
        <v>21</v>
      </c>
      <c r="L1260" t="s">
        <v>3</v>
      </c>
      <c r="M1260" t="s">
        <v>1711</v>
      </c>
      <c r="N1260" s="1">
        <f>Table1[[#This Row],[Consideration Weight]]</f>
        <v>0.24</v>
      </c>
      <c r="O1260" t="s">
        <v>3</v>
      </c>
      <c r="P1260" s="1">
        <v>0.24</v>
      </c>
      <c r="V1260" t="s">
        <v>768</v>
      </c>
    </row>
    <row r="1261" spans="1:22" x14ac:dyDescent="0.3">
      <c r="A1261" t="s">
        <v>757</v>
      </c>
      <c r="B1261" t="str">
        <f ca="1">OFFSET(Industries!C$1,MATCH(Table1[[#This Row],[Ticker]],Industries!$A$2:$A$150,0),0)</f>
        <v>Industrials</v>
      </c>
      <c r="C1261" t="str">
        <f ca="1">OFFSET(Industries!D$1,MATCH(Table1[[#This Row],[Ticker]],Industries!$A$2:$A$150,0),0)</f>
        <v>Machinery</v>
      </c>
      <c r="D1261" t="str">
        <f ca="1">OFFSET(Industries!E$1,MATCH(Table1[[#This Row],[Ticker]],Industries!$A$2:$A$150,0),0)</f>
        <v>Industrial Machinery and Supplies and Components</v>
      </c>
      <c r="E1261" t="s">
        <v>158</v>
      </c>
      <c r="F1261" t="str">
        <f ca="1">OFFSET(Industries!B$1,MATCH(Table1[[#This Row],[Ticker]],Industries!$A$2:$A$140,0),0)</f>
        <v>Ultra-Cap</v>
      </c>
      <c r="G1261" t="str">
        <f ca="1">OFFSET(Industries!F$1,MATCH(Table1[[#This Row],[Ticker]],Industries!$A$2:$A$140,0),0)</f>
        <v>BBB</v>
      </c>
      <c r="H1261" t="s">
        <v>1434</v>
      </c>
      <c r="I1261" t="s">
        <v>1434</v>
      </c>
      <c r="J1261" s="2">
        <v>45408</v>
      </c>
      <c r="K1261" t="s">
        <v>21</v>
      </c>
      <c r="L1261" t="s">
        <v>1708</v>
      </c>
      <c r="M1261" t="s">
        <v>1709</v>
      </c>
      <c r="N1261" s="1">
        <f>Table1[[#This Row],[Consideration Weight]]</f>
        <v>0.19</v>
      </c>
      <c r="O1261" t="s">
        <v>4</v>
      </c>
      <c r="P1261" s="1">
        <v>0.19</v>
      </c>
      <c r="Q1261" s="1" t="s">
        <v>1636</v>
      </c>
      <c r="R1261" t="s">
        <v>24</v>
      </c>
      <c r="S1261" t="s">
        <v>1089</v>
      </c>
      <c r="T1261" t="s">
        <v>50</v>
      </c>
      <c r="U1261" s="1">
        <v>0.56000000000000005</v>
      </c>
    </row>
    <row r="1262" spans="1:22" x14ac:dyDescent="0.3">
      <c r="A1262" t="s">
        <v>757</v>
      </c>
      <c r="B1262" t="str">
        <f ca="1">OFFSET(Industries!C$1,MATCH(Table1[[#This Row],[Ticker]],Industries!$A$2:$A$150,0),0)</f>
        <v>Industrials</v>
      </c>
      <c r="C1262" t="str">
        <f ca="1">OFFSET(Industries!D$1,MATCH(Table1[[#This Row],[Ticker]],Industries!$A$2:$A$150,0),0)</f>
        <v>Machinery</v>
      </c>
      <c r="D1262" t="str">
        <f ca="1">OFFSET(Industries!E$1,MATCH(Table1[[#This Row],[Ticker]],Industries!$A$2:$A$150,0),0)</f>
        <v>Industrial Machinery and Supplies and Components</v>
      </c>
      <c r="E1262" t="s">
        <v>158</v>
      </c>
      <c r="F1262" t="str">
        <f ca="1">OFFSET(Industries!B$1,MATCH(Table1[[#This Row],[Ticker]],Industries!$A$2:$A$140,0),0)</f>
        <v>Ultra-Cap</v>
      </c>
      <c r="G1262" t="str">
        <f ca="1">OFFSET(Industries!F$1,MATCH(Table1[[#This Row],[Ticker]],Industries!$A$2:$A$140,0),0)</f>
        <v>BBB</v>
      </c>
      <c r="H1262" t="s">
        <v>1434</v>
      </c>
      <c r="I1262" t="s">
        <v>1434</v>
      </c>
      <c r="J1262" s="2">
        <v>45408</v>
      </c>
      <c r="K1262" t="s">
        <v>21</v>
      </c>
      <c r="L1262" t="s">
        <v>1708</v>
      </c>
      <c r="M1262" t="s">
        <v>1709</v>
      </c>
      <c r="N1262" s="1"/>
      <c r="O1262" t="s">
        <v>4</v>
      </c>
      <c r="P1262" s="1">
        <v>0.19</v>
      </c>
      <c r="Q1262" s="1" t="s">
        <v>1636</v>
      </c>
      <c r="R1262" t="s">
        <v>62</v>
      </c>
      <c r="S1262" t="s">
        <v>129</v>
      </c>
      <c r="T1262" t="s">
        <v>129</v>
      </c>
      <c r="U1262" s="1">
        <v>0.19</v>
      </c>
      <c r="V1262" t="s">
        <v>766</v>
      </c>
    </row>
    <row r="1263" spans="1:22" x14ac:dyDescent="0.3">
      <c r="A1263" t="s">
        <v>757</v>
      </c>
      <c r="B1263" t="str">
        <f ca="1">OFFSET(Industries!C$1,MATCH(Table1[[#This Row],[Ticker]],Industries!$A$2:$A$150,0),0)</f>
        <v>Industrials</v>
      </c>
      <c r="C1263" t="str">
        <f ca="1">OFFSET(Industries!D$1,MATCH(Table1[[#This Row],[Ticker]],Industries!$A$2:$A$150,0),0)</f>
        <v>Machinery</v>
      </c>
      <c r="D1263" t="str">
        <f ca="1">OFFSET(Industries!E$1,MATCH(Table1[[#This Row],[Ticker]],Industries!$A$2:$A$150,0),0)</f>
        <v>Industrial Machinery and Supplies and Components</v>
      </c>
      <c r="E1263" t="s">
        <v>158</v>
      </c>
      <c r="F1263" t="str">
        <f ca="1">OFFSET(Industries!B$1,MATCH(Table1[[#This Row],[Ticker]],Industries!$A$2:$A$140,0),0)</f>
        <v>Ultra-Cap</v>
      </c>
      <c r="G1263" t="str">
        <f ca="1">OFFSET(Industries!F$1,MATCH(Table1[[#This Row],[Ticker]],Industries!$A$2:$A$140,0),0)</f>
        <v>BBB</v>
      </c>
      <c r="H1263" t="s">
        <v>1434</v>
      </c>
      <c r="I1263" t="s">
        <v>1434</v>
      </c>
      <c r="J1263" s="2">
        <v>45408</v>
      </c>
      <c r="K1263" t="s">
        <v>21</v>
      </c>
      <c r="L1263" t="s">
        <v>1708</v>
      </c>
      <c r="M1263" t="s">
        <v>1709</v>
      </c>
      <c r="N1263" s="1"/>
      <c r="O1263" t="s">
        <v>4</v>
      </c>
      <c r="P1263" s="1">
        <v>0.19</v>
      </c>
      <c r="Q1263" s="1" t="s">
        <v>1636</v>
      </c>
      <c r="R1263" t="s">
        <v>24</v>
      </c>
      <c r="S1263" t="s">
        <v>1104</v>
      </c>
      <c r="T1263" t="s">
        <v>765</v>
      </c>
      <c r="U1263" s="1">
        <v>0.19</v>
      </c>
    </row>
    <row r="1264" spans="1:22" x14ac:dyDescent="0.3">
      <c r="A1264" t="s">
        <v>757</v>
      </c>
      <c r="B1264" t="str">
        <f ca="1">OFFSET(Industries!C$1,MATCH(Table1[[#This Row],[Ticker]],Industries!$A$2:$A$150,0),0)</f>
        <v>Industrials</v>
      </c>
      <c r="C1264" t="str">
        <f ca="1">OFFSET(Industries!D$1,MATCH(Table1[[#This Row],[Ticker]],Industries!$A$2:$A$150,0),0)</f>
        <v>Machinery</v>
      </c>
      <c r="D1264" t="str">
        <f ca="1">OFFSET(Industries!E$1,MATCH(Table1[[#This Row],[Ticker]],Industries!$A$2:$A$150,0),0)</f>
        <v>Industrial Machinery and Supplies and Components</v>
      </c>
      <c r="E1264" t="s">
        <v>158</v>
      </c>
      <c r="F1264" t="str">
        <f ca="1">OFFSET(Industries!B$1,MATCH(Table1[[#This Row],[Ticker]],Industries!$A$2:$A$140,0),0)</f>
        <v>Ultra-Cap</v>
      </c>
      <c r="G1264" t="str">
        <f ca="1">OFFSET(Industries!F$1,MATCH(Table1[[#This Row],[Ticker]],Industries!$A$2:$A$140,0),0)</f>
        <v>BBB</v>
      </c>
      <c r="H1264" t="s">
        <v>1434</v>
      </c>
      <c r="I1264" t="s">
        <v>1434</v>
      </c>
      <c r="J1264" s="2">
        <v>45408</v>
      </c>
      <c r="K1264" t="s">
        <v>21</v>
      </c>
      <c r="L1264" t="s">
        <v>1708</v>
      </c>
      <c r="M1264" t="s">
        <v>1709</v>
      </c>
      <c r="N1264" s="1"/>
      <c r="O1264" t="s">
        <v>4</v>
      </c>
      <c r="P1264" s="1">
        <v>0.19</v>
      </c>
      <c r="Q1264" s="1" t="s">
        <v>1636</v>
      </c>
      <c r="R1264" t="s">
        <v>62</v>
      </c>
      <c r="S1264" t="s">
        <v>63</v>
      </c>
      <c r="T1264" t="s">
        <v>767</v>
      </c>
      <c r="U1264" s="1">
        <v>0.06</v>
      </c>
    </row>
    <row r="1265" spans="1:22" x14ac:dyDescent="0.3">
      <c r="A1265" t="s">
        <v>757</v>
      </c>
      <c r="B1265" t="str">
        <f ca="1">OFFSET(Industries!C$1,MATCH(Table1[[#This Row],[Ticker]],Industries!$A$2:$A$150,0),0)</f>
        <v>Industrials</v>
      </c>
      <c r="C1265" t="str">
        <f ca="1">OFFSET(Industries!D$1,MATCH(Table1[[#This Row],[Ticker]],Industries!$A$2:$A$150,0),0)</f>
        <v>Machinery</v>
      </c>
      <c r="D1265" t="str">
        <f ca="1">OFFSET(Industries!E$1,MATCH(Table1[[#This Row],[Ticker]],Industries!$A$2:$A$150,0),0)</f>
        <v>Industrial Machinery and Supplies and Components</v>
      </c>
      <c r="E1265" t="s">
        <v>158</v>
      </c>
      <c r="F1265" t="str">
        <f ca="1">OFFSET(Industries!B$1,MATCH(Table1[[#This Row],[Ticker]],Industries!$A$2:$A$140,0),0)</f>
        <v>Ultra-Cap</v>
      </c>
      <c r="G1265" t="str">
        <f ca="1">OFFSET(Industries!F$1,MATCH(Table1[[#This Row],[Ticker]],Industries!$A$2:$A$140,0),0)</f>
        <v>BBB</v>
      </c>
      <c r="H1265" t="s">
        <v>1434</v>
      </c>
      <c r="I1265" t="s">
        <v>1434</v>
      </c>
      <c r="J1265" s="2">
        <v>45408</v>
      </c>
      <c r="K1265" t="s">
        <v>21</v>
      </c>
      <c r="L1265" t="s">
        <v>1710</v>
      </c>
      <c r="M1265" t="s">
        <v>1709</v>
      </c>
      <c r="N1265" s="1">
        <f>Table1[[#This Row],[Consideration Weight]]</f>
        <v>0.28999999999999998</v>
      </c>
      <c r="O1265" t="s">
        <v>476</v>
      </c>
      <c r="P1265" s="1">
        <v>0.28999999999999998</v>
      </c>
      <c r="Q1265" s="1" t="s">
        <v>1646</v>
      </c>
      <c r="R1265" t="s">
        <v>35</v>
      </c>
      <c r="S1265" t="s">
        <v>29</v>
      </c>
      <c r="T1265" t="s">
        <v>30</v>
      </c>
      <c r="U1265" s="1">
        <v>1</v>
      </c>
    </row>
    <row r="1266" spans="1:22" x14ac:dyDescent="0.3">
      <c r="A1266" t="s">
        <v>757</v>
      </c>
      <c r="B1266" t="str">
        <f ca="1">OFFSET(Industries!C$1,MATCH(Table1[[#This Row],[Ticker]],Industries!$A$2:$A$150,0),0)</f>
        <v>Industrials</v>
      </c>
      <c r="C1266" t="str">
        <f ca="1">OFFSET(Industries!D$1,MATCH(Table1[[#This Row],[Ticker]],Industries!$A$2:$A$150,0),0)</f>
        <v>Machinery</v>
      </c>
      <c r="D1266" t="str">
        <f ca="1">OFFSET(Industries!E$1,MATCH(Table1[[#This Row],[Ticker]],Industries!$A$2:$A$150,0),0)</f>
        <v>Industrial Machinery and Supplies and Components</v>
      </c>
      <c r="E1266" t="s">
        <v>158</v>
      </c>
      <c r="F1266" t="str">
        <f ca="1">OFFSET(Industries!B$1,MATCH(Table1[[#This Row],[Ticker]],Industries!$A$2:$A$140,0),0)</f>
        <v>Ultra-Cap</v>
      </c>
      <c r="G1266" t="str">
        <f ca="1">OFFSET(Industries!F$1,MATCH(Table1[[#This Row],[Ticker]],Industries!$A$2:$A$140,0),0)</f>
        <v>BBB</v>
      </c>
      <c r="H1266" t="s">
        <v>1434</v>
      </c>
      <c r="I1266" t="s">
        <v>1434</v>
      </c>
      <c r="J1266" s="2">
        <v>45408</v>
      </c>
      <c r="K1266" t="s">
        <v>21</v>
      </c>
      <c r="L1266" t="s">
        <v>1710</v>
      </c>
      <c r="M1266" t="s">
        <v>1709</v>
      </c>
      <c r="N1266" s="1"/>
      <c r="O1266" t="s">
        <v>476</v>
      </c>
      <c r="P1266" s="1">
        <v>0.28999999999999998</v>
      </c>
      <c r="R1266" t="s">
        <v>28</v>
      </c>
      <c r="S1266" t="s">
        <v>1095</v>
      </c>
      <c r="T1266" t="s">
        <v>55</v>
      </c>
    </row>
    <row r="1267" spans="1:22" x14ac:dyDescent="0.3">
      <c r="A1267" t="s">
        <v>757</v>
      </c>
      <c r="B1267" t="str">
        <f ca="1">OFFSET(Industries!C$1,MATCH(Table1[[#This Row],[Ticker]],Industries!$A$2:$A$150,0),0)</f>
        <v>Industrials</v>
      </c>
      <c r="C1267" t="str">
        <f ca="1">OFFSET(Industries!D$1,MATCH(Table1[[#This Row],[Ticker]],Industries!$A$2:$A$150,0),0)</f>
        <v>Machinery</v>
      </c>
      <c r="D1267" t="str">
        <f ca="1">OFFSET(Industries!E$1,MATCH(Table1[[#This Row],[Ticker]],Industries!$A$2:$A$150,0),0)</f>
        <v>Industrial Machinery and Supplies and Components</v>
      </c>
      <c r="E1267" t="s">
        <v>158</v>
      </c>
      <c r="F1267" t="str">
        <f ca="1">OFFSET(Industries!B$1,MATCH(Table1[[#This Row],[Ticker]],Industries!$A$2:$A$140,0),0)</f>
        <v>Ultra-Cap</v>
      </c>
      <c r="G1267" t="str">
        <f ca="1">OFFSET(Industries!F$1,MATCH(Table1[[#This Row],[Ticker]],Industries!$A$2:$A$140,0),0)</f>
        <v>BBB</v>
      </c>
      <c r="H1267" t="s">
        <v>1434</v>
      </c>
      <c r="I1267" t="s">
        <v>1434</v>
      </c>
      <c r="J1267" s="2">
        <v>45408</v>
      </c>
      <c r="K1267" t="s">
        <v>21</v>
      </c>
      <c r="L1267" t="s">
        <v>1710</v>
      </c>
      <c r="M1267" t="s">
        <v>1711</v>
      </c>
      <c r="N1267" s="1">
        <f>Table1[[#This Row],[Consideration Weight]]</f>
        <v>0.14000000000000001</v>
      </c>
      <c r="O1267" t="s">
        <v>87</v>
      </c>
      <c r="P1267" s="1">
        <v>0.14000000000000001</v>
      </c>
    </row>
    <row r="1268" spans="1:22" x14ac:dyDescent="0.3">
      <c r="A1268" t="s">
        <v>757</v>
      </c>
      <c r="B1268" t="str">
        <f ca="1">OFFSET(Industries!C$1,MATCH(Table1[[#This Row],[Ticker]],Industries!$A$2:$A$150,0),0)</f>
        <v>Industrials</v>
      </c>
      <c r="C1268" t="str">
        <f ca="1">OFFSET(Industries!D$1,MATCH(Table1[[#This Row],[Ticker]],Industries!$A$2:$A$150,0),0)</f>
        <v>Machinery</v>
      </c>
      <c r="D1268" t="str">
        <f ca="1">OFFSET(Industries!E$1,MATCH(Table1[[#This Row],[Ticker]],Industries!$A$2:$A$150,0),0)</f>
        <v>Industrial Machinery and Supplies and Components</v>
      </c>
      <c r="E1268" t="s">
        <v>158</v>
      </c>
      <c r="F1268" t="str">
        <f ca="1">OFFSET(Industries!B$1,MATCH(Table1[[#This Row],[Ticker]],Industries!$A$2:$A$140,0),0)</f>
        <v>Ultra-Cap</v>
      </c>
      <c r="G1268" t="str">
        <f ca="1">OFFSET(Industries!F$1,MATCH(Table1[[#This Row],[Ticker]],Industries!$A$2:$A$140,0),0)</f>
        <v>BBB</v>
      </c>
      <c r="H1268" t="s">
        <v>1434</v>
      </c>
      <c r="I1268" t="s">
        <v>1434</v>
      </c>
      <c r="J1268" s="2">
        <v>45408</v>
      </c>
      <c r="K1268" t="s">
        <v>21</v>
      </c>
      <c r="L1268" t="s">
        <v>1710</v>
      </c>
      <c r="M1268" t="s">
        <v>1711</v>
      </c>
      <c r="N1268" s="1">
        <f>Table1[[#This Row],[Consideration Weight]]</f>
        <v>0.14000000000000001</v>
      </c>
      <c r="O1268" t="s">
        <v>194</v>
      </c>
      <c r="P1268" s="1">
        <v>0.14000000000000001</v>
      </c>
      <c r="V1268" t="s">
        <v>770</v>
      </c>
    </row>
    <row r="1269" spans="1:22" x14ac:dyDescent="0.3">
      <c r="A1269" t="s">
        <v>769</v>
      </c>
      <c r="B1269" t="str">
        <f ca="1">OFFSET(Industries!C$1,MATCH(Table1[[#This Row],[Ticker]],Industries!$A$2:$A$150,0),0)</f>
        <v>Consumer Discretionary</v>
      </c>
      <c r="C1269" t="str">
        <f ca="1">OFFSET(Industries!D$1,MATCH(Table1[[#This Row],[Ticker]],Industries!$A$2:$A$150,0),0)</f>
        <v>Hotels, Restaurants and Leisure</v>
      </c>
      <c r="D1269" t="str">
        <f ca="1">OFFSET(Industries!E$1,MATCH(Table1[[#This Row],[Ticker]],Industries!$A$2:$A$150,0),0)</f>
        <v>Hotels, Restaurants and Leisure</v>
      </c>
      <c r="E1269" t="s">
        <v>43</v>
      </c>
      <c r="F1269" t="str">
        <f ca="1">OFFSET(Industries!B$1,MATCH(Table1[[#This Row],[Ticker]],Industries!$A$2:$A$140,0),0)</f>
        <v>Large-Cap</v>
      </c>
      <c r="H1269" t="s">
        <v>1434</v>
      </c>
      <c r="I1269" t="s">
        <v>1434</v>
      </c>
      <c r="J1269" s="2">
        <v>45401</v>
      </c>
      <c r="K1269" t="s">
        <v>2</v>
      </c>
      <c r="L1269" t="s">
        <v>1710</v>
      </c>
      <c r="M1269" t="s">
        <v>1709</v>
      </c>
      <c r="N1269" s="1">
        <f>Table1[[#This Row],[Consideration Weight]]</f>
        <v>1</v>
      </c>
      <c r="O1269" t="s">
        <v>476</v>
      </c>
      <c r="P1269" s="1">
        <v>1</v>
      </c>
      <c r="Q1269" s="1" t="s">
        <v>1646</v>
      </c>
      <c r="R1269" t="s">
        <v>35</v>
      </c>
      <c r="S1269" t="s">
        <v>491</v>
      </c>
      <c r="T1269" t="s">
        <v>491</v>
      </c>
      <c r="U1269" s="1">
        <v>1</v>
      </c>
    </row>
    <row r="1270" spans="1:22" x14ac:dyDescent="0.3">
      <c r="A1270" t="s">
        <v>769</v>
      </c>
      <c r="B1270" t="str">
        <f ca="1">OFFSET(Industries!C$1,MATCH(Table1[[#This Row],[Ticker]],Industries!$A$2:$A$150,0),0)</f>
        <v>Consumer Discretionary</v>
      </c>
      <c r="C1270" t="str">
        <f ca="1">OFFSET(Industries!D$1,MATCH(Table1[[#This Row],[Ticker]],Industries!$A$2:$A$150,0),0)</f>
        <v>Hotels, Restaurants and Leisure</v>
      </c>
      <c r="D1270" t="str">
        <f ca="1">OFFSET(Industries!E$1,MATCH(Table1[[#This Row],[Ticker]],Industries!$A$2:$A$150,0),0)</f>
        <v>Hotels, Restaurants and Leisure</v>
      </c>
      <c r="E1270" t="s">
        <v>43</v>
      </c>
      <c r="F1270" t="str">
        <f ca="1">OFFSET(Industries!B$1,MATCH(Table1[[#This Row],[Ticker]],Industries!$A$2:$A$140,0),0)</f>
        <v>Large-Cap</v>
      </c>
      <c r="H1270" t="s">
        <v>1434</v>
      </c>
      <c r="I1270" t="s">
        <v>1434</v>
      </c>
      <c r="J1270" s="2">
        <v>45401</v>
      </c>
      <c r="K1270" t="s">
        <v>21</v>
      </c>
      <c r="L1270" t="s">
        <v>3</v>
      </c>
      <c r="M1270" t="s">
        <v>1711</v>
      </c>
      <c r="N1270" s="1">
        <f>Table1[[#This Row],[Consideration Weight]]</f>
        <v>0.06</v>
      </c>
      <c r="O1270" t="s">
        <v>3</v>
      </c>
      <c r="P1270" s="1">
        <v>0.06</v>
      </c>
      <c r="V1270" t="s">
        <v>775</v>
      </c>
    </row>
    <row r="1271" spans="1:22" x14ac:dyDescent="0.3">
      <c r="A1271" t="s">
        <v>769</v>
      </c>
      <c r="B1271" t="str">
        <f ca="1">OFFSET(Industries!C$1,MATCH(Table1[[#This Row],[Ticker]],Industries!$A$2:$A$150,0),0)</f>
        <v>Consumer Discretionary</v>
      </c>
      <c r="C1271" t="str">
        <f ca="1">OFFSET(Industries!D$1,MATCH(Table1[[#This Row],[Ticker]],Industries!$A$2:$A$150,0),0)</f>
        <v>Hotels, Restaurants and Leisure</v>
      </c>
      <c r="D1271" t="str">
        <f ca="1">OFFSET(Industries!E$1,MATCH(Table1[[#This Row],[Ticker]],Industries!$A$2:$A$150,0),0)</f>
        <v>Hotels, Restaurants and Leisure</v>
      </c>
      <c r="E1271" t="s">
        <v>43</v>
      </c>
      <c r="F1271" t="str">
        <f ca="1">OFFSET(Industries!B$1,MATCH(Table1[[#This Row],[Ticker]],Industries!$A$2:$A$140,0),0)</f>
        <v>Large-Cap</v>
      </c>
      <c r="H1271" t="s">
        <v>1434</v>
      </c>
      <c r="I1271" t="s">
        <v>1434</v>
      </c>
      <c r="J1271" s="2">
        <v>45401</v>
      </c>
      <c r="K1271" t="s">
        <v>21</v>
      </c>
      <c r="L1271" t="s">
        <v>1708</v>
      </c>
      <c r="M1271" t="s">
        <v>1709</v>
      </c>
      <c r="N1271" s="1">
        <f>Table1[[#This Row],[Consideration Weight]]</f>
        <v>0.04</v>
      </c>
      <c r="O1271" t="s">
        <v>4</v>
      </c>
      <c r="P1271" s="1">
        <v>0.04</v>
      </c>
      <c r="Q1271" s="1" t="s">
        <v>1637</v>
      </c>
      <c r="R1271" t="s">
        <v>25</v>
      </c>
      <c r="S1271" t="s">
        <v>1086</v>
      </c>
      <c r="T1271" t="s">
        <v>771</v>
      </c>
      <c r="U1271" s="1">
        <v>0.3</v>
      </c>
      <c r="V1271" t="s">
        <v>776</v>
      </c>
    </row>
    <row r="1272" spans="1:22" x14ac:dyDescent="0.3">
      <c r="A1272" t="s">
        <v>769</v>
      </c>
      <c r="B1272" t="str">
        <f ca="1">OFFSET(Industries!C$1,MATCH(Table1[[#This Row],[Ticker]],Industries!$A$2:$A$150,0),0)</f>
        <v>Consumer Discretionary</v>
      </c>
      <c r="C1272" t="str">
        <f ca="1">OFFSET(Industries!D$1,MATCH(Table1[[#This Row],[Ticker]],Industries!$A$2:$A$150,0),0)</f>
        <v>Hotels, Restaurants and Leisure</v>
      </c>
      <c r="D1272" t="str">
        <f ca="1">OFFSET(Industries!E$1,MATCH(Table1[[#This Row],[Ticker]],Industries!$A$2:$A$150,0),0)</f>
        <v>Hotels, Restaurants and Leisure</v>
      </c>
      <c r="E1272" t="s">
        <v>43</v>
      </c>
      <c r="F1272" t="str">
        <f ca="1">OFFSET(Industries!B$1,MATCH(Table1[[#This Row],[Ticker]],Industries!$A$2:$A$140,0),0)</f>
        <v>Large-Cap</v>
      </c>
      <c r="H1272" t="s">
        <v>1434</v>
      </c>
      <c r="I1272" t="s">
        <v>1434</v>
      </c>
      <c r="J1272" s="2">
        <v>45401</v>
      </c>
      <c r="K1272" t="s">
        <v>21</v>
      </c>
      <c r="L1272" t="s">
        <v>1708</v>
      </c>
      <c r="M1272" t="s">
        <v>1709</v>
      </c>
      <c r="N1272" s="1"/>
      <c r="O1272" t="s">
        <v>4</v>
      </c>
      <c r="P1272" s="1">
        <v>0.04</v>
      </c>
      <c r="Q1272" s="1" t="s">
        <v>1637</v>
      </c>
      <c r="R1272" t="s">
        <v>25</v>
      </c>
      <c r="S1272" t="s">
        <v>1086</v>
      </c>
      <c r="T1272" t="s">
        <v>772</v>
      </c>
      <c r="U1272" s="1">
        <v>0.2</v>
      </c>
      <c r="V1272" t="s">
        <v>777</v>
      </c>
    </row>
    <row r="1273" spans="1:22" x14ac:dyDescent="0.3">
      <c r="A1273" t="s">
        <v>769</v>
      </c>
      <c r="B1273" t="str">
        <f ca="1">OFFSET(Industries!C$1,MATCH(Table1[[#This Row],[Ticker]],Industries!$A$2:$A$150,0),0)</f>
        <v>Consumer Discretionary</v>
      </c>
      <c r="C1273" t="str">
        <f ca="1">OFFSET(Industries!D$1,MATCH(Table1[[#This Row],[Ticker]],Industries!$A$2:$A$150,0),0)</f>
        <v>Hotels, Restaurants and Leisure</v>
      </c>
      <c r="D1273" t="str">
        <f ca="1">OFFSET(Industries!E$1,MATCH(Table1[[#This Row],[Ticker]],Industries!$A$2:$A$150,0),0)</f>
        <v>Hotels, Restaurants and Leisure</v>
      </c>
      <c r="E1273" t="s">
        <v>43</v>
      </c>
      <c r="F1273" t="str">
        <f ca="1">OFFSET(Industries!B$1,MATCH(Table1[[#This Row],[Ticker]],Industries!$A$2:$A$140,0),0)</f>
        <v>Large-Cap</v>
      </c>
      <c r="H1273" t="s">
        <v>1434</v>
      </c>
      <c r="I1273" t="s">
        <v>1434</v>
      </c>
      <c r="J1273" s="2">
        <v>45401</v>
      </c>
      <c r="K1273" t="s">
        <v>21</v>
      </c>
      <c r="L1273" t="s">
        <v>1708</v>
      </c>
      <c r="M1273" t="s">
        <v>1709</v>
      </c>
      <c r="N1273" s="1"/>
      <c r="O1273" t="s">
        <v>4</v>
      </c>
      <c r="P1273" s="1">
        <v>0.04</v>
      </c>
      <c r="Q1273" s="1" t="s">
        <v>1637</v>
      </c>
      <c r="R1273" t="s">
        <v>25</v>
      </c>
      <c r="S1273" t="s">
        <v>1086</v>
      </c>
      <c r="T1273" t="s">
        <v>773</v>
      </c>
      <c r="U1273" s="1">
        <v>0.2</v>
      </c>
      <c r="V1273" t="s">
        <v>778</v>
      </c>
    </row>
    <row r="1274" spans="1:22" x14ac:dyDescent="0.3">
      <c r="A1274" t="s">
        <v>769</v>
      </c>
      <c r="B1274" t="str">
        <f ca="1">OFFSET(Industries!C$1,MATCH(Table1[[#This Row],[Ticker]],Industries!$A$2:$A$150,0),0)</f>
        <v>Consumer Discretionary</v>
      </c>
      <c r="C1274" t="str">
        <f ca="1">OFFSET(Industries!D$1,MATCH(Table1[[#This Row],[Ticker]],Industries!$A$2:$A$150,0),0)</f>
        <v>Hotels, Restaurants and Leisure</v>
      </c>
      <c r="D1274" t="str">
        <f ca="1">OFFSET(Industries!E$1,MATCH(Table1[[#This Row],[Ticker]],Industries!$A$2:$A$150,0),0)</f>
        <v>Hotels, Restaurants and Leisure</v>
      </c>
      <c r="E1274" t="s">
        <v>43</v>
      </c>
      <c r="F1274" t="str">
        <f ca="1">OFFSET(Industries!B$1,MATCH(Table1[[#This Row],[Ticker]],Industries!$A$2:$A$140,0),0)</f>
        <v>Large-Cap</v>
      </c>
      <c r="H1274" t="s">
        <v>1434</v>
      </c>
      <c r="I1274" t="s">
        <v>1434</v>
      </c>
      <c r="J1274" s="2">
        <v>45401</v>
      </c>
      <c r="K1274" t="s">
        <v>21</v>
      </c>
      <c r="L1274" t="s">
        <v>1708</v>
      </c>
      <c r="M1274" t="s">
        <v>1709</v>
      </c>
      <c r="N1274" s="1"/>
      <c r="O1274" t="s">
        <v>4</v>
      </c>
      <c r="P1274" s="1">
        <v>0.04</v>
      </c>
      <c r="Q1274" s="1" t="s">
        <v>1637</v>
      </c>
      <c r="R1274" t="s">
        <v>25</v>
      </c>
      <c r="S1274" t="s">
        <v>1086</v>
      </c>
      <c r="T1274" t="s">
        <v>637</v>
      </c>
      <c r="U1274" s="1">
        <v>0.15</v>
      </c>
      <c r="V1274" t="s">
        <v>780</v>
      </c>
    </row>
    <row r="1275" spans="1:22" x14ac:dyDescent="0.3">
      <c r="A1275" t="s">
        <v>769</v>
      </c>
      <c r="B1275" t="str">
        <f ca="1">OFFSET(Industries!C$1,MATCH(Table1[[#This Row],[Ticker]],Industries!$A$2:$A$150,0),0)</f>
        <v>Consumer Discretionary</v>
      </c>
      <c r="C1275" t="str">
        <f ca="1">OFFSET(Industries!D$1,MATCH(Table1[[#This Row],[Ticker]],Industries!$A$2:$A$150,0),0)</f>
        <v>Hotels, Restaurants and Leisure</v>
      </c>
      <c r="D1275" t="str">
        <f ca="1">OFFSET(Industries!E$1,MATCH(Table1[[#This Row],[Ticker]],Industries!$A$2:$A$150,0),0)</f>
        <v>Hotels, Restaurants and Leisure</v>
      </c>
      <c r="E1275" t="s">
        <v>43</v>
      </c>
      <c r="F1275" t="str">
        <f ca="1">OFFSET(Industries!B$1,MATCH(Table1[[#This Row],[Ticker]],Industries!$A$2:$A$140,0),0)</f>
        <v>Large-Cap</v>
      </c>
      <c r="H1275" t="s">
        <v>1434</v>
      </c>
      <c r="I1275" t="s">
        <v>1434</v>
      </c>
      <c r="J1275" s="2">
        <v>45401</v>
      </c>
      <c r="K1275" t="s">
        <v>21</v>
      </c>
      <c r="L1275" t="s">
        <v>1708</v>
      </c>
      <c r="M1275" t="s">
        <v>1709</v>
      </c>
      <c r="N1275" s="1"/>
      <c r="O1275" t="s">
        <v>4</v>
      </c>
      <c r="P1275" s="1">
        <v>0.04</v>
      </c>
      <c r="Q1275" s="1" t="s">
        <v>1637</v>
      </c>
      <c r="R1275" t="s">
        <v>25</v>
      </c>
      <c r="S1275" t="s">
        <v>1086</v>
      </c>
      <c r="T1275" t="s">
        <v>774</v>
      </c>
      <c r="U1275" s="1">
        <v>0.15</v>
      </c>
      <c r="V1275" t="s">
        <v>779</v>
      </c>
    </row>
    <row r="1276" spans="1:22" x14ac:dyDescent="0.3">
      <c r="A1276" t="s">
        <v>769</v>
      </c>
      <c r="B1276" t="str">
        <f ca="1">OFFSET(Industries!C$1,MATCH(Table1[[#This Row],[Ticker]],Industries!$A$2:$A$150,0),0)</f>
        <v>Consumer Discretionary</v>
      </c>
      <c r="C1276" t="str">
        <f ca="1">OFFSET(Industries!D$1,MATCH(Table1[[#This Row],[Ticker]],Industries!$A$2:$A$150,0),0)</f>
        <v>Hotels, Restaurants and Leisure</v>
      </c>
      <c r="D1276" t="str">
        <f ca="1">OFFSET(Industries!E$1,MATCH(Table1[[#This Row],[Ticker]],Industries!$A$2:$A$150,0),0)</f>
        <v>Hotels, Restaurants and Leisure</v>
      </c>
      <c r="E1276" t="s">
        <v>43</v>
      </c>
      <c r="F1276" t="str">
        <f ca="1">OFFSET(Industries!B$1,MATCH(Table1[[#This Row],[Ticker]],Industries!$A$2:$A$140,0),0)</f>
        <v>Large-Cap</v>
      </c>
      <c r="H1276" t="s">
        <v>1434</v>
      </c>
      <c r="I1276" t="s">
        <v>1434</v>
      </c>
      <c r="J1276" s="2">
        <v>45401</v>
      </c>
      <c r="K1276" t="s">
        <v>21</v>
      </c>
      <c r="L1276" t="s">
        <v>1710</v>
      </c>
      <c r="M1276" t="s">
        <v>1711</v>
      </c>
      <c r="N1276" s="1">
        <f>Table1[[#This Row],[Consideration Weight]]</f>
        <v>0.5</v>
      </c>
      <c r="O1276" t="s">
        <v>87</v>
      </c>
      <c r="P1276" s="1">
        <v>0.5</v>
      </c>
    </row>
    <row r="1277" spans="1:22" x14ac:dyDescent="0.3">
      <c r="A1277" t="s">
        <v>769</v>
      </c>
      <c r="B1277" t="str">
        <f ca="1">OFFSET(Industries!C$1,MATCH(Table1[[#This Row],[Ticker]],Industries!$A$2:$A$150,0),0)</f>
        <v>Consumer Discretionary</v>
      </c>
      <c r="C1277" t="str">
        <f ca="1">OFFSET(Industries!D$1,MATCH(Table1[[#This Row],[Ticker]],Industries!$A$2:$A$150,0),0)</f>
        <v>Hotels, Restaurants and Leisure</v>
      </c>
      <c r="D1277" t="str">
        <f ca="1">OFFSET(Industries!E$1,MATCH(Table1[[#This Row],[Ticker]],Industries!$A$2:$A$150,0),0)</f>
        <v>Hotels, Restaurants and Leisure</v>
      </c>
      <c r="E1277" t="s">
        <v>43</v>
      </c>
      <c r="F1277" t="str">
        <f ca="1">OFFSET(Industries!B$1,MATCH(Table1[[#This Row],[Ticker]],Industries!$A$2:$A$140,0),0)</f>
        <v>Large-Cap</v>
      </c>
      <c r="H1277" t="s">
        <v>1434</v>
      </c>
      <c r="I1277" t="s">
        <v>1434</v>
      </c>
      <c r="J1277" s="2">
        <v>45401</v>
      </c>
      <c r="K1277" t="s">
        <v>21</v>
      </c>
      <c r="L1277" t="s">
        <v>1710</v>
      </c>
      <c r="M1277" t="s">
        <v>1711</v>
      </c>
      <c r="N1277" s="1">
        <f>Table1[[#This Row],[Consideration Weight]]</f>
        <v>0.4</v>
      </c>
      <c r="O1277" t="s">
        <v>194</v>
      </c>
      <c r="P1277" s="1">
        <v>0.4</v>
      </c>
    </row>
    <row r="1278" spans="1:22" x14ac:dyDescent="0.3">
      <c r="A1278" t="s">
        <v>781</v>
      </c>
      <c r="B1278" t="str">
        <f ca="1">OFFSET(Industries!C$1,MATCH(Table1[[#This Row],[Ticker]],Industries!$A$2:$A$150,0),0)</f>
        <v>Financials</v>
      </c>
      <c r="C1278" t="str">
        <f ca="1">OFFSET(Industries!D$1,MATCH(Table1[[#This Row],[Ticker]],Industries!$A$2:$A$150,0),0)</f>
        <v>Financial Services</v>
      </c>
      <c r="D1278" t="str">
        <f ca="1">OFFSET(Industries!E$1,MATCH(Table1[[#This Row],[Ticker]],Industries!$A$2:$A$150,0),0)</f>
        <v>Capital Markets</v>
      </c>
      <c r="E1278" t="s">
        <v>93</v>
      </c>
      <c r="F1278" t="str">
        <f ca="1">OFFSET(Industries!B$1,MATCH(Table1[[#This Row],[Ticker]],Industries!$A$2:$A$140,0),0)</f>
        <v>Mega-Cap</v>
      </c>
      <c r="G1278" t="str">
        <f ca="1">OFFSET(Industries!F$1,MATCH(Table1[[#This Row],[Ticker]],Industries!$A$2:$A$140,0),0)</f>
        <v>A-</v>
      </c>
      <c r="H1278" t="s">
        <v>1434</v>
      </c>
      <c r="I1278" t="s">
        <v>1434</v>
      </c>
      <c r="J1278" s="2">
        <v>45387</v>
      </c>
      <c r="K1278" t="s">
        <v>2</v>
      </c>
      <c r="L1278" t="s">
        <v>3</v>
      </c>
      <c r="M1278" t="s">
        <v>1711</v>
      </c>
      <c r="N1278" s="1">
        <f>Table1[[#This Row],[Consideration Weight]]</f>
        <v>0.04</v>
      </c>
      <c r="O1278" t="s">
        <v>3</v>
      </c>
      <c r="P1278" s="1">
        <v>0.04</v>
      </c>
      <c r="V1278" t="s">
        <v>1676</v>
      </c>
    </row>
    <row r="1279" spans="1:22" x14ac:dyDescent="0.3">
      <c r="A1279" t="s">
        <v>781</v>
      </c>
      <c r="B1279" t="str">
        <f ca="1">OFFSET(Industries!C$1,MATCH(Table1[[#This Row],[Ticker]],Industries!$A$2:$A$150,0),0)</f>
        <v>Financials</v>
      </c>
      <c r="C1279" t="str">
        <f ca="1">OFFSET(Industries!D$1,MATCH(Table1[[#This Row],[Ticker]],Industries!$A$2:$A$150,0),0)</f>
        <v>Financial Services</v>
      </c>
      <c r="D1279" t="str">
        <f ca="1">OFFSET(Industries!E$1,MATCH(Table1[[#This Row],[Ticker]],Industries!$A$2:$A$150,0),0)</f>
        <v>Capital Markets</v>
      </c>
      <c r="E1279" t="s">
        <v>93</v>
      </c>
      <c r="F1279" t="str">
        <f ca="1">OFFSET(Industries!B$1,MATCH(Table1[[#This Row],[Ticker]],Industries!$A$2:$A$140,0),0)</f>
        <v>Mega-Cap</v>
      </c>
      <c r="G1279" t="str">
        <f ca="1">OFFSET(Industries!F$1,MATCH(Table1[[#This Row],[Ticker]],Industries!$A$2:$A$140,0),0)</f>
        <v>A-</v>
      </c>
      <c r="H1279" t="s">
        <v>1434</v>
      </c>
      <c r="I1279" t="s">
        <v>1434</v>
      </c>
      <c r="J1279" s="2">
        <v>45387</v>
      </c>
      <c r="K1279" t="s">
        <v>2</v>
      </c>
      <c r="L1279" t="s">
        <v>1708</v>
      </c>
      <c r="M1279" t="s">
        <v>1709</v>
      </c>
      <c r="N1279" s="1">
        <f>Table1[[#This Row],[Consideration Weight]]</f>
        <v>0.24</v>
      </c>
      <c r="O1279" t="s">
        <v>4</v>
      </c>
      <c r="P1279" s="1">
        <v>0.24</v>
      </c>
      <c r="Q1279" s="1" t="s">
        <v>1637</v>
      </c>
      <c r="R1279" t="s">
        <v>25</v>
      </c>
      <c r="S1279" t="s">
        <v>1086</v>
      </c>
      <c r="T1279" t="s">
        <v>783</v>
      </c>
      <c r="U1279" s="1">
        <f>1/3</f>
        <v>0.33333333333333331</v>
      </c>
      <c r="V1279" t="s">
        <v>788</v>
      </c>
    </row>
    <row r="1280" spans="1:22" x14ac:dyDescent="0.3">
      <c r="A1280" t="s">
        <v>781</v>
      </c>
      <c r="B1280" t="str">
        <f ca="1">OFFSET(Industries!C$1,MATCH(Table1[[#This Row],[Ticker]],Industries!$A$2:$A$150,0),0)</f>
        <v>Financials</v>
      </c>
      <c r="C1280" t="str">
        <f ca="1">OFFSET(Industries!D$1,MATCH(Table1[[#This Row],[Ticker]],Industries!$A$2:$A$150,0),0)</f>
        <v>Financial Services</v>
      </c>
      <c r="D1280" t="str">
        <f ca="1">OFFSET(Industries!E$1,MATCH(Table1[[#This Row],[Ticker]],Industries!$A$2:$A$150,0),0)</f>
        <v>Capital Markets</v>
      </c>
      <c r="E1280" t="s">
        <v>93</v>
      </c>
      <c r="F1280" t="str">
        <f ca="1">OFFSET(Industries!B$1,MATCH(Table1[[#This Row],[Ticker]],Industries!$A$2:$A$140,0),0)</f>
        <v>Mega-Cap</v>
      </c>
      <c r="G1280" t="str">
        <f ca="1">OFFSET(Industries!F$1,MATCH(Table1[[#This Row],[Ticker]],Industries!$A$2:$A$140,0),0)</f>
        <v>A-</v>
      </c>
      <c r="H1280" t="s">
        <v>1434</v>
      </c>
      <c r="I1280" t="s">
        <v>1434</v>
      </c>
      <c r="J1280" s="2">
        <v>45387</v>
      </c>
      <c r="K1280" t="s">
        <v>2</v>
      </c>
      <c r="L1280" t="s">
        <v>1708</v>
      </c>
      <c r="M1280" t="s">
        <v>1709</v>
      </c>
      <c r="N1280" s="1"/>
      <c r="O1280" t="s">
        <v>4</v>
      </c>
      <c r="P1280" s="1">
        <v>0.24</v>
      </c>
      <c r="Q1280" s="1" t="s">
        <v>1637</v>
      </c>
      <c r="R1280" t="s">
        <v>25</v>
      </c>
      <c r="S1280" t="s">
        <v>1086</v>
      </c>
      <c r="T1280" t="s">
        <v>782</v>
      </c>
      <c r="U1280" s="1">
        <f t="shared" ref="U1280:U1281" si="24">1/3</f>
        <v>0.33333333333333331</v>
      </c>
    </row>
    <row r="1281" spans="1:22" x14ac:dyDescent="0.3">
      <c r="A1281" t="s">
        <v>781</v>
      </c>
      <c r="B1281" t="str">
        <f ca="1">OFFSET(Industries!C$1,MATCH(Table1[[#This Row],[Ticker]],Industries!$A$2:$A$150,0),0)</f>
        <v>Financials</v>
      </c>
      <c r="C1281" t="str">
        <f ca="1">OFFSET(Industries!D$1,MATCH(Table1[[#This Row],[Ticker]],Industries!$A$2:$A$150,0),0)</f>
        <v>Financial Services</v>
      </c>
      <c r="D1281" t="str">
        <f ca="1">OFFSET(Industries!E$1,MATCH(Table1[[#This Row],[Ticker]],Industries!$A$2:$A$150,0),0)</f>
        <v>Capital Markets</v>
      </c>
      <c r="E1281" t="s">
        <v>93</v>
      </c>
      <c r="F1281" t="str">
        <f ca="1">OFFSET(Industries!B$1,MATCH(Table1[[#This Row],[Ticker]],Industries!$A$2:$A$140,0),0)</f>
        <v>Mega-Cap</v>
      </c>
      <c r="G1281" t="str">
        <f ca="1">OFFSET(Industries!F$1,MATCH(Table1[[#This Row],[Ticker]],Industries!$A$2:$A$140,0),0)</f>
        <v>A-</v>
      </c>
      <c r="H1281" t="s">
        <v>1434</v>
      </c>
      <c r="I1281" t="s">
        <v>1434</v>
      </c>
      <c r="J1281" s="2">
        <v>45387</v>
      </c>
      <c r="K1281" t="s">
        <v>2</v>
      </c>
      <c r="L1281" t="s">
        <v>1708</v>
      </c>
      <c r="M1281" t="s">
        <v>1709</v>
      </c>
      <c r="N1281" s="1"/>
      <c r="O1281" t="s">
        <v>4</v>
      </c>
      <c r="P1281" s="1">
        <v>0.24</v>
      </c>
      <c r="Q1281" s="1" t="s">
        <v>1637</v>
      </c>
      <c r="R1281" t="s">
        <v>332</v>
      </c>
      <c r="S1281" t="s">
        <v>380</v>
      </c>
      <c r="T1281" t="s">
        <v>380</v>
      </c>
      <c r="U1281" s="1">
        <f t="shared" si="24"/>
        <v>0.33333333333333331</v>
      </c>
    </row>
    <row r="1282" spans="1:22" x14ac:dyDescent="0.3">
      <c r="A1282" t="s">
        <v>781</v>
      </c>
      <c r="B1282" t="str">
        <f ca="1">OFFSET(Industries!C$1,MATCH(Table1[[#This Row],[Ticker]],Industries!$A$2:$A$150,0),0)</f>
        <v>Financials</v>
      </c>
      <c r="C1282" t="str">
        <f ca="1">OFFSET(Industries!D$1,MATCH(Table1[[#This Row],[Ticker]],Industries!$A$2:$A$150,0),0)</f>
        <v>Financial Services</v>
      </c>
      <c r="D1282" t="str">
        <f ca="1">OFFSET(Industries!E$1,MATCH(Table1[[#This Row],[Ticker]],Industries!$A$2:$A$150,0),0)</f>
        <v>Capital Markets</v>
      </c>
      <c r="E1282" t="s">
        <v>93</v>
      </c>
      <c r="F1282" t="str">
        <f ca="1">OFFSET(Industries!B$1,MATCH(Table1[[#This Row],[Ticker]],Industries!$A$2:$A$140,0),0)</f>
        <v>Mega-Cap</v>
      </c>
      <c r="G1282" t="str">
        <f ca="1">OFFSET(Industries!F$1,MATCH(Table1[[#This Row],[Ticker]],Industries!$A$2:$A$140,0),0)</f>
        <v>A-</v>
      </c>
      <c r="H1282" t="s">
        <v>1434</v>
      </c>
      <c r="I1282" t="s">
        <v>1434</v>
      </c>
      <c r="J1282" s="2">
        <v>45387</v>
      </c>
      <c r="K1282" t="s">
        <v>2</v>
      </c>
      <c r="L1282" t="s">
        <v>1710</v>
      </c>
      <c r="M1282" t="s">
        <v>1709</v>
      </c>
      <c r="N1282" s="1">
        <f>Table1[[#This Row],[Consideration Weight]]</f>
        <v>0.57999999999999996</v>
      </c>
      <c r="O1282" t="s">
        <v>476</v>
      </c>
      <c r="P1282" s="1">
        <v>0.57999999999999996</v>
      </c>
      <c r="Q1282" s="1" t="s">
        <v>1636</v>
      </c>
      <c r="R1282" t="s">
        <v>1059</v>
      </c>
      <c r="S1282" t="s">
        <v>1099</v>
      </c>
      <c r="T1282" t="s">
        <v>785</v>
      </c>
      <c r="U1282" s="1">
        <v>0.5</v>
      </c>
      <c r="V1282" t="s">
        <v>73</v>
      </c>
    </row>
    <row r="1283" spans="1:22" x14ac:dyDescent="0.3">
      <c r="A1283" t="s">
        <v>781</v>
      </c>
      <c r="B1283" t="str">
        <f ca="1">OFFSET(Industries!C$1,MATCH(Table1[[#This Row],[Ticker]],Industries!$A$2:$A$150,0),0)</f>
        <v>Financials</v>
      </c>
      <c r="C1283" t="str">
        <f ca="1">OFFSET(Industries!D$1,MATCH(Table1[[#This Row],[Ticker]],Industries!$A$2:$A$150,0),0)</f>
        <v>Financial Services</v>
      </c>
      <c r="D1283" t="str">
        <f ca="1">OFFSET(Industries!E$1,MATCH(Table1[[#This Row],[Ticker]],Industries!$A$2:$A$150,0),0)</f>
        <v>Capital Markets</v>
      </c>
      <c r="E1283" t="s">
        <v>93</v>
      </c>
      <c r="F1283" t="str">
        <f ca="1">OFFSET(Industries!B$1,MATCH(Table1[[#This Row],[Ticker]],Industries!$A$2:$A$140,0),0)</f>
        <v>Mega-Cap</v>
      </c>
      <c r="G1283" t="str">
        <f ca="1">OFFSET(Industries!F$1,MATCH(Table1[[#This Row],[Ticker]],Industries!$A$2:$A$140,0),0)</f>
        <v>A-</v>
      </c>
      <c r="H1283" t="s">
        <v>1434</v>
      </c>
      <c r="I1283" t="s">
        <v>1434</v>
      </c>
      <c r="J1283" s="2">
        <v>45387</v>
      </c>
      <c r="K1283" t="s">
        <v>2</v>
      </c>
      <c r="L1283" t="s">
        <v>1710</v>
      </c>
      <c r="M1283" t="s">
        <v>1709</v>
      </c>
      <c r="N1283" s="1"/>
      <c r="O1283" t="s">
        <v>476</v>
      </c>
      <c r="P1283" s="1">
        <v>0.57999999999999996</v>
      </c>
      <c r="Q1283" s="1" t="s">
        <v>1636</v>
      </c>
      <c r="R1283" t="s">
        <v>1059</v>
      </c>
      <c r="S1283" t="s">
        <v>1146</v>
      </c>
      <c r="T1283" t="s">
        <v>786</v>
      </c>
      <c r="U1283" s="1">
        <v>0.5</v>
      </c>
    </row>
    <row r="1284" spans="1:22" x14ac:dyDescent="0.3">
      <c r="A1284" t="s">
        <v>781</v>
      </c>
      <c r="B1284" t="str">
        <f ca="1">OFFSET(Industries!C$1,MATCH(Table1[[#This Row],[Ticker]],Industries!$A$2:$A$150,0),0)</f>
        <v>Financials</v>
      </c>
      <c r="C1284" t="str">
        <f ca="1">OFFSET(Industries!D$1,MATCH(Table1[[#This Row],[Ticker]],Industries!$A$2:$A$150,0),0)</f>
        <v>Financial Services</v>
      </c>
      <c r="D1284" t="str">
        <f ca="1">OFFSET(Industries!E$1,MATCH(Table1[[#This Row],[Ticker]],Industries!$A$2:$A$150,0),0)</f>
        <v>Capital Markets</v>
      </c>
      <c r="E1284" t="s">
        <v>93</v>
      </c>
      <c r="F1284" t="str">
        <f ca="1">OFFSET(Industries!B$1,MATCH(Table1[[#This Row],[Ticker]],Industries!$A$2:$A$140,0),0)</f>
        <v>Mega-Cap</v>
      </c>
      <c r="G1284" t="str">
        <f ca="1">OFFSET(Industries!F$1,MATCH(Table1[[#This Row],[Ticker]],Industries!$A$2:$A$140,0),0)</f>
        <v>A-</v>
      </c>
      <c r="H1284" t="s">
        <v>1434</v>
      </c>
      <c r="I1284" t="s">
        <v>1434</v>
      </c>
      <c r="J1284" s="2">
        <v>45387</v>
      </c>
      <c r="K1284" t="s">
        <v>2</v>
      </c>
      <c r="L1284" t="s">
        <v>1710</v>
      </c>
      <c r="M1284" t="s">
        <v>1711</v>
      </c>
      <c r="N1284" s="1">
        <f>Table1[[#This Row],[Consideration Weight]]</f>
        <v>0.14000000000000001</v>
      </c>
      <c r="O1284" t="s">
        <v>194</v>
      </c>
      <c r="P1284" s="1">
        <v>0.14000000000000001</v>
      </c>
    </row>
    <row r="1285" spans="1:22" x14ac:dyDescent="0.3">
      <c r="A1285" t="s">
        <v>781</v>
      </c>
      <c r="B1285" t="str">
        <f ca="1">OFFSET(Industries!C$1,MATCH(Table1[[#This Row],[Ticker]],Industries!$A$2:$A$150,0),0)</f>
        <v>Financials</v>
      </c>
      <c r="C1285" t="str">
        <f ca="1">OFFSET(Industries!D$1,MATCH(Table1[[#This Row],[Ticker]],Industries!$A$2:$A$150,0),0)</f>
        <v>Financial Services</v>
      </c>
      <c r="D1285" t="str">
        <f ca="1">OFFSET(Industries!E$1,MATCH(Table1[[#This Row],[Ticker]],Industries!$A$2:$A$150,0),0)</f>
        <v>Capital Markets</v>
      </c>
      <c r="E1285" t="s">
        <v>93</v>
      </c>
      <c r="F1285" t="str">
        <f ca="1">OFFSET(Industries!B$1,MATCH(Table1[[#This Row],[Ticker]],Industries!$A$2:$A$140,0),0)</f>
        <v>Mega-Cap</v>
      </c>
      <c r="G1285" t="str">
        <f ca="1">OFFSET(Industries!F$1,MATCH(Table1[[#This Row],[Ticker]],Industries!$A$2:$A$140,0),0)</f>
        <v>A-</v>
      </c>
      <c r="H1285" t="s">
        <v>1434</v>
      </c>
      <c r="I1285" t="s">
        <v>1434</v>
      </c>
      <c r="J1285" s="2">
        <v>45387</v>
      </c>
      <c r="K1285" t="s">
        <v>21</v>
      </c>
      <c r="L1285" t="s">
        <v>3</v>
      </c>
      <c r="M1285" t="s">
        <v>1711</v>
      </c>
      <c r="N1285" s="1">
        <f>Table1[[#This Row],[Consideration Weight]]</f>
        <v>0.05</v>
      </c>
      <c r="O1285" t="s">
        <v>3</v>
      </c>
      <c r="P1285" s="1">
        <v>0.05</v>
      </c>
      <c r="V1285" t="s">
        <v>1648</v>
      </c>
    </row>
    <row r="1286" spans="1:22" x14ac:dyDescent="0.3">
      <c r="A1286" t="s">
        <v>781</v>
      </c>
      <c r="B1286" t="str">
        <f ca="1">OFFSET(Industries!C$1,MATCH(Table1[[#This Row],[Ticker]],Industries!$A$2:$A$150,0),0)</f>
        <v>Financials</v>
      </c>
      <c r="C1286" t="str">
        <f ca="1">OFFSET(Industries!D$1,MATCH(Table1[[#This Row],[Ticker]],Industries!$A$2:$A$150,0),0)</f>
        <v>Financial Services</v>
      </c>
      <c r="D1286" t="str">
        <f ca="1">OFFSET(Industries!E$1,MATCH(Table1[[#This Row],[Ticker]],Industries!$A$2:$A$150,0),0)</f>
        <v>Capital Markets</v>
      </c>
      <c r="E1286" t="s">
        <v>93</v>
      </c>
      <c r="F1286" t="str">
        <f ca="1">OFFSET(Industries!B$1,MATCH(Table1[[#This Row],[Ticker]],Industries!$A$2:$A$140,0),0)</f>
        <v>Mega-Cap</v>
      </c>
      <c r="G1286" t="str">
        <f ca="1">OFFSET(Industries!F$1,MATCH(Table1[[#This Row],[Ticker]],Industries!$A$2:$A$140,0),0)</f>
        <v>A-</v>
      </c>
      <c r="H1286" t="s">
        <v>1434</v>
      </c>
      <c r="I1286" t="s">
        <v>1434</v>
      </c>
      <c r="J1286" s="2">
        <v>45387</v>
      </c>
      <c r="K1286" t="s">
        <v>21</v>
      </c>
      <c r="L1286" t="s">
        <v>1708</v>
      </c>
      <c r="M1286" t="s">
        <v>1709</v>
      </c>
      <c r="N1286" s="1">
        <f>Table1[[#This Row],[Consideration Weight]]</f>
        <v>0.38</v>
      </c>
      <c r="O1286" t="s">
        <v>4</v>
      </c>
      <c r="P1286" s="1">
        <v>0.38</v>
      </c>
      <c r="Q1286" s="1" t="s">
        <v>1637</v>
      </c>
      <c r="R1286" t="s">
        <v>25</v>
      </c>
      <c r="S1286" t="s">
        <v>1086</v>
      </c>
      <c r="T1286" t="s">
        <v>783</v>
      </c>
      <c r="U1286" s="1">
        <f>1/3</f>
        <v>0.33333333333333331</v>
      </c>
      <c r="V1286" t="s">
        <v>784</v>
      </c>
    </row>
    <row r="1287" spans="1:22" x14ac:dyDescent="0.3">
      <c r="A1287" t="s">
        <v>781</v>
      </c>
      <c r="B1287" t="str">
        <f ca="1">OFFSET(Industries!C$1,MATCH(Table1[[#This Row],[Ticker]],Industries!$A$2:$A$150,0),0)</f>
        <v>Financials</v>
      </c>
      <c r="C1287" t="str">
        <f ca="1">OFFSET(Industries!D$1,MATCH(Table1[[#This Row],[Ticker]],Industries!$A$2:$A$150,0),0)</f>
        <v>Financial Services</v>
      </c>
      <c r="D1287" t="str">
        <f ca="1">OFFSET(Industries!E$1,MATCH(Table1[[#This Row],[Ticker]],Industries!$A$2:$A$150,0),0)</f>
        <v>Capital Markets</v>
      </c>
      <c r="E1287" t="s">
        <v>93</v>
      </c>
      <c r="F1287" t="str">
        <f ca="1">OFFSET(Industries!B$1,MATCH(Table1[[#This Row],[Ticker]],Industries!$A$2:$A$140,0),0)</f>
        <v>Mega-Cap</v>
      </c>
      <c r="G1287" t="str">
        <f ca="1">OFFSET(Industries!F$1,MATCH(Table1[[#This Row],[Ticker]],Industries!$A$2:$A$140,0),0)</f>
        <v>A-</v>
      </c>
      <c r="H1287" t="s">
        <v>1434</v>
      </c>
      <c r="I1287" t="s">
        <v>1434</v>
      </c>
      <c r="J1287" s="2">
        <v>45387</v>
      </c>
      <c r="K1287" t="s">
        <v>21</v>
      </c>
      <c r="L1287" t="s">
        <v>1708</v>
      </c>
      <c r="M1287" t="s">
        <v>1709</v>
      </c>
      <c r="N1287" s="1"/>
      <c r="O1287" t="s">
        <v>4</v>
      </c>
      <c r="P1287" s="1">
        <v>0.38</v>
      </c>
      <c r="Q1287" s="1" t="s">
        <v>1637</v>
      </c>
      <c r="R1287" t="s">
        <v>25</v>
      </c>
      <c r="S1287" t="s">
        <v>1086</v>
      </c>
      <c r="T1287" t="s">
        <v>782</v>
      </c>
      <c r="U1287" s="1">
        <f t="shared" ref="U1287:U1288" si="25">1/3</f>
        <v>0.33333333333333331</v>
      </c>
    </row>
    <row r="1288" spans="1:22" x14ac:dyDescent="0.3">
      <c r="A1288" t="s">
        <v>781</v>
      </c>
      <c r="B1288" t="str">
        <f ca="1">OFFSET(Industries!C$1,MATCH(Table1[[#This Row],[Ticker]],Industries!$A$2:$A$150,0),0)</f>
        <v>Financials</v>
      </c>
      <c r="C1288" t="str">
        <f ca="1">OFFSET(Industries!D$1,MATCH(Table1[[#This Row],[Ticker]],Industries!$A$2:$A$150,0),0)</f>
        <v>Financial Services</v>
      </c>
      <c r="D1288" t="str">
        <f ca="1">OFFSET(Industries!E$1,MATCH(Table1[[#This Row],[Ticker]],Industries!$A$2:$A$150,0),0)</f>
        <v>Capital Markets</v>
      </c>
      <c r="E1288" t="s">
        <v>93</v>
      </c>
      <c r="F1288" t="str">
        <f ca="1">OFFSET(Industries!B$1,MATCH(Table1[[#This Row],[Ticker]],Industries!$A$2:$A$140,0),0)</f>
        <v>Mega-Cap</v>
      </c>
      <c r="G1288" t="str">
        <f ca="1">OFFSET(Industries!F$1,MATCH(Table1[[#This Row],[Ticker]],Industries!$A$2:$A$140,0),0)</f>
        <v>A-</v>
      </c>
      <c r="H1288" t="s">
        <v>1434</v>
      </c>
      <c r="I1288" t="s">
        <v>1434</v>
      </c>
      <c r="J1288" s="2">
        <v>45387</v>
      </c>
      <c r="K1288" t="s">
        <v>21</v>
      </c>
      <c r="L1288" t="s">
        <v>1708</v>
      </c>
      <c r="M1288" t="s">
        <v>1709</v>
      </c>
      <c r="N1288" s="1"/>
      <c r="O1288" t="s">
        <v>4</v>
      </c>
      <c r="P1288" s="1">
        <v>0.38</v>
      </c>
      <c r="Q1288" s="1" t="s">
        <v>1637</v>
      </c>
      <c r="R1288" t="s">
        <v>332</v>
      </c>
      <c r="S1288" t="s">
        <v>380</v>
      </c>
      <c r="T1288" t="s">
        <v>380</v>
      </c>
      <c r="U1288" s="1">
        <f t="shared" si="25"/>
        <v>0.33333333333333331</v>
      </c>
      <c r="V1288" t="s">
        <v>787</v>
      </c>
    </row>
    <row r="1289" spans="1:22" x14ac:dyDescent="0.3">
      <c r="A1289" t="s">
        <v>781</v>
      </c>
      <c r="B1289" t="str">
        <f ca="1">OFFSET(Industries!C$1,MATCH(Table1[[#This Row],[Ticker]],Industries!$A$2:$A$150,0),0)</f>
        <v>Financials</v>
      </c>
      <c r="C1289" t="str">
        <f ca="1">OFFSET(Industries!D$1,MATCH(Table1[[#This Row],[Ticker]],Industries!$A$2:$A$150,0),0)</f>
        <v>Financial Services</v>
      </c>
      <c r="D1289" t="str">
        <f ca="1">OFFSET(Industries!E$1,MATCH(Table1[[#This Row],[Ticker]],Industries!$A$2:$A$150,0),0)</f>
        <v>Capital Markets</v>
      </c>
      <c r="E1289" t="s">
        <v>93</v>
      </c>
      <c r="F1289" t="str">
        <f ca="1">OFFSET(Industries!B$1,MATCH(Table1[[#This Row],[Ticker]],Industries!$A$2:$A$140,0),0)</f>
        <v>Mega-Cap</v>
      </c>
      <c r="G1289" t="str">
        <f ca="1">OFFSET(Industries!F$1,MATCH(Table1[[#This Row],[Ticker]],Industries!$A$2:$A$140,0),0)</f>
        <v>A-</v>
      </c>
      <c r="H1289" t="s">
        <v>1434</v>
      </c>
      <c r="I1289" t="s">
        <v>1434</v>
      </c>
      <c r="J1289" s="2">
        <v>45387</v>
      </c>
      <c r="K1289" t="s">
        <v>21</v>
      </c>
      <c r="L1289" t="s">
        <v>1710</v>
      </c>
      <c r="M1289" t="s">
        <v>1709</v>
      </c>
      <c r="N1289" s="1">
        <f>Table1[[#This Row],[Consideration Weight]]</f>
        <v>0.28999999999999998</v>
      </c>
      <c r="O1289" t="s">
        <v>476</v>
      </c>
      <c r="P1289" s="1">
        <v>0.28999999999999998</v>
      </c>
      <c r="Q1289" s="1" t="s">
        <v>1636</v>
      </c>
      <c r="R1289" t="s">
        <v>1059</v>
      </c>
      <c r="S1289" t="s">
        <v>1099</v>
      </c>
      <c r="T1289" t="s">
        <v>785</v>
      </c>
      <c r="U1289" s="1">
        <v>0.5</v>
      </c>
      <c r="V1289" t="s">
        <v>73</v>
      </c>
    </row>
    <row r="1290" spans="1:22" x14ac:dyDescent="0.3">
      <c r="A1290" t="s">
        <v>781</v>
      </c>
      <c r="B1290" t="str">
        <f ca="1">OFFSET(Industries!C$1,MATCH(Table1[[#This Row],[Ticker]],Industries!$A$2:$A$150,0),0)</f>
        <v>Financials</v>
      </c>
      <c r="C1290" t="str">
        <f ca="1">OFFSET(Industries!D$1,MATCH(Table1[[#This Row],[Ticker]],Industries!$A$2:$A$150,0),0)</f>
        <v>Financial Services</v>
      </c>
      <c r="D1290" t="str">
        <f ca="1">OFFSET(Industries!E$1,MATCH(Table1[[#This Row],[Ticker]],Industries!$A$2:$A$150,0),0)</f>
        <v>Capital Markets</v>
      </c>
      <c r="E1290" t="s">
        <v>93</v>
      </c>
      <c r="F1290" t="str">
        <f ca="1">OFFSET(Industries!B$1,MATCH(Table1[[#This Row],[Ticker]],Industries!$A$2:$A$140,0),0)</f>
        <v>Mega-Cap</v>
      </c>
      <c r="G1290" t="str">
        <f ca="1">OFFSET(Industries!F$1,MATCH(Table1[[#This Row],[Ticker]],Industries!$A$2:$A$140,0),0)</f>
        <v>A-</v>
      </c>
      <c r="H1290" t="s">
        <v>1434</v>
      </c>
      <c r="I1290" t="s">
        <v>1434</v>
      </c>
      <c r="J1290" s="2">
        <v>45387</v>
      </c>
      <c r="K1290" t="s">
        <v>21</v>
      </c>
      <c r="L1290" t="s">
        <v>1710</v>
      </c>
      <c r="M1290" t="s">
        <v>1709</v>
      </c>
      <c r="N1290" s="1"/>
      <c r="O1290" t="s">
        <v>476</v>
      </c>
      <c r="P1290" s="1">
        <v>0.28999999999999998</v>
      </c>
      <c r="Q1290" s="1" t="s">
        <v>1636</v>
      </c>
      <c r="R1290" t="s">
        <v>1059</v>
      </c>
      <c r="S1290" t="s">
        <v>1146</v>
      </c>
      <c r="T1290" t="s">
        <v>786</v>
      </c>
      <c r="U1290" s="1">
        <v>0.5</v>
      </c>
    </row>
    <row r="1291" spans="1:22" x14ac:dyDescent="0.3">
      <c r="A1291" t="s">
        <v>781</v>
      </c>
      <c r="B1291" t="str">
        <f ca="1">OFFSET(Industries!C$1,MATCH(Table1[[#This Row],[Ticker]],Industries!$A$2:$A$150,0),0)</f>
        <v>Financials</v>
      </c>
      <c r="C1291" t="str">
        <f ca="1">OFFSET(Industries!D$1,MATCH(Table1[[#This Row],[Ticker]],Industries!$A$2:$A$150,0),0)</f>
        <v>Financial Services</v>
      </c>
      <c r="D1291" t="str">
        <f ca="1">OFFSET(Industries!E$1,MATCH(Table1[[#This Row],[Ticker]],Industries!$A$2:$A$150,0),0)</f>
        <v>Capital Markets</v>
      </c>
      <c r="E1291" t="s">
        <v>93</v>
      </c>
      <c r="F1291" t="str">
        <f ca="1">OFFSET(Industries!B$1,MATCH(Table1[[#This Row],[Ticker]],Industries!$A$2:$A$140,0),0)</f>
        <v>Mega-Cap</v>
      </c>
      <c r="G1291" t="str">
        <f ca="1">OFFSET(Industries!F$1,MATCH(Table1[[#This Row],[Ticker]],Industries!$A$2:$A$140,0),0)</f>
        <v>A-</v>
      </c>
      <c r="H1291" t="s">
        <v>1434</v>
      </c>
      <c r="I1291" t="s">
        <v>1434</v>
      </c>
      <c r="J1291" s="2">
        <v>45387</v>
      </c>
      <c r="K1291" t="s">
        <v>21</v>
      </c>
      <c r="L1291" t="s">
        <v>1710</v>
      </c>
      <c r="M1291" t="s">
        <v>1711</v>
      </c>
      <c r="N1291" s="1">
        <f>Table1[[#This Row],[Consideration Weight]]</f>
        <v>0.28000000000000003</v>
      </c>
      <c r="O1291" t="s">
        <v>194</v>
      </c>
      <c r="P1291" s="1">
        <v>0.28000000000000003</v>
      </c>
    </row>
    <row r="1292" spans="1:22" x14ac:dyDescent="0.3">
      <c r="A1292" t="s">
        <v>789</v>
      </c>
      <c r="B1292" t="str">
        <f ca="1">OFFSET(Industries!C$1,MATCH(Table1[[#This Row],[Ticker]],Industries!$A$2:$A$150,0),0)</f>
        <v>Financials</v>
      </c>
      <c r="C1292" t="str">
        <f ca="1">OFFSET(Industries!D$1,MATCH(Table1[[#This Row],[Ticker]],Industries!$A$2:$A$150,0),0)</f>
        <v>Insurance</v>
      </c>
      <c r="D1292" t="str">
        <f ca="1">OFFSET(Industries!E$1,MATCH(Table1[[#This Row],[Ticker]],Industries!$A$2:$A$150,0),0)</f>
        <v>Insurance</v>
      </c>
      <c r="E1292" t="s">
        <v>496</v>
      </c>
      <c r="F1292" t="str">
        <f ca="1">OFFSET(Industries!B$1,MATCH(Table1[[#This Row],[Ticker]],Industries!$A$2:$A$140,0),0)</f>
        <v>Ultra-Cap</v>
      </c>
      <c r="G1292" t="str">
        <f ca="1">OFFSET(Industries!F$1,MATCH(Table1[[#This Row],[Ticker]],Industries!$A$2:$A$140,0),0)</f>
        <v>A-</v>
      </c>
      <c r="H1292" t="s">
        <v>1434</v>
      </c>
      <c r="I1292" t="s">
        <v>1434</v>
      </c>
      <c r="J1292" s="2">
        <v>45411</v>
      </c>
      <c r="K1292" t="s">
        <v>2</v>
      </c>
      <c r="L1292" t="s">
        <v>3</v>
      </c>
      <c r="M1292" t="s">
        <v>1711</v>
      </c>
      <c r="N1292" s="1">
        <f>Table1[[#This Row],[Consideration Weight]]</f>
        <v>0.06</v>
      </c>
      <c r="O1292" t="s">
        <v>3</v>
      </c>
      <c r="P1292" s="1">
        <v>0.06</v>
      </c>
      <c r="V1292" t="s">
        <v>790</v>
      </c>
    </row>
    <row r="1293" spans="1:22" x14ac:dyDescent="0.3">
      <c r="A1293" t="s">
        <v>789</v>
      </c>
      <c r="B1293" t="str">
        <f ca="1">OFFSET(Industries!C$1,MATCH(Table1[[#This Row],[Ticker]],Industries!$A$2:$A$150,0),0)</f>
        <v>Financials</v>
      </c>
      <c r="C1293" t="str">
        <f ca="1">OFFSET(Industries!D$1,MATCH(Table1[[#This Row],[Ticker]],Industries!$A$2:$A$150,0),0)</f>
        <v>Insurance</v>
      </c>
      <c r="D1293" t="str">
        <f ca="1">OFFSET(Industries!E$1,MATCH(Table1[[#This Row],[Ticker]],Industries!$A$2:$A$150,0),0)</f>
        <v>Insurance</v>
      </c>
      <c r="E1293" t="s">
        <v>496</v>
      </c>
      <c r="F1293" t="str">
        <f ca="1">OFFSET(Industries!B$1,MATCH(Table1[[#This Row],[Ticker]],Industries!$A$2:$A$140,0),0)</f>
        <v>Ultra-Cap</v>
      </c>
      <c r="G1293" t="str">
        <f ca="1">OFFSET(Industries!F$1,MATCH(Table1[[#This Row],[Ticker]],Industries!$A$2:$A$140,0),0)</f>
        <v>A-</v>
      </c>
      <c r="H1293" t="s">
        <v>1434</v>
      </c>
      <c r="I1293" t="s">
        <v>1434</v>
      </c>
      <c r="J1293" s="2">
        <v>45411</v>
      </c>
      <c r="K1293" t="s">
        <v>2</v>
      </c>
      <c r="L1293" t="s">
        <v>1708</v>
      </c>
      <c r="M1293" t="s">
        <v>1709</v>
      </c>
      <c r="N1293" s="1">
        <f>Table1[[#This Row],[Consideration Weight]]</f>
        <v>0.15</v>
      </c>
      <c r="O1293" t="s">
        <v>1724</v>
      </c>
      <c r="P1293" s="1">
        <v>0.15</v>
      </c>
      <c r="Q1293" s="1" t="s">
        <v>1636</v>
      </c>
      <c r="R1293" t="s">
        <v>24</v>
      </c>
      <c r="S1293" t="s">
        <v>90</v>
      </c>
      <c r="T1293" t="s">
        <v>732</v>
      </c>
      <c r="U1293" s="1">
        <v>0.8</v>
      </c>
      <c r="V1293" t="s">
        <v>792</v>
      </c>
    </row>
    <row r="1294" spans="1:22" x14ac:dyDescent="0.3">
      <c r="A1294" t="s">
        <v>789</v>
      </c>
      <c r="B1294" t="str">
        <f ca="1">OFFSET(Industries!C$1,MATCH(Table1[[#This Row],[Ticker]],Industries!$A$2:$A$150,0),0)</f>
        <v>Financials</v>
      </c>
      <c r="C1294" t="str">
        <f ca="1">OFFSET(Industries!D$1,MATCH(Table1[[#This Row],[Ticker]],Industries!$A$2:$A$150,0),0)</f>
        <v>Insurance</v>
      </c>
      <c r="D1294" t="str">
        <f ca="1">OFFSET(Industries!E$1,MATCH(Table1[[#This Row],[Ticker]],Industries!$A$2:$A$150,0),0)</f>
        <v>Insurance</v>
      </c>
      <c r="E1294" t="s">
        <v>496</v>
      </c>
      <c r="F1294" t="str">
        <f ca="1">OFFSET(Industries!B$1,MATCH(Table1[[#This Row],[Ticker]],Industries!$A$2:$A$140,0),0)</f>
        <v>Ultra-Cap</v>
      </c>
      <c r="G1294" t="str">
        <f ca="1">OFFSET(Industries!F$1,MATCH(Table1[[#This Row],[Ticker]],Industries!$A$2:$A$140,0),0)</f>
        <v>A-</v>
      </c>
      <c r="H1294" t="s">
        <v>1434</v>
      </c>
      <c r="I1294" t="s">
        <v>1434</v>
      </c>
      <c r="J1294" s="2">
        <v>45411</v>
      </c>
      <c r="K1294" t="s">
        <v>2</v>
      </c>
      <c r="L1294" t="s">
        <v>1708</v>
      </c>
      <c r="M1294" t="s">
        <v>1709</v>
      </c>
      <c r="N1294" s="1"/>
      <c r="O1294" t="s">
        <v>1724</v>
      </c>
      <c r="P1294" s="1">
        <v>0.15</v>
      </c>
      <c r="Q1294" s="1" t="s">
        <v>1637</v>
      </c>
      <c r="R1294" t="s">
        <v>26</v>
      </c>
      <c r="S1294" t="s">
        <v>26</v>
      </c>
      <c r="T1294" t="s">
        <v>791</v>
      </c>
      <c r="U1294" s="1">
        <v>0.2</v>
      </c>
      <c r="V1294" t="s">
        <v>793</v>
      </c>
    </row>
    <row r="1295" spans="1:22" x14ac:dyDescent="0.3">
      <c r="A1295" t="s">
        <v>789</v>
      </c>
      <c r="B1295" t="str">
        <f ca="1">OFFSET(Industries!C$1,MATCH(Table1[[#This Row],[Ticker]],Industries!$A$2:$A$150,0),0)</f>
        <v>Financials</v>
      </c>
      <c r="C1295" t="str">
        <f ca="1">OFFSET(Industries!D$1,MATCH(Table1[[#This Row],[Ticker]],Industries!$A$2:$A$150,0),0)</f>
        <v>Insurance</v>
      </c>
      <c r="D1295" t="str">
        <f ca="1">OFFSET(Industries!E$1,MATCH(Table1[[#This Row],[Ticker]],Industries!$A$2:$A$150,0),0)</f>
        <v>Insurance</v>
      </c>
      <c r="E1295" t="s">
        <v>496</v>
      </c>
      <c r="F1295" t="str">
        <f ca="1">OFFSET(Industries!B$1,MATCH(Table1[[#This Row],[Ticker]],Industries!$A$2:$A$140,0),0)</f>
        <v>Ultra-Cap</v>
      </c>
      <c r="G1295" t="str">
        <f ca="1">OFFSET(Industries!F$1,MATCH(Table1[[#This Row],[Ticker]],Industries!$A$2:$A$140,0),0)</f>
        <v>A-</v>
      </c>
      <c r="H1295" t="s">
        <v>1434</v>
      </c>
      <c r="I1295" t="s">
        <v>1434</v>
      </c>
      <c r="J1295" s="2">
        <v>45411</v>
      </c>
      <c r="K1295" t="s">
        <v>2</v>
      </c>
      <c r="L1295" t="s">
        <v>1708</v>
      </c>
      <c r="M1295" t="s">
        <v>1709</v>
      </c>
      <c r="N1295" s="1"/>
      <c r="O1295" t="s">
        <v>1724</v>
      </c>
      <c r="P1295" s="1">
        <v>0.15</v>
      </c>
      <c r="R1295" t="s">
        <v>28</v>
      </c>
      <c r="S1295" t="s">
        <v>1113</v>
      </c>
      <c r="T1295" t="s">
        <v>8</v>
      </c>
      <c r="V1295" t="s">
        <v>794</v>
      </c>
    </row>
    <row r="1296" spans="1:22" x14ac:dyDescent="0.3">
      <c r="A1296" t="s">
        <v>789</v>
      </c>
      <c r="B1296" t="str">
        <f ca="1">OFFSET(Industries!C$1,MATCH(Table1[[#This Row],[Ticker]],Industries!$A$2:$A$150,0),0)</f>
        <v>Financials</v>
      </c>
      <c r="C1296" t="str">
        <f ca="1">OFFSET(Industries!D$1,MATCH(Table1[[#This Row],[Ticker]],Industries!$A$2:$A$150,0),0)</f>
        <v>Insurance</v>
      </c>
      <c r="D1296" t="str">
        <f ca="1">OFFSET(Industries!E$1,MATCH(Table1[[#This Row],[Ticker]],Industries!$A$2:$A$150,0),0)</f>
        <v>Insurance</v>
      </c>
      <c r="E1296" t="s">
        <v>496</v>
      </c>
      <c r="F1296" t="str">
        <f ca="1">OFFSET(Industries!B$1,MATCH(Table1[[#This Row],[Ticker]],Industries!$A$2:$A$140,0),0)</f>
        <v>Ultra-Cap</v>
      </c>
      <c r="G1296" t="str">
        <f ca="1">OFFSET(Industries!F$1,MATCH(Table1[[#This Row],[Ticker]],Industries!$A$2:$A$140,0),0)</f>
        <v>A-</v>
      </c>
      <c r="H1296" t="s">
        <v>1434</v>
      </c>
      <c r="I1296" t="s">
        <v>1434</v>
      </c>
      <c r="J1296" s="2">
        <v>45411</v>
      </c>
      <c r="K1296" t="s">
        <v>2</v>
      </c>
      <c r="L1296" t="s">
        <v>1708</v>
      </c>
      <c r="M1296" t="s">
        <v>1709</v>
      </c>
      <c r="N1296" s="1"/>
      <c r="O1296" t="s">
        <v>1724</v>
      </c>
      <c r="P1296" s="1">
        <v>0.15</v>
      </c>
      <c r="R1296" t="s">
        <v>28</v>
      </c>
      <c r="S1296" t="s">
        <v>1110</v>
      </c>
      <c r="T1296" t="s">
        <v>172</v>
      </c>
      <c r="V1296" t="s">
        <v>795</v>
      </c>
    </row>
    <row r="1297" spans="1:22" x14ac:dyDescent="0.3">
      <c r="A1297" t="s">
        <v>789</v>
      </c>
      <c r="B1297" t="str">
        <f ca="1">OFFSET(Industries!C$1,MATCH(Table1[[#This Row],[Ticker]],Industries!$A$2:$A$150,0),0)</f>
        <v>Financials</v>
      </c>
      <c r="C1297" t="str">
        <f ca="1">OFFSET(Industries!D$1,MATCH(Table1[[#This Row],[Ticker]],Industries!$A$2:$A$150,0),0)</f>
        <v>Insurance</v>
      </c>
      <c r="D1297" t="str">
        <f ca="1">OFFSET(Industries!E$1,MATCH(Table1[[#This Row],[Ticker]],Industries!$A$2:$A$150,0),0)</f>
        <v>Insurance</v>
      </c>
      <c r="E1297" t="s">
        <v>496</v>
      </c>
      <c r="F1297" t="str">
        <f ca="1">OFFSET(Industries!B$1,MATCH(Table1[[#This Row],[Ticker]],Industries!$A$2:$A$140,0),0)</f>
        <v>Ultra-Cap</v>
      </c>
      <c r="G1297" t="str">
        <f ca="1">OFFSET(Industries!F$1,MATCH(Table1[[#This Row],[Ticker]],Industries!$A$2:$A$140,0),0)</f>
        <v>A-</v>
      </c>
      <c r="H1297" t="s">
        <v>1434</v>
      </c>
      <c r="I1297" t="s">
        <v>1434</v>
      </c>
      <c r="J1297" s="2">
        <v>45411</v>
      </c>
      <c r="K1297" t="s">
        <v>2</v>
      </c>
      <c r="L1297" t="s">
        <v>1708</v>
      </c>
      <c r="M1297" t="s">
        <v>1709</v>
      </c>
      <c r="N1297" s="1"/>
      <c r="O1297" t="s">
        <v>1724</v>
      </c>
      <c r="P1297" s="1">
        <v>0.15</v>
      </c>
      <c r="R1297" t="s">
        <v>28</v>
      </c>
      <c r="S1297" t="s">
        <v>1160</v>
      </c>
      <c r="T1297" t="s">
        <v>491</v>
      </c>
      <c r="V1297" t="s">
        <v>796</v>
      </c>
    </row>
    <row r="1298" spans="1:22" x14ac:dyDescent="0.3">
      <c r="A1298" t="s">
        <v>789</v>
      </c>
      <c r="B1298" t="str">
        <f ca="1">OFFSET(Industries!C$1,MATCH(Table1[[#This Row],[Ticker]],Industries!$A$2:$A$150,0),0)</f>
        <v>Financials</v>
      </c>
      <c r="C1298" t="str">
        <f ca="1">OFFSET(Industries!D$1,MATCH(Table1[[#This Row],[Ticker]],Industries!$A$2:$A$150,0),0)</f>
        <v>Insurance</v>
      </c>
      <c r="D1298" t="str">
        <f ca="1">OFFSET(Industries!E$1,MATCH(Table1[[#This Row],[Ticker]],Industries!$A$2:$A$150,0),0)</f>
        <v>Insurance</v>
      </c>
      <c r="E1298" t="s">
        <v>496</v>
      </c>
      <c r="F1298" t="str">
        <f ca="1">OFFSET(Industries!B$1,MATCH(Table1[[#This Row],[Ticker]],Industries!$A$2:$A$140,0),0)</f>
        <v>Ultra-Cap</v>
      </c>
      <c r="G1298" t="str">
        <f ca="1">OFFSET(Industries!F$1,MATCH(Table1[[#This Row],[Ticker]],Industries!$A$2:$A$140,0),0)</f>
        <v>A-</v>
      </c>
      <c r="H1298" t="s">
        <v>1434</v>
      </c>
      <c r="I1298" t="s">
        <v>1434</v>
      </c>
      <c r="J1298" s="2">
        <v>45411</v>
      </c>
      <c r="K1298" t="s">
        <v>2</v>
      </c>
      <c r="L1298" t="s">
        <v>1710</v>
      </c>
      <c r="M1298" t="s">
        <v>1709</v>
      </c>
      <c r="N1298" s="1">
        <f>Table1[[#This Row],[Consideration Weight]]</f>
        <v>0.79</v>
      </c>
      <c r="O1298" t="s">
        <v>476</v>
      </c>
      <c r="P1298" s="1">
        <v>0.79</v>
      </c>
      <c r="Q1298" s="1" t="s">
        <v>1636</v>
      </c>
      <c r="R1298" t="s">
        <v>24</v>
      </c>
      <c r="S1298" t="s">
        <v>1089</v>
      </c>
      <c r="T1298" t="s">
        <v>86</v>
      </c>
      <c r="U1298" s="1">
        <v>1</v>
      </c>
    </row>
    <row r="1299" spans="1:22" x14ac:dyDescent="0.3">
      <c r="A1299" t="s">
        <v>789</v>
      </c>
      <c r="B1299" t="str">
        <f ca="1">OFFSET(Industries!C$1,MATCH(Table1[[#This Row],[Ticker]],Industries!$A$2:$A$150,0),0)</f>
        <v>Financials</v>
      </c>
      <c r="C1299" t="str">
        <f ca="1">OFFSET(Industries!D$1,MATCH(Table1[[#This Row],[Ticker]],Industries!$A$2:$A$150,0),0)</f>
        <v>Insurance</v>
      </c>
      <c r="D1299" t="str">
        <f ca="1">OFFSET(Industries!E$1,MATCH(Table1[[#This Row],[Ticker]],Industries!$A$2:$A$150,0),0)</f>
        <v>Insurance</v>
      </c>
      <c r="E1299" t="s">
        <v>496</v>
      </c>
      <c r="F1299" t="str">
        <f ca="1">OFFSET(Industries!B$1,MATCH(Table1[[#This Row],[Ticker]],Industries!$A$2:$A$140,0),0)</f>
        <v>Ultra-Cap</v>
      </c>
      <c r="G1299" t="str">
        <f ca="1">OFFSET(Industries!F$1,MATCH(Table1[[#This Row],[Ticker]],Industries!$A$2:$A$140,0),0)</f>
        <v>A-</v>
      </c>
      <c r="H1299" t="s">
        <v>1434</v>
      </c>
      <c r="I1299" t="s">
        <v>1434</v>
      </c>
      <c r="J1299" s="2">
        <v>45411</v>
      </c>
      <c r="K1299" t="s">
        <v>21</v>
      </c>
      <c r="L1299" t="s">
        <v>3</v>
      </c>
      <c r="M1299" t="s">
        <v>1711</v>
      </c>
      <c r="N1299" s="1">
        <f>Table1[[#This Row],[Consideration Weight]]</f>
        <v>0.16</v>
      </c>
      <c r="O1299" t="s">
        <v>3</v>
      </c>
      <c r="P1299" s="1">
        <v>0.16</v>
      </c>
      <c r="V1299" t="s">
        <v>797</v>
      </c>
    </row>
    <row r="1300" spans="1:22" x14ac:dyDescent="0.3">
      <c r="A1300" t="s">
        <v>789</v>
      </c>
      <c r="B1300" t="str">
        <f ca="1">OFFSET(Industries!C$1,MATCH(Table1[[#This Row],[Ticker]],Industries!$A$2:$A$150,0),0)</f>
        <v>Financials</v>
      </c>
      <c r="C1300" t="str">
        <f ca="1">OFFSET(Industries!D$1,MATCH(Table1[[#This Row],[Ticker]],Industries!$A$2:$A$150,0),0)</f>
        <v>Insurance</v>
      </c>
      <c r="D1300" t="str">
        <f ca="1">OFFSET(Industries!E$1,MATCH(Table1[[#This Row],[Ticker]],Industries!$A$2:$A$150,0),0)</f>
        <v>Insurance</v>
      </c>
      <c r="E1300" t="s">
        <v>496</v>
      </c>
      <c r="F1300" t="str">
        <f ca="1">OFFSET(Industries!B$1,MATCH(Table1[[#This Row],[Ticker]],Industries!$A$2:$A$140,0),0)</f>
        <v>Ultra-Cap</v>
      </c>
      <c r="G1300" t="str">
        <f ca="1">OFFSET(Industries!F$1,MATCH(Table1[[#This Row],[Ticker]],Industries!$A$2:$A$140,0),0)</f>
        <v>A-</v>
      </c>
      <c r="H1300" t="s">
        <v>1434</v>
      </c>
      <c r="I1300" t="s">
        <v>1434</v>
      </c>
      <c r="J1300" s="2">
        <v>45411</v>
      </c>
      <c r="K1300" t="s">
        <v>21</v>
      </c>
      <c r="L1300" t="s">
        <v>1708</v>
      </c>
      <c r="M1300" t="s">
        <v>1709</v>
      </c>
      <c r="N1300" s="1">
        <f>Table1[[#This Row],[Consideration Weight]]</f>
        <v>0.24</v>
      </c>
      <c r="O1300" t="s">
        <v>1724</v>
      </c>
      <c r="P1300" s="1">
        <v>0.24</v>
      </c>
      <c r="Q1300" s="1" t="s">
        <v>1636</v>
      </c>
      <c r="R1300" t="s">
        <v>24</v>
      </c>
      <c r="S1300" t="s">
        <v>90</v>
      </c>
      <c r="T1300" t="s">
        <v>732</v>
      </c>
      <c r="U1300" s="1">
        <v>0.8</v>
      </c>
    </row>
    <row r="1301" spans="1:22" x14ac:dyDescent="0.3">
      <c r="A1301" t="s">
        <v>789</v>
      </c>
      <c r="B1301" t="str">
        <f ca="1">OFFSET(Industries!C$1,MATCH(Table1[[#This Row],[Ticker]],Industries!$A$2:$A$150,0),0)</f>
        <v>Financials</v>
      </c>
      <c r="C1301" t="str">
        <f ca="1">OFFSET(Industries!D$1,MATCH(Table1[[#This Row],[Ticker]],Industries!$A$2:$A$150,0),0)</f>
        <v>Insurance</v>
      </c>
      <c r="D1301" t="str">
        <f ca="1">OFFSET(Industries!E$1,MATCH(Table1[[#This Row],[Ticker]],Industries!$A$2:$A$150,0),0)</f>
        <v>Insurance</v>
      </c>
      <c r="E1301" t="s">
        <v>496</v>
      </c>
      <c r="F1301" t="str">
        <f ca="1">OFFSET(Industries!B$1,MATCH(Table1[[#This Row],[Ticker]],Industries!$A$2:$A$140,0),0)</f>
        <v>Ultra-Cap</v>
      </c>
      <c r="G1301" t="str">
        <f ca="1">OFFSET(Industries!F$1,MATCH(Table1[[#This Row],[Ticker]],Industries!$A$2:$A$140,0),0)</f>
        <v>A-</v>
      </c>
      <c r="H1301" t="s">
        <v>1434</v>
      </c>
      <c r="I1301" t="s">
        <v>1434</v>
      </c>
      <c r="J1301" s="2">
        <v>45411</v>
      </c>
      <c r="K1301" t="s">
        <v>21</v>
      </c>
      <c r="L1301" t="s">
        <v>1708</v>
      </c>
      <c r="M1301" t="s">
        <v>1709</v>
      </c>
      <c r="N1301" s="1"/>
      <c r="O1301" t="s">
        <v>1724</v>
      </c>
      <c r="P1301" s="1">
        <v>0.24</v>
      </c>
      <c r="Q1301" s="1" t="s">
        <v>1637</v>
      </c>
      <c r="R1301" t="s">
        <v>26</v>
      </c>
      <c r="S1301" t="s">
        <v>26</v>
      </c>
      <c r="T1301" t="s">
        <v>791</v>
      </c>
      <c r="U1301" s="1">
        <v>0.2</v>
      </c>
    </row>
    <row r="1302" spans="1:22" x14ac:dyDescent="0.3">
      <c r="A1302" t="s">
        <v>789</v>
      </c>
      <c r="B1302" t="str">
        <f ca="1">OFFSET(Industries!C$1,MATCH(Table1[[#This Row],[Ticker]],Industries!$A$2:$A$150,0),0)</f>
        <v>Financials</v>
      </c>
      <c r="C1302" t="str">
        <f ca="1">OFFSET(Industries!D$1,MATCH(Table1[[#This Row],[Ticker]],Industries!$A$2:$A$150,0),0)</f>
        <v>Insurance</v>
      </c>
      <c r="D1302" t="str">
        <f ca="1">OFFSET(Industries!E$1,MATCH(Table1[[#This Row],[Ticker]],Industries!$A$2:$A$150,0),0)</f>
        <v>Insurance</v>
      </c>
      <c r="E1302" t="s">
        <v>496</v>
      </c>
      <c r="F1302" t="str">
        <f ca="1">OFFSET(Industries!B$1,MATCH(Table1[[#This Row],[Ticker]],Industries!$A$2:$A$140,0),0)</f>
        <v>Ultra-Cap</v>
      </c>
      <c r="G1302" t="str">
        <f ca="1">OFFSET(Industries!F$1,MATCH(Table1[[#This Row],[Ticker]],Industries!$A$2:$A$140,0),0)</f>
        <v>A-</v>
      </c>
      <c r="H1302" t="s">
        <v>1434</v>
      </c>
      <c r="I1302" t="s">
        <v>1434</v>
      </c>
      <c r="J1302" s="2">
        <v>45411</v>
      </c>
      <c r="K1302" t="s">
        <v>21</v>
      </c>
      <c r="L1302" t="s">
        <v>1708</v>
      </c>
      <c r="M1302" t="s">
        <v>1709</v>
      </c>
      <c r="N1302" s="1"/>
      <c r="O1302" t="s">
        <v>1724</v>
      </c>
      <c r="P1302" s="1">
        <v>0.24</v>
      </c>
      <c r="R1302" t="s">
        <v>28</v>
      </c>
      <c r="S1302" t="s">
        <v>1113</v>
      </c>
      <c r="T1302" t="s">
        <v>8</v>
      </c>
      <c r="V1302" t="s">
        <v>798</v>
      </c>
    </row>
    <row r="1303" spans="1:22" x14ac:dyDescent="0.3">
      <c r="A1303" t="s">
        <v>789</v>
      </c>
      <c r="B1303" t="str">
        <f ca="1">OFFSET(Industries!C$1,MATCH(Table1[[#This Row],[Ticker]],Industries!$A$2:$A$150,0),0)</f>
        <v>Financials</v>
      </c>
      <c r="C1303" t="str">
        <f ca="1">OFFSET(Industries!D$1,MATCH(Table1[[#This Row],[Ticker]],Industries!$A$2:$A$150,0),0)</f>
        <v>Insurance</v>
      </c>
      <c r="D1303" t="str">
        <f ca="1">OFFSET(Industries!E$1,MATCH(Table1[[#This Row],[Ticker]],Industries!$A$2:$A$150,0),0)</f>
        <v>Insurance</v>
      </c>
      <c r="E1303" t="s">
        <v>496</v>
      </c>
      <c r="F1303" t="str">
        <f ca="1">OFFSET(Industries!B$1,MATCH(Table1[[#This Row],[Ticker]],Industries!$A$2:$A$140,0),0)</f>
        <v>Ultra-Cap</v>
      </c>
      <c r="G1303" t="str">
        <f ca="1">OFFSET(Industries!F$1,MATCH(Table1[[#This Row],[Ticker]],Industries!$A$2:$A$140,0),0)</f>
        <v>A-</v>
      </c>
      <c r="H1303" t="s">
        <v>1434</v>
      </c>
      <c r="I1303" t="s">
        <v>1434</v>
      </c>
      <c r="J1303" s="2">
        <v>45411</v>
      </c>
      <c r="K1303" t="s">
        <v>21</v>
      </c>
      <c r="L1303" t="s">
        <v>1708</v>
      </c>
      <c r="M1303" t="s">
        <v>1709</v>
      </c>
      <c r="N1303" s="1"/>
      <c r="O1303" t="s">
        <v>1724</v>
      </c>
      <c r="P1303" s="1">
        <v>0.24</v>
      </c>
      <c r="R1303" t="s">
        <v>28</v>
      </c>
      <c r="S1303" t="s">
        <v>1110</v>
      </c>
      <c r="T1303" t="s">
        <v>172</v>
      </c>
    </row>
    <row r="1304" spans="1:22" x14ac:dyDescent="0.3">
      <c r="A1304" t="s">
        <v>789</v>
      </c>
      <c r="B1304" t="str">
        <f ca="1">OFFSET(Industries!C$1,MATCH(Table1[[#This Row],[Ticker]],Industries!$A$2:$A$150,0),0)</f>
        <v>Financials</v>
      </c>
      <c r="C1304" t="str">
        <f ca="1">OFFSET(Industries!D$1,MATCH(Table1[[#This Row],[Ticker]],Industries!$A$2:$A$150,0),0)</f>
        <v>Insurance</v>
      </c>
      <c r="D1304" t="str">
        <f ca="1">OFFSET(Industries!E$1,MATCH(Table1[[#This Row],[Ticker]],Industries!$A$2:$A$150,0),0)</f>
        <v>Insurance</v>
      </c>
      <c r="E1304" t="s">
        <v>496</v>
      </c>
      <c r="F1304" t="str">
        <f ca="1">OFFSET(Industries!B$1,MATCH(Table1[[#This Row],[Ticker]],Industries!$A$2:$A$140,0),0)</f>
        <v>Ultra-Cap</v>
      </c>
      <c r="G1304" t="str">
        <f ca="1">OFFSET(Industries!F$1,MATCH(Table1[[#This Row],[Ticker]],Industries!$A$2:$A$140,0),0)</f>
        <v>A-</v>
      </c>
      <c r="H1304" t="s">
        <v>1434</v>
      </c>
      <c r="I1304" t="s">
        <v>1434</v>
      </c>
      <c r="J1304" s="2">
        <v>45411</v>
      </c>
      <c r="K1304" t="s">
        <v>21</v>
      </c>
      <c r="L1304" t="s">
        <v>1708</v>
      </c>
      <c r="M1304" t="s">
        <v>1709</v>
      </c>
      <c r="N1304" s="1"/>
      <c r="O1304" t="s">
        <v>1724</v>
      </c>
      <c r="P1304" s="1">
        <v>0.24</v>
      </c>
      <c r="R1304" t="s">
        <v>28</v>
      </c>
      <c r="S1304" t="s">
        <v>1160</v>
      </c>
      <c r="T1304" t="s">
        <v>491</v>
      </c>
    </row>
    <row r="1305" spans="1:22" x14ac:dyDescent="0.3">
      <c r="A1305" t="s">
        <v>789</v>
      </c>
      <c r="B1305" t="str">
        <f ca="1">OFFSET(Industries!C$1,MATCH(Table1[[#This Row],[Ticker]],Industries!$A$2:$A$150,0),0)</f>
        <v>Financials</v>
      </c>
      <c r="C1305" t="str">
        <f ca="1">OFFSET(Industries!D$1,MATCH(Table1[[#This Row],[Ticker]],Industries!$A$2:$A$150,0),0)</f>
        <v>Insurance</v>
      </c>
      <c r="D1305" t="str">
        <f ca="1">OFFSET(Industries!E$1,MATCH(Table1[[#This Row],[Ticker]],Industries!$A$2:$A$150,0),0)</f>
        <v>Insurance</v>
      </c>
      <c r="E1305" t="s">
        <v>496</v>
      </c>
      <c r="F1305" t="str">
        <f ca="1">OFFSET(Industries!B$1,MATCH(Table1[[#This Row],[Ticker]],Industries!$A$2:$A$140,0),0)</f>
        <v>Ultra-Cap</v>
      </c>
      <c r="G1305" t="str">
        <f ca="1">OFFSET(Industries!F$1,MATCH(Table1[[#This Row],[Ticker]],Industries!$A$2:$A$140,0),0)</f>
        <v>A-</v>
      </c>
      <c r="H1305" t="s">
        <v>1434</v>
      </c>
      <c r="I1305" t="s">
        <v>1434</v>
      </c>
      <c r="J1305" s="2">
        <v>45411</v>
      </c>
      <c r="K1305" t="s">
        <v>21</v>
      </c>
      <c r="L1305" t="s">
        <v>1710</v>
      </c>
      <c r="M1305" t="s">
        <v>1709</v>
      </c>
      <c r="N1305" s="1">
        <f>Table1[[#This Row],[Consideration Weight]]</f>
        <v>0.6</v>
      </c>
      <c r="O1305" t="s">
        <v>476</v>
      </c>
      <c r="P1305" s="1">
        <v>0.6</v>
      </c>
      <c r="Q1305" s="1" t="s">
        <v>1636</v>
      </c>
      <c r="R1305" t="s">
        <v>24</v>
      </c>
      <c r="S1305" t="s">
        <v>1089</v>
      </c>
      <c r="T1305" t="s">
        <v>86</v>
      </c>
      <c r="U1305" s="1">
        <v>1</v>
      </c>
      <c r="V1305" t="s">
        <v>799</v>
      </c>
    </row>
    <row r="1306" spans="1:22" x14ac:dyDescent="0.3">
      <c r="A1306" t="s">
        <v>789</v>
      </c>
      <c r="B1306" t="str">
        <f ca="1">OFFSET(Industries!C$1,MATCH(Table1[[#This Row],[Ticker]],Industries!$A$2:$A$150,0),0)</f>
        <v>Financials</v>
      </c>
      <c r="C1306" t="str">
        <f ca="1">OFFSET(Industries!D$1,MATCH(Table1[[#This Row],[Ticker]],Industries!$A$2:$A$150,0),0)</f>
        <v>Insurance</v>
      </c>
      <c r="D1306" t="str">
        <f ca="1">OFFSET(Industries!E$1,MATCH(Table1[[#This Row],[Ticker]],Industries!$A$2:$A$150,0),0)</f>
        <v>Insurance</v>
      </c>
      <c r="E1306" t="s">
        <v>496</v>
      </c>
      <c r="F1306" t="str">
        <f ca="1">OFFSET(Industries!B$1,MATCH(Table1[[#This Row],[Ticker]],Industries!$A$2:$A$140,0),0)</f>
        <v>Ultra-Cap</v>
      </c>
      <c r="G1306" t="str">
        <f ca="1">OFFSET(Industries!F$1,MATCH(Table1[[#This Row],[Ticker]],Industries!$A$2:$A$140,0),0)</f>
        <v>A-</v>
      </c>
      <c r="H1306" t="s">
        <v>1434</v>
      </c>
      <c r="I1306" t="s">
        <v>1434</v>
      </c>
      <c r="J1306" s="2">
        <v>45411</v>
      </c>
      <c r="K1306" t="s">
        <v>21</v>
      </c>
      <c r="L1306" t="s">
        <v>1716</v>
      </c>
      <c r="M1306" t="s">
        <v>1709</v>
      </c>
      <c r="N1306" s="1"/>
      <c r="O1306" t="s">
        <v>476</v>
      </c>
      <c r="P1306" s="1">
        <v>0.6</v>
      </c>
      <c r="Q1306" s="1" t="s">
        <v>1646</v>
      </c>
      <c r="R1306" t="s">
        <v>35</v>
      </c>
      <c r="S1306" t="s">
        <v>491</v>
      </c>
      <c r="T1306" t="s">
        <v>491</v>
      </c>
    </row>
    <row r="1307" spans="1:22" x14ac:dyDescent="0.3">
      <c r="A1307" t="s">
        <v>800</v>
      </c>
      <c r="B1307" t="str">
        <f ca="1">OFFSET(Industries!C$1,MATCH(Table1[[#This Row],[Ticker]],Industries!$A$2:$A$150,0),0)</f>
        <v>Information Technology</v>
      </c>
      <c r="C1307" t="str">
        <f ca="1">OFFSET(Industries!D$1,MATCH(Table1[[#This Row],[Ticker]],Industries!$A$2:$A$150,0),0)</f>
        <v>Software and Services</v>
      </c>
      <c r="D1307" t="str">
        <f ca="1">OFFSET(Industries!E$1,MATCH(Table1[[#This Row],[Ticker]],Industries!$A$2:$A$150,0),0)</f>
        <v>Software</v>
      </c>
      <c r="E1307" t="s">
        <v>42</v>
      </c>
      <c r="F1307" t="str">
        <f ca="1">OFFSET(Industries!B$1,MATCH(Table1[[#This Row],[Ticker]],Industries!$A$2:$A$140,0),0)</f>
        <v>Ultra-Cap</v>
      </c>
      <c r="H1307" t="s">
        <v>1434</v>
      </c>
      <c r="I1307" t="s">
        <v>1434</v>
      </c>
      <c r="J1307" s="2">
        <v>45338</v>
      </c>
      <c r="K1307" t="s">
        <v>2</v>
      </c>
      <c r="L1307" t="s">
        <v>3</v>
      </c>
      <c r="M1307" t="s">
        <v>1711</v>
      </c>
      <c r="N1307" s="1">
        <f>Table1[[#This Row],[Consideration Weight]]</f>
        <v>5.9548254620123205E-2</v>
      </c>
      <c r="O1307" t="s">
        <v>3</v>
      </c>
      <c r="P1307" s="1">
        <v>5.9548254620123205E-2</v>
      </c>
    </row>
    <row r="1308" spans="1:22" x14ac:dyDescent="0.3">
      <c r="A1308" t="s">
        <v>800</v>
      </c>
      <c r="B1308" t="str">
        <f ca="1">OFFSET(Industries!C$1,MATCH(Table1[[#This Row],[Ticker]],Industries!$A$2:$A$150,0),0)</f>
        <v>Information Technology</v>
      </c>
      <c r="C1308" t="str">
        <f ca="1">OFFSET(Industries!D$1,MATCH(Table1[[#This Row],[Ticker]],Industries!$A$2:$A$150,0),0)</f>
        <v>Software and Services</v>
      </c>
      <c r="D1308" t="str">
        <f ca="1">OFFSET(Industries!E$1,MATCH(Table1[[#This Row],[Ticker]],Industries!$A$2:$A$150,0),0)</f>
        <v>Software</v>
      </c>
      <c r="E1308" t="s">
        <v>42</v>
      </c>
      <c r="F1308" t="str">
        <f ca="1">OFFSET(Industries!B$1,MATCH(Table1[[#This Row],[Ticker]],Industries!$A$2:$A$140,0),0)</f>
        <v>Ultra-Cap</v>
      </c>
      <c r="H1308" t="s">
        <v>1434</v>
      </c>
      <c r="I1308" t="s">
        <v>1434</v>
      </c>
      <c r="J1308" s="2">
        <v>45338</v>
      </c>
      <c r="K1308" t="s">
        <v>2</v>
      </c>
      <c r="L1308" t="s">
        <v>1708</v>
      </c>
      <c r="M1308" t="s">
        <v>1709</v>
      </c>
      <c r="N1308" s="1">
        <f>Table1[[#This Row],[Consideration Weight]]</f>
        <v>0.11909650924024641</v>
      </c>
      <c r="O1308" t="s">
        <v>4</v>
      </c>
      <c r="P1308" s="1">
        <v>0.11909650924024641</v>
      </c>
      <c r="Q1308" s="1" t="s">
        <v>1636</v>
      </c>
      <c r="R1308" t="s">
        <v>23</v>
      </c>
      <c r="S1308" t="s">
        <v>1083</v>
      </c>
      <c r="T1308" t="s">
        <v>37</v>
      </c>
      <c r="U1308" s="1">
        <v>0.6</v>
      </c>
      <c r="V1308" t="s">
        <v>801</v>
      </c>
    </row>
    <row r="1309" spans="1:22" x14ac:dyDescent="0.3">
      <c r="A1309" t="s">
        <v>800</v>
      </c>
      <c r="B1309" t="str">
        <f ca="1">OFFSET(Industries!C$1,MATCH(Table1[[#This Row],[Ticker]],Industries!$A$2:$A$150,0),0)</f>
        <v>Information Technology</v>
      </c>
      <c r="C1309" t="str">
        <f ca="1">OFFSET(Industries!D$1,MATCH(Table1[[#This Row],[Ticker]],Industries!$A$2:$A$150,0),0)</f>
        <v>Software and Services</v>
      </c>
      <c r="D1309" t="str">
        <f ca="1">OFFSET(Industries!E$1,MATCH(Table1[[#This Row],[Ticker]],Industries!$A$2:$A$150,0),0)</f>
        <v>Software</v>
      </c>
      <c r="E1309" t="s">
        <v>42</v>
      </c>
      <c r="F1309" t="str">
        <f ca="1">OFFSET(Industries!B$1,MATCH(Table1[[#This Row],[Ticker]],Industries!$A$2:$A$140,0),0)</f>
        <v>Ultra-Cap</v>
      </c>
      <c r="H1309" t="s">
        <v>1434</v>
      </c>
      <c r="I1309" t="s">
        <v>1434</v>
      </c>
      <c r="J1309" s="2">
        <v>45338</v>
      </c>
      <c r="K1309" t="s">
        <v>2</v>
      </c>
      <c r="L1309" t="s">
        <v>1708</v>
      </c>
      <c r="M1309" t="s">
        <v>1709</v>
      </c>
      <c r="N1309" s="1"/>
      <c r="O1309" t="s">
        <v>4</v>
      </c>
      <c r="P1309" s="1">
        <v>0.11909650924024641</v>
      </c>
      <c r="Q1309" s="1" t="s">
        <v>1636</v>
      </c>
      <c r="R1309" t="s">
        <v>24</v>
      </c>
      <c r="S1309" t="s">
        <v>509</v>
      </c>
      <c r="T1309" t="s">
        <v>38</v>
      </c>
      <c r="U1309" s="1">
        <v>0.4</v>
      </c>
      <c r="V1309" t="s">
        <v>803</v>
      </c>
    </row>
    <row r="1310" spans="1:22" x14ac:dyDescent="0.3">
      <c r="A1310" t="s">
        <v>800</v>
      </c>
      <c r="B1310" t="str">
        <f ca="1">OFFSET(Industries!C$1,MATCH(Table1[[#This Row],[Ticker]],Industries!$A$2:$A$150,0),0)</f>
        <v>Information Technology</v>
      </c>
      <c r="C1310" t="str">
        <f ca="1">OFFSET(Industries!D$1,MATCH(Table1[[#This Row],[Ticker]],Industries!$A$2:$A$150,0),0)</f>
        <v>Software and Services</v>
      </c>
      <c r="D1310" t="str">
        <f ca="1">OFFSET(Industries!E$1,MATCH(Table1[[#This Row],[Ticker]],Industries!$A$2:$A$150,0),0)</f>
        <v>Software</v>
      </c>
      <c r="E1310" t="s">
        <v>42</v>
      </c>
      <c r="F1310" t="str">
        <f ca="1">OFFSET(Industries!B$1,MATCH(Table1[[#This Row],[Ticker]],Industries!$A$2:$A$140,0),0)</f>
        <v>Ultra-Cap</v>
      </c>
      <c r="H1310" t="s">
        <v>1434</v>
      </c>
      <c r="I1310" t="s">
        <v>1434</v>
      </c>
      <c r="J1310" s="2">
        <v>45338</v>
      </c>
      <c r="K1310" t="s">
        <v>2</v>
      </c>
      <c r="L1310" t="s">
        <v>1708</v>
      </c>
      <c r="M1310" t="s">
        <v>1709</v>
      </c>
      <c r="N1310" s="1"/>
      <c r="O1310" t="s">
        <v>4</v>
      </c>
      <c r="P1310" s="1">
        <v>0.11909650924024641</v>
      </c>
      <c r="R1310" t="s">
        <v>28</v>
      </c>
      <c r="S1310" t="s">
        <v>1086</v>
      </c>
      <c r="T1310" t="s">
        <v>802</v>
      </c>
      <c r="V1310" t="s">
        <v>805</v>
      </c>
    </row>
    <row r="1311" spans="1:22" x14ac:dyDescent="0.3">
      <c r="A1311" t="s">
        <v>800</v>
      </c>
      <c r="B1311" t="str">
        <f ca="1">OFFSET(Industries!C$1,MATCH(Table1[[#This Row],[Ticker]],Industries!$A$2:$A$150,0),0)</f>
        <v>Information Technology</v>
      </c>
      <c r="C1311" t="str">
        <f ca="1">OFFSET(Industries!D$1,MATCH(Table1[[#This Row],[Ticker]],Industries!$A$2:$A$150,0),0)</f>
        <v>Software and Services</v>
      </c>
      <c r="D1311" t="str">
        <f ca="1">OFFSET(Industries!E$1,MATCH(Table1[[#This Row],[Ticker]],Industries!$A$2:$A$150,0),0)</f>
        <v>Software</v>
      </c>
      <c r="E1311" t="s">
        <v>42</v>
      </c>
      <c r="F1311" t="str">
        <f ca="1">OFFSET(Industries!B$1,MATCH(Table1[[#This Row],[Ticker]],Industries!$A$2:$A$140,0),0)</f>
        <v>Ultra-Cap</v>
      </c>
      <c r="H1311" t="s">
        <v>1434</v>
      </c>
      <c r="I1311" t="s">
        <v>1434</v>
      </c>
      <c r="J1311" s="2">
        <v>45338</v>
      </c>
      <c r="K1311" t="s">
        <v>2</v>
      </c>
      <c r="L1311" t="s">
        <v>1708</v>
      </c>
      <c r="M1311" t="s">
        <v>1709</v>
      </c>
      <c r="N1311" s="1"/>
      <c r="O1311" t="s">
        <v>4</v>
      </c>
      <c r="P1311" s="1">
        <v>0.11909650924024641</v>
      </c>
      <c r="R1311" t="s">
        <v>28</v>
      </c>
      <c r="S1311" t="s">
        <v>1086</v>
      </c>
      <c r="T1311" t="s">
        <v>804</v>
      </c>
      <c r="V1311" t="s">
        <v>807</v>
      </c>
    </row>
    <row r="1312" spans="1:22" x14ac:dyDescent="0.3">
      <c r="A1312" t="s">
        <v>800</v>
      </c>
      <c r="B1312" t="str">
        <f ca="1">OFFSET(Industries!C$1,MATCH(Table1[[#This Row],[Ticker]],Industries!$A$2:$A$150,0),0)</f>
        <v>Information Technology</v>
      </c>
      <c r="C1312" t="str">
        <f ca="1">OFFSET(Industries!D$1,MATCH(Table1[[#This Row],[Ticker]],Industries!$A$2:$A$150,0),0)</f>
        <v>Software and Services</v>
      </c>
      <c r="D1312" t="str">
        <f ca="1">OFFSET(Industries!E$1,MATCH(Table1[[#This Row],[Ticker]],Industries!$A$2:$A$150,0),0)</f>
        <v>Software</v>
      </c>
      <c r="E1312" t="s">
        <v>42</v>
      </c>
      <c r="F1312" t="str">
        <f ca="1">OFFSET(Industries!B$1,MATCH(Table1[[#This Row],[Ticker]],Industries!$A$2:$A$140,0),0)</f>
        <v>Ultra-Cap</v>
      </c>
      <c r="H1312" t="s">
        <v>1434</v>
      </c>
      <c r="I1312" t="s">
        <v>1434</v>
      </c>
      <c r="J1312" s="2">
        <v>45338</v>
      </c>
      <c r="K1312" t="s">
        <v>2</v>
      </c>
      <c r="L1312" t="s">
        <v>1708</v>
      </c>
      <c r="M1312" t="s">
        <v>1709</v>
      </c>
      <c r="N1312" s="1"/>
      <c r="O1312" t="s">
        <v>4</v>
      </c>
      <c r="P1312" s="1">
        <v>0.11909650924024641</v>
      </c>
      <c r="R1312" t="s">
        <v>28</v>
      </c>
      <c r="S1312" t="s">
        <v>1093</v>
      </c>
      <c r="T1312" t="s">
        <v>806</v>
      </c>
      <c r="V1312" t="s">
        <v>808</v>
      </c>
    </row>
    <row r="1313" spans="1:22" x14ac:dyDescent="0.3">
      <c r="A1313" t="s">
        <v>800</v>
      </c>
      <c r="B1313" t="str">
        <f ca="1">OFFSET(Industries!C$1,MATCH(Table1[[#This Row],[Ticker]],Industries!$A$2:$A$150,0),0)</f>
        <v>Information Technology</v>
      </c>
      <c r="C1313" t="str">
        <f ca="1">OFFSET(Industries!D$1,MATCH(Table1[[#This Row],[Ticker]],Industries!$A$2:$A$150,0),0)</f>
        <v>Software and Services</v>
      </c>
      <c r="D1313" t="str">
        <f ca="1">OFFSET(Industries!E$1,MATCH(Table1[[#This Row],[Ticker]],Industries!$A$2:$A$150,0),0)</f>
        <v>Software</v>
      </c>
      <c r="E1313" t="s">
        <v>42</v>
      </c>
      <c r="F1313" t="str">
        <f ca="1">OFFSET(Industries!B$1,MATCH(Table1[[#This Row],[Ticker]],Industries!$A$2:$A$140,0),0)</f>
        <v>Ultra-Cap</v>
      </c>
      <c r="H1313" t="s">
        <v>1434</v>
      </c>
      <c r="I1313" t="s">
        <v>1434</v>
      </c>
      <c r="J1313" s="2">
        <v>45338</v>
      </c>
      <c r="K1313" t="s">
        <v>2</v>
      </c>
      <c r="L1313" t="s">
        <v>1708</v>
      </c>
      <c r="M1313" t="s">
        <v>1709</v>
      </c>
      <c r="N1313" s="1"/>
      <c r="O1313" t="s">
        <v>4</v>
      </c>
      <c r="P1313" s="1">
        <v>0.11909650924024641</v>
      </c>
      <c r="R1313" t="s">
        <v>28</v>
      </c>
      <c r="S1313" t="s">
        <v>1124</v>
      </c>
      <c r="T1313" t="s">
        <v>38</v>
      </c>
      <c r="V1313" t="s">
        <v>811</v>
      </c>
    </row>
    <row r="1314" spans="1:22" x14ac:dyDescent="0.3">
      <c r="A1314" t="s">
        <v>800</v>
      </c>
      <c r="B1314" t="str">
        <f ca="1">OFFSET(Industries!C$1,MATCH(Table1[[#This Row],[Ticker]],Industries!$A$2:$A$150,0),0)</f>
        <v>Information Technology</v>
      </c>
      <c r="C1314" t="str">
        <f ca="1">OFFSET(Industries!D$1,MATCH(Table1[[#This Row],[Ticker]],Industries!$A$2:$A$150,0),0)</f>
        <v>Software and Services</v>
      </c>
      <c r="D1314" t="str">
        <f ca="1">OFFSET(Industries!E$1,MATCH(Table1[[#This Row],[Ticker]],Industries!$A$2:$A$150,0),0)</f>
        <v>Software</v>
      </c>
      <c r="E1314" t="s">
        <v>42</v>
      </c>
      <c r="F1314" t="str">
        <f ca="1">OFFSET(Industries!B$1,MATCH(Table1[[#This Row],[Ticker]],Industries!$A$2:$A$140,0),0)</f>
        <v>Ultra-Cap</v>
      </c>
      <c r="H1314" t="s">
        <v>1434</v>
      </c>
      <c r="I1314" t="s">
        <v>1434</v>
      </c>
      <c r="J1314" s="2">
        <v>45338</v>
      </c>
      <c r="K1314" t="s">
        <v>2</v>
      </c>
      <c r="L1314" t="s">
        <v>1710</v>
      </c>
      <c r="M1314" t="s">
        <v>1709</v>
      </c>
      <c r="N1314" s="1">
        <f>Table1[[#This Row],[Consideration Weight]]</f>
        <v>0.41067761806981518</v>
      </c>
      <c r="O1314" t="s">
        <v>476</v>
      </c>
      <c r="P1314" s="1">
        <v>0.41067761806981518</v>
      </c>
      <c r="Q1314" s="1" t="s">
        <v>1636</v>
      </c>
      <c r="R1314" t="s">
        <v>23</v>
      </c>
      <c r="S1314" t="s">
        <v>1083</v>
      </c>
      <c r="T1314" t="s">
        <v>809</v>
      </c>
      <c r="U1314" s="1">
        <v>1</v>
      </c>
      <c r="V1314" t="s">
        <v>810</v>
      </c>
    </row>
    <row r="1315" spans="1:22" x14ac:dyDescent="0.3">
      <c r="A1315" t="s">
        <v>800</v>
      </c>
      <c r="B1315" t="str">
        <f ca="1">OFFSET(Industries!C$1,MATCH(Table1[[#This Row],[Ticker]],Industries!$A$2:$A$150,0),0)</f>
        <v>Information Technology</v>
      </c>
      <c r="C1315" t="str">
        <f ca="1">OFFSET(Industries!D$1,MATCH(Table1[[#This Row],[Ticker]],Industries!$A$2:$A$150,0),0)</f>
        <v>Software and Services</v>
      </c>
      <c r="D1315" t="str">
        <f ca="1">OFFSET(Industries!E$1,MATCH(Table1[[#This Row],[Ticker]],Industries!$A$2:$A$150,0),0)</f>
        <v>Software</v>
      </c>
      <c r="E1315" t="s">
        <v>42</v>
      </c>
      <c r="F1315" t="str">
        <f ca="1">OFFSET(Industries!B$1,MATCH(Table1[[#This Row],[Ticker]],Industries!$A$2:$A$140,0),0)</f>
        <v>Ultra-Cap</v>
      </c>
      <c r="H1315" t="s">
        <v>1434</v>
      </c>
      <c r="I1315" t="s">
        <v>1434</v>
      </c>
      <c r="J1315" s="2">
        <v>45338</v>
      </c>
      <c r="K1315" t="s">
        <v>2</v>
      </c>
      <c r="L1315" t="s">
        <v>1710</v>
      </c>
      <c r="M1315" t="s">
        <v>1709</v>
      </c>
      <c r="N1315" s="1"/>
      <c r="O1315" t="s">
        <v>476</v>
      </c>
      <c r="P1315" s="1">
        <v>0.41067761806981518</v>
      </c>
      <c r="R1315" t="s">
        <v>28</v>
      </c>
      <c r="S1315" t="s">
        <v>1085</v>
      </c>
      <c r="T1315" t="s">
        <v>30</v>
      </c>
      <c r="V1315" t="s">
        <v>1769</v>
      </c>
    </row>
    <row r="1316" spans="1:22" x14ac:dyDescent="0.3">
      <c r="A1316" t="s">
        <v>800</v>
      </c>
      <c r="B1316" t="str">
        <f ca="1">OFFSET(Industries!C$1,MATCH(Table1[[#This Row],[Ticker]],Industries!$A$2:$A$150,0),0)</f>
        <v>Information Technology</v>
      </c>
      <c r="C1316" t="str">
        <f ca="1">OFFSET(Industries!D$1,MATCH(Table1[[#This Row],[Ticker]],Industries!$A$2:$A$150,0),0)</f>
        <v>Software and Services</v>
      </c>
      <c r="D1316" t="str">
        <f ca="1">OFFSET(Industries!E$1,MATCH(Table1[[#This Row],[Ticker]],Industries!$A$2:$A$150,0),0)</f>
        <v>Software</v>
      </c>
      <c r="E1316" t="s">
        <v>42</v>
      </c>
      <c r="F1316" t="str">
        <f ca="1">OFFSET(Industries!B$1,MATCH(Table1[[#This Row],[Ticker]],Industries!$A$2:$A$140,0),0)</f>
        <v>Ultra-Cap</v>
      </c>
      <c r="H1316" t="s">
        <v>1434</v>
      </c>
      <c r="I1316" t="s">
        <v>1434</v>
      </c>
      <c r="J1316" s="2">
        <v>45338</v>
      </c>
      <c r="K1316" t="s">
        <v>2</v>
      </c>
      <c r="L1316" t="s">
        <v>1710</v>
      </c>
      <c r="M1316" t="s">
        <v>1709</v>
      </c>
      <c r="N1316" s="1"/>
      <c r="O1316" t="s">
        <v>476</v>
      </c>
      <c r="P1316" s="1">
        <v>0.41067761806981518</v>
      </c>
      <c r="R1316" t="s">
        <v>28</v>
      </c>
      <c r="S1316" t="s">
        <v>1167</v>
      </c>
      <c r="T1316" t="s">
        <v>809</v>
      </c>
    </row>
    <row r="1317" spans="1:22" x14ac:dyDescent="0.3">
      <c r="A1317" t="s">
        <v>800</v>
      </c>
      <c r="B1317" t="str">
        <f ca="1">OFFSET(Industries!C$1,MATCH(Table1[[#This Row],[Ticker]],Industries!$A$2:$A$150,0),0)</f>
        <v>Information Technology</v>
      </c>
      <c r="C1317" t="str">
        <f ca="1">OFFSET(Industries!D$1,MATCH(Table1[[#This Row],[Ticker]],Industries!$A$2:$A$150,0),0)</f>
        <v>Software and Services</v>
      </c>
      <c r="D1317" t="str">
        <f ca="1">OFFSET(Industries!E$1,MATCH(Table1[[#This Row],[Ticker]],Industries!$A$2:$A$150,0),0)</f>
        <v>Software</v>
      </c>
      <c r="E1317" t="s">
        <v>42</v>
      </c>
      <c r="F1317" t="str">
        <f ca="1">OFFSET(Industries!B$1,MATCH(Table1[[#This Row],[Ticker]],Industries!$A$2:$A$140,0),0)</f>
        <v>Ultra-Cap</v>
      </c>
      <c r="H1317" t="s">
        <v>1434</v>
      </c>
      <c r="I1317" t="s">
        <v>1434</v>
      </c>
      <c r="J1317" s="2">
        <v>45338</v>
      </c>
      <c r="K1317" t="s">
        <v>2</v>
      </c>
      <c r="L1317" t="s">
        <v>1710</v>
      </c>
      <c r="M1317" t="s">
        <v>1709</v>
      </c>
      <c r="N1317" s="1"/>
      <c r="O1317" t="s">
        <v>476</v>
      </c>
      <c r="P1317" s="1">
        <v>0.41067761806981518</v>
      </c>
      <c r="R1317" t="s">
        <v>28</v>
      </c>
      <c r="S1317" t="s">
        <v>1768</v>
      </c>
      <c r="T1317" t="s">
        <v>30</v>
      </c>
    </row>
    <row r="1318" spans="1:22" x14ac:dyDescent="0.3">
      <c r="A1318" t="s">
        <v>800</v>
      </c>
      <c r="B1318" t="str">
        <f ca="1">OFFSET(Industries!C$1,MATCH(Table1[[#This Row],[Ticker]],Industries!$A$2:$A$150,0),0)</f>
        <v>Information Technology</v>
      </c>
      <c r="C1318" t="str">
        <f ca="1">OFFSET(Industries!D$1,MATCH(Table1[[#This Row],[Ticker]],Industries!$A$2:$A$150,0),0)</f>
        <v>Software and Services</v>
      </c>
      <c r="D1318" t="str">
        <f ca="1">OFFSET(Industries!E$1,MATCH(Table1[[#This Row],[Ticker]],Industries!$A$2:$A$150,0),0)</f>
        <v>Software</v>
      </c>
      <c r="E1318" t="s">
        <v>42</v>
      </c>
      <c r="F1318" t="str">
        <f ca="1">OFFSET(Industries!B$1,MATCH(Table1[[#This Row],[Ticker]],Industries!$A$2:$A$140,0),0)</f>
        <v>Ultra-Cap</v>
      </c>
      <c r="H1318" t="s">
        <v>1434</v>
      </c>
      <c r="I1318" t="s">
        <v>1434</v>
      </c>
      <c r="J1318" s="2">
        <v>45338</v>
      </c>
      <c r="K1318" t="s">
        <v>2</v>
      </c>
      <c r="L1318" t="s">
        <v>1710</v>
      </c>
      <c r="M1318" t="s">
        <v>1711</v>
      </c>
      <c r="N1318" s="1">
        <f>Table1[[#This Row],[Consideration Weight]]</f>
        <v>0.20533880903490759</v>
      </c>
      <c r="O1318" t="s">
        <v>87</v>
      </c>
      <c r="P1318" s="1">
        <v>0.20533880903490759</v>
      </c>
    </row>
    <row r="1319" spans="1:22" x14ac:dyDescent="0.3">
      <c r="A1319" t="s">
        <v>800</v>
      </c>
      <c r="B1319" t="str">
        <f ca="1">OFFSET(Industries!C$1,MATCH(Table1[[#This Row],[Ticker]],Industries!$A$2:$A$150,0),0)</f>
        <v>Information Technology</v>
      </c>
      <c r="C1319" t="str">
        <f ca="1">OFFSET(Industries!D$1,MATCH(Table1[[#This Row],[Ticker]],Industries!$A$2:$A$150,0),0)</f>
        <v>Software and Services</v>
      </c>
      <c r="D1319" t="str">
        <f ca="1">OFFSET(Industries!E$1,MATCH(Table1[[#This Row],[Ticker]],Industries!$A$2:$A$150,0),0)</f>
        <v>Software</v>
      </c>
      <c r="E1319" t="s">
        <v>42</v>
      </c>
      <c r="F1319" t="str">
        <f ca="1">OFFSET(Industries!B$1,MATCH(Table1[[#This Row],[Ticker]],Industries!$A$2:$A$140,0),0)</f>
        <v>Ultra-Cap</v>
      </c>
      <c r="H1319" t="s">
        <v>1434</v>
      </c>
      <c r="I1319" t="s">
        <v>1434</v>
      </c>
      <c r="J1319" s="2">
        <v>45338</v>
      </c>
      <c r="K1319" t="s">
        <v>2</v>
      </c>
      <c r="L1319" t="s">
        <v>1710</v>
      </c>
      <c r="M1319" t="s">
        <v>1711</v>
      </c>
      <c r="N1319" s="1">
        <f>Table1[[#This Row],[Consideration Weight]]</f>
        <v>0.20533880903490759</v>
      </c>
      <c r="O1319" t="s">
        <v>194</v>
      </c>
      <c r="P1319" s="1">
        <v>0.20533880903490759</v>
      </c>
    </row>
    <row r="1320" spans="1:22" x14ac:dyDescent="0.3">
      <c r="A1320" t="s">
        <v>800</v>
      </c>
      <c r="B1320" t="str">
        <f ca="1">OFFSET(Industries!C$1,MATCH(Table1[[#This Row],[Ticker]],Industries!$A$2:$A$150,0),0)</f>
        <v>Information Technology</v>
      </c>
      <c r="C1320" t="str">
        <f ca="1">OFFSET(Industries!D$1,MATCH(Table1[[#This Row],[Ticker]],Industries!$A$2:$A$150,0),0)</f>
        <v>Software and Services</v>
      </c>
      <c r="D1320" t="str">
        <f ca="1">OFFSET(Industries!E$1,MATCH(Table1[[#This Row],[Ticker]],Industries!$A$2:$A$150,0),0)</f>
        <v>Software</v>
      </c>
      <c r="E1320" t="s">
        <v>42</v>
      </c>
      <c r="F1320" t="str">
        <f ca="1">OFFSET(Industries!B$1,MATCH(Table1[[#This Row],[Ticker]],Industries!$A$2:$A$140,0),0)</f>
        <v>Ultra-Cap</v>
      </c>
      <c r="H1320" t="s">
        <v>1434</v>
      </c>
      <c r="I1320" t="s">
        <v>1434</v>
      </c>
      <c r="J1320" s="2">
        <v>45338</v>
      </c>
      <c r="K1320" t="s">
        <v>21</v>
      </c>
      <c r="L1320" t="s">
        <v>3</v>
      </c>
      <c r="M1320" t="s">
        <v>1711</v>
      </c>
      <c r="N1320" s="1">
        <f>Table1[[#This Row],[Consideration Weight]]</f>
        <v>0.09</v>
      </c>
      <c r="O1320" t="s">
        <v>3</v>
      </c>
      <c r="P1320" s="1">
        <v>0.09</v>
      </c>
    </row>
    <row r="1321" spans="1:22" x14ac:dyDescent="0.3">
      <c r="A1321" t="s">
        <v>800</v>
      </c>
      <c r="B1321" t="str">
        <f ca="1">OFFSET(Industries!C$1,MATCH(Table1[[#This Row],[Ticker]],Industries!$A$2:$A$150,0),0)</f>
        <v>Information Technology</v>
      </c>
      <c r="C1321" t="str">
        <f ca="1">OFFSET(Industries!D$1,MATCH(Table1[[#This Row],[Ticker]],Industries!$A$2:$A$150,0),0)</f>
        <v>Software and Services</v>
      </c>
      <c r="D1321" t="str">
        <f ca="1">OFFSET(Industries!E$1,MATCH(Table1[[#This Row],[Ticker]],Industries!$A$2:$A$150,0),0)</f>
        <v>Software</v>
      </c>
      <c r="E1321" t="s">
        <v>42</v>
      </c>
      <c r="F1321" t="str">
        <f ca="1">OFFSET(Industries!B$1,MATCH(Table1[[#This Row],[Ticker]],Industries!$A$2:$A$140,0),0)</f>
        <v>Ultra-Cap</v>
      </c>
      <c r="H1321" t="s">
        <v>1434</v>
      </c>
      <c r="I1321" t="s">
        <v>1434</v>
      </c>
      <c r="J1321" s="2">
        <v>45338</v>
      </c>
      <c r="K1321" t="s">
        <v>21</v>
      </c>
      <c r="L1321" t="s">
        <v>1708</v>
      </c>
      <c r="M1321" t="s">
        <v>1709</v>
      </c>
      <c r="N1321" s="1">
        <f>Table1[[#This Row],[Consideration Weight]]</f>
        <v>0.12</v>
      </c>
      <c r="O1321" t="s">
        <v>4</v>
      </c>
      <c r="P1321" s="1">
        <v>0.12</v>
      </c>
      <c r="Q1321" s="1" t="s">
        <v>1636</v>
      </c>
      <c r="R1321" t="s">
        <v>23</v>
      </c>
      <c r="S1321" t="s">
        <v>1083</v>
      </c>
      <c r="T1321" t="s">
        <v>37</v>
      </c>
      <c r="U1321" s="1">
        <v>0.6</v>
      </c>
    </row>
    <row r="1322" spans="1:22" x14ac:dyDescent="0.3">
      <c r="A1322" t="s">
        <v>800</v>
      </c>
      <c r="B1322" t="str">
        <f ca="1">OFFSET(Industries!C$1,MATCH(Table1[[#This Row],[Ticker]],Industries!$A$2:$A$150,0),0)</f>
        <v>Information Technology</v>
      </c>
      <c r="C1322" t="str">
        <f ca="1">OFFSET(Industries!D$1,MATCH(Table1[[#This Row],[Ticker]],Industries!$A$2:$A$150,0),0)</f>
        <v>Software and Services</v>
      </c>
      <c r="D1322" t="str">
        <f ca="1">OFFSET(Industries!E$1,MATCH(Table1[[#This Row],[Ticker]],Industries!$A$2:$A$150,0),0)</f>
        <v>Software</v>
      </c>
      <c r="E1322" t="s">
        <v>42</v>
      </c>
      <c r="F1322" t="str">
        <f ca="1">OFFSET(Industries!B$1,MATCH(Table1[[#This Row],[Ticker]],Industries!$A$2:$A$140,0),0)</f>
        <v>Ultra-Cap</v>
      </c>
      <c r="H1322" t="s">
        <v>1434</v>
      </c>
      <c r="I1322" t="s">
        <v>1434</v>
      </c>
      <c r="J1322" s="2">
        <v>45338</v>
      </c>
      <c r="K1322" t="s">
        <v>21</v>
      </c>
      <c r="L1322" t="s">
        <v>1708</v>
      </c>
      <c r="M1322" t="s">
        <v>1709</v>
      </c>
      <c r="N1322" s="1"/>
      <c r="O1322" t="s">
        <v>4</v>
      </c>
      <c r="P1322" s="1">
        <v>0.12</v>
      </c>
      <c r="Q1322" s="1" t="s">
        <v>1636</v>
      </c>
      <c r="R1322" t="s">
        <v>24</v>
      </c>
      <c r="S1322" t="s">
        <v>509</v>
      </c>
      <c r="T1322" t="s">
        <v>38</v>
      </c>
      <c r="U1322" s="1">
        <v>0.4</v>
      </c>
    </row>
    <row r="1323" spans="1:22" x14ac:dyDescent="0.3">
      <c r="A1323" t="s">
        <v>800</v>
      </c>
      <c r="B1323" t="str">
        <f ca="1">OFFSET(Industries!C$1,MATCH(Table1[[#This Row],[Ticker]],Industries!$A$2:$A$150,0),0)</f>
        <v>Information Technology</v>
      </c>
      <c r="C1323" t="str">
        <f ca="1">OFFSET(Industries!D$1,MATCH(Table1[[#This Row],[Ticker]],Industries!$A$2:$A$150,0),0)</f>
        <v>Software and Services</v>
      </c>
      <c r="D1323" t="str">
        <f ca="1">OFFSET(Industries!E$1,MATCH(Table1[[#This Row],[Ticker]],Industries!$A$2:$A$150,0),0)</f>
        <v>Software</v>
      </c>
      <c r="E1323" t="s">
        <v>42</v>
      </c>
      <c r="F1323" t="str">
        <f ca="1">OFFSET(Industries!B$1,MATCH(Table1[[#This Row],[Ticker]],Industries!$A$2:$A$140,0),0)</f>
        <v>Ultra-Cap</v>
      </c>
      <c r="H1323" t="s">
        <v>1434</v>
      </c>
      <c r="I1323" t="s">
        <v>1434</v>
      </c>
      <c r="J1323" s="2">
        <v>45338</v>
      </c>
      <c r="K1323" t="s">
        <v>21</v>
      </c>
      <c r="L1323" t="s">
        <v>1708</v>
      </c>
      <c r="M1323" t="s">
        <v>1709</v>
      </c>
      <c r="N1323" s="1"/>
      <c r="O1323" t="s">
        <v>4</v>
      </c>
      <c r="P1323" s="1">
        <v>0.12</v>
      </c>
      <c r="R1323" t="s">
        <v>28</v>
      </c>
      <c r="S1323" t="s">
        <v>1086</v>
      </c>
      <c r="T1323" t="s">
        <v>802</v>
      </c>
    </row>
    <row r="1324" spans="1:22" x14ac:dyDescent="0.3">
      <c r="A1324" t="s">
        <v>800</v>
      </c>
      <c r="B1324" t="str">
        <f ca="1">OFFSET(Industries!C$1,MATCH(Table1[[#This Row],[Ticker]],Industries!$A$2:$A$150,0),0)</f>
        <v>Information Technology</v>
      </c>
      <c r="C1324" t="str">
        <f ca="1">OFFSET(Industries!D$1,MATCH(Table1[[#This Row],[Ticker]],Industries!$A$2:$A$150,0),0)</f>
        <v>Software and Services</v>
      </c>
      <c r="D1324" t="str">
        <f ca="1">OFFSET(Industries!E$1,MATCH(Table1[[#This Row],[Ticker]],Industries!$A$2:$A$150,0),0)</f>
        <v>Software</v>
      </c>
      <c r="E1324" t="s">
        <v>42</v>
      </c>
      <c r="F1324" t="str">
        <f ca="1">OFFSET(Industries!B$1,MATCH(Table1[[#This Row],[Ticker]],Industries!$A$2:$A$140,0),0)</f>
        <v>Ultra-Cap</v>
      </c>
      <c r="H1324" t="s">
        <v>1434</v>
      </c>
      <c r="I1324" t="s">
        <v>1434</v>
      </c>
      <c r="J1324" s="2">
        <v>45338</v>
      </c>
      <c r="K1324" t="s">
        <v>21</v>
      </c>
      <c r="L1324" t="s">
        <v>1708</v>
      </c>
      <c r="M1324" t="s">
        <v>1709</v>
      </c>
      <c r="N1324" s="1"/>
      <c r="O1324" t="s">
        <v>4</v>
      </c>
      <c r="P1324" s="1">
        <v>0.12</v>
      </c>
      <c r="R1324" t="s">
        <v>28</v>
      </c>
      <c r="S1324" t="s">
        <v>1086</v>
      </c>
      <c r="T1324" t="s">
        <v>804</v>
      </c>
    </row>
    <row r="1325" spans="1:22" x14ac:dyDescent="0.3">
      <c r="A1325" t="s">
        <v>800</v>
      </c>
      <c r="B1325" t="str">
        <f ca="1">OFFSET(Industries!C$1,MATCH(Table1[[#This Row],[Ticker]],Industries!$A$2:$A$150,0),0)</f>
        <v>Information Technology</v>
      </c>
      <c r="C1325" t="str">
        <f ca="1">OFFSET(Industries!D$1,MATCH(Table1[[#This Row],[Ticker]],Industries!$A$2:$A$150,0),0)</f>
        <v>Software and Services</v>
      </c>
      <c r="D1325" t="str">
        <f ca="1">OFFSET(Industries!E$1,MATCH(Table1[[#This Row],[Ticker]],Industries!$A$2:$A$150,0),0)</f>
        <v>Software</v>
      </c>
      <c r="E1325" t="s">
        <v>42</v>
      </c>
      <c r="F1325" t="str">
        <f ca="1">OFFSET(Industries!B$1,MATCH(Table1[[#This Row],[Ticker]],Industries!$A$2:$A$140,0),0)</f>
        <v>Ultra-Cap</v>
      </c>
      <c r="H1325" t="s">
        <v>1434</v>
      </c>
      <c r="I1325" t="s">
        <v>1434</v>
      </c>
      <c r="J1325" s="2">
        <v>45338</v>
      </c>
      <c r="K1325" t="s">
        <v>21</v>
      </c>
      <c r="L1325" t="s">
        <v>1708</v>
      </c>
      <c r="M1325" t="s">
        <v>1709</v>
      </c>
      <c r="N1325" s="1"/>
      <c r="O1325" t="s">
        <v>4</v>
      </c>
      <c r="P1325" s="1">
        <v>0.12</v>
      </c>
      <c r="R1325" t="s">
        <v>28</v>
      </c>
      <c r="S1325" t="s">
        <v>1086</v>
      </c>
      <c r="T1325" t="s">
        <v>806</v>
      </c>
    </row>
    <row r="1326" spans="1:22" x14ac:dyDescent="0.3">
      <c r="A1326" t="s">
        <v>800</v>
      </c>
      <c r="B1326" t="str">
        <f ca="1">OFFSET(Industries!C$1,MATCH(Table1[[#This Row],[Ticker]],Industries!$A$2:$A$150,0),0)</f>
        <v>Information Technology</v>
      </c>
      <c r="C1326" t="str">
        <f ca="1">OFFSET(Industries!D$1,MATCH(Table1[[#This Row],[Ticker]],Industries!$A$2:$A$150,0),0)</f>
        <v>Software and Services</v>
      </c>
      <c r="D1326" t="str">
        <f ca="1">OFFSET(Industries!E$1,MATCH(Table1[[#This Row],[Ticker]],Industries!$A$2:$A$150,0),0)</f>
        <v>Software</v>
      </c>
      <c r="E1326" t="s">
        <v>42</v>
      </c>
      <c r="F1326" t="str">
        <f ca="1">OFFSET(Industries!B$1,MATCH(Table1[[#This Row],[Ticker]],Industries!$A$2:$A$140,0),0)</f>
        <v>Ultra-Cap</v>
      </c>
      <c r="H1326" t="s">
        <v>1434</v>
      </c>
      <c r="I1326" t="s">
        <v>1434</v>
      </c>
      <c r="J1326" s="2">
        <v>45338</v>
      </c>
      <c r="K1326" t="s">
        <v>21</v>
      </c>
      <c r="L1326" t="s">
        <v>1708</v>
      </c>
      <c r="M1326" t="s">
        <v>1709</v>
      </c>
      <c r="N1326" s="1"/>
      <c r="O1326" t="s">
        <v>4</v>
      </c>
      <c r="P1326" s="1">
        <v>0.12</v>
      </c>
      <c r="R1326" t="s">
        <v>28</v>
      </c>
      <c r="S1326" t="s">
        <v>1124</v>
      </c>
      <c r="T1326" t="s">
        <v>38</v>
      </c>
    </row>
    <row r="1327" spans="1:22" x14ac:dyDescent="0.3">
      <c r="A1327" t="s">
        <v>800</v>
      </c>
      <c r="B1327" t="str">
        <f ca="1">OFFSET(Industries!C$1,MATCH(Table1[[#This Row],[Ticker]],Industries!$A$2:$A$150,0),0)</f>
        <v>Information Technology</v>
      </c>
      <c r="C1327" t="str">
        <f ca="1">OFFSET(Industries!D$1,MATCH(Table1[[#This Row],[Ticker]],Industries!$A$2:$A$150,0),0)</f>
        <v>Software and Services</v>
      </c>
      <c r="D1327" t="str">
        <f ca="1">OFFSET(Industries!E$1,MATCH(Table1[[#This Row],[Ticker]],Industries!$A$2:$A$150,0),0)</f>
        <v>Software</v>
      </c>
      <c r="E1327" t="s">
        <v>42</v>
      </c>
      <c r="F1327" t="str">
        <f ca="1">OFFSET(Industries!B$1,MATCH(Table1[[#This Row],[Ticker]],Industries!$A$2:$A$140,0),0)</f>
        <v>Ultra-Cap</v>
      </c>
      <c r="H1327" t="s">
        <v>1434</v>
      </c>
      <c r="I1327" t="s">
        <v>1434</v>
      </c>
      <c r="J1327" s="2">
        <v>45338</v>
      </c>
      <c r="K1327" t="s">
        <v>21</v>
      </c>
      <c r="L1327" t="s">
        <v>1710</v>
      </c>
      <c r="M1327" t="s">
        <v>1709</v>
      </c>
      <c r="N1327" s="1">
        <f>Table1[[#This Row],[Consideration Weight]]</f>
        <v>0.39</v>
      </c>
      <c r="O1327" t="s">
        <v>476</v>
      </c>
      <c r="P1327" s="1">
        <v>0.39</v>
      </c>
      <c r="Q1327" s="1" t="s">
        <v>1636</v>
      </c>
      <c r="R1327" t="s">
        <v>23</v>
      </c>
      <c r="S1327" t="s">
        <v>1083</v>
      </c>
      <c r="T1327" t="s">
        <v>809</v>
      </c>
      <c r="U1327" s="1">
        <v>1</v>
      </c>
    </row>
    <row r="1328" spans="1:22" x14ac:dyDescent="0.3">
      <c r="A1328" t="s">
        <v>800</v>
      </c>
      <c r="B1328" t="str">
        <f ca="1">OFFSET(Industries!C$1,MATCH(Table1[[#This Row],[Ticker]],Industries!$A$2:$A$150,0),0)</f>
        <v>Information Technology</v>
      </c>
      <c r="C1328" t="str">
        <f ca="1">OFFSET(Industries!D$1,MATCH(Table1[[#This Row],[Ticker]],Industries!$A$2:$A$150,0),0)</f>
        <v>Software and Services</v>
      </c>
      <c r="D1328" t="str">
        <f ca="1">OFFSET(Industries!E$1,MATCH(Table1[[#This Row],[Ticker]],Industries!$A$2:$A$150,0),0)</f>
        <v>Software</v>
      </c>
      <c r="E1328" t="s">
        <v>42</v>
      </c>
      <c r="F1328" t="str">
        <f ca="1">OFFSET(Industries!B$1,MATCH(Table1[[#This Row],[Ticker]],Industries!$A$2:$A$140,0),0)</f>
        <v>Ultra-Cap</v>
      </c>
      <c r="H1328" t="s">
        <v>1434</v>
      </c>
      <c r="I1328" t="s">
        <v>1434</v>
      </c>
      <c r="J1328" s="2">
        <v>45338</v>
      </c>
      <c r="K1328" t="s">
        <v>21</v>
      </c>
      <c r="L1328" t="s">
        <v>1710</v>
      </c>
      <c r="M1328" t="s">
        <v>1709</v>
      </c>
      <c r="N1328" s="1"/>
      <c r="O1328" t="s">
        <v>476</v>
      </c>
      <c r="P1328" s="1">
        <v>0.39</v>
      </c>
      <c r="R1328" t="s">
        <v>28</v>
      </c>
      <c r="S1328" t="s">
        <v>1085</v>
      </c>
      <c r="T1328" t="s">
        <v>30</v>
      </c>
    </row>
    <row r="1329" spans="1:22" x14ac:dyDescent="0.3">
      <c r="A1329" t="s">
        <v>800</v>
      </c>
      <c r="B1329" t="str">
        <f ca="1">OFFSET(Industries!C$1,MATCH(Table1[[#This Row],[Ticker]],Industries!$A$2:$A$150,0),0)</f>
        <v>Information Technology</v>
      </c>
      <c r="C1329" t="str">
        <f ca="1">OFFSET(Industries!D$1,MATCH(Table1[[#This Row],[Ticker]],Industries!$A$2:$A$150,0),0)</f>
        <v>Software and Services</v>
      </c>
      <c r="D1329" t="str">
        <f ca="1">OFFSET(Industries!E$1,MATCH(Table1[[#This Row],[Ticker]],Industries!$A$2:$A$150,0),0)</f>
        <v>Software</v>
      </c>
      <c r="E1329" t="s">
        <v>42</v>
      </c>
      <c r="F1329" t="str">
        <f ca="1">OFFSET(Industries!B$1,MATCH(Table1[[#This Row],[Ticker]],Industries!$A$2:$A$140,0),0)</f>
        <v>Ultra-Cap</v>
      </c>
      <c r="H1329" t="s">
        <v>1434</v>
      </c>
      <c r="I1329" t="s">
        <v>1434</v>
      </c>
      <c r="J1329" s="2">
        <v>45338</v>
      </c>
      <c r="K1329" t="s">
        <v>21</v>
      </c>
      <c r="L1329" t="s">
        <v>1710</v>
      </c>
      <c r="M1329" t="s">
        <v>1709</v>
      </c>
      <c r="N1329" s="1"/>
      <c r="O1329" t="s">
        <v>476</v>
      </c>
      <c r="P1329" s="1">
        <v>0.39</v>
      </c>
      <c r="R1329" t="s">
        <v>28</v>
      </c>
      <c r="S1329" t="s">
        <v>1167</v>
      </c>
      <c r="T1329" t="s">
        <v>809</v>
      </c>
    </row>
    <row r="1330" spans="1:22" x14ac:dyDescent="0.3">
      <c r="A1330" t="s">
        <v>800</v>
      </c>
      <c r="B1330" t="str">
        <f ca="1">OFFSET(Industries!C$1,MATCH(Table1[[#This Row],[Ticker]],Industries!$A$2:$A$150,0),0)</f>
        <v>Information Technology</v>
      </c>
      <c r="C1330" t="str">
        <f ca="1">OFFSET(Industries!D$1,MATCH(Table1[[#This Row],[Ticker]],Industries!$A$2:$A$150,0),0)</f>
        <v>Software and Services</v>
      </c>
      <c r="D1330" t="str">
        <f ca="1">OFFSET(Industries!E$1,MATCH(Table1[[#This Row],[Ticker]],Industries!$A$2:$A$150,0),0)</f>
        <v>Software</v>
      </c>
      <c r="E1330" t="s">
        <v>42</v>
      </c>
      <c r="F1330" t="str">
        <f ca="1">OFFSET(Industries!B$1,MATCH(Table1[[#This Row],[Ticker]],Industries!$A$2:$A$140,0),0)</f>
        <v>Ultra-Cap</v>
      </c>
      <c r="H1330" t="s">
        <v>1434</v>
      </c>
      <c r="I1330" t="s">
        <v>1434</v>
      </c>
      <c r="J1330" s="2">
        <v>45338</v>
      </c>
      <c r="K1330" t="s">
        <v>21</v>
      </c>
      <c r="L1330" t="s">
        <v>1710</v>
      </c>
      <c r="M1330" t="s">
        <v>1709</v>
      </c>
      <c r="N1330" s="1"/>
      <c r="O1330" t="s">
        <v>476</v>
      </c>
      <c r="P1330" s="1">
        <v>0.39</v>
      </c>
      <c r="R1330" t="s">
        <v>28</v>
      </c>
      <c r="S1330" t="s">
        <v>1768</v>
      </c>
      <c r="T1330" t="s">
        <v>30</v>
      </c>
    </row>
    <row r="1331" spans="1:22" x14ac:dyDescent="0.3">
      <c r="A1331" t="s">
        <v>800</v>
      </c>
      <c r="B1331" t="str">
        <f ca="1">OFFSET(Industries!C$1,MATCH(Table1[[#This Row],[Ticker]],Industries!$A$2:$A$150,0),0)</f>
        <v>Information Technology</v>
      </c>
      <c r="C1331" t="str">
        <f ca="1">OFFSET(Industries!D$1,MATCH(Table1[[#This Row],[Ticker]],Industries!$A$2:$A$150,0),0)</f>
        <v>Software and Services</v>
      </c>
      <c r="D1331" t="str">
        <f ca="1">OFFSET(Industries!E$1,MATCH(Table1[[#This Row],[Ticker]],Industries!$A$2:$A$150,0),0)</f>
        <v>Software</v>
      </c>
      <c r="E1331" t="s">
        <v>42</v>
      </c>
      <c r="F1331" t="str">
        <f ca="1">OFFSET(Industries!B$1,MATCH(Table1[[#This Row],[Ticker]],Industries!$A$2:$A$140,0),0)</f>
        <v>Ultra-Cap</v>
      </c>
      <c r="H1331" t="s">
        <v>1434</v>
      </c>
      <c r="I1331" t="s">
        <v>1434</v>
      </c>
      <c r="J1331" s="2">
        <v>45338</v>
      </c>
      <c r="K1331" t="s">
        <v>21</v>
      </c>
      <c r="L1331" t="s">
        <v>1710</v>
      </c>
      <c r="M1331" t="s">
        <v>1711</v>
      </c>
      <c r="N1331" s="1">
        <f>Table1[[#This Row],[Consideration Weight]]</f>
        <v>0.2</v>
      </c>
      <c r="O1331" t="s">
        <v>87</v>
      </c>
      <c r="P1331" s="1">
        <v>0.2</v>
      </c>
    </row>
    <row r="1332" spans="1:22" x14ac:dyDescent="0.3">
      <c r="A1332" t="s">
        <v>800</v>
      </c>
      <c r="B1332" t="str">
        <f ca="1">OFFSET(Industries!C$1,MATCH(Table1[[#This Row],[Ticker]],Industries!$A$2:$A$150,0),0)</f>
        <v>Information Technology</v>
      </c>
      <c r="C1332" t="str">
        <f ca="1">OFFSET(Industries!D$1,MATCH(Table1[[#This Row],[Ticker]],Industries!$A$2:$A$150,0),0)</f>
        <v>Software and Services</v>
      </c>
      <c r="D1332" t="str">
        <f ca="1">OFFSET(Industries!E$1,MATCH(Table1[[#This Row],[Ticker]],Industries!$A$2:$A$150,0),0)</f>
        <v>Software</v>
      </c>
      <c r="E1332" t="s">
        <v>42</v>
      </c>
      <c r="F1332" t="str">
        <f ca="1">OFFSET(Industries!B$1,MATCH(Table1[[#This Row],[Ticker]],Industries!$A$2:$A$140,0),0)</f>
        <v>Ultra-Cap</v>
      </c>
      <c r="H1332" t="s">
        <v>1434</v>
      </c>
      <c r="I1332" t="s">
        <v>1434</v>
      </c>
      <c r="J1332" s="2">
        <v>45338</v>
      </c>
      <c r="K1332" t="s">
        <v>21</v>
      </c>
      <c r="L1332" t="s">
        <v>1710</v>
      </c>
      <c r="M1332" t="s">
        <v>1711</v>
      </c>
      <c r="N1332" s="1">
        <f>Table1[[#This Row],[Consideration Weight]]</f>
        <v>0.2</v>
      </c>
      <c r="O1332" t="s">
        <v>194</v>
      </c>
      <c r="P1332" s="1">
        <v>0.2</v>
      </c>
    </row>
    <row r="1333" spans="1:22" x14ac:dyDescent="0.3">
      <c r="A1333" t="s">
        <v>812</v>
      </c>
      <c r="B1333" t="str">
        <f ca="1">OFFSET(Industries!C$1,MATCH(Table1[[#This Row],[Ticker]],Industries!$A$2:$A$150,0),0)</f>
        <v>Utilities</v>
      </c>
      <c r="C1333" t="str">
        <f ca="1">OFFSET(Industries!D$1,MATCH(Table1[[#This Row],[Ticker]],Industries!$A$2:$A$150,0),0)</f>
        <v>Utilities</v>
      </c>
      <c r="D1333" t="str">
        <f ca="1">OFFSET(Industries!E$1,MATCH(Table1[[#This Row],[Ticker]],Industries!$A$2:$A$150,0),0)</f>
        <v>Multi-Utilities</v>
      </c>
      <c r="E1333" t="s">
        <v>444</v>
      </c>
      <c r="F1333" t="str">
        <f ca="1">OFFSET(Industries!B$1,MATCH(Table1[[#This Row],[Ticker]],Industries!$A$2:$A$140,0),0)</f>
        <v>Large-Cap</v>
      </c>
      <c r="G1333" t="str">
        <f ca="1">OFFSET(Industries!F$1,MATCH(Table1[[#This Row],[Ticker]],Industries!$A$2:$A$140,0),0)</f>
        <v>BBB+</v>
      </c>
      <c r="H1333" t="s">
        <v>1434</v>
      </c>
      <c r="I1333" t="s">
        <v>1434</v>
      </c>
      <c r="J1333" s="2">
        <v>45376</v>
      </c>
      <c r="K1333" t="s">
        <v>2</v>
      </c>
      <c r="L1333" t="s">
        <v>3</v>
      </c>
      <c r="M1333" t="s">
        <v>1711</v>
      </c>
      <c r="N1333" s="1">
        <f>Table1[[#This Row],[Consideration Weight]]</f>
        <v>0.1</v>
      </c>
      <c r="O1333" t="s">
        <v>3</v>
      </c>
      <c r="P1333" s="1">
        <v>0.1</v>
      </c>
      <c r="V1333" t="s">
        <v>813</v>
      </c>
    </row>
    <row r="1334" spans="1:22" x14ac:dyDescent="0.3">
      <c r="A1334" t="s">
        <v>812</v>
      </c>
      <c r="B1334" t="str">
        <f ca="1">OFFSET(Industries!C$1,MATCH(Table1[[#This Row],[Ticker]],Industries!$A$2:$A$150,0),0)</f>
        <v>Utilities</v>
      </c>
      <c r="C1334" t="str">
        <f ca="1">OFFSET(Industries!D$1,MATCH(Table1[[#This Row],[Ticker]],Industries!$A$2:$A$150,0),0)</f>
        <v>Utilities</v>
      </c>
      <c r="D1334" t="str">
        <f ca="1">OFFSET(Industries!E$1,MATCH(Table1[[#This Row],[Ticker]],Industries!$A$2:$A$150,0),0)</f>
        <v>Multi-Utilities</v>
      </c>
      <c r="E1334" t="s">
        <v>444</v>
      </c>
      <c r="F1334" t="str">
        <f ca="1">OFFSET(Industries!B$1,MATCH(Table1[[#This Row],[Ticker]],Industries!$A$2:$A$140,0),0)</f>
        <v>Large-Cap</v>
      </c>
      <c r="G1334" t="str">
        <f ca="1">OFFSET(Industries!F$1,MATCH(Table1[[#This Row],[Ticker]],Industries!$A$2:$A$140,0),0)</f>
        <v>BBB+</v>
      </c>
      <c r="H1334" t="s">
        <v>1434</v>
      </c>
      <c r="I1334" t="s">
        <v>1434</v>
      </c>
      <c r="J1334" s="2">
        <v>45376</v>
      </c>
      <c r="K1334" t="s">
        <v>2</v>
      </c>
      <c r="L1334" t="s">
        <v>1708</v>
      </c>
      <c r="M1334" t="s">
        <v>1709</v>
      </c>
      <c r="N1334" s="1">
        <f>Table1[[#This Row],[Consideration Weight]]</f>
        <v>0.17</v>
      </c>
      <c r="O1334" t="s">
        <v>4</v>
      </c>
      <c r="P1334" s="1">
        <v>0.17</v>
      </c>
      <c r="Q1334" s="1" t="s">
        <v>1636</v>
      </c>
      <c r="R1334" t="s">
        <v>24</v>
      </c>
      <c r="S1334" t="s">
        <v>1098</v>
      </c>
      <c r="T1334" t="s">
        <v>107</v>
      </c>
      <c r="U1334" s="1">
        <v>0.8</v>
      </c>
      <c r="V1334" t="s">
        <v>815</v>
      </c>
    </row>
    <row r="1335" spans="1:22" x14ac:dyDescent="0.3">
      <c r="A1335" t="s">
        <v>812</v>
      </c>
      <c r="B1335" t="str">
        <f ca="1">OFFSET(Industries!C$1,MATCH(Table1[[#This Row],[Ticker]],Industries!$A$2:$A$150,0),0)</f>
        <v>Utilities</v>
      </c>
      <c r="C1335" t="str">
        <f ca="1">OFFSET(Industries!D$1,MATCH(Table1[[#This Row],[Ticker]],Industries!$A$2:$A$150,0),0)</f>
        <v>Utilities</v>
      </c>
      <c r="D1335" t="str">
        <f ca="1">OFFSET(Industries!E$1,MATCH(Table1[[#This Row],[Ticker]],Industries!$A$2:$A$150,0),0)</f>
        <v>Multi-Utilities</v>
      </c>
      <c r="E1335" t="s">
        <v>444</v>
      </c>
      <c r="F1335" t="str">
        <f ca="1">OFFSET(Industries!B$1,MATCH(Table1[[#This Row],[Ticker]],Industries!$A$2:$A$140,0),0)</f>
        <v>Large-Cap</v>
      </c>
      <c r="G1335" t="str">
        <f ca="1">OFFSET(Industries!F$1,MATCH(Table1[[#This Row],[Ticker]],Industries!$A$2:$A$140,0),0)</f>
        <v>BBB+</v>
      </c>
      <c r="H1335" t="s">
        <v>1434</v>
      </c>
      <c r="I1335" t="s">
        <v>1434</v>
      </c>
      <c r="J1335" s="2">
        <v>45376</v>
      </c>
      <c r="K1335" t="s">
        <v>2</v>
      </c>
      <c r="L1335" t="s">
        <v>1708</v>
      </c>
      <c r="M1335" t="s">
        <v>1709</v>
      </c>
      <c r="N1335" s="1"/>
      <c r="O1335" t="s">
        <v>4</v>
      </c>
      <c r="P1335" s="1">
        <v>0.17</v>
      </c>
      <c r="Q1335" s="1" t="s">
        <v>1637</v>
      </c>
      <c r="R1335" t="s">
        <v>25</v>
      </c>
      <c r="S1335" t="s">
        <v>814</v>
      </c>
      <c r="T1335" t="s">
        <v>814</v>
      </c>
      <c r="U1335" s="1">
        <v>0.12</v>
      </c>
      <c r="V1335" t="s">
        <v>817</v>
      </c>
    </row>
    <row r="1336" spans="1:22" x14ac:dyDescent="0.3">
      <c r="A1336" t="s">
        <v>812</v>
      </c>
      <c r="B1336" t="str">
        <f ca="1">OFFSET(Industries!C$1,MATCH(Table1[[#This Row],[Ticker]],Industries!$A$2:$A$150,0),0)</f>
        <v>Utilities</v>
      </c>
      <c r="C1336" t="str">
        <f ca="1">OFFSET(Industries!D$1,MATCH(Table1[[#This Row],[Ticker]],Industries!$A$2:$A$150,0),0)</f>
        <v>Utilities</v>
      </c>
      <c r="D1336" t="str">
        <f ca="1">OFFSET(Industries!E$1,MATCH(Table1[[#This Row],[Ticker]],Industries!$A$2:$A$150,0),0)</f>
        <v>Multi-Utilities</v>
      </c>
      <c r="E1336" t="s">
        <v>444</v>
      </c>
      <c r="F1336" t="str">
        <f ca="1">OFFSET(Industries!B$1,MATCH(Table1[[#This Row],[Ticker]],Industries!$A$2:$A$140,0),0)</f>
        <v>Large-Cap</v>
      </c>
      <c r="G1336" t="str">
        <f ca="1">OFFSET(Industries!F$1,MATCH(Table1[[#This Row],[Ticker]],Industries!$A$2:$A$140,0),0)</f>
        <v>BBB+</v>
      </c>
      <c r="H1336" t="s">
        <v>1434</v>
      </c>
      <c r="I1336" t="s">
        <v>1434</v>
      </c>
      <c r="J1336" s="2">
        <v>45376</v>
      </c>
      <c r="K1336" t="s">
        <v>2</v>
      </c>
      <c r="L1336" t="s">
        <v>1708</v>
      </c>
      <c r="M1336" t="s">
        <v>1709</v>
      </c>
      <c r="N1336" s="1"/>
      <c r="O1336" t="s">
        <v>4</v>
      </c>
      <c r="P1336" s="1">
        <v>0.17</v>
      </c>
      <c r="Q1336" s="1" t="s">
        <v>1637</v>
      </c>
      <c r="R1336" t="s">
        <v>26</v>
      </c>
      <c r="S1336" t="s">
        <v>26</v>
      </c>
      <c r="T1336" t="s">
        <v>816</v>
      </c>
      <c r="U1336" s="1">
        <v>0.08</v>
      </c>
      <c r="V1336" t="s">
        <v>818</v>
      </c>
    </row>
    <row r="1337" spans="1:22" x14ac:dyDescent="0.3">
      <c r="A1337" t="s">
        <v>812</v>
      </c>
      <c r="B1337" t="str">
        <f ca="1">OFFSET(Industries!C$1,MATCH(Table1[[#This Row],[Ticker]],Industries!$A$2:$A$150,0),0)</f>
        <v>Utilities</v>
      </c>
      <c r="C1337" t="str">
        <f ca="1">OFFSET(Industries!D$1,MATCH(Table1[[#This Row],[Ticker]],Industries!$A$2:$A$150,0),0)</f>
        <v>Utilities</v>
      </c>
      <c r="D1337" t="str">
        <f ca="1">OFFSET(Industries!E$1,MATCH(Table1[[#This Row],[Ticker]],Industries!$A$2:$A$150,0),0)</f>
        <v>Multi-Utilities</v>
      </c>
      <c r="E1337" t="s">
        <v>444</v>
      </c>
      <c r="F1337" t="str">
        <f ca="1">OFFSET(Industries!B$1,MATCH(Table1[[#This Row],[Ticker]],Industries!$A$2:$A$140,0),0)</f>
        <v>Large-Cap</v>
      </c>
      <c r="G1337" t="str">
        <f ca="1">OFFSET(Industries!F$1,MATCH(Table1[[#This Row],[Ticker]],Industries!$A$2:$A$140,0),0)</f>
        <v>BBB+</v>
      </c>
      <c r="H1337" t="s">
        <v>1434</v>
      </c>
      <c r="I1337" t="s">
        <v>1434</v>
      </c>
      <c r="J1337" s="2">
        <v>45376</v>
      </c>
      <c r="K1337" t="s">
        <v>2</v>
      </c>
      <c r="L1337" t="s">
        <v>1710</v>
      </c>
      <c r="M1337" t="s">
        <v>1709</v>
      </c>
      <c r="N1337" s="1">
        <f>Table1[[#This Row],[Consideration Weight]]</f>
        <v>0.49</v>
      </c>
      <c r="O1337" t="s">
        <v>476</v>
      </c>
      <c r="P1337" s="1">
        <v>0.49</v>
      </c>
      <c r="Q1337" s="1" t="s">
        <v>1646</v>
      </c>
      <c r="R1337" t="s">
        <v>35</v>
      </c>
      <c r="S1337" t="s">
        <v>29</v>
      </c>
      <c r="T1337" t="s">
        <v>200</v>
      </c>
      <c r="U1337" s="1">
        <v>0.5</v>
      </c>
      <c r="V1337" t="s">
        <v>820</v>
      </c>
    </row>
    <row r="1338" spans="1:22" x14ac:dyDescent="0.3">
      <c r="A1338" t="s">
        <v>812</v>
      </c>
      <c r="B1338" t="str">
        <f ca="1">OFFSET(Industries!C$1,MATCH(Table1[[#This Row],[Ticker]],Industries!$A$2:$A$150,0),0)</f>
        <v>Utilities</v>
      </c>
      <c r="C1338" t="str">
        <f ca="1">OFFSET(Industries!D$1,MATCH(Table1[[#This Row],[Ticker]],Industries!$A$2:$A$150,0),0)</f>
        <v>Utilities</v>
      </c>
      <c r="D1338" t="str">
        <f ca="1">OFFSET(Industries!E$1,MATCH(Table1[[#This Row],[Ticker]],Industries!$A$2:$A$150,0),0)</f>
        <v>Multi-Utilities</v>
      </c>
      <c r="E1338" t="s">
        <v>444</v>
      </c>
      <c r="F1338" t="str">
        <f ca="1">OFFSET(Industries!B$1,MATCH(Table1[[#This Row],[Ticker]],Industries!$A$2:$A$140,0),0)</f>
        <v>Large-Cap</v>
      </c>
      <c r="G1338" t="str">
        <f ca="1">OFFSET(Industries!F$1,MATCH(Table1[[#This Row],[Ticker]],Industries!$A$2:$A$140,0),0)</f>
        <v>BBB+</v>
      </c>
      <c r="H1338" t="s">
        <v>1434</v>
      </c>
      <c r="I1338" t="s">
        <v>1434</v>
      </c>
      <c r="J1338" s="2">
        <v>45376</v>
      </c>
      <c r="K1338" t="s">
        <v>2</v>
      </c>
      <c r="L1338" t="s">
        <v>1710</v>
      </c>
      <c r="M1338" t="s">
        <v>1709</v>
      </c>
      <c r="N1338" s="1"/>
      <c r="O1338" t="s">
        <v>476</v>
      </c>
      <c r="P1338" s="1">
        <v>0.49</v>
      </c>
      <c r="Q1338" s="1" t="s">
        <v>1636</v>
      </c>
      <c r="R1338" t="s">
        <v>24</v>
      </c>
      <c r="S1338" t="s">
        <v>1089</v>
      </c>
      <c r="T1338" t="s">
        <v>819</v>
      </c>
      <c r="U1338" s="1">
        <v>0.5</v>
      </c>
    </row>
    <row r="1339" spans="1:22" x14ac:dyDescent="0.3">
      <c r="A1339" t="s">
        <v>812</v>
      </c>
      <c r="B1339" t="str">
        <f ca="1">OFFSET(Industries!C$1,MATCH(Table1[[#This Row],[Ticker]],Industries!$A$2:$A$150,0),0)</f>
        <v>Utilities</v>
      </c>
      <c r="C1339" t="str">
        <f ca="1">OFFSET(Industries!D$1,MATCH(Table1[[#This Row],[Ticker]],Industries!$A$2:$A$150,0),0)</f>
        <v>Utilities</v>
      </c>
      <c r="D1339" t="str">
        <f ca="1">OFFSET(Industries!E$1,MATCH(Table1[[#This Row],[Ticker]],Industries!$A$2:$A$150,0),0)</f>
        <v>Multi-Utilities</v>
      </c>
      <c r="E1339" t="s">
        <v>444</v>
      </c>
      <c r="F1339" t="str">
        <f ca="1">OFFSET(Industries!B$1,MATCH(Table1[[#This Row],[Ticker]],Industries!$A$2:$A$140,0),0)</f>
        <v>Large-Cap</v>
      </c>
      <c r="G1339" t="str">
        <f ca="1">OFFSET(Industries!F$1,MATCH(Table1[[#This Row],[Ticker]],Industries!$A$2:$A$140,0),0)</f>
        <v>BBB+</v>
      </c>
      <c r="H1339" t="s">
        <v>1434</v>
      </c>
      <c r="I1339" t="s">
        <v>1434</v>
      </c>
      <c r="J1339" s="2">
        <v>45376</v>
      </c>
      <c r="K1339" t="s">
        <v>2</v>
      </c>
      <c r="L1339" t="s">
        <v>1710</v>
      </c>
      <c r="M1339" t="s">
        <v>1711</v>
      </c>
      <c r="N1339" s="1">
        <f>Table1[[#This Row],[Consideration Weight]]</f>
        <v>0.24</v>
      </c>
      <c r="O1339" t="s">
        <v>87</v>
      </c>
      <c r="P1339" s="1">
        <v>0.24</v>
      </c>
    </row>
    <row r="1340" spans="1:22" x14ac:dyDescent="0.3">
      <c r="A1340" t="s">
        <v>812</v>
      </c>
      <c r="B1340" t="str">
        <f ca="1">OFFSET(Industries!C$1,MATCH(Table1[[#This Row],[Ticker]],Industries!$A$2:$A$150,0),0)</f>
        <v>Utilities</v>
      </c>
      <c r="C1340" t="str">
        <f ca="1">OFFSET(Industries!D$1,MATCH(Table1[[#This Row],[Ticker]],Industries!$A$2:$A$150,0),0)</f>
        <v>Utilities</v>
      </c>
      <c r="D1340" t="str">
        <f ca="1">OFFSET(Industries!E$1,MATCH(Table1[[#This Row],[Ticker]],Industries!$A$2:$A$150,0),0)</f>
        <v>Multi-Utilities</v>
      </c>
      <c r="E1340" t="s">
        <v>444</v>
      </c>
      <c r="F1340" t="str">
        <f ca="1">OFFSET(Industries!B$1,MATCH(Table1[[#This Row],[Ticker]],Industries!$A$2:$A$140,0),0)</f>
        <v>Large-Cap</v>
      </c>
      <c r="G1340" t="str">
        <f ca="1">OFFSET(Industries!F$1,MATCH(Table1[[#This Row],[Ticker]],Industries!$A$2:$A$140,0),0)</f>
        <v>BBB+</v>
      </c>
      <c r="H1340" t="s">
        <v>1434</v>
      </c>
      <c r="I1340" t="s">
        <v>1434</v>
      </c>
      <c r="J1340" s="2">
        <v>45376</v>
      </c>
      <c r="K1340" t="s">
        <v>21</v>
      </c>
      <c r="L1340" t="s">
        <v>3</v>
      </c>
      <c r="M1340" t="s">
        <v>1711</v>
      </c>
      <c r="N1340" s="1">
        <f>Table1[[#This Row],[Consideration Weight]]</f>
        <v>0.24</v>
      </c>
      <c r="O1340" t="s">
        <v>3</v>
      </c>
      <c r="P1340" s="1">
        <v>0.24</v>
      </c>
    </row>
    <row r="1341" spans="1:22" x14ac:dyDescent="0.3">
      <c r="A1341" t="s">
        <v>812</v>
      </c>
      <c r="B1341" t="str">
        <f ca="1">OFFSET(Industries!C$1,MATCH(Table1[[#This Row],[Ticker]],Industries!$A$2:$A$150,0),0)</f>
        <v>Utilities</v>
      </c>
      <c r="C1341" t="str">
        <f ca="1">OFFSET(Industries!D$1,MATCH(Table1[[#This Row],[Ticker]],Industries!$A$2:$A$150,0),0)</f>
        <v>Utilities</v>
      </c>
      <c r="D1341" t="str">
        <f ca="1">OFFSET(Industries!E$1,MATCH(Table1[[#This Row],[Ticker]],Industries!$A$2:$A$150,0),0)</f>
        <v>Multi-Utilities</v>
      </c>
      <c r="E1341" t="s">
        <v>444</v>
      </c>
      <c r="F1341" t="str">
        <f ca="1">OFFSET(Industries!B$1,MATCH(Table1[[#This Row],[Ticker]],Industries!$A$2:$A$140,0),0)</f>
        <v>Large-Cap</v>
      </c>
      <c r="G1341" t="str">
        <f ca="1">OFFSET(Industries!F$1,MATCH(Table1[[#This Row],[Ticker]],Industries!$A$2:$A$140,0),0)</f>
        <v>BBB+</v>
      </c>
      <c r="H1341" t="s">
        <v>1434</v>
      </c>
      <c r="I1341" t="s">
        <v>1434</v>
      </c>
      <c r="J1341" s="2">
        <v>45376</v>
      </c>
      <c r="K1341" t="s">
        <v>21</v>
      </c>
      <c r="L1341" t="s">
        <v>1708</v>
      </c>
      <c r="M1341" t="s">
        <v>1709</v>
      </c>
      <c r="N1341" s="1">
        <f>Table1[[#This Row],[Consideration Weight]]</f>
        <v>0.16666666666666666</v>
      </c>
      <c r="O1341" t="s">
        <v>4</v>
      </c>
      <c r="P1341" s="1">
        <v>0.16666666666666666</v>
      </c>
      <c r="Q1341" s="1" t="s">
        <v>1636</v>
      </c>
      <c r="R1341" t="s">
        <v>24</v>
      </c>
      <c r="S1341" t="s">
        <v>1098</v>
      </c>
      <c r="T1341" t="s">
        <v>107</v>
      </c>
      <c r="U1341" s="1">
        <v>0.8</v>
      </c>
    </row>
    <row r="1342" spans="1:22" x14ac:dyDescent="0.3">
      <c r="A1342" t="s">
        <v>812</v>
      </c>
      <c r="B1342" t="str">
        <f ca="1">OFFSET(Industries!C$1,MATCH(Table1[[#This Row],[Ticker]],Industries!$A$2:$A$150,0),0)</f>
        <v>Utilities</v>
      </c>
      <c r="C1342" t="str">
        <f ca="1">OFFSET(Industries!D$1,MATCH(Table1[[#This Row],[Ticker]],Industries!$A$2:$A$150,0),0)</f>
        <v>Utilities</v>
      </c>
      <c r="D1342" t="str">
        <f ca="1">OFFSET(Industries!E$1,MATCH(Table1[[#This Row],[Ticker]],Industries!$A$2:$A$150,0),0)</f>
        <v>Multi-Utilities</v>
      </c>
      <c r="E1342" t="s">
        <v>444</v>
      </c>
      <c r="F1342" t="str">
        <f ca="1">OFFSET(Industries!B$1,MATCH(Table1[[#This Row],[Ticker]],Industries!$A$2:$A$140,0),0)</f>
        <v>Large-Cap</v>
      </c>
      <c r="G1342" t="str">
        <f ca="1">OFFSET(Industries!F$1,MATCH(Table1[[#This Row],[Ticker]],Industries!$A$2:$A$140,0),0)</f>
        <v>BBB+</v>
      </c>
      <c r="H1342" t="s">
        <v>1434</v>
      </c>
      <c r="I1342" t="s">
        <v>1434</v>
      </c>
      <c r="J1342" s="2">
        <v>45376</v>
      </c>
      <c r="K1342" t="s">
        <v>21</v>
      </c>
      <c r="L1342" t="s">
        <v>1708</v>
      </c>
      <c r="M1342" t="s">
        <v>1709</v>
      </c>
      <c r="N1342" s="1"/>
      <c r="O1342" t="s">
        <v>4</v>
      </c>
      <c r="P1342" s="1">
        <v>0.16666666666666666</v>
      </c>
      <c r="Q1342" s="1" t="s">
        <v>1637</v>
      </c>
      <c r="R1342" t="s">
        <v>25</v>
      </c>
      <c r="S1342" t="s">
        <v>814</v>
      </c>
      <c r="T1342" t="s">
        <v>814</v>
      </c>
      <c r="U1342" s="1">
        <v>0.12</v>
      </c>
    </row>
    <row r="1343" spans="1:22" x14ac:dyDescent="0.3">
      <c r="A1343" t="s">
        <v>812</v>
      </c>
      <c r="B1343" t="str">
        <f ca="1">OFFSET(Industries!C$1,MATCH(Table1[[#This Row],[Ticker]],Industries!$A$2:$A$150,0),0)</f>
        <v>Utilities</v>
      </c>
      <c r="C1343" t="str">
        <f ca="1">OFFSET(Industries!D$1,MATCH(Table1[[#This Row],[Ticker]],Industries!$A$2:$A$150,0),0)</f>
        <v>Utilities</v>
      </c>
      <c r="D1343" t="str">
        <f ca="1">OFFSET(Industries!E$1,MATCH(Table1[[#This Row],[Ticker]],Industries!$A$2:$A$150,0),0)</f>
        <v>Multi-Utilities</v>
      </c>
      <c r="E1343" t="s">
        <v>444</v>
      </c>
      <c r="F1343" t="str">
        <f ca="1">OFFSET(Industries!B$1,MATCH(Table1[[#This Row],[Ticker]],Industries!$A$2:$A$140,0),0)</f>
        <v>Large-Cap</v>
      </c>
      <c r="G1343" t="str">
        <f ca="1">OFFSET(Industries!F$1,MATCH(Table1[[#This Row],[Ticker]],Industries!$A$2:$A$140,0),0)</f>
        <v>BBB+</v>
      </c>
      <c r="H1343" t="s">
        <v>1434</v>
      </c>
      <c r="I1343" t="s">
        <v>1434</v>
      </c>
      <c r="J1343" s="2">
        <v>45376</v>
      </c>
      <c r="K1343" t="s">
        <v>21</v>
      </c>
      <c r="L1343" t="s">
        <v>1708</v>
      </c>
      <c r="M1343" t="s">
        <v>1709</v>
      </c>
      <c r="N1343" s="1"/>
      <c r="O1343" t="s">
        <v>4</v>
      </c>
      <c r="P1343" s="1">
        <v>0.16666666666666666</v>
      </c>
      <c r="Q1343" s="1" t="s">
        <v>1637</v>
      </c>
      <c r="R1343" t="s">
        <v>26</v>
      </c>
      <c r="S1343" t="s">
        <v>26</v>
      </c>
      <c r="T1343" t="s">
        <v>816</v>
      </c>
      <c r="U1343" s="1">
        <v>0.08</v>
      </c>
    </row>
    <row r="1344" spans="1:22" x14ac:dyDescent="0.3">
      <c r="A1344" t="s">
        <v>812</v>
      </c>
      <c r="B1344" t="str">
        <f ca="1">OFFSET(Industries!C$1,MATCH(Table1[[#This Row],[Ticker]],Industries!$A$2:$A$150,0),0)</f>
        <v>Utilities</v>
      </c>
      <c r="C1344" t="str">
        <f ca="1">OFFSET(Industries!D$1,MATCH(Table1[[#This Row],[Ticker]],Industries!$A$2:$A$150,0),0)</f>
        <v>Utilities</v>
      </c>
      <c r="D1344" t="str">
        <f ca="1">OFFSET(Industries!E$1,MATCH(Table1[[#This Row],[Ticker]],Industries!$A$2:$A$150,0),0)</f>
        <v>Multi-Utilities</v>
      </c>
      <c r="E1344" t="s">
        <v>444</v>
      </c>
      <c r="F1344" t="str">
        <f ca="1">OFFSET(Industries!B$1,MATCH(Table1[[#This Row],[Ticker]],Industries!$A$2:$A$140,0),0)</f>
        <v>Large-Cap</v>
      </c>
      <c r="G1344" t="str">
        <f ca="1">OFFSET(Industries!F$1,MATCH(Table1[[#This Row],[Ticker]],Industries!$A$2:$A$140,0),0)</f>
        <v>BBB+</v>
      </c>
      <c r="H1344" t="s">
        <v>1434</v>
      </c>
      <c r="I1344" t="s">
        <v>1434</v>
      </c>
      <c r="J1344" s="2">
        <v>45376</v>
      </c>
      <c r="K1344" t="s">
        <v>21</v>
      </c>
      <c r="L1344" t="s">
        <v>1710</v>
      </c>
      <c r="M1344" t="s">
        <v>1709</v>
      </c>
      <c r="N1344" s="1">
        <f>Table1[[#This Row],[Consideration Weight]]</f>
        <v>0.39555555555555549</v>
      </c>
      <c r="O1344" t="s">
        <v>476</v>
      </c>
      <c r="P1344" s="1">
        <v>0.39555555555555549</v>
      </c>
      <c r="Q1344" s="1" t="s">
        <v>1646</v>
      </c>
      <c r="R1344" t="s">
        <v>35</v>
      </c>
      <c r="S1344" t="s">
        <v>29</v>
      </c>
      <c r="T1344" t="s">
        <v>200</v>
      </c>
      <c r="U1344" s="1">
        <v>0.5</v>
      </c>
    </row>
    <row r="1345" spans="1:22" x14ac:dyDescent="0.3">
      <c r="A1345" t="s">
        <v>812</v>
      </c>
      <c r="B1345" t="str">
        <f ca="1">OFFSET(Industries!C$1,MATCH(Table1[[#This Row],[Ticker]],Industries!$A$2:$A$150,0),0)</f>
        <v>Utilities</v>
      </c>
      <c r="C1345" t="str">
        <f ca="1">OFFSET(Industries!D$1,MATCH(Table1[[#This Row],[Ticker]],Industries!$A$2:$A$150,0),0)</f>
        <v>Utilities</v>
      </c>
      <c r="D1345" t="str">
        <f ca="1">OFFSET(Industries!E$1,MATCH(Table1[[#This Row],[Ticker]],Industries!$A$2:$A$150,0),0)</f>
        <v>Multi-Utilities</v>
      </c>
      <c r="E1345" t="s">
        <v>444</v>
      </c>
      <c r="F1345" t="str">
        <f ca="1">OFFSET(Industries!B$1,MATCH(Table1[[#This Row],[Ticker]],Industries!$A$2:$A$140,0),0)</f>
        <v>Large-Cap</v>
      </c>
      <c r="G1345" t="str">
        <f ca="1">OFFSET(Industries!F$1,MATCH(Table1[[#This Row],[Ticker]],Industries!$A$2:$A$140,0),0)</f>
        <v>BBB+</v>
      </c>
      <c r="H1345" t="s">
        <v>1434</v>
      </c>
      <c r="I1345" t="s">
        <v>1434</v>
      </c>
      <c r="J1345" s="2">
        <v>45376</v>
      </c>
      <c r="K1345" t="s">
        <v>21</v>
      </c>
      <c r="L1345" t="s">
        <v>1710</v>
      </c>
      <c r="M1345" t="s">
        <v>1709</v>
      </c>
      <c r="N1345" s="1"/>
      <c r="O1345" t="s">
        <v>476</v>
      </c>
      <c r="P1345" s="1">
        <v>0.39555555555555549</v>
      </c>
      <c r="Q1345" s="1" t="s">
        <v>1636</v>
      </c>
      <c r="R1345" t="s">
        <v>24</v>
      </c>
      <c r="S1345" t="s">
        <v>1089</v>
      </c>
      <c r="T1345" t="s">
        <v>819</v>
      </c>
      <c r="U1345" s="1">
        <v>0.5</v>
      </c>
    </row>
    <row r="1346" spans="1:22" x14ac:dyDescent="0.3">
      <c r="A1346" t="s">
        <v>812</v>
      </c>
      <c r="B1346" t="str">
        <f ca="1">OFFSET(Industries!C$1,MATCH(Table1[[#This Row],[Ticker]],Industries!$A$2:$A$150,0),0)</f>
        <v>Utilities</v>
      </c>
      <c r="C1346" t="str">
        <f ca="1">OFFSET(Industries!D$1,MATCH(Table1[[#This Row],[Ticker]],Industries!$A$2:$A$150,0),0)</f>
        <v>Utilities</v>
      </c>
      <c r="D1346" t="str">
        <f ca="1">OFFSET(Industries!E$1,MATCH(Table1[[#This Row],[Ticker]],Industries!$A$2:$A$150,0),0)</f>
        <v>Multi-Utilities</v>
      </c>
      <c r="E1346" t="s">
        <v>444</v>
      </c>
      <c r="F1346" t="str">
        <f ca="1">OFFSET(Industries!B$1,MATCH(Table1[[#This Row],[Ticker]],Industries!$A$2:$A$140,0),0)</f>
        <v>Large-Cap</v>
      </c>
      <c r="G1346" t="str">
        <f ca="1">OFFSET(Industries!F$1,MATCH(Table1[[#This Row],[Ticker]],Industries!$A$2:$A$140,0),0)</f>
        <v>BBB+</v>
      </c>
      <c r="H1346" t="s">
        <v>1434</v>
      </c>
      <c r="I1346" t="s">
        <v>1434</v>
      </c>
      <c r="J1346" s="2">
        <v>45376</v>
      </c>
      <c r="K1346" t="s">
        <v>21</v>
      </c>
      <c r="L1346" t="s">
        <v>1710</v>
      </c>
      <c r="M1346" t="s">
        <v>1711</v>
      </c>
      <c r="N1346" s="1">
        <f>Table1[[#This Row],[Consideration Weight]]</f>
        <v>0.12444444444444443</v>
      </c>
      <c r="O1346" t="s">
        <v>194</v>
      </c>
      <c r="P1346" s="1">
        <v>0.12444444444444443</v>
      </c>
    </row>
    <row r="1347" spans="1:22" x14ac:dyDescent="0.3">
      <c r="A1347" t="s">
        <v>812</v>
      </c>
      <c r="B1347" t="str">
        <f ca="1">OFFSET(Industries!C$1,MATCH(Table1[[#This Row],[Ticker]],Industries!$A$2:$A$150,0),0)</f>
        <v>Utilities</v>
      </c>
      <c r="C1347" t="str">
        <f ca="1">OFFSET(Industries!D$1,MATCH(Table1[[#This Row],[Ticker]],Industries!$A$2:$A$150,0),0)</f>
        <v>Utilities</v>
      </c>
      <c r="D1347" t="str">
        <f ca="1">OFFSET(Industries!E$1,MATCH(Table1[[#This Row],[Ticker]],Industries!$A$2:$A$150,0),0)</f>
        <v>Multi-Utilities</v>
      </c>
      <c r="E1347" t="s">
        <v>444</v>
      </c>
      <c r="F1347" t="str">
        <f ca="1">OFFSET(Industries!B$1,MATCH(Table1[[#This Row],[Ticker]],Industries!$A$2:$A$140,0),0)</f>
        <v>Large-Cap</v>
      </c>
      <c r="G1347" t="str">
        <f ca="1">OFFSET(Industries!F$1,MATCH(Table1[[#This Row],[Ticker]],Industries!$A$2:$A$140,0),0)</f>
        <v>BBB+</v>
      </c>
      <c r="H1347" t="s">
        <v>1434</v>
      </c>
      <c r="I1347" t="s">
        <v>1434</v>
      </c>
      <c r="J1347" s="2">
        <v>45376</v>
      </c>
      <c r="K1347" t="s">
        <v>21</v>
      </c>
      <c r="L1347" t="s">
        <v>1710</v>
      </c>
      <c r="M1347" t="s">
        <v>1711</v>
      </c>
      <c r="N1347" s="1">
        <f>Table1[[#This Row],[Consideration Weight]]</f>
        <v>7.3333333333333334E-2</v>
      </c>
      <c r="O1347" t="s">
        <v>87</v>
      </c>
      <c r="P1347" s="1">
        <v>7.3333333333333334E-2</v>
      </c>
    </row>
    <row r="1348" spans="1:22" x14ac:dyDescent="0.3">
      <c r="A1348" t="s">
        <v>821</v>
      </c>
      <c r="B1348" t="str">
        <f ca="1">OFFSET(Industries!C$1,MATCH(Table1[[#This Row],[Ticker]],Industries!$A$2:$A$150,0),0)</f>
        <v>Consumer Discretionary</v>
      </c>
      <c r="C1348" t="str">
        <f ca="1">OFFSET(Industries!D$1,MATCH(Table1[[#This Row],[Ticker]],Industries!$A$2:$A$150,0),0)</f>
        <v>Consumer Services</v>
      </c>
      <c r="D1348" t="str">
        <f ca="1">OFFSET(Industries!E$1,MATCH(Table1[[#This Row],[Ticker]],Industries!$A$2:$A$150,0),0)</f>
        <v>Hotels, Restaurants and Leisure</v>
      </c>
      <c r="E1348" t="s">
        <v>310</v>
      </c>
      <c r="F1348" t="str">
        <f ca="1">OFFSET(Industries!B$1,MATCH(Table1[[#This Row],[Ticker]],Industries!$A$2:$A$140,0),0)</f>
        <v>Ultra-Cap</v>
      </c>
      <c r="G1348" t="str">
        <f ca="1">OFFSET(Industries!F$1,MATCH(Table1[[#This Row],[Ticker]],Industries!$A$2:$A$140,0),0)</f>
        <v>BB+</v>
      </c>
      <c r="H1348" t="s">
        <v>1434</v>
      </c>
      <c r="I1348" t="s">
        <v>1434</v>
      </c>
      <c r="J1348" s="2">
        <v>45387</v>
      </c>
      <c r="K1348" t="s">
        <v>2</v>
      </c>
      <c r="L1348" t="s">
        <v>3</v>
      </c>
      <c r="M1348" t="s">
        <v>1711</v>
      </c>
      <c r="N1348" s="1">
        <f>Table1[[#This Row],[Consideration Weight]]</f>
        <v>0.05</v>
      </c>
      <c r="O1348" t="s">
        <v>3</v>
      </c>
      <c r="P1348" s="1">
        <v>0.05</v>
      </c>
      <c r="V1348" t="s">
        <v>827</v>
      </c>
    </row>
    <row r="1349" spans="1:22" x14ac:dyDescent="0.3">
      <c r="A1349" t="s">
        <v>821</v>
      </c>
      <c r="B1349" t="str">
        <f ca="1">OFFSET(Industries!C$1,MATCH(Table1[[#This Row],[Ticker]],Industries!$A$2:$A$150,0),0)</f>
        <v>Consumer Discretionary</v>
      </c>
      <c r="C1349" t="str">
        <f ca="1">OFFSET(Industries!D$1,MATCH(Table1[[#This Row],[Ticker]],Industries!$A$2:$A$150,0),0)</f>
        <v>Consumer Services</v>
      </c>
      <c r="D1349" t="str">
        <f ca="1">OFFSET(Industries!E$1,MATCH(Table1[[#This Row],[Ticker]],Industries!$A$2:$A$150,0),0)</f>
        <v>Hotels, Restaurants and Leisure</v>
      </c>
      <c r="E1349" t="s">
        <v>310</v>
      </c>
      <c r="F1349" t="str">
        <f ca="1">OFFSET(Industries!B$1,MATCH(Table1[[#This Row],[Ticker]],Industries!$A$2:$A$140,0),0)</f>
        <v>Ultra-Cap</v>
      </c>
      <c r="G1349" t="str">
        <f ca="1">OFFSET(Industries!F$1,MATCH(Table1[[#This Row],[Ticker]],Industries!$A$2:$A$140,0),0)</f>
        <v>BB+</v>
      </c>
      <c r="H1349" t="s">
        <v>1434</v>
      </c>
      <c r="I1349" t="s">
        <v>1434</v>
      </c>
      <c r="J1349" s="2">
        <v>45387</v>
      </c>
      <c r="K1349" t="s">
        <v>2</v>
      </c>
      <c r="L1349" t="s">
        <v>1708</v>
      </c>
      <c r="M1349" t="s">
        <v>1709</v>
      </c>
      <c r="N1349" s="1">
        <f>Table1[[#This Row],[Consideration Weight]]</f>
        <v>0.08</v>
      </c>
      <c r="O1349" t="s">
        <v>4</v>
      </c>
      <c r="P1349" s="1">
        <v>0.08</v>
      </c>
      <c r="Q1349" s="1" t="s">
        <v>1636</v>
      </c>
      <c r="R1349" t="s">
        <v>24</v>
      </c>
      <c r="S1349" t="s">
        <v>1104</v>
      </c>
      <c r="T1349" t="s">
        <v>153</v>
      </c>
      <c r="U1349" s="1">
        <v>0.5</v>
      </c>
      <c r="V1349" t="s">
        <v>822</v>
      </c>
    </row>
    <row r="1350" spans="1:22" x14ac:dyDescent="0.3">
      <c r="A1350" t="s">
        <v>821</v>
      </c>
      <c r="B1350" t="str">
        <f ca="1">OFFSET(Industries!C$1,MATCH(Table1[[#This Row],[Ticker]],Industries!$A$2:$A$150,0),0)</f>
        <v>Consumer Discretionary</v>
      </c>
      <c r="C1350" t="str">
        <f ca="1">OFFSET(Industries!D$1,MATCH(Table1[[#This Row],[Ticker]],Industries!$A$2:$A$150,0),0)</f>
        <v>Consumer Services</v>
      </c>
      <c r="D1350" t="str">
        <f ca="1">OFFSET(Industries!E$1,MATCH(Table1[[#This Row],[Ticker]],Industries!$A$2:$A$150,0),0)</f>
        <v>Hotels, Restaurants and Leisure</v>
      </c>
      <c r="E1350" t="s">
        <v>310</v>
      </c>
      <c r="F1350" t="str">
        <f ca="1">OFFSET(Industries!B$1,MATCH(Table1[[#This Row],[Ticker]],Industries!$A$2:$A$140,0),0)</f>
        <v>Ultra-Cap</v>
      </c>
      <c r="G1350" t="str">
        <f ca="1">OFFSET(Industries!F$1,MATCH(Table1[[#This Row],[Ticker]],Industries!$A$2:$A$140,0),0)</f>
        <v>BB+</v>
      </c>
      <c r="H1350" t="s">
        <v>1434</v>
      </c>
      <c r="I1350" t="s">
        <v>1434</v>
      </c>
      <c r="J1350" s="2">
        <v>45387</v>
      </c>
      <c r="K1350" t="s">
        <v>2</v>
      </c>
      <c r="L1350" t="s">
        <v>1708</v>
      </c>
      <c r="M1350" t="s">
        <v>1709</v>
      </c>
      <c r="N1350" s="1"/>
      <c r="O1350" t="s">
        <v>4</v>
      </c>
      <c r="P1350" s="1">
        <v>0.08</v>
      </c>
      <c r="Q1350" s="1" t="s">
        <v>1637</v>
      </c>
      <c r="R1350" t="s">
        <v>25</v>
      </c>
      <c r="S1350" t="s">
        <v>1086</v>
      </c>
      <c r="T1350" t="s">
        <v>832</v>
      </c>
      <c r="U1350" s="1">
        <v>0.5</v>
      </c>
      <c r="V1350" t="s">
        <v>828</v>
      </c>
    </row>
    <row r="1351" spans="1:22" x14ac:dyDescent="0.3">
      <c r="A1351" t="s">
        <v>821</v>
      </c>
      <c r="B1351" t="str">
        <f ca="1">OFFSET(Industries!C$1,MATCH(Table1[[#This Row],[Ticker]],Industries!$A$2:$A$150,0),0)</f>
        <v>Consumer Discretionary</v>
      </c>
      <c r="C1351" t="str">
        <f ca="1">OFFSET(Industries!D$1,MATCH(Table1[[#This Row],[Ticker]],Industries!$A$2:$A$150,0),0)</f>
        <v>Consumer Services</v>
      </c>
      <c r="D1351" t="str">
        <f ca="1">OFFSET(Industries!E$1,MATCH(Table1[[#This Row],[Ticker]],Industries!$A$2:$A$150,0),0)</f>
        <v>Hotels, Restaurants and Leisure</v>
      </c>
      <c r="E1351" t="s">
        <v>310</v>
      </c>
      <c r="F1351" t="str">
        <f ca="1">OFFSET(Industries!B$1,MATCH(Table1[[#This Row],[Ticker]],Industries!$A$2:$A$140,0),0)</f>
        <v>Ultra-Cap</v>
      </c>
      <c r="G1351" t="str">
        <f ca="1">OFFSET(Industries!F$1,MATCH(Table1[[#This Row],[Ticker]],Industries!$A$2:$A$140,0),0)</f>
        <v>BB+</v>
      </c>
      <c r="H1351" t="s">
        <v>1434</v>
      </c>
      <c r="I1351" t="s">
        <v>1434</v>
      </c>
      <c r="J1351" s="2">
        <v>45387</v>
      </c>
      <c r="K1351" t="s">
        <v>2</v>
      </c>
      <c r="L1351" t="s">
        <v>1710</v>
      </c>
      <c r="M1351" t="s">
        <v>1709</v>
      </c>
      <c r="N1351" s="1">
        <f>Table1[[#This Row],[Consideration Weight]]</f>
        <v>0.435</v>
      </c>
      <c r="O1351" t="s">
        <v>476</v>
      </c>
      <c r="P1351" s="1">
        <f>0.5*0.87</f>
        <v>0.435</v>
      </c>
      <c r="Q1351" s="1" t="s">
        <v>1636</v>
      </c>
      <c r="R1351" t="s">
        <v>62</v>
      </c>
      <c r="S1351" t="s">
        <v>129</v>
      </c>
      <c r="T1351" t="s">
        <v>823</v>
      </c>
      <c r="U1351" s="1">
        <v>0.25</v>
      </c>
      <c r="V1351" t="s">
        <v>231</v>
      </c>
    </row>
    <row r="1352" spans="1:22" x14ac:dyDescent="0.3">
      <c r="A1352" t="s">
        <v>821</v>
      </c>
      <c r="B1352" t="str">
        <f ca="1">OFFSET(Industries!C$1,MATCH(Table1[[#This Row],[Ticker]],Industries!$A$2:$A$150,0),0)</f>
        <v>Consumer Discretionary</v>
      </c>
      <c r="C1352" t="str">
        <f ca="1">OFFSET(Industries!D$1,MATCH(Table1[[#This Row],[Ticker]],Industries!$A$2:$A$150,0),0)</f>
        <v>Consumer Services</v>
      </c>
      <c r="D1352" t="str">
        <f ca="1">OFFSET(Industries!E$1,MATCH(Table1[[#This Row],[Ticker]],Industries!$A$2:$A$150,0),0)</f>
        <v>Hotels, Restaurants and Leisure</v>
      </c>
      <c r="E1352" t="s">
        <v>310</v>
      </c>
      <c r="F1352" t="str">
        <f ca="1">OFFSET(Industries!B$1,MATCH(Table1[[#This Row],[Ticker]],Industries!$A$2:$A$140,0),0)</f>
        <v>Ultra-Cap</v>
      </c>
      <c r="G1352" t="str">
        <f ca="1">OFFSET(Industries!F$1,MATCH(Table1[[#This Row],[Ticker]],Industries!$A$2:$A$140,0),0)</f>
        <v>BB+</v>
      </c>
      <c r="H1352" t="s">
        <v>1434</v>
      </c>
      <c r="I1352" t="s">
        <v>1434</v>
      </c>
      <c r="J1352" s="2">
        <v>45387</v>
      </c>
      <c r="K1352" t="s">
        <v>2</v>
      </c>
      <c r="L1352" t="s">
        <v>1710</v>
      </c>
      <c r="M1352" t="s">
        <v>1709</v>
      </c>
      <c r="N1352" s="1"/>
      <c r="O1352" t="s">
        <v>476</v>
      </c>
      <c r="P1352" s="1">
        <f>0.5*0.87</f>
        <v>0.435</v>
      </c>
      <c r="Q1352" s="1" t="s">
        <v>1636</v>
      </c>
      <c r="R1352" t="s">
        <v>24</v>
      </c>
      <c r="S1352" t="s">
        <v>1104</v>
      </c>
      <c r="T1352" t="s">
        <v>824</v>
      </c>
      <c r="U1352" s="1">
        <v>0.25</v>
      </c>
      <c r="V1352" t="s">
        <v>829</v>
      </c>
    </row>
    <row r="1353" spans="1:22" x14ac:dyDescent="0.3">
      <c r="A1353" t="s">
        <v>821</v>
      </c>
      <c r="B1353" t="str">
        <f ca="1">OFFSET(Industries!C$1,MATCH(Table1[[#This Row],[Ticker]],Industries!$A$2:$A$150,0),0)</f>
        <v>Consumer Discretionary</v>
      </c>
      <c r="C1353" t="str">
        <f ca="1">OFFSET(Industries!D$1,MATCH(Table1[[#This Row],[Ticker]],Industries!$A$2:$A$150,0),0)</f>
        <v>Consumer Services</v>
      </c>
      <c r="D1353" t="str">
        <f ca="1">OFFSET(Industries!E$1,MATCH(Table1[[#This Row],[Ticker]],Industries!$A$2:$A$150,0),0)</f>
        <v>Hotels, Restaurants and Leisure</v>
      </c>
      <c r="E1353" t="s">
        <v>310</v>
      </c>
      <c r="F1353" t="str">
        <f ca="1">OFFSET(Industries!B$1,MATCH(Table1[[#This Row],[Ticker]],Industries!$A$2:$A$140,0),0)</f>
        <v>Ultra-Cap</v>
      </c>
      <c r="G1353" t="str">
        <f ca="1">OFFSET(Industries!F$1,MATCH(Table1[[#This Row],[Ticker]],Industries!$A$2:$A$140,0),0)</f>
        <v>BB+</v>
      </c>
      <c r="H1353" t="s">
        <v>1434</v>
      </c>
      <c r="I1353" t="s">
        <v>1434</v>
      </c>
      <c r="J1353" s="2">
        <v>45387</v>
      </c>
      <c r="K1353" t="s">
        <v>2</v>
      </c>
      <c r="L1353" t="s">
        <v>1710</v>
      </c>
      <c r="M1353" t="s">
        <v>1709</v>
      </c>
      <c r="N1353" s="1"/>
      <c r="O1353" t="s">
        <v>476</v>
      </c>
      <c r="P1353" s="1">
        <f t="shared" ref="P1353:P1354" si="26">0.5*0.87</f>
        <v>0.435</v>
      </c>
      <c r="Q1353" s="1" t="s">
        <v>1636</v>
      </c>
      <c r="R1353" t="s">
        <v>23</v>
      </c>
      <c r="S1353" t="s">
        <v>1161</v>
      </c>
      <c r="T1353" t="s">
        <v>825</v>
      </c>
      <c r="U1353" s="1">
        <v>0.25</v>
      </c>
    </row>
    <row r="1354" spans="1:22" x14ac:dyDescent="0.3">
      <c r="A1354" t="s">
        <v>821</v>
      </c>
      <c r="B1354" t="str">
        <f ca="1">OFFSET(Industries!C$1,MATCH(Table1[[#This Row],[Ticker]],Industries!$A$2:$A$150,0),0)</f>
        <v>Consumer Discretionary</v>
      </c>
      <c r="C1354" t="str">
        <f ca="1">OFFSET(Industries!D$1,MATCH(Table1[[#This Row],[Ticker]],Industries!$A$2:$A$150,0),0)</f>
        <v>Consumer Services</v>
      </c>
      <c r="D1354" t="str">
        <f ca="1">OFFSET(Industries!E$1,MATCH(Table1[[#This Row],[Ticker]],Industries!$A$2:$A$150,0),0)</f>
        <v>Hotels, Restaurants and Leisure</v>
      </c>
      <c r="E1354" t="s">
        <v>310</v>
      </c>
      <c r="F1354" t="str">
        <f ca="1">OFFSET(Industries!B$1,MATCH(Table1[[#This Row],[Ticker]],Industries!$A$2:$A$140,0),0)</f>
        <v>Ultra-Cap</v>
      </c>
      <c r="G1354" t="str">
        <f ca="1">OFFSET(Industries!F$1,MATCH(Table1[[#This Row],[Ticker]],Industries!$A$2:$A$140,0),0)</f>
        <v>BB+</v>
      </c>
      <c r="H1354" t="s">
        <v>1434</v>
      </c>
      <c r="I1354" t="s">
        <v>1434</v>
      </c>
      <c r="J1354" s="2">
        <v>45387</v>
      </c>
      <c r="K1354" t="s">
        <v>2</v>
      </c>
      <c r="L1354" t="s">
        <v>1710</v>
      </c>
      <c r="M1354" t="s">
        <v>1709</v>
      </c>
      <c r="N1354" s="1"/>
      <c r="O1354" t="s">
        <v>476</v>
      </c>
      <c r="P1354" s="1">
        <f t="shared" si="26"/>
        <v>0.435</v>
      </c>
      <c r="Q1354" s="1" t="s">
        <v>1636</v>
      </c>
      <c r="R1354" t="s">
        <v>23</v>
      </c>
      <c r="S1354" t="s">
        <v>1083</v>
      </c>
      <c r="T1354" t="s">
        <v>826</v>
      </c>
      <c r="U1354" s="1">
        <v>0.25</v>
      </c>
    </row>
    <row r="1355" spans="1:22" x14ac:dyDescent="0.3">
      <c r="A1355" t="s">
        <v>821</v>
      </c>
      <c r="B1355" t="str">
        <f ca="1">OFFSET(Industries!C$1,MATCH(Table1[[#This Row],[Ticker]],Industries!$A$2:$A$150,0),0)</f>
        <v>Consumer Discretionary</v>
      </c>
      <c r="C1355" t="str">
        <f ca="1">OFFSET(Industries!D$1,MATCH(Table1[[#This Row],[Ticker]],Industries!$A$2:$A$150,0),0)</f>
        <v>Consumer Services</v>
      </c>
      <c r="D1355" t="str">
        <f ca="1">OFFSET(Industries!E$1,MATCH(Table1[[#This Row],[Ticker]],Industries!$A$2:$A$150,0),0)</f>
        <v>Hotels, Restaurants and Leisure</v>
      </c>
      <c r="E1355" t="s">
        <v>310</v>
      </c>
      <c r="F1355" t="str">
        <f ca="1">OFFSET(Industries!B$1,MATCH(Table1[[#This Row],[Ticker]],Industries!$A$2:$A$140,0),0)</f>
        <v>Ultra-Cap</v>
      </c>
      <c r="G1355" t="str">
        <f ca="1">OFFSET(Industries!F$1,MATCH(Table1[[#This Row],[Ticker]],Industries!$A$2:$A$140,0),0)</f>
        <v>BB+</v>
      </c>
      <c r="H1355" t="s">
        <v>1434</v>
      </c>
      <c r="I1355" t="s">
        <v>1434</v>
      </c>
      <c r="J1355" s="2">
        <v>45387</v>
      </c>
      <c r="K1355" t="s">
        <v>2</v>
      </c>
      <c r="L1355" t="s">
        <v>1710</v>
      </c>
      <c r="M1355" t="s">
        <v>1711</v>
      </c>
      <c r="N1355" s="1">
        <f>Table1[[#This Row],[Consideration Weight]]</f>
        <v>0.2175</v>
      </c>
      <c r="O1355" t="s">
        <v>87</v>
      </c>
      <c r="P1355" s="1">
        <f>0.25*0.87</f>
        <v>0.2175</v>
      </c>
    </row>
    <row r="1356" spans="1:22" x14ac:dyDescent="0.3">
      <c r="A1356" t="s">
        <v>821</v>
      </c>
      <c r="B1356" t="str">
        <f ca="1">OFFSET(Industries!C$1,MATCH(Table1[[#This Row],[Ticker]],Industries!$A$2:$A$150,0),0)</f>
        <v>Consumer Discretionary</v>
      </c>
      <c r="C1356" t="str">
        <f ca="1">OFFSET(Industries!D$1,MATCH(Table1[[#This Row],[Ticker]],Industries!$A$2:$A$150,0),0)</f>
        <v>Consumer Services</v>
      </c>
      <c r="D1356" t="str">
        <f ca="1">OFFSET(Industries!E$1,MATCH(Table1[[#This Row],[Ticker]],Industries!$A$2:$A$150,0),0)</f>
        <v>Hotels, Restaurants and Leisure</v>
      </c>
      <c r="E1356" t="s">
        <v>310</v>
      </c>
      <c r="F1356" t="str">
        <f ca="1">OFFSET(Industries!B$1,MATCH(Table1[[#This Row],[Ticker]],Industries!$A$2:$A$140,0),0)</f>
        <v>Ultra-Cap</v>
      </c>
      <c r="G1356" t="str">
        <f ca="1">OFFSET(Industries!F$1,MATCH(Table1[[#This Row],[Ticker]],Industries!$A$2:$A$140,0),0)</f>
        <v>BB+</v>
      </c>
      <c r="H1356" t="s">
        <v>1434</v>
      </c>
      <c r="I1356" t="s">
        <v>1434</v>
      </c>
      <c r="J1356" s="2">
        <v>45387</v>
      </c>
      <c r="K1356" t="s">
        <v>2</v>
      </c>
      <c r="L1356" t="s">
        <v>1710</v>
      </c>
      <c r="M1356" t="s">
        <v>1711</v>
      </c>
      <c r="N1356" s="1">
        <f>Table1[[#This Row],[Consideration Weight]]</f>
        <v>0.2175</v>
      </c>
      <c r="O1356" t="s">
        <v>194</v>
      </c>
      <c r="P1356" s="1">
        <f>0.25*0.87</f>
        <v>0.2175</v>
      </c>
    </row>
    <row r="1357" spans="1:22" x14ac:dyDescent="0.3">
      <c r="A1357" t="s">
        <v>821</v>
      </c>
      <c r="B1357" t="str">
        <f ca="1">OFFSET(Industries!C$1,MATCH(Table1[[#This Row],[Ticker]],Industries!$A$2:$A$150,0),0)</f>
        <v>Consumer Discretionary</v>
      </c>
      <c r="C1357" t="str">
        <f ca="1">OFFSET(Industries!D$1,MATCH(Table1[[#This Row],[Ticker]],Industries!$A$2:$A$150,0),0)</f>
        <v>Consumer Services</v>
      </c>
      <c r="D1357" t="str">
        <f ca="1">OFFSET(Industries!E$1,MATCH(Table1[[#This Row],[Ticker]],Industries!$A$2:$A$150,0),0)</f>
        <v>Hotels, Restaurants and Leisure</v>
      </c>
      <c r="E1357" t="s">
        <v>310</v>
      </c>
      <c r="F1357" t="str">
        <f ca="1">OFFSET(Industries!B$1,MATCH(Table1[[#This Row],[Ticker]],Industries!$A$2:$A$140,0),0)</f>
        <v>Ultra-Cap</v>
      </c>
      <c r="G1357" t="str">
        <f ca="1">OFFSET(Industries!F$1,MATCH(Table1[[#This Row],[Ticker]],Industries!$A$2:$A$140,0),0)</f>
        <v>BB+</v>
      </c>
      <c r="H1357" t="s">
        <v>1434</v>
      </c>
      <c r="I1357" t="s">
        <v>1434</v>
      </c>
      <c r="J1357" s="2">
        <v>45387</v>
      </c>
      <c r="K1357" t="s">
        <v>21</v>
      </c>
      <c r="L1357" t="s">
        <v>3</v>
      </c>
      <c r="M1357" t="s">
        <v>1711</v>
      </c>
      <c r="N1357" s="1">
        <f>Table1[[#This Row],[Consideration Weight]]</f>
        <v>0.15</v>
      </c>
      <c r="O1357" t="s">
        <v>3</v>
      </c>
      <c r="P1357" s="1">
        <v>0.15</v>
      </c>
      <c r="V1357" t="s">
        <v>1677</v>
      </c>
    </row>
    <row r="1358" spans="1:22" x14ac:dyDescent="0.3">
      <c r="A1358" t="s">
        <v>821</v>
      </c>
      <c r="B1358" t="str">
        <f ca="1">OFFSET(Industries!C$1,MATCH(Table1[[#This Row],[Ticker]],Industries!$A$2:$A$150,0),0)</f>
        <v>Consumer Discretionary</v>
      </c>
      <c r="C1358" t="str">
        <f ca="1">OFFSET(Industries!D$1,MATCH(Table1[[#This Row],[Ticker]],Industries!$A$2:$A$150,0),0)</f>
        <v>Consumer Services</v>
      </c>
      <c r="D1358" t="str">
        <f ca="1">OFFSET(Industries!E$1,MATCH(Table1[[#This Row],[Ticker]],Industries!$A$2:$A$150,0),0)</f>
        <v>Hotels, Restaurants and Leisure</v>
      </c>
      <c r="E1358" t="s">
        <v>310</v>
      </c>
      <c r="F1358" t="str">
        <f ca="1">OFFSET(Industries!B$1,MATCH(Table1[[#This Row],[Ticker]],Industries!$A$2:$A$140,0),0)</f>
        <v>Ultra-Cap</v>
      </c>
      <c r="G1358" t="str">
        <f ca="1">OFFSET(Industries!F$1,MATCH(Table1[[#This Row],[Ticker]],Industries!$A$2:$A$140,0),0)</f>
        <v>BB+</v>
      </c>
      <c r="H1358" t="s">
        <v>1434</v>
      </c>
      <c r="I1358" t="s">
        <v>1434</v>
      </c>
      <c r="J1358" s="2">
        <v>45387</v>
      </c>
      <c r="K1358" t="s">
        <v>21</v>
      </c>
      <c r="L1358" t="s">
        <v>1708</v>
      </c>
      <c r="M1358" t="s">
        <v>1709</v>
      </c>
      <c r="N1358" s="1">
        <f>Table1[[#This Row],[Consideration Weight]]</f>
        <v>0.15</v>
      </c>
      <c r="O1358" t="s">
        <v>4</v>
      </c>
      <c r="P1358" s="1">
        <v>0.15</v>
      </c>
      <c r="Q1358" s="1" t="s">
        <v>1637</v>
      </c>
      <c r="R1358" t="s">
        <v>25</v>
      </c>
      <c r="S1358" t="s">
        <v>1086</v>
      </c>
      <c r="T1358" t="s">
        <v>831</v>
      </c>
      <c r="U1358" s="1">
        <v>0.4</v>
      </c>
    </row>
    <row r="1359" spans="1:22" x14ac:dyDescent="0.3">
      <c r="A1359" t="s">
        <v>821</v>
      </c>
      <c r="B1359" t="str">
        <f ca="1">OFFSET(Industries!C$1,MATCH(Table1[[#This Row],[Ticker]],Industries!$A$2:$A$150,0),0)</f>
        <v>Consumer Discretionary</v>
      </c>
      <c r="C1359" t="str">
        <f ca="1">OFFSET(Industries!D$1,MATCH(Table1[[#This Row],[Ticker]],Industries!$A$2:$A$150,0),0)</f>
        <v>Consumer Services</v>
      </c>
      <c r="D1359" t="str">
        <f ca="1">OFFSET(Industries!E$1,MATCH(Table1[[#This Row],[Ticker]],Industries!$A$2:$A$150,0),0)</f>
        <v>Hotels, Restaurants and Leisure</v>
      </c>
      <c r="E1359" t="s">
        <v>310</v>
      </c>
      <c r="F1359" t="str">
        <f ca="1">OFFSET(Industries!B$1,MATCH(Table1[[#This Row],[Ticker]],Industries!$A$2:$A$140,0),0)</f>
        <v>Ultra-Cap</v>
      </c>
      <c r="G1359" t="str">
        <f ca="1">OFFSET(Industries!F$1,MATCH(Table1[[#This Row],[Ticker]],Industries!$A$2:$A$140,0),0)</f>
        <v>BB+</v>
      </c>
      <c r="H1359" t="s">
        <v>1434</v>
      </c>
      <c r="I1359" t="s">
        <v>1434</v>
      </c>
      <c r="J1359" s="2">
        <v>45387</v>
      </c>
      <c r="K1359" t="s">
        <v>21</v>
      </c>
      <c r="L1359" t="s">
        <v>1708</v>
      </c>
      <c r="M1359" t="s">
        <v>1709</v>
      </c>
      <c r="N1359" s="1"/>
      <c r="O1359" t="s">
        <v>4</v>
      </c>
      <c r="P1359" s="1">
        <v>0.15</v>
      </c>
      <c r="Q1359" s="1" t="s">
        <v>1636</v>
      </c>
      <c r="R1359" t="s">
        <v>24</v>
      </c>
      <c r="S1359" t="s">
        <v>1104</v>
      </c>
      <c r="T1359" t="s">
        <v>153</v>
      </c>
      <c r="U1359" s="1">
        <v>0.35</v>
      </c>
      <c r="V1359" t="s">
        <v>833</v>
      </c>
    </row>
    <row r="1360" spans="1:22" x14ac:dyDescent="0.3">
      <c r="A1360" t="s">
        <v>821</v>
      </c>
      <c r="B1360" t="str">
        <f ca="1">OFFSET(Industries!C$1,MATCH(Table1[[#This Row],[Ticker]],Industries!$A$2:$A$150,0),0)</f>
        <v>Consumer Discretionary</v>
      </c>
      <c r="C1360" t="str">
        <f ca="1">OFFSET(Industries!D$1,MATCH(Table1[[#This Row],[Ticker]],Industries!$A$2:$A$150,0),0)</f>
        <v>Consumer Services</v>
      </c>
      <c r="D1360" t="str">
        <f ca="1">OFFSET(Industries!E$1,MATCH(Table1[[#This Row],[Ticker]],Industries!$A$2:$A$150,0),0)</f>
        <v>Hotels, Restaurants and Leisure</v>
      </c>
      <c r="E1360" t="s">
        <v>310</v>
      </c>
      <c r="F1360" t="str">
        <f ca="1">OFFSET(Industries!B$1,MATCH(Table1[[#This Row],[Ticker]],Industries!$A$2:$A$140,0),0)</f>
        <v>Ultra-Cap</v>
      </c>
      <c r="G1360" t="str">
        <f ca="1">OFFSET(Industries!F$1,MATCH(Table1[[#This Row],[Ticker]],Industries!$A$2:$A$140,0),0)</f>
        <v>BB+</v>
      </c>
      <c r="H1360" t="s">
        <v>1434</v>
      </c>
      <c r="I1360" t="s">
        <v>1434</v>
      </c>
      <c r="J1360" s="2">
        <v>45387</v>
      </c>
      <c r="K1360" t="s">
        <v>21</v>
      </c>
      <c r="L1360" t="s">
        <v>1708</v>
      </c>
      <c r="M1360" t="s">
        <v>1709</v>
      </c>
      <c r="N1360" s="1"/>
      <c r="O1360" t="s">
        <v>4</v>
      </c>
      <c r="P1360" s="1">
        <v>0.15</v>
      </c>
      <c r="Q1360" s="1" t="s">
        <v>1637</v>
      </c>
      <c r="R1360" t="s">
        <v>25</v>
      </c>
      <c r="S1360" t="s">
        <v>1086</v>
      </c>
      <c r="T1360" t="s">
        <v>435</v>
      </c>
      <c r="U1360" s="1">
        <v>0.2</v>
      </c>
      <c r="V1360" t="s">
        <v>834</v>
      </c>
    </row>
    <row r="1361" spans="1:22" x14ac:dyDescent="0.3">
      <c r="A1361" t="s">
        <v>821</v>
      </c>
      <c r="B1361" t="str">
        <f ca="1">OFFSET(Industries!C$1,MATCH(Table1[[#This Row],[Ticker]],Industries!$A$2:$A$150,0),0)</f>
        <v>Consumer Discretionary</v>
      </c>
      <c r="C1361" t="str">
        <f ca="1">OFFSET(Industries!D$1,MATCH(Table1[[#This Row],[Ticker]],Industries!$A$2:$A$150,0),0)</f>
        <v>Consumer Services</v>
      </c>
      <c r="D1361" t="str">
        <f ca="1">OFFSET(Industries!E$1,MATCH(Table1[[#This Row],[Ticker]],Industries!$A$2:$A$150,0),0)</f>
        <v>Hotels, Restaurants and Leisure</v>
      </c>
      <c r="E1361" t="s">
        <v>310</v>
      </c>
      <c r="F1361" t="str">
        <f ca="1">OFFSET(Industries!B$1,MATCH(Table1[[#This Row],[Ticker]],Industries!$A$2:$A$140,0),0)</f>
        <v>Ultra-Cap</v>
      </c>
      <c r="G1361" t="str">
        <f ca="1">OFFSET(Industries!F$1,MATCH(Table1[[#This Row],[Ticker]],Industries!$A$2:$A$140,0),0)</f>
        <v>BB+</v>
      </c>
      <c r="H1361" t="s">
        <v>1434</v>
      </c>
      <c r="I1361" t="s">
        <v>1434</v>
      </c>
      <c r="J1361" s="2">
        <v>45387</v>
      </c>
      <c r="K1361" t="s">
        <v>21</v>
      </c>
      <c r="L1361" t="s">
        <v>1708</v>
      </c>
      <c r="M1361" t="s">
        <v>1709</v>
      </c>
      <c r="N1361" s="1"/>
      <c r="O1361" t="s">
        <v>4</v>
      </c>
      <c r="P1361" s="1">
        <v>0.15</v>
      </c>
      <c r="Q1361" s="1" t="s">
        <v>1636</v>
      </c>
      <c r="R1361" t="s">
        <v>23</v>
      </c>
      <c r="S1361" t="s">
        <v>1086</v>
      </c>
      <c r="T1361" t="s">
        <v>830</v>
      </c>
      <c r="U1361" s="1">
        <v>0.05</v>
      </c>
    </row>
    <row r="1362" spans="1:22" x14ac:dyDescent="0.3">
      <c r="A1362" t="s">
        <v>821</v>
      </c>
      <c r="B1362" t="str">
        <f ca="1">OFFSET(Industries!C$1,MATCH(Table1[[#This Row],[Ticker]],Industries!$A$2:$A$150,0),0)</f>
        <v>Consumer Discretionary</v>
      </c>
      <c r="C1362" t="str">
        <f ca="1">OFFSET(Industries!D$1,MATCH(Table1[[#This Row],[Ticker]],Industries!$A$2:$A$150,0),0)</f>
        <v>Consumer Services</v>
      </c>
      <c r="D1362" t="str">
        <f ca="1">OFFSET(Industries!E$1,MATCH(Table1[[#This Row],[Ticker]],Industries!$A$2:$A$150,0),0)</f>
        <v>Hotels, Restaurants and Leisure</v>
      </c>
      <c r="E1362" t="s">
        <v>310</v>
      </c>
      <c r="F1362" t="str">
        <f ca="1">OFFSET(Industries!B$1,MATCH(Table1[[#This Row],[Ticker]],Industries!$A$2:$A$140,0),0)</f>
        <v>Ultra-Cap</v>
      </c>
      <c r="G1362" t="str">
        <f ca="1">OFFSET(Industries!F$1,MATCH(Table1[[#This Row],[Ticker]],Industries!$A$2:$A$140,0),0)</f>
        <v>BB+</v>
      </c>
      <c r="H1362" t="s">
        <v>1434</v>
      </c>
      <c r="I1362" t="s">
        <v>1434</v>
      </c>
      <c r="J1362" s="2">
        <v>45387</v>
      </c>
      <c r="K1362" t="s">
        <v>21</v>
      </c>
      <c r="L1362" t="s">
        <v>1710</v>
      </c>
      <c r="M1362" t="s">
        <v>1709</v>
      </c>
      <c r="N1362" s="1">
        <f>Table1[[#This Row],[Consideration Weight]]</f>
        <v>0.35</v>
      </c>
      <c r="O1362" t="s">
        <v>476</v>
      </c>
      <c r="P1362" s="1">
        <v>0.35</v>
      </c>
      <c r="Q1362" s="1" t="s">
        <v>1636</v>
      </c>
      <c r="R1362" t="s">
        <v>62</v>
      </c>
      <c r="S1362" t="s">
        <v>129</v>
      </c>
      <c r="T1362" t="s">
        <v>823</v>
      </c>
      <c r="U1362" s="1">
        <v>0.25</v>
      </c>
    </row>
    <row r="1363" spans="1:22" x14ac:dyDescent="0.3">
      <c r="A1363" t="s">
        <v>821</v>
      </c>
      <c r="B1363" t="str">
        <f ca="1">OFFSET(Industries!C$1,MATCH(Table1[[#This Row],[Ticker]],Industries!$A$2:$A$150,0),0)</f>
        <v>Consumer Discretionary</v>
      </c>
      <c r="C1363" t="str">
        <f ca="1">OFFSET(Industries!D$1,MATCH(Table1[[#This Row],[Ticker]],Industries!$A$2:$A$150,0),0)</f>
        <v>Consumer Services</v>
      </c>
      <c r="D1363" t="str">
        <f ca="1">OFFSET(Industries!E$1,MATCH(Table1[[#This Row],[Ticker]],Industries!$A$2:$A$150,0),0)</f>
        <v>Hotels, Restaurants and Leisure</v>
      </c>
      <c r="E1363" t="s">
        <v>310</v>
      </c>
      <c r="F1363" t="str">
        <f ca="1">OFFSET(Industries!B$1,MATCH(Table1[[#This Row],[Ticker]],Industries!$A$2:$A$140,0),0)</f>
        <v>Ultra-Cap</v>
      </c>
      <c r="G1363" t="str">
        <f ca="1">OFFSET(Industries!F$1,MATCH(Table1[[#This Row],[Ticker]],Industries!$A$2:$A$140,0),0)</f>
        <v>BB+</v>
      </c>
      <c r="H1363" t="s">
        <v>1434</v>
      </c>
      <c r="I1363" t="s">
        <v>1434</v>
      </c>
      <c r="J1363" s="2">
        <v>45387</v>
      </c>
      <c r="K1363" t="s">
        <v>21</v>
      </c>
      <c r="L1363" t="s">
        <v>1710</v>
      </c>
      <c r="M1363" t="s">
        <v>1709</v>
      </c>
      <c r="N1363" s="1"/>
      <c r="O1363" t="s">
        <v>476</v>
      </c>
      <c r="P1363" s="1">
        <v>0.35</v>
      </c>
      <c r="Q1363" s="1" t="s">
        <v>1636</v>
      </c>
      <c r="R1363" t="s">
        <v>24</v>
      </c>
      <c r="S1363" t="s">
        <v>1104</v>
      </c>
      <c r="T1363" t="s">
        <v>824</v>
      </c>
      <c r="U1363" s="1">
        <v>0.25</v>
      </c>
    </row>
    <row r="1364" spans="1:22" x14ac:dyDescent="0.3">
      <c r="A1364" t="s">
        <v>821</v>
      </c>
      <c r="B1364" t="str">
        <f ca="1">OFFSET(Industries!C$1,MATCH(Table1[[#This Row],[Ticker]],Industries!$A$2:$A$150,0),0)</f>
        <v>Consumer Discretionary</v>
      </c>
      <c r="C1364" t="str">
        <f ca="1">OFFSET(Industries!D$1,MATCH(Table1[[#This Row],[Ticker]],Industries!$A$2:$A$150,0),0)</f>
        <v>Consumer Services</v>
      </c>
      <c r="D1364" t="str">
        <f ca="1">OFFSET(Industries!E$1,MATCH(Table1[[#This Row],[Ticker]],Industries!$A$2:$A$150,0),0)</f>
        <v>Hotels, Restaurants and Leisure</v>
      </c>
      <c r="E1364" t="s">
        <v>310</v>
      </c>
      <c r="F1364" t="str">
        <f ca="1">OFFSET(Industries!B$1,MATCH(Table1[[#This Row],[Ticker]],Industries!$A$2:$A$140,0),0)</f>
        <v>Ultra-Cap</v>
      </c>
      <c r="G1364" t="str">
        <f ca="1">OFFSET(Industries!F$1,MATCH(Table1[[#This Row],[Ticker]],Industries!$A$2:$A$140,0),0)</f>
        <v>BB+</v>
      </c>
      <c r="H1364" t="s">
        <v>1434</v>
      </c>
      <c r="I1364" t="s">
        <v>1434</v>
      </c>
      <c r="J1364" s="2">
        <v>45387</v>
      </c>
      <c r="K1364" t="s">
        <v>21</v>
      </c>
      <c r="L1364" t="s">
        <v>1710</v>
      </c>
      <c r="M1364" t="s">
        <v>1709</v>
      </c>
      <c r="N1364" s="1"/>
      <c r="O1364" t="s">
        <v>476</v>
      </c>
      <c r="P1364" s="1">
        <v>0.35</v>
      </c>
      <c r="Q1364" s="1" t="s">
        <v>1636</v>
      </c>
      <c r="R1364" t="s">
        <v>23</v>
      </c>
      <c r="S1364" t="s">
        <v>1161</v>
      </c>
      <c r="T1364" t="s">
        <v>825</v>
      </c>
      <c r="U1364" s="1">
        <v>0.25</v>
      </c>
    </row>
    <row r="1365" spans="1:22" x14ac:dyDescent="0.3">
      <c r="A1365" t="s">
        <v>821</v>
      </c>
      <c r="B1365" t="str">
        <f ca="1">OFFSET(Industries!C$1,MATCH(Table1[[#This Row],[Ticker]],Industries!$A$2:$A$150,0),0)</f>
        <v>Consumer Discretionary</v>
      </c>
      <c r="C1365" t="str">
        <f ca="1">OFFSET(Industries!D$1,MATCH(Table1[[#This Row],[Ticker]],Industries!$A$2:$A$150,0),0)</f>
        <v>Consumer Services</v>
      </c>
      <c r="D1365" t="str">
        <f ca="1">OFFSET(Industries!E$1,MATCH(Table1[[#This Row],[Ticker]],Industries!$A$2:$A$150,0),0)</f>
        <v>Hotels, Restaurants and Leisure</v>
      </c>
      <c r="E1365" t="s">
        <v>310</v>
      </c>
      <c r="F1365" t="str">
        <f ca="1">OFFSET(Industries!B$1,MATCH(Table1[[#This Row],[Ticker]],Industries!$A$2:$A$140,0),0)</f>
        <v>Ultra-Cap</v>
      </c>
      <c r="G1365" t="str">
        <f ca="1">OFFSET(Industries!F$1,MATCH(Table1[[#This Row],[Ticker]],Industries!$A$2:$A$140,0),0)</f>
        <v>BB+</v>
      </c>
      <c r="H1365" t="s">
        <v>1434</v>
      </c>
      <c r="I1365" t="s">
        <v>1434</v>
      </c>
      <c r="J1365" s="2">
        <v>45387</v>
      </c>
      <c r="K1365" t="s">
        <v>21</v>
      </c>
      <c r="L1365" t="s">
        <v>1710</v>
      </c>
      <c r="M1365" t="s">
        <v>1709</v>
      </c>
      <c r="N1365" s="1"/>
      <c r="O1365" t="s">
        <v>476</v>
      </c>
      <c r="P1365" s="1">
        <v>0.35</v>
      </c>
      <c r="Q1365" s="1" t="s">
        <v>1636</v>
      </c>
      <c r="R1365" t="s">
        <v>23</v>
      </c>
      <c r="S1365" t="s">
        <v>1083</v>
      </c>
      <c r="T1365" t="s">
        <v>826</v>
      </c>
      <c r="U1365" s="1">
        <v>0.25</v>
      </c>
    </row>
    <row r="1366" spans="1:22" x14ac:dyDescent="0.3">
      <c r="A1366" t="s">
        <v>821</v>
      </c>
      <c r="B1366" t="str">
        <f ca="1">OFFSET(Industries!C$1,MATCH(Table1[[#This Row],[Ticker]],Industries!$A$2:$A$150,0),0)</f>
        <v>Consumer Discretionary</v>
      </c>
      <c r="C1366" t="str">
        <f ca="1">OFFSET(Industries!D$1,MATCH(Table1[[#This Row],[Ticker]],Industries!$A$2:$A$150,0),0)</f>
        <v>Consumer Services</v>
      </c>
      <c r="D1366" t="str">
        <f ca="1">OFFSET(Industries!E$1,MATCH(Table1[[#This Row],[Ticker]],Industries!$A$2:$A$150,0),0)</f>
        <v>Hotels, Restaurants and Leisure</v>
      </c>
      <c r="E1366" t="s">
        <v>310</v>
      </c>
      <c r="F1366" t="str">
        <f ca="1">OFFSET(Industries!B$1,MATCH(Table1[[#This Row],[Ticker]],Industries!$A$2:$A$140,0),0)</f>
        <v>Ultra-Cap</v>
      </c>
      <c r="G1366" t="str">
        <f ca="1">OFFSET(Industries!F$1,MATCH(Table1[[#This Row],[Ticker]],Industries!$A$2:$A$140,0),0)</f>
        <v>BB+</v>
      </c>
      <c r="H1366" t="s">
        <v>1434</v>
      </c>
      <c r="I1366" t="s">
        <v>1434</v>
      </c>
      <c r="J1366" s="2">
        <v>45387</v>
      </c>
      <c r="K1366" t="s">
        <v>21</v>
      </c>
      <c r="L1366" t="s">
        <v>1710</v>
      </c>
      <c r="M1366" t="s">
        <v>1711</v>
      </c>
      <c r="N1366" s="1">
        <f>Table1[[#This Row],[Consideration Weight]]</f>
        <v>0.17499999999999999</v>
      </c>
      <c r="O1366" t="s">
        <v>87</v>
      </c>
      <c r="P1366" s="1">
        <f>0.25*0.7</f>
        <v>0.17499999999999999</v>
      </c>
    </row>
    <row r="1367" spans="1:22" x14ac:dyDescent="0.3">
      <c r="A1367" t="s">
        <v>821</v>
      </c>
      <c r="B1367" t="str">
        <f ca="1">OFFSET(Industries!C$1,MATCH(Table1[[#This Row],[Ticker]],Industries!$A$2:$A$150,0),0)</f>
        <v>Consumer Discretionary</v>
      </c>
      <c r="C1367" t="str">
        <f ca="1">OFFSET(Industries!D$1,MATCH(Table1[[#This Row],[Ticker]],Industries!$A$2:$A$150,0),0)</f>
        <v>Consumer Services</v>
      </c>
      <c r="D1367" t="str">
        <f ca="1">OFFSET(Industries!E$1,MATCH(Table1[[#This Row],[Ticker]],Industries!$A$2:$A$150,0),0)</f>
        <v>Hotels, Restaurants and Leisure</v>
      </c>
      <c r="E1367" t="s">
        <v>310</v>
      </c>
      <c r="F1367" t="str">
        <f ca="1">OFFSET(Industries!B$1,MATCH(Table1[[#This Row],[Ticker]],Industries!$A$2:$A$140,0),0)</f>
        <v>Ultra-Cap</v>
      </c>
      <c r="G1367" t="str">
        <f ca="1">OFFSET(Industries!F$1,MATCH(Table1[[#This Row],[Ticker]],Industries!$A$2:$A$140,0),0)</f>
        <v>BB+</v>
      </c>
      <c r="H1367" t="s">
        <v>1434</v>
      </c>
      <c r="I1367" t="s">
        <v>1434</v>
      </c>
      <c r="J1367" s="2">
        <v>45387</v>
      </c>
      <c r="K1367" t="s">
        <v>21</v>
      </c>
      <c r="L1367" t="s">
        <v>1710</v>
      </c>
      <c r="M1367" t="s">
        <v>1711</v>
      </c>
      <c r="N1367" s="1">
        <f>Table1[[#This Row],[Consideration Weight]]</f>
        <v>0.17499999999999999</v>
      </c>
      <c r="O1367" t="s">
        <v>194</v>
      </c>
      <c r="P1367" s="1">
        <f>0.25*0.7</f>
        <v>0.17499999999999999</v>
      </c>
    </row>
    <row r="1368" spans="1:22" x14ac:dyDescent="0.3">
      <c r="A1368" t="s">
        <v>838</v>
      </c>
      <c r="B1368" t="str">
        <f ca="1">OFFSET(Industries!C$1,MATCH(Table1[[#This Row],[Ticker]],Industries!$A$2:$A$150,0),0)</f>
        <v>Information Technology</v>
      </c>
      <c r="C1368" t="str">
        <f ca="1">OFFSET(Industries!D$1,MATCH(Table1[[#This Row],[Ticker]],Industries!$A$2:$A$150,0),0)</f>
        <v>Technology Hardware and Equipment</v>
      </c>
      <c r="D1368" t="str">
        <f ca="1">OFFSET(Industries!E$1,MATCH(Table1[[#This Row],[Ticker]],Industries!$A$2:$A$150,0),0)</f>
        <v>Communications Equipment</v>
      </c>
      <c r="E1368" t="s">
        <v>89</v>
      </c>
      <c r="F1368" t="str">
        <f ca="1">OFFSET(Industries!B$1,MATCH(Table1[[#This Row],[Ticker]],Industries!$A$2:$A$140,0),0)</f>
        <v>Ultra-Cap</v>
      </c>
      <c r="G1368" t="str">
        <f ca="1">OFFSET(Industries!F$1,MATCH(Table1[[#This Row],[Ticker]],Industries!$A$2:$A$140,0),0)</f>
        <v>BBB</v>
      </c>
      <c r="H1368" t="s">
        <v>1434</v>
      </c>
      <c r="I1368" t="s">
        <v>1434</v>
      </c>
      <c r="J1368" s="2">
        <v>45379</v>
      </c>
      <c r="K1368" t="s">
        <v>2</v>
      </c>
      <c r="L1368" t="s">
        <v>3</v>
      </c>
      <c r="M1368" t="s">
        <v>1711</v>
      </c>
      <c r="N1368" s="1">
        <f>Table1[[#This Row],[Consideration Weight]]</f>
        <v>0.06</v>
      </c>
      <c r="O1368" t="s">
        <v>3</v>
      </c>
      <c r="P1368" s="1">
        <v>0.06</v>
      </c>
      <c r="V1368" t="s">
        <v>841</v>
      </c>
    </row>
    <row r="1369" spans="1:22" x14ac:dyDescent="0.3">
      <c r="A1369" t="s">
        <v>838</v>
      </c>
      <c r="B1369" t="str">
        <f ca="1">OFFSET(Industries!C$1,MATCH(Table1[[#This Row],[Ticker]],Industries!$A$2:$A$150,0),0)</f>
        <v>Information Technology</v>
      </c>
      <c r="C1369" t="str">
        <f ca="1">OFFSET(Industries!D$1,MATCH(Table1[[#This Row],[Ticker]],Industries!$A$2:$A$150,0),0)</f>
        <v>Technology Hardware and Equipment</v>
      </c>
      <c r="D1369" t="str">
        <f ca="1">OFFSET(Industries!E$1,MATCH(Table1[[#This Row],[Ticker]],Industries!$A$2:$A$150,0),0)</f>
        <v>Communications Equipment</v>
      </c>
      <c r="E1369" t="s">
        <v>89</v>
      </c>
      <c r="F1369" t="str">
        <f ca="1">OFFSET(Industries!B$1,MATCH(Table1[[#This Row],[Ticker]],Industries!$A$2:$A$140,0),0)</f>
        <v>Ultra-Cap</v>
      </c>
      <c r="G1369" t="str">
        <f ca="1">OFFSET(Industries!F$1,MATCH(Table1[[#This Row],[Ticker]],Industries!$A$2:$A$140,0),0)</f>
        <v>BBB</v>
      </c>
      <c r="H1369" t="s">
        <v>1434</v>
      </c>
      <c r="I1369" t="s">
        <v>1434</v>
      </c>
      <c r="J1369" s="2">
        <v>45379</v>
      </c>
      <c r="K1369" t="s">
        <v>2</v>
      </c>
      <c r="L1369" t="s">
        <v>1708</v>
      </c>
      <c r="M1369" t="s">
        <v>1709</v>
      </c>
      <c r="N1369" s="1">
        <f>Table1[[#This Row],[Consideration Weight]]</f>
        <v>0.12</v>
      </c>
      <c r="O1369" t="s">
        <v>4</v>
      </c>
      <c r="P1369" s="1">
        <v>0.12</v>
      </c>
      <c r="Q1369" s="1" t="s">
        <v>1636</v>
      </c>
      <c r="R1369" t="s">
        <v>24</v>
      </c>
      <c r="S1369" t="s">
        <v>90</v>
      </c>
      <c r="T1369" t="s">
        <v>8</v>
      </c>
      <c r="U1369" s="1">
        <v>0.65</v>
      </c>
    </row>
    <row r="1370" spans="1:22" x14ac:dyDescent="0.3">
      <c r="A1370" t="s">
        <v>838</v>
      </c>
      <c r="B1370" t="str">
        <f ca="1">OFFSET(Industries!C$1,MATCH(Table1[[#This Row],[Ticker]],Industries!$A$2:$A$150,0),0)</f>
        <v>Information Technology</v>
      </c>
      <c r="C1370" t="str">
        <f ca="1">OFFSET(Industries!D$1,MATCH(Table1[[#This Row],[Ticker]],Industries!$A$2:$A$150,0),0)</f>
        <v>Technology Hardware and Equipment</v>
      </c>
      <c r="D1370" t="str">
        <f ca="1">OFFSET(Industries!E$1,MATCH(Table1[[#This Row],[Ticker]],Industries!$A$2:$A$150,0),0)</f>
        <v>Communications Equipment</v>
      </c>
      <c r="E1370" t="s">
        <v>89</v>
      </c>
      <c r="F1370" t="str">
        <f ca="1">OFFSET(Industries!B$1,MATCH(Table1[[#This Row],[Ticker]],Industries!$A$2:$A$140,0),0)</f>
        <v>Ultra-Cap</v>
      </c>
      <c r="G1370" t="str">
        <f ca="1">OFFSET(Industries!F$1,MATCH(Table1[[#This Row],[Ticker]],Industries!$A$2:$A$140,0),0)</f>
        <v>BBB</v>
      </c>
      <c r="H1370" t="s">
        <v>1434</v>
      </c>
      <c r="I1370" t="s">
        <v>1434</v>
      </c>
      <c r="J1370" s="2">
        <v>45379</v>
      </c>
      <c r="K1370" t="s">
        <v>2</v>
      </c>
      <c r="L1370" t="s">
        <v>1708</v>
      </c>
      <c r="M1370" t="s">
        <v>1709</v>
      </c>
      <c r="N1370" s="1"/>
      <c r="O1370" t="s">
        <v>4</v>
      </c>
      <c r="P1370" s="1">
        <v>0.12</v>
      </c>
      <c r="Q1370" s="1" t="s">
        <v>1636</v>
      </c>
      <c r="R1370" t="s">
        <v>62</v>
      </c>
      <c r="S1370" t="s">
        <v>129</v>
      </c>
      <c r="T1370" t="s">
        <v>129</v>
      </c>
      <c r="U1370" s="1">
        <v>0.35</v>
      </c>
      <c r="V1370" t="s">
        <v>842</v>
      </c>
    </row>
    <row r="1371" spans="1:22" x14ac:dyDescent="0.3">
      <c r="A1371" t="s">
        <v>838</v>
      </c>
      <c r="B1371" t="str">
        <f ca="1">OFFSET(Industries!C$1,MATCH(Table1[[#This Row],[Ticker]],Industries!$A$2:$A$150,0),0)</f>
        <v>Information Technology</v>
      </c>
      <c r="C1371" t="str">
        <f ca="1">OFFSET(Industries!D$1,MATCH(Table1[[#This Row],[Ticker]],Industries!$A$2:$A$150,0),0)</f>
        <v>Technology Hardware and Equipment</v>
      </c>
      <c r="D1371" t="str">
        <f ca="1">OFFSET(Industries!E$1,MATCH(Table1[[#This Row],[Ticker]],Industries!$A$2:$A$150,0),0)</f>
        <v>Communications Equipment</v>
      </c>
      <c r="E1371" t="s">
        <v>89</v>
      </c>
      <c r="F1371" t="str">
        <f ca="1">OFFSET(Industries!B$1,MATCH(Table1[[#This Row],[Ticker]],Industries!$A$2:$A$140,0),0)</f>
        <v>Ultra-Cap</v>
      </c>
      <c r="G1371" t="str">
        <f ca="1">OFFSET(Industries!F$1,MATCH(Table1[[#This Row],[Ticker]],Industries!$A$2:$A$140,0),0)</f>
        <v>BBB</v>
      </c>
      <c r="H1371" t="s">
        <v>1434</v>
      </c>
      <c r="I1371" t="s">
        <v>1434</v>
      </c>
      <c r="J1371" s="2">
        <v>45379</v>
      </c>
      <c r="K1371" t="s">
        <v>2</v>
      </c>
      <c r="L1371" t="s">
        <v>1708</v>
      </c>
      <c r="M1371" t="s">
        <v>1709</v>
      </c>
      <c r="N1371" s="1"/>
      <c r="O1371" t="s">
        <v>4</v>
      </c>
      <c r="P1371" s="1">
        <v>0.12</v>
      </c>
      <c r="R1371" t="s">
        <v>28</v>
      </c>
      <c r="S1371" t="s">
        <v>1087</v>
      </c>
      <c r="T1371" t="s">
        <v>40</v>
      </c>
      <c r="V1371" t="s">
        <v>367</v>
      </c>
    </row>
    <row r="1372" spans="1:22" x14ac:dyDescent="0.3">
      <c r="A1372" t="s">
        <v>838</v>
      </c>
      <c r="B1372" t="str">
        <f ca="1">OFFSET(Industries!C$1,MATCH(Table1[[#This Row],[Ticker]],Industries!$A$2:$A$150,0),0)</f>
        <v>Information Technology</v>
      </c>
      <c r="C1372" t="str">
        <f ca="1">OFFSET(Industries!D$1,MATCH(Table1[[#This Row],[Ticker]],Industries!$A$2:$A$150,0),0)</f>
        <v>Technology Hardware and Equipment</v>
      </c>
      <c r="D1372" t="str">
        <f ca="1">OFFSET(Industries!E$1,MATCH(Table1[[#This Row],[Ticker]],Industries!$A$2:$A$150,0),0)</f>
        <v>Communications Equipment</v>
      </c>
      <c r="E1372" t="s">
        <v>89</v>
      </c>
      <c r="F1372" t="str">
        <f ca="1">OFFSET(Industries!B$1,MATCH(Table1[[#This Row],[Ticker]],Industries!$A$2:$A$140,0),0)</f>
        <v>Ultra-Cap</v>
      </c>
      <c r="G1372" t="str">
        <f ca="1">OFFSET(Industries!F$1,MATCH(Table1[[#This Row],[Ticker]],Industries!$A$2:$A$140,0),0)</f>
        <v>BBB</v>
      </c>
      <c r="H1372" t="s">
        <v>1434</v>
      </c>
      <c r="I1372" t="s">
        <v>1434</v>
      </c>
      <c r="J1372" s="2">
        <v>45379</v>
      </c>
      <c r="K1372" t="s">
        <v>2</v>
      </c>
      <c r="L1372" t="s">
        <v>1710</v>
      </c>
      <c r="M1372" t="s">
        <v>1709</v>
      </c>
      <c r="N1372" s="1">
        <f>Table1[[#This Row],[Consideration Weight]]</f>
        <v>0.27333333333333332</v>
      </c>
      <c r="O1372" t="s">
        <v>476</v>
      </c>
      <c r="P1372" s="1">
        <f>0.82/3</f>
        <v>0.27333333333333332</v>
      </c>
      <c r="Q1372" s="1" t="s">
        <v>1646</v>
      </c>
      <c r="R1372" t="s">
        <v>35</v>
      </c>
      <c r="S1372" t="s">
        <v>29</v>
      </c>
      <c r="T1372" t="s">
        <v>30</v>
      </c>
      <c r="U1372" s="1">
        <v>1</v>
      </c>
      <c r="V1372" t="s">
        <v>839</v>
      </c>
    </row>
    <row r="1373" spans="1:22" x14ac:dyDescent="0.3">
      <c r="A1373" t="s">
        <v>838</v>
      </c>
      <c r="B1373" t="str">
        <f ca="1">OFFSET(Industries!C$1,MATCH(Table1[[#This Row],[Ticker]],Industries!$A$2:$A$150,0),0)</f>
        <v>Information Technology</v>
      </c>
      <c r="C1373" t="str">
        <f ca="1">OFFSET(Industries!D$1,MATCH(Table1[[#This Row],[Ticker]],Industries!$A$2:$A$150,0),0)</f>
        <v>Technology Hardware and Equipment</v>
      </c>
      <c r="D1373" t="str">
        <f ca="1">OFFSET(Industries!E$1,MATCH(Table1[[#This Row],[Ticker]],Industries!$A$2:$A$150,0),0)</f>
        <v>Communications Equipment</v>
      </c>
      <c r="E1373" t="s">
        <v>89</v>
      </c>
      <c r="F1373" t="str">
        <f ca="1">OFFSET(Industries!B$1,MATCH(Table1[[#This Row],[Ticker]],Industries!$A$2:$A$140,0),0)</f>
        <v>Ultra-Cap</v>
      </c>
      <c r="G1373" t="str">
        <f ca="1">OFFSET(Industries!F$1,MATCH(Table1[[#This Row],[Ticker]],Industries!$A$2:$A$140,0),0)</f>
        <v>BBB</v>
      </c>
      <c r="H1373" t="s">
        <v>1434</v>
      </c>
      <c r="I1373" t="s">
        <v>1434</v>
      </c>
      <c r="J1373" s="2">
        <v>45379</v>
      </c>
      <c r="K1373" t="s">
        <v>2</v>
      </c>
      <c r="L1373" t="s">
        <v>1710</v>
      </c>
      <c r="M1373" t="s">
        <v>1709</v>
      </c>
      <c r="N1373" s="1"/>
      <c r="O1373" t="s">
        <v>476</v>
      </c>
      <c r="P1373" s="1">
        <f>0.82/3</f>
        <v>0.27333333333333332</v>
      </c>
      <c r="R1373" t="s">
        <v>28</v>
      </c>
      <c r="S1373" t="s">
        <v>1095</v>
      </c>
      <c r="T1373" t="s">
        <v>55</v>
      </c>
      <c r="V1373" t="s">
        <v>658</v>
      </c>
    </row>
    <row r="1374" spans="1:22" x14ac:dyDescent="0.3">
      <c r="A1374" t="s">
        <v>838</v>
      </c>
      <c r="B1374" t="str">
        <f ca="1">OFFSET(Industries!C$1,MATCH(Table1[[#This Row],[Ticker]],Industries!$A$2:$A$150,0),0)</f>
        <v>Information Technology</v>
      </c>
      <c r="C1374" t="str">
        <f ca="1">OFFSET(Industries!D$1,MATCH(Table1[[#This Row],[Ticker]],Industries!$A$2:$A$150,0),0)</f>
        <v>Technology Hardware and Equipment</v>
      </c>
      <c r="D1374" t="str">
        <f ca="1">OFFSET(Industries!E$1,MATCH(Table1[[#This Row],[Ticker]],Industries!$A$2:$A$150,0),0)</f>
        <v>Communications Equipment</v>
      </c>
      <c r="E1374" t="s">
        <v>89</v>
      </c>
      <c r="F1374" t="str">
        <f ca="1">OFFSET(Industries!B$1,MATCH(Table1[[#This Row],[Ticker]],Industries!$A$2:$A$140,0),0)</f>
        <v>Ultra-Cap</v>
      </c>
      <c r="G1374" t="str">
        <f ca="1">OFFSET(Industries!F$1,MATCH(Table1[[#This Row],[Ticker]],Industries!$A$2:$A$140,0),0)</f>
        <v>BBB</v>
      </c>
      <c r="H1374" t="s">
        <v>1434</v>
      </c>
      <c r="I1374" t="s">
        <v>1434</v>
      </c>
      <c r="J1374" s="2">
        <v>45379</v>
      </c>
      <c r="K1374" t="s">
        <v>2</v>
      </c>
      <c r="L1374" t="s">
        <v>1710</v>
      </c>
      <c r="M1374" t="s">
        <v>1709</v>
      </c>
      <c r="N1374" s="1">
        <f>Table1[[#This Row],[Consideration Weight]]</f>
        <v>0.27333333333333332</v>
      </c>
      <c r="O1374" t="s">
        <v>462</v>
      </c>
      <c r="P1374" s="1">
        <f>0.82/3</f>
        <v>0.27333333333333332</v>
      </c>
      <c r="V1374" t="s">
        <v>1725</v>
      </c>
    </row>
    <row r="1375" spans="1:22" x14ac:dyDescent="0.3">
      <c r="A1375" t="s">
        <v>838</v>
      </c>
      <c r="B1375" t="str">
        <f ca="1">OFFSET(Industries!C$1,MATCH(Table1[[#This Row],[Ticker]],Industries!$A$2:$A$150,0),0)</f>
        <v>Information Technology</v>
      </c>
      <c r="C1375" t="str">
        <f ca="1">OFFSET(Industries!D$1,MATCH(Table1[[#This Row],[Ticker]],Industries!$A$2:$A$150,0),0)</f>
        <v>Technology Hardware and Equipment</v>
      </c>
      <c r="D1375" t="str">
        <f ca="1">OFFSET(Industries!E$1,MATCH(Table1[[#This Row],[Ticker]],Industries!$A$2:$A$150,0),0)</f>
        <v>Communications Equipment</v>
      </c>
      <c r="E1375" t="s">
        <v>89</v>
      </c>
      <c r="F1375" t="str">
        <f ca="1">OFFSET(Industries!B$1,MATCH(Table1[[#This Row],[Ticker]],Industries!$A$2:$A$140,0),0)</f>
        <v>Ultra-Cap</v>
      </c>
      <c r="G1375" t="str">
        <f ca="1">OFFSET(Industries!F$1,MATCH(Table1[[#This Row],[Ticker]],Industries!$A$2:$A$140,0),0)</f>
        <v>BBB</v>
      </c>
      <c r="H1375" t="s">
        <v>1434</v>
      </c>
      <c r="I1375" t="s">
        <v>1434</v>
      </c>
      <c r="J1375" s="2">
        <v>45379</v>
      </c>
      <c r="K1375" t="s">
        <v>2</v>
      </c>
      <c r="L1375" t="s">
        <v>1710</v>
      </c>
      <c r="M1375" t="s">
        <v>1709</v>
      </c>
      <c r="N1375" s="1">
        <f>Table1[[#This Row],[Consideration Weight]]</f>
        <v>0.27333333333333332</v>
      </c>
      <c r="O1375" t="s">
        <v>840</v>
      </c>
      <c r="P1375" s="1">
        <f>0.82/3</f>
        <v>0.27333333333333332</v>
      </c>
    </row>
    <row r="1376" spans="1:22" x14ac:dyDescent="0.3">
      <c r="A1376" t="s">
        <v>838</v>
      </c>
      <c r="B1376" t="str">
        <f ca="1">OFFSET(Industries!C$1,MATCH(Table1[[#This Row],[Ticker]],Industries!$A$2:$A$150,0),0)</f>
        <v>Information Technology</v>
      </c>
      <c r="C1376" t="str">
        <f ca="1">OFFSET(Industries!D$1,MATCH(Table1[[#This Row],[Ticker]],Industries!$A$2:$A$150,0),0)</f>
        <v>Technology Hardware and Equipment</v>
      </c>
      <c r="D1376" t="str">
        <f ca="1">OFFSET(Industries!E$1,MATCH(Table1[[#This Row],[Ticker]],Industries!$A$2:$A$150,0),0)</f>
        <v>Communications Equipment</v>
      </c>
      <c r="E1376" t="s">
        <v>89</v>
      </c>
      <c r="F1376" t="str">
        <f ca="1">OFFSET(Industries!B$1,MATCH(Table1[[#This Row],[Ticker]],Industries!$A$2:$A$140,0),0)</f>
        <v>Ultra-Cap</v>
      </c>
      <c r="G1376" t="str">
        <f ca="1">OFFSET(Industries!F$1,MATCH(Table1[[#This Row],[Ticker]],Industries!$A$2:$A$140,0),0)</f>
        <v>BBB</v>
      </c>
      <c r="H1376" t="s">
        <v>1434</v>
      </c>
      <c r="I1376" t="s">
        <v>1434</v>
      </c>
      <c r="J1376" s="2">
        <v>45379</v>
      </c>
      <c r="K1376" t="s">
        <v>21</v>
      </c>
      <c r="L1376" t="s">
        <v>3</v>
      </c>
      <c r="M1376" t="s">
        <v>1711</v>
      </c>
      <c r="N1376" s="1">
        <f>Table1[[#This Row],[Consideration Weight]]</f>
        <v>0.15</v>
      </c>
      <c r="O1376" t="s">
        <v>3</v>
      </c>
      <c r="P1376" s="1">
        <v>0.15</v>
      </c>
    </row>
    <row r="1377" spans="1:22" x14ac:dyDescent="0.3">
      <c r="A1377" t="s">
        <v>838</v>
      </c>
      <c r="B1377" t="str">
        <f ca="1">OFFSET(Industries!C$1,MATCH(Table1[[#This Row],[Ticker]],Industries!$A$2:$A$150,0),0)</f>
        <v>Information Technology</v>
      </c>
      <c r="C1377" t="str">
        <f ca="1">OFFSET(Industries!D$1,MATCH(Table1[[#This Row],[Ticker]],Industries!$A$2:$A$150,0),0)</f>
        <v>Technology Hardware and Equipment</v>
      </c>
      <c r="D1377" t="str">
        <f ca="1">OFFSET(Industries!E$1,MATCH(Table1[[#This Row],[Ticker]],Industries!$A$2:$A$150,0),0)</f>
        <v>Communications Equipment</v>
      </c>
      <c r="E1377" t="s">
        <v>89</v>
      </c>
      <c r="F1377" t="str">
        <f ca="1">OFFSET(Industries!B$1,MATCH(Table1[[#This Row],[Ticker]],Industries!$A$2:$A$140,0),0)</f>
        <v>Ultra-Cap</v>
      </c>
      <c r="G1377" t="str">
        <f ca="1">OFFSET(Industries!F$1,MATCH(Table1[[#This Row],[Ticker]],Industries!$A$2:$A$140,0),0)</f>
        <v>BBB</v>
      </c>
      <c r="H1377" t="s">
        <v>1434</v>
      </c>
      <c r="I1377" t="s">
        <v>1434</v>
      </c>
      <c r="J1377" s="2">
        <v>45379</v>
      </c>
      <c r="K1377" t="s">
        <v>21</v>
      </c>
      <c r="L1377" t="s">
        <v>1708</v>
      </c>
      <c r="M1377" t="s">
        <v>1709</v>
      </c>
      <c r="N1377" s="1">
        <f>Table1[[#This Row],[Consideration Weight]]</f>
        <v>0.18</v>
      </c>
      <c r="O1377" t="s">
        <v>4</v>
      </c>
      <c r="P1377" s="1">
        <v>0.18</v>
      </c>
      <c r="Q1377" s="1" t="s">
        <v>1636</v>
      </c>
      <c r="R1377" t="s">
        <v>24</v>
      </c>
      <c r="S1377" t="s">
        <v>90</v>
      </c>
      <c r="T1377" t="s">
        <v>8</v>
      </c>
      <c r="U1377" s="1">
        <v>0.65</v>
      </c>
    </row>
    <row r="1378" spans="1:22" x14ac:dyDescent="0.3">
      <c r="A1378" t="s">
        <v>838</v>
      </c>
      <c r="B1378" t="str">
        <f ca="1">OFFSET(Industries!C$1,MATCH(Table1[[#This Row],[Ticker]],Industries!$A$2:$A$150,0),0)</f>
        <v>Information Technology</v>
      </c>
      <c r="C1378" t="str">
        <f ca="1">OFFSET(Industries!D$1,MATCH(Table1[[#This Row],[Ticker]],Industries!$A$2:$A$150,0),0)</f>
        <v>Technology Hardware and Equipment</v>
      </c>
      <c r="D1378" t="str">
        <f ca="1">OFFSET(Industries!E$1,MATCH(Table1[[#This Row],[Ticker]],Industries!$A$2:$A$150,0),0)</f>
        <v>Communications Equipment</v>
      </c>
      <c r="E1378" t="s">
        <v>89</v>
      </c>
      <c r="F1378" t="str">
        <f ca="1">OFFSET(Industries!B$1,MATCH(Table1[[#This Row],[Ticker]],Industries!$A$2:$A$140,0),0)</f>
        <v>Ultra-Cap</v>
      </c>
      <c r="G1378" t="str">
        <f ca="1">OFFSET(Industries!F$1,MATCH(Table1[[#This Row],[Ticker]],Industries!$A$2:$A$140,0),0)</f>
        <v>BBB</v>
      </c>
      <c r="H1378" t="s">
        <v>1434</v>
      </c>
      <c r="I1378" t="s">
        <v>1434</v>
      </c>
      <c r="J1378" s="2">
        <v>45379</v>
      </c>
      <c r="K1378" t="s">
        <v>21</v>
      </c>
      <c r="L1378" t="s">
        <v>1708</v>
      </c>
      <c r="M1378" t="s">
        <v>1709</v>
      </c>
      <c r="N1378" s="1"/>
      <c r="O1378" t="s">
        <v>4</v>
      </c>
      <c r="P1378" s="1">
        <v>0.18</v>
      </c>
      <c r="Q1378" s="1" t="s">
        <v>1636</v>
      </c>
      <c r="R1378" t="s">
        <v>62</v>
      </c>
      <c r="S1378" t="s">
        <v>129</v>
      </c>
      <c r="T1378" t="s">
        <v>129</v>
      </c>
      <c r="U1378" s="1">
        <v>0.35</v>
      </c>
    </row>
    <row r="1379" spans="1:22" x14ac:dyDescent="0.3">
      <c r="A1379" t="s">
        <v>838</v>
      </c>
      <c r="B1379" t="str">
        <f ca="1">OFFSET(Industries!C$1,MATCH(Table1[[#This Row],[Ticker]],Industries!$A$2:$A$150,0),0)</f>
        <v>Information Technology</v>
      </c>
      <c r="C1379" t="str">
        <f ca="1">OFFSET(Industries!D$1,MATCH(Table1[[#This Row],[Ticker]],Industries!$A$2:$A$150,0),0)</f>
        <v>Technology Hardware and Equipment</v>
      </c>
      <c r="D1379" t="str">
        <f ca="1">OFFSET(Industries!E$1,MATCH(Table1[[#This Row],[Ticker]],Industries!$A$2:$A$150,0),0)</f>
        <v>Communications Equipment</v>
      </c>
      <c r="E1379" t="s">
        <v>89</v>
      </c>
      <c r="F1379" t="str">
        <f ca="1">OFFSET(Industries!B$1,MATCH(Table1[[#This Row],[Ticker]],Industries!$A$2:$A$140,0),0)</f>
        <v>Ultra-Cap</v>
      </c>
      <c r="G1379" t="str">
        <f ca="1">OFFSET(Industries!F$1,MATCH(Table1[[#This Row],[Ticker]],Industries!$A$2:$A$140,0),0)</f>
        <v>BBB</v>
      </c>
      <c r="H1379" t="s">
        <v>1434</v>
      </c>
      <c r="I1379" t="s">
        <v>1434</v>
      </c>
      <c r="J1379" s="2">
        <v>45379</v>
      </c>
      <c r="K1379" t="s">
        <v>21</v>
      </c>
      <c r="L1379" t="s">
        <v>1708</v>
      </c>
      <c r="M1379" t="s">
        <v>1709</v>
      </c>
      <c r="N1379" s="1"/>
      <c r="O1379" t="s">
        <v>4</v>
      </c>
      <c r="P1379" s="1">
        <v>0.18</v>
      </c>
      <c r="R1379" t="s">
        <v>28</v>
      </c>
      <c r="S1379" t="s">
        <v>1087</v>
      </c>
      <c r="T1379" t="s">
        <v>40</v>
      </c>
    </row>
    <row r="1380" spans="1:22" x14ac:dyDescent="0.3">
      <c r="A1380" t="s">
        <v>838</v>
      </c>
      <c r="B1380" t="str">
        <f ca="1">OFFSET(Industries!C$1,MATCH(Table1[[#This Row],[Ticker]],Industries!$A$2:$A$150,0),0)</f>
        <v>Information Technology</v>
      </c>
      <c r="C1380" t="str">
        <f ca="1">OFFSET(Industries!D$1,MATCH(Table1[[#This Row],[Ticker]],Industries!$A$2:$A$150,0),0)</f>
        <v>Technology Hardware and Equipment</v>
      </c>
      <c r="D1380" t="str">
        <f ca="1">OFFSET(Industries!E$1,MATCH(Table1[[#This Row],[Ticker]],Industries!$A$2:$A$150,0),0)</f>
        <v>Communications Equipment</v>
      </c>
      <c r="E1380" t="s">
        <v>89</v>
      </c>
      <c r="F1380" t="str">
        <f ca="1">OFFSET(Industries!B$1,MATCH(Table1[[#This Row],[Ticker]],Industries!$A$2:$A$140,0),0)</f>
        <v>Ultra-Cap</v>
      </c>
      <c r="G1380" t="str">
        <f ca="1">OFFSET(Industries!F$1,MATCH(Table1[[#This Row],[Ticker]],Industries!$A$2:$A$140,0),0)</f>
        <v>BBB</v>
      </c>
      <c r="H1380" t="s">
        <v>1434</v>
      </c>
      <c r="I1380" t="s">
        <v>1434</v>
      </c>
      <c r="J1380" s="2">
        <v>45379</v>
      </c>
      <c r="K1380" t="s">
        <v>21</v>
      </c>
      <c r="L1380" t="s">
        <v>1710</v>
      </c>
      <c r="M1380" t="s">
        <v>1709</v>
      </c>
      <c r="N1380" s="1">
        <f>Table1[[#This Row],[Consideration Weight]]</f>
        <v>0.22333333333333336</v>
      </c>
      <c r="O1380" t="s">
        <v>476</v>
      </c>
      <c r="P1380" s="1">
        <f>0.67/3</f>
        <v>0.22333333333333336</v>
      </c>
      <c r="Q1380" s="1" t="s">
        <v>1646</v>
      </c>
      <c r="R1380" t="s">
        <v>35</v>
      </c>
      <c r="S1380" t="s">
        <v>29</v>
      </c>
      <c r="T1380" t="s">
        <v>30</v>
      </c>
      <c r="U1380" s="1">
        <v>1</v>
      </c>
    </row>
    <row r="1381" spans="1:22" x14ac:dyDescent="0.3">
      <c r="A1381" t="s">
        <v>838</v>
      </c>
      <c r="B1381" t="str">
        <f ca="1">OFFSET(Industries!C$1,MATCH(Table1[[#This Row],[Ticker]],Industries!$A$2:$A$150,0),0)</f>
        <v>Information Technology</v>
      </c>
      <c r="C1381" t="str">
        <f ca="1">OFFSET(Industries!D$1,MATCH(Table1[[#This Row],[Ticker]],Industries!$A$2:$A$150,0),0)</f>
        <v>Technology Hardware and Equipment</v>
      </c>
      <c r="D1381" t="str">
        <f ca="1">OFFSET(Industries!E$1,MATCH(Table1[[#This Row],[Ticker]],Industries!$A$2:$A$150,0),0)</f>
        <v>Communications Equipment</v>
      </c>
      <c r="E1381" t="s">
        <v>89</v>
      </c>
      <c r="F1381" t="str">
        <f ca="1">OFFSET(Industries!B$1,MATCH(Table1[[#This Row],[Ticker]],Industries!$A$2:$A$140,0),0)</f>
        <v>Ultra-Cap</v>
      </c>
      <c r="G1381" t="str">
        <f ca="1">OFFSET(Industries!F$1,MATCH(Table1[[#This Row],[Ticker]],Industries!$A$2:$A$140,0),0)</f>
        <v>BBB</v>
      </c>
      <c r="H1381" t="s">
        <v>1434</v>
      </c>
      <c r="I1381" t="s">
        <v>1434</v>
      </c>
      <c r="J1381" s="2">
        <v>45379</v>
      </c>
      <c r="K1381" t="s">
        <v>21</v>
      </c>
      <c r="L1381" t="s">
        <v>1710</v>
      </c>
      <c r="M1381" t="s">
        <v>1709</v>
      </c>
      <c r="N1381" s="1"/>
      <c r="O1381" t="s">
        <v>476</v>
      </c>
      <c r="P1381" s="1">
        <f t="shared" ref="P1381:P1383" si="27">0.67/3</f>
        <v>0.22333333333333336</v>
      </c>
      <c r="R1381" t="s">
        <v>28</v>
      </c>
      <c r="S1381" t="s">
        <v>1095</v>
      </c>
      <c r="T1381" t="s">
        <v>55</v>
      </c>
      <c r="V1381" t="s">
        <v>658</v>
      </c>
    </row>
    <row r="1382" spans="1:22" x14ac:dyDescent="0.3">
      <c r="A1382" t="s">
        <v>838</v>
      </c>
      <c r="B1382" t="str">
        <f ca="1">OFFSET(Industries!C$1,MATCH(Table1[[#This Row],[Ticker]],Industries!$A$2:$A$150,0),0)</f>
        <v>Information Technology</v>
      </c>
      <c r="C1382" t="str">
        <f ca="1">OFFSET(Industries!D$1,MATCH(Table1[[#This Row],[Ticker]],Industries!$A$2:$A$150,0),0)</f>
        <v>Technology Hardware and Equipment</v>
      </c>
      <c r="D1382" t="str">
        <f ca="1">OFFSET(Industries!E$1,MATCH(Table1[[#This Row],[Ticker]],Industries!$A$2:$A$150,0),0)</f>
        <v>Communications Equipment</v>
      </c>
      <c r="E1382" t="s">
        <v>89</v>
      </c>
      <c r="F1382" t="str">
        <f ca="1">OFFSET(Industries!B$1,MATCH(Table1[[#This Row],[Ticker]],Industries!$A$2:$A$140,0),0)</f>
        <v>Ultra-Cap</v>
      </c>
      <c r="G1382" t="str">
        <f ca="1">OFFSET(Industries!F$1,MATCH(Table1[[#This Row],[Ticker]],Industries!$A$2:$A$140,0),0)</f>
        <v>BBB</v>
      </c>
      <c r="H1382" t="s">
        <v>1434</v>
      </c>
      <c r="I1382" t="s">
        <v>1434</v>
      </c>
      <c r="J1382" s="2">
        <v>45379</v>
      </c>
      <c r="K1382" t="s">
        <v>21</v>
      </c>
      <c r="L1382" t="s">
        <v>1710</v>
      </c>
      <c r="M1382" t="s">
        <v>1709</v>
      </c>
      <c r="N1382" s="1">
        <f>Table1[[#This Row],[Consideration Weight]]</f>
        <v>0.22333333333333336</v>
      </c>
      <c r="O1382" t="s">
        <v>462</v>
      </c>
      <c r="P1382" s="1">
        <f t="shared" si="27"/>
        <v>0.22333333333333336</v>
      </c>
      <c r="V1382" t="s">
        <v>1725</v>
      </c>
    </row>
    <row r="1383" spans="1:22" x14ac:dyDescent="0.3">
      <c r="A1383" t="s">
        <v>838</v>
      </c>
      <c r="B1383" t="str">
        <f ca="1">OFFSET(Industries!C$1,MATCH(Table1[[#This Row],[Ticker]],Industries!$A$2:$A$150,0),0)</f>
        <v>Information Technology</v>
      </c>
      <c r="C1383" t="str">
        <f ca="1">OFFSET(Industries!D$1,MATCH(Table1[[#This Row],[Ticker]],Industries!$A$2:$A$150,0),0)</f>
        <v>Technology Hardware and Equipment</v>
      </c>
      <c r="D1383" t="str">
        <f ca="1">OFFSET(Industries!E$1,MATCH(Table1[[#This Row],[Ticker]],Industries!$A$2:$A$150,0),0)</f>
        <v>Communications Equipment</v>
      </c>
      <c r="E1383" t="s">
        <v>89</v>
      </c>
      <c r="F1383" t="str">
        <f ca="1">OFFSET(Industries!B$1,MATCH(Table1[[#This Row],[Ticker]],Industries!$A$2:$A$140,0),0)</f>
        <v>Ultra-Cap</v>
      </c>
      <c r="G1383" t="str">
        <f ca="1">OFFSET(Industries!F$1,MATCH(Table1[[#This Row],[Ticker]],Industries!$A$2:$A$140,0),0)</f>
        <v>BBB</v>
      </c>
      <c r="H1383" t="s">
        <v>1434</v>
      </c>
      <c r="I1383" t="s">
        <v>1434</v>
      </c>
      <c r="J1383" s="2">
        <v>45379</v>
      </c>
      <c r="K1383" t="s">
        <v>21</v>
      </c>
      <c r="L1383" t="s">
        <v>1710</v>
      </c>
      <c r="M1383" t="s">
        <v>1709</v>
      </c>
      <c r="N1383" s="1">
        <f>Table1[[#This Row],[Consideration Weight]]</f>
        <v>0.22333333333333336</v>
      </c>
      <c r="O1383" t="s">
        <v>840</v>
      </c>
      <c r="P1383" s="1">
        <f t="shared" si="27"/>
        <v>0.22333333333333336</v>
      </c>
    </row>
    <row r="1384" spans="1:22" x14ac:dyDescent="0.3">
      <c r="A1384" t="s">
        <v>843</v>
      </c>
      <c r="B1384" t="str">
        <f ca="1">OFFSET(Industries!C$1,MATCH(Table1[[#This Row],[Ticker]],Industries!$A$2:$A$150,0),0)</f>
        <v>Information Technology</v>
      </c>
      <c r="C1384" t="str">
        <f ca="1">OFFSET(Industries!D$1,MATCH(Table1[[#This Row],[Ticker]],Industries!$A$2:$A$150,0),0)</f>
        <v>Software and Services</v>
      </c>
      <c r="D1384" t="str">
        <f ca="1">OFFSET(Industries!E$1,MATCH(Table1[[#This Row],[Ticker]],Industries!$A$2:$A$150,0),0)</f>
        <v>IT Services</v>
      </c>
      <c r="E1384" t="s">
        <v>401</v>
      </c>
      <c r="F1384" t="str">
        <f ca="1">OFFSET(Industries!B$1,MATCH(Table1[[#This Row],[Ticker]],Industries!$A$2:$A$140,0),0)</f>
        <v>Mega-Cap</v>
      </c>
      <c r="G1384" t="str">
        <f ca="1">OFFSET(Industries!F$1,MATCH(Table1[[#This Row],[Ticker]],Industries!$A$2:$A$140,0),0)</f>
        <v>AA-</v>
      </c>
      <c r="H1384" t="s">
        <v>1434</v>
      </c>
      <c r="I1384" t="s">
        <v>1434</v>
      </c>
      <c r="J1384" s="2">
        <v>45273</v>
      </c>
      <c r="K1384" t="s">
        <v>2</v>
      </c>
      <c r="L1384" t="s">
        <v>3</v>
      </c>
      <c r="M1384" t="s">
        <v>1711</v>
      </c>
      <c r="N1384" s="1">
        <f>Table1[[#This Row],[Consideration Weight]]</f>
        <v>6.0999999999999999E-2</v>
      </c>
      <c r="O1384" t="s">
        <v>3</v>
      </c>
      <c r="P1384" s="1">
        <v>6.0999999999999999E-2</v>
      </c>
      <c r="V1384" t="s">
        <v>1649</v>
      </c>
    </row>
    <row r="1385" spans="1:22" x14ac:dyDescent="0.3">
      <c r="A1385" t="s">
        <v>843</v>
      </c>
      <c r="B1385" t="str">
        <f ca="1">OFFSET(Industries!C$1,MATCH(Table1[[#This Row],[Ticker]],Industries!$A$2:$A$150,0),0)</f>
        <v>Information Technology</v>
      </c>
      <c r="C1385" t="str">
        <f ca="1">OFFSET(Industries!D$1,MATCH(Table1[[#This Row],[Ticker]],Industries!$A$2:$A$150,0),0)</f>
        <v>Software and Services</v>
      </c>
      <c r="D1385" t="str">
        <f ca="1">OFFSET(Industries!E$1,MATCH(Table1[[#This Row],[Ticker]],Industries!$A$2:$A$150,0),0)</f>
        <v>IT Services</v>
      </c>
      <c r="E1385" t="s">
        <v>401</v>
      </c>
      <c r="F1385" t="str">
        <f ca="1">OFFSET(Industries!B$1,MATCH(Table1[[#This Row],[Ticker]],Industries!$A$2:$A$140,0),0)</f>
        <v>Mega-Cap</v>
      </c>
      <c r="G1385" t="str">
        <f ca="1">OFFSET(Industries!F$1,MATCH(Table1[[#This Row],[Ticker]],Industries!$A$2:$A$140,0),0)</f>
        <v>AA-</v>
      </c>
      <c r="H1385" t="s">
        <v>1434</v>
      </c>
      <c r="I1385" t="s">
        <v>1434</v>
      </c>
      <c r="J1385" s="2">
        <v>45273</v>
      </c>
      <c r="K1385" t="s">
        <v>2</v>
      </c>
      <c r="L1385" t="s">
        <v>1708</v>
      </c>
      <c r="M1385" t="s">
        <v>1709</v>
      </c>
      <c r="N1385" s="1">
        <f>Table1[[#This Row],[Consideration Weight]]</f>
        <v>0.153</v>
      </c>
      <c r="O1385" t="s">
        <v>4</v>
      </c>
      <c r="P1385" s="1">
        <v>0.153</v>
      </c>
      <c r="Q1385" s="1" t="s">
        <v>1637</v>
      </c>
      <c r="R1385" t="s">
        <v>25</v>
      </c>
      <c r="S1385" t="s">
        <v>1086</v>
      </c>
      <c r="T1385" t="s">
        <v>844</v>
      </c>
      <c r="U1385" s="1">
        <v>0.5</v>
      </c>
      <c r="V1385" t="s">
        <v>1650</v>
      </c>
    </row>
    <row r="1386" spans="1:22" x14ac:dyDescent="0.3">
      <c r="A1386" t="s">
        <v>843</v>
      </c>
      <c r="B1386" t="str">
        <f ca="1">OFFSET(Industries!C$1,MATCH(Table1[[#This Row],[Ticker]],Industries!$A$2:$A$150,0),0)</f>
        <v>Information Technology</v>
      </c>
      <c r="C1386" t="str">
        <f ca="1">OFFSET(Industries!D$1,MATCH(Table1[[#This Row],[Ticker]],Industries!$A$2:$A$150,0),0)</f>
        <v>Software and Services</v>
      </c>
      <c r="D1386" t="str">
        <f ca="1">OFFSET(Industries!E$1,MATCH(Table1[[#This Row],[Ticker]],Industries!$A$2:$A$150,0),0)</f>
        <v>IT Services</v>
      </c>
      <c r="E1386" t="s">
        <v>401</v>
      </c>
      <c r="F1386" t="str">
        <f ca="1">OFFSET(Industries!B$1,MATCH(Table1[[#This Row],[Ticker]],Industries!$A$2:$A$140,0),0)</f>
        <v>Mega-Cap</v>
      </c>
      <c r="G1386" t="str">
        <f ca="1">OFFSET(Industries!F$1,MATCH(Table1[[#This Row],[Ticker]],Industries!$A$2:$A$140,0),0)</f>
        <v>AA-</v>
      </c>
      <c r="H1386" t="s">
        <v>1434</v>
      </c>
      <c r="I1386" t="s">
        <v>1434</v>
      </c>
      <c r="J1386" s="2">
        <v>45273</v>
      </c>
      <c r="K1386" t="s">
        <v>2</v>
      </c>
      <c r="L1386" t="s">
        <v>1708</v>
      </c>
      <c r="M1386" t="s">
        <v>1709</v>
      </c>
      <c r="N1386" s="1"/>
      <c r="O1386" t="s">
        <v>4</v>
      </c>
      <c r="P1386" s="1">
        <v>0.153</v>
      </c>
      <c r="Q1386" s="1" t="s">
        <v>1637</v>
      </c>
      <c r="R1386" t="s">
        <v>332</v>
      </c>
      <c r="S1386" t="s">
        <v>380</v>
      </c>
      <c r="T1386" t="s">
        <v>380</v>
      </c>
      <c r="U1386" s="1">
        <v>0.5</v>
      </c>
      <c r="V1386" t="s">
        <v>846</v>
      </c>
    </row>
    <row r="1387" spans="1:22" x14ac:dyDescent="0.3">
      <c r="A1387" t="s">
        <v>843</v>
      </c>
      <c r="B1387" t="str">
        <f ca="1">OFFSET(Industries!C$1,MATCH(Table1[[#This Row],[Ticker]],Industries!$A$2:$A$150,0),0)</f>
        <v>Information Technology</v>
      </c>
      <c r="C1387" t="str">
        <f ca="1">OFFSET(Industries!D$1,MATCH(Table1[[#This Row],[Ticker]],Industries!$A$2:$A$150,0),0)</f>
        <v>Software and Services</v>
      </c>
      <c r="D1387" t="str">
        <f ca="1">OFFSET(Industries!E$1,MATCH(Table1[[#This Row],[Ticker]],Industries!$A$2:$A$150,0),0)</f>
        <v>IT Services</v>
      </c>
      <c r="E1387" t="s">
        <v>401</v>
      </c>
      <c r="F1387" t="str">
        <f ca="1">OFFSET(Industries!B$1,MATCH(Table1[[#This Row],[Ticker]],Industries!$A$2:$A$140,0),0)</f>
        <v>Mega-Cap</v>
      </c>
      <c r="G1387" t="str">
        <f ca="1">OFFSET(Industries!F$1,MATCH(Table1[[#This Row],[Ticker]],Industries!$A$2:$A$140,0),0)</f>
        <v>AA-</v>
      </c>
      <c r="H1387" t="s">
        <v>1434</v>
      </c>
      <c r="I1387" t="s">
        <v>1434</v>
      </c>
      <c r="J1387" s="2">
        <v>45273</v>
      </c>
      <c r="K1387" t="s">
        <v>2</v>
      </c>
      <c r="L1387" t="s">
        <v>1710</v>
      </c>
      <c r="M1387" t="s">
        <v>1709</v>
      </c>
      <c r="N1387" s="1">
        <f>Table1[[#This Row],[Consideration Weight]]</f>
        <v>0.58199999999999996</v>
      </c>
      <c r="O1387" t="s">
        <v>476</v>
      </c>
      <c r="P1387" s="1">
        <v>0.58199999999999996</v>
      </c>
      <c r="Q1387" s="1" t="s">
        <v>1636</v>
      </c>
      <c r="R1387" t="s">
        <v>24</v>
      </c>
      <c r="S1387" t="s">
        <v>90</v>
      </c>
      <c r="T1387" t="s">
        <v>8</v>
      </c>
      <c r="U1387" s="1">
        <v>0.75</v>
      </c>
      <c r="V1387" t="s">
        <v>845</v>
      </c>
    </row>
    <row r="1388" spans="1:22" x14ac:dyDescent="0.3">
      <c r="A1388" t="s">
        <v>843</v>
      </c>
      <c r="B1388" t="str">
        <f ca="1">OFFSET(Industries!C$1,MATCH(Table1[[#This Row],[Ticker]],Industries!$A$2:$A$150,0),0)</f>
        <v>Information Technology</v>
      </c>
      <c r="C1388" t="str">
        <f ca="1">OFFSET(Industries!D$1,MATCH(Table1[[#This Row],[Ticker]],Industries!$A$2:$A$150,0),0)</f>
        <v>Software and Services</v>
      </c>
      <c r="D1388" t="str">
        <f ca="1">OFFSET(Industries!E$1,MATCH(Table1[[#This Row],[Ticker]],Industries!$A$2:$A$150,0),0)</f>
        <v>IT Services</v>
      </c>
      <c r="E1388" t="s">
        <v>401</v>
      </c>
      <c r="F1388" t="str">
        <f ca="1">OFFSET(Industries!B$1,MATCH(Table1[[#This Row],[Ticker]],Industries!$A$2:$A$140,0),0)</f>
        <v>Mega-Cap</v>
      </c>
      <c r="G1388" t="str">
        <f ca="1">OFFSET(Industries!F$1,MATCH(Table1[[#This Row],[Ticker]],Industries!$A$2:$A$140,0),0)</f>
        <v>AA-</v>
      </c>
      <c r="H1388" t="s">
        <v>1434</v>
      </c>
      <c r="I1388" t="s">
        <v>1434</v>
      </c>
      <c r="J1388" s="2">
        <v>45273</v>
      </c>
      <c r="K1388" t="s">
        <v>2</v>
      </c>
      <c r="L1388" t="s">
        <v>1710</v>
      </c>
      <c r="M1388" t="s">
        <v>1709</v>
      </c>
      <c r="N1388" s="1"/>
      <c r="O1388" t="s">
        <v>476</v>
      </c>
      <c r="P1388" s="1">
        <v>0.58199999999999996</v>
      </c>
      <c r="Q1388" s="1" t="s">
        <v>1646</v>
      </c>
      <c r="R1388" t="s">
        <v>35</v>
      </c>
      <c r="S1388" t="s">
        <v>29</v>
      </c>
      <c r="T1388" t="s">
        <v>30</v>
      </c>
      <c r="U1388" s="1">
        <v>0.25</v>
      </c>
      <c r="V1388" t="s">
        <v>1163</v>
      </c>
    </row>
    <row r="1389" spans="1:22" x14ac:dyDescent="0.3">
      <c r="A1389" t="s">
        <v>843</v>
      </c>
      <c r="B1389" t="str">
        <f ca="1">OFFSET(Industries!C$1,MATCH(Table1[[#This Row],[Ticker]],Industries!$A$2:$A$150,0),0)</f>
        <v>Information Technology</v>
      </c>
      <c r="C1389" t="str">
        <f ca="1">OFFSET(Industries!D$1,MATCH(Table1[[#This Row],[Ticker]],Industries!$A$2:$A$150,0),0)</f>
        <v>Software and Services</v>
      </c>
      <c r="D1389" t="str">
        <f ca="1">OFFSET(Industries!E$1,MATCH(Table1[[#This Row],[Ticker]],Industries!$A$2:$A$150,0),0)</f>
        <v>IT Services</v>
      </c>
      <c r="E1389" t="s">
        <v>401</v>
      </c>
      <c r="F1389" t="str">
        <f ca="1">OFFSET(Industries!B$1,MATCH(Table1[[#This Row],[Ticker]],Industries!$A$2:$A$140,0),0)</f>
        <v>Mega-Cap</v>
      </c>
      <c r="G1389" t="str">
        <f ca="1">OFFSET(Industries!F$1,MATCH(Table1[[#This Row],[Ticker]],Industries!$A$2:$A$140,0),0)</f>
        <v>AA-</v>
      </c>
      <c r="H1389" t="s">
        <v>1434</v>
      </c>
      <c r="I1389" t="s">
        <v>1434</v>
      </c>
      <c r="J1389" s="2">
        <v>45273</v>
      </c>
      <c r="K1389" t="s">
        <v>2</v>
      </c>
      <c r="L1389" t="s">
        <v>1710</v>
      </c>
      <c r="M1389" t="s">
        <v>1709</v>
      </c>
      <c r="N1389" s="1"/>
      <c r="O1389" t="s">
        <v>476</v>
      </c>
      <c r="P1389" s="1">
        <v>0.58199999999999996</v>
      </c>
      <c r="R1389" t="s">
        <v>28</v>
      </c>
      <c r="S1389" t="s">
        <v>1088</v>
      </c>
      <c r="T1389" t="s">
        <v>844</v>
      </c>
      <c r="V1389" t="s">
        <v>848</v>
      </c>
    </row>
    <row r="1390" spans="1:22" x14ac:dyDescent="0.3">
      <c r="A1390" t="s">
        <v>843</v>
      </c>
      <c r="B1390" t="str">
        <f ca="1">OFFSET(Industries!C$1,MATCH(Table1[[#This Row],[Ticker]],Industries!$A$2:$A$150,0),0)</f>
        <v>Information Technology</v>
      </c>
      <c r="C1390" t="str">
        <f ca="1">OFFSET(Industries!D$1,MATCH(Table1[[#This Row],[Ticker]],Industries!$A$2:$A$150,0),0)</f>
        <v>Software and Services</v>
      </c>
      <c r="D1390" t="str">
        <f ca="1">OFFSET(Industries!E$1,MATCH(Table1[[#This Row],[Ticker]],Industries!$A$2:$A$150,0),0)</f>
        <v>IT Services</v>
      </c>
      <c r="E1390" t="s">
        <v>401</v>
      </c>
      <c r="F1390" t="str">
        <f ca="1">OFFSET(Industries!B$1,MATCH(Table1[[#This Row],[Ticker]],Industries!$A$2:$A$140,0),0)</f>
        <v>Mega-Cap</v>
      </c>
      <c r="G1390" t="str">
        <f ca="1">OFFSET(Industries!F$1,MATCH(Table1[[#This Row],[Ticker]],Industries!$A$2:$A$140,0),0)</f>
        <v>AA-</v>
      </c>
      <c r="H1390" t="s">
        <v>1434</v>
      </c>
      <c r="I1390" t="s">
        <v>1434</v>
      </c>
      <c r="J1390" s="2">
        <v>45273</v>
      </c>
      <c r="K1390" t="s">
        <v>2</v>
      </c>
      <c r="L1390" t="s">
        <v>1710</v>
      </c>
      <c r="M1390" t="s">
        <v>1709</v>
      </c>
      <c r="N1390" s="1"/>
      <c r="O1390" t="s">
        <v>476</v>
      </c>
      <c r="P1390" s="1">
        <v>0.58199999999999996</v>
      </c>
      <c r="R1390" t="s">
        <v>28</v>
      </c>
      <c r="S1390" t="s">
        <v>1155</v>
      </c>
      <c r="T1390" t="s">
        <v>30</v>
      </c>
      <c r="V1390" t="s">
        <v>847</v>
      </c>
    </row>
    <row r="1391" spans="1:22" x14ac:dyDescent="0.3">
      <c r="A1391" t="s">
        <v>843</v>
      </c>
      <c r="B1391" t="str">
        <f ca="1">OFFSET(Industries!C$1,MATCH(Table1[[#This Row],[Ticker]],Industries!$A$2:$A$150,0),0)</f>
        <v>Information Technology</v>
      </c>
      <c r="C1391" t="str">
        <f ca="1">OFFSET(Industries!D$1,MATCH(Table1[[#This Row],[Ticker]],Industries!$A$2:$A$150,0),0)</f>
        <v>Software and Services</v>
      </c>
      <c r="D1391" t="str">
        <f ca="1">OFFSET(Industries!E$1,MATCH(Table1[[#This Row],[Ticker]],Industries!$A$2:$A$150,0),0)</f>
        <v>IT Services</v>
      </c>
      <c r="E1391" t="s">
        <v>401</v>
      </c>
      <c r="F1391" t="str">
        <f ca="1">OFFSET(Industries!B$1,MATCH(Table1[[#This Row],[Ticker]],Industries!$A$2:$A$140,0),0)</f>
        <v>Mega-Cap</v>
      </c>
      <c r="G1391" t="str">
        <f ca="1">OFFSET(Industries!F$1,MATCH(Table1[[#This Row],[Ticker]],Industries!$A$2:$A$140,0),0)</f>
        <v>AA-</v>
      </c>
      <c r="H1391" t="s">
        <v>1434</v>
      </c>
      <c r="I1391" t="s">
        <v>1434</v>
      </c>
      <c r="J1391" s="2">
        <v>45273</v>
      </c>
      <c r="K1391" t="s">
        <v>2</v>
      </c>
      <c r="L1391" t="s">
        <v>1710</v>
      </c>
      <c r="M1391" t="s">
        <v>1711</v>
      </c>
      <c r="N1391" s="1">
        <f>Table1[[#This Row],[Consideration Weight]]</f>
        <v>0.20399999999999999</v>
      </c>
      <c r="O1391" t="s">
        <v>194</v>
      </c>
      <c r="P1391" s="1">
        <v>0.20399999999999999</v>
      </c>
    </row>
    <row r="1392" spans="1:22" x14ac:dyDescent="0.3">
      <c r="A1392" t="s">
        <v>843</v>
      </c>
      <c r="B1392" t="str">
        <f ca="1">OFFSET(Industries!C$1,MATCH(Table1[[#This Row],[Ticker]],Industries!$A$2:$A$150,0),0)</f>
        <v>Information Technology</v>
      </c>
      <c r="C1392" t="str">
        <f ca="1">OFFSET(Industries!D$1,MATCH(Table1[[#This Row],[Ticker]],Industries!$A$2:$A$150,0),0)</f>
        <v>Software and Services</v>
      </c>
      <c r="D1392" t="str">
        <f ca="1">OFFSET(Industries!E$1,MATCH(Table1[[#This Row],[Ticker]],Industries!$A$2:$A$150,0),0)</f>
        <v>IT Services</v>
      </c>
      <c r="E1392" t="s">
        <v>401</v>
      </c>
      <c r="F1392" t="str">
        <f ca="1">OFFSET(Industries!B$1,MATCH(Table1[[#This Row],[Ticker]],Industries!$A$2:$A$140,0),0)</f>
        <v>Mega-Cap</v>
      </c>
      <c r="G1392" t="str">
        <f ca="1">OFFSET(Industries!F$1,MATCH(Table1[[#This Row],[Ticker]],Industries!$A$2:$A$140,0),0)</f>
        <v>AA-</v>
      </c>
      <c r="H1392" t="s">
        <v>1434</v>
      </c>
      <c r="I1392" t="s">
        <v>1434</v>
      </c>
      <c r="J1392" s="2">
        <v>45273</v>
      </c>
      <c r="K1392" t="s">
        <v>21</v>
      </c>
      <c r="L1392" t="s">
        <v>3</v>
      </c>
      <c r="M1392" t="s">
        <v>1711</v>
      </c>
      <c r="N1392" s="1">
        <f>Table1[[#This Row],[Consideration Weight]]</f>
        <v>0.13300000000000001</v>
      </c>
      <c r="O1392" t="s">
        <v>3</v>
      </c>
      <c r="P1392" s="1">
        <v>0.13300000000000001</v>
      </c>
    </row>
    <row r="1393" spans="1:22" x14ac:dyDescent="0.3">
      <c r="A1393" t="s">
        <v>843</v>
      </c>
      <c r="B1393" t="str">
        <f ca="1">OFFSET(Industries!C$1,MATCH(Table1[[#This Row],[Ticker]],Industries!$A$2:$A$150,0),0)</f>
        <v>Information Technology</v>
      </c>
      <c r="C1393" t="str">
        <f ca="1">OFFSET(Industries!D$1,MATCH(Table1[[#This Row],[Ticker]],Industries!$A$2:$A$150,0),0)</f>
        <v>Software and Services</v>
      </c>
      <c r="D1393" t="str">
        <f ca="1">OFFSET(Industries!E$1,MATCH(Table1[[#This Row],[Ticker]],Industries!$A$2:$A$150,0),0)</f>
        <v>IT Services</v>
      </c>
      <c r="E1393" t="s">
        <v>401</v>
      </c>
      <c r="F1393" t="str">
        <f ca="1">OFFSET(Industries!B$1,MATCH(Table1[[#This Row],[Ticker]],Industries!$A$2:$A$140,0),0)</f>
        <v>Mega-Cap</v>
      </c>
      <c r="G1393" t="str">
        <f ca="1">OFFSET(Industries!F$1,MATCH(Table1[[#This Row],[Ticker]],Industries!$A$2:$A$140,0),0)</f>
        <v>AA-</v>
      </c>
      <c r="H1393" t="s">
        <v>1434</v>
      </c>
      <c r="I1393" t="s">
        <v>1434</v>
      </c>
      <c r="J1393" s="2">
        <v>45273</v>
      </c>
      <c r="K1393" t="s">
        <v>21</v>
      </c>
      <c r="L1393" t="s">
        <v>1708</v>
      </c>
      <c r="M1393" t="s">
        <v>1709</v>
      </c>
      <c r="N1393" s="1">
        <f>Table1[[#This Row],[Consideration Weight]]</f>
        <v>0.23300000000000001</v>
      </c>
      <c r="O1393" t="s">
        <v>4</v>
      </c>
      <c r="P1393" s="1">
        <v>0.23300000000000001</v>
      </c>
      <c r="Q1393" s="1" t="s">
        <v>1637</v>
      </c>
      <c r="R1393" t="s">
        <v>25</v>
      </c>
      <c r="S1393" t="s">
        <v>1086</v>
      </c>
      <c r="T1393" t="s">
        <v>844</v>
      </c>
      <c r="U1393" s="1">
        <v>0.5</v>
      </c>
    </row>
    <row r="1394" spans="1:22" x14ac:dyDescent="0.3">
      <c r="A1394" t="s">
        <v>843</v>
      </c>
      <c r="B1394" t="str">
        <f ca="1">OFFSET(Industries!C$1,MATCH(Table1[[#This Row],[Ticker]],Industries!$A$2:$A$150,0),0)</f>
        <v>Information Technology</v>
      </c>
      <c r="C1394" t="str">
        <f ca="1">OFFSET(Industries!D$1,MATCH(Table1[[#This Row],[Ticker]],Industries!$A$2:$A$150,0),0)</f>
        <v>Software and Services</v>
      </c>
      <c r="D1394" t="str">
        <f ca="1">OFFSET(Industries!E$1,MATCH(Table1[[#This Row],[Ticker]],Industries!$A$2:$A$150,0),0)</f>
        <v>IT Services</v>
      </c>
      <c r="E1394" t="s">
        <v>401</v>
      </c>
      <c r="F1394" t="str">
        <f ca="1">OFFSET(Industries!B$1,MATCH(Table1[[#This Row],[Ticker]],Industries!$A$2:$A$140,0),0)</f>
        <v>Mega-Cap</v>
      </c>
      <c r="G1394" t="str">
        <f ca="1">OFFSET(Industries!F$1,MATCH(Table1[[#This Row],[Ticker]],Industries!$A$2:$A$140,0),0)</f>
        <v>AA-</v>
      </c>
      <c r="H1394" t="s">
        <v>1434</v>
      </c>
      <c r="I1394" t="s">
        <v>1434</v>
      </c>
      <c r="J1394" s="2">
        <v>45273</v>
      </c>
      <c r="K1394" t="s">
        <v>21</v>
      </c>
      <c r="L1394" t="s">
        <v>1708</v>
      </c>
      <c r="M1394" t="s">
        <v>1709</v>
      </c>
      <c r="N1394" s="1"/>
      <c r="O1394" t="s">
        <v>4</v>
      </c>
      <c r="P1394" s="1">
        <v>0.23300000000000001</v>
      </c>
      <c r="Q1394" s="1" t="s">
        <v>1637</v>
      </c>
      <c r="R1394" t="s">
        <v>332</v>
      </c>
      <c r="S1394" t="s">
        <v>380</v>
      </c>
      <c r="T1394" t="s">
        <v>380</v>
      </c>
      <c r="U1394" s="1">
        <v>0.5</v>
      </c>
    </row>
    <row r="1395" spans="1:22" x14ac:dyDescent="0.3">
      <c r="A1395" t="s">
        <v>843</v>
      </c>
      <c r="B1395" t="str">
        <f ca="1">OFFSET(Industries!C$1,MATCH(Table1[[#This Row],[Ticker]],Industries!$A$2:$A$150,0),0)</f>
        <v>Information Technology</v>
      </c>
      <c r="C1395" t="str">
        <f ca="1">OFFSET(Industries!D$1,MATCH(Table1[[#This Row],[Ticker]],Industries!$A$2:$A$150,0),0)</f>
        <v>Software and Services</v>
      </c>
      <c r="D1395" t="str">
        <f ca="1">OFFSET(Industries!E$1,MATCH(Table1[[#This Row],[Ticker]],Industries!$A$2:$A$150,0),0)</f>
        <v>IT Services</v>
      </c>
      <c r="E1395" t="s">
        <v>401</v>
      </c>
      <c r="F1395" t="str">
        <f ca="1">OFFSET(Industries!B$1,MATCH(Table1[[#This Row],[Ticker]],Industries!$A$2:$A$140,0),0)</f>
        <v>Mega-Cap</v>
      </c>
      <c r="G1395" t="str">
        <f ca="1">OFFSET(Industries!F$1,MATCH(Table1[[#This Row],[Ticker]],Industries!$A$2:$A$140,0),0)</f>
        <v>AA-</v>
      </c>
      <c r="H1395" t="s">
        <v>1434</v>
      </c>
      <c r="I1395" t="s">
        <v>1434</v>
      </c>
      <c r="J1395" s="2">
        <v>45273</v>
      </c>
      <c r="K1395" t="s">
        <v>21</v>
      </c>
      <c r="L1395" t="s">
        <v>1710</v>
      </c>
      <c r="M1395" t="s">
        <v>1709</v>
      </c>
      <c r="N1395" s="1">
        <f>Table1[[#This Row],[Consideration Weight]]</f>
        <v>0.47199999999999998</v>
      </c>
      <c r="O1395" t="s">
        <v>476</v>
      </c>
      <c r="P1395" s="1">
        <v>0.47199999999999998</v>
      </c>
      <c r="Q1395" s="1" t="s">
        <v>1636</v>
      </c>
      <c r="R1395" t="s">
        <v>24</v>
      </c>
      <c r="S1395" t="s">
        <v>90</v>
      </c>
      <c r="T1395" t="s">
        <v>8</v>
      </c>
      <c r="U1395" s="1">
        <v>0.75</v>
      </c>
    </row>
    <row r="1396" spans="1:22" x14ac:dyDescent="0.3">
      <c r="A1396" t="s">
        <v>843</v>
      </c>
      <c r="B1396" t="str">
        <f ca="1">OFFSET(Industries!C$1,MATCH(Table1[[#This Row],[Ticker]],Industries!$A$2:$A$150,0),0)</f>
        <v>Information Technology</v>
      </c>
      <c r="C1396" t="str">
        <f ca="1">OFFSET(Industries!D$1,MATCH(Table1[[#This Row],[Ticker]],Industries!$A$2:$A$150,0),0)</f>
        <v>Software and Services</v>
      </c>
      <c r="D1396" t="str">
        <f ca="1">OFFSET(Industries!E$1,MATCH(Table1[[#This Row],[Ticker]],Industries!$A$2:$A$150,0),0)</f>
        <v>IT Services</v>
      </c>
      <c r="E1396" t="s">
        <v>401</v>
      </c>
      <c r="F1396" t="str">
        <f ca="1">OFFSET(Industries!B$1,MATCH(Table1[[#This Row],[Ticker]],Industries!$A$2:$A$140,0),0)</f>
        <v>Mega-Cap</v>
      </c>
      <c r="G1396" t="str">
        <f ca="1">OFFSET(Industries!F$1,MATCH(Table1[[#This Row],[Ticker]],Industries!$A$2:$A$140,0),0)</f>
        <v>AA-</v>
      </c>
      <c r="H1396" t="s">
        <v>1434</v>
      </c>
      <c r="I1396" t="s">
        <v>1434</v>
      </c>
      <c r="J1396" s="2">
        <v>45273</v>
      </c>
      <c r="K1396" t="s">
        <v>21</v>
      </c>
      <c r="L1396" t="s">
        <v>1710</v>
      </c>
      <c r="M1396" t="s">
        <v>1709</v>
      </c>
      <c r="N1396" s="1"/>
      <c r="O1396" t="s">
        <v>476</v>
      </c>
      <c r="P1396" s="1">
        <v>0.47199999999999998</v>
      </c>
      <c r="Q1396" s="1" t="s">
        <v>1646</v>
      </c>
      <c r="R1396" t="s">
        <v>35</v>
      </c>
      <c r="S1396" t="s">
        <v>29</v>
      </c>
      <c r="T1396" t="s">
        <v>30</v>
      </c>
      <c r="U1396" s="1">
        <v>0.25</v>
      </c>
    </row>
    <row r="1397" spans="1:22" x14ac:dyDescent="0.3">
      <c r="A1397" t="s">
        <v>843</v>
      </c>
      <c r="B1397" t="str">
        <f ca="1">OFFSET(Industries!C$1,MATCH(Table1[[#This Row],[Ticker]],Industries!$A$2:$A$150,0),0)</f>
        <v>Information Technology</v>
      </c>
      <c r="C1397" t="str">
        <f ca="1">OFFSET(Industries!D$1,MATCH(Table1[[#This Row],[Ticker]],Industries!$A$2:$A$150,0),0)</f>
        <v>Software and Services</v>
      </c>
      <c r="D1397" t="str">
        <f ca="1">OFFSET(Industries!E$1,MATCH(Table1[[#This Row],[Ticker]],Industries!$A$2:$A$150,0),0)</f>
        <v>IT Services</v>
      </c>
      <c r="E1397" t="s">
        <v>401</v>
      </c>
      <c r="F1397" t="str">
        <f ca="1">OFFSET(Industries!B$1,MATCH(Table1[[#This Row],[Ticker]],Industries!$A$2:$A$140,0),0)</f>
        <v>Mega-Cap</v>
      </c>
      <c r="G1397" t="str">
        <f ca="1">OFFSET(Industries!F$1,MATCH(Table1[[#This Row],[Ticker]],Industries!$A$2:$A$140,0),0)</f>
        <v>AA-</v>
      </c>
      <c r="H1397" t="s">
        <v>1434</v>
      </c>
      <c r="I1397" t="s">
        <v>1434</v>
      </c>
      <c r="J1397" s="2">
        <v>45273</v>
      </c>
      <c r="K1397" t="s">
        <v>21</v>
      </c>
      <c r="L1397" t="s">
        <v>1710</v>
      </c>
      <c r="M1397" t="s">
        <v>1709</v>
      </c>
      <c r="N1397" s="1"/>
      <c r="O1397" t="s">
        <v>476</v>
      </c>
      <c r="P1397" s="1">
        <v>0.47199999999999998</v>
      </c>
      <c r="R1397" t="s">
        <v>28</v>
      </c>
      <c r="S1397" t="s">
        <v>1088</v>
      </c>
      <c r="T1397" t="s">
        <v>844</v>
      </c>
    </row>
    <row r="1398" spans="1:22" x14ac:dyDescent="0.3">
      <c r="A1398" t="s">
        <v>843</v>
      </c>
      <c r="B1398" t="str">
        <f ca="1">OFFSET(Industries!C$1,MATCH(Table1[[#This Row],[Ticker]],Industries!$A$2:$A$150,0),0)</f>
        <v>Information Technology</v>
      </c>
      <c r="C1398" t="str">
        <f ca="1">OFFSET(Industries!D$1,MATCH(Table1[[#This Row],[Ticker]],Industries!$A$2:$A$150,0),0)</f>
        <v>Software and Services</v>
      </c>
      <c r="D1398" t="str">
        <f ca="1">OFFSET(Industries!E$1,MATCH(Table1[[#This Row],[Ticker]],Industries!$A$2:$A$150,0),0)</f>
        <v>IT Services</v>
      </c>
      <c r="E1398" t="s">
        <v>401</v>
      </c>
      <c r="F1398" t="str">
        <f ca="1">OFFSET(Industries!B$1,MATCH(Table1[[#This Row],[Ticker]],Industries!$A$2:$A$140,0),0)</f>
        <v>Mega-Cap</v>
      </c>
      <c r="G1398" t="str">
        <f ca="1">OFFSET(Industries!F$1,MATCH(Table1[[#This Row],[Ticker]],Industries!$A$2:$A$140,0),0)</f>
        <v>AA-</v>
      </c>
      <c r="H1398" t="s">
        <v>1434</v>
      </c>
      <c r="I1398" t="s">
        <v>1434</v>
      </c>
      <c r="J1398" s="2">
        <v>45273</v>
      </c>
      <c r="K1398" t="s">
        <v>21</v>
      </c>
      <c r="L1398" t="s">
        <v>1710</v>
      </c>
      <c r="M1398" t="s">
        <v>1709</v>
      </c>
      <c r="N1398" s="1"/>
      <c r="O1398" t="s">
        <v>476</v>
      </c>
      <c r="P1398" s="1">
        <v>0.47199999999999998</v>
      </c>
      <c r="R1398" t="s">
        <v>28</v>
      </c>
      <c r="S1398" t="s">
        <v>1155</v>
      </c>
      <c r="T1398" t="s">
        <v>30</v>
      </c>
    </row>
    <row r="1399" spans="1:22" x14ac:dyDescent="0.3">
      <c r="A1399" t="s">
        <v>843</v>
      </c>
      <c r="B1399" t="str">
        <f ca="1">OFFSET(Industries!C$1,MATCH(Table1[[#This Row],[Ticker]],Industries!$A$2:$A$150,0),0)</f>
        <v>Information Technology</v>
      </c>
      <c r="C1399" t="str">
        <f ca="1">OFFSET(Industries!D$1,MATCH(Table1[[#This Row],[Ticker]],Industries!$A$2:$A$150,0),0)</f>
        <v>Software and Services</v>
      </c>
      <c r="D1399" t="str">
        <f ca="1">OFFSET(Industries!E$1,MATCH(Table1[[#This Row],[Ticker]],Industries!$A$2:$A$150,0),0)</f>
        <v>IT Services</v>
      </c>
      <c r="E1399" t="s">
        <v>401</v>
      </c>
      <c r="F1399" t="str">
        <f ca="1">OFFSET(Industries!B$1,MATCH(Table1[[#This Row],[Ticker]],Industries!$A$2:$A$140,0),0)</f>
        <v>Mega-Cap</v>
      </c>
      <c r="G1399" t="str">
        <f ca="1">OFFSET(Industries!F$1,MATCH(Table1[[#This Row],[Ticker]],Industries!$A$2:$A$140,0),0)</f>
        <v>AA-</v>
      </c>
      <c r="H1399" t="s">
        <v>1434</v>
      </c>
      <c r="I1399" t="s">
        <v>1434</v>
      </c>
      <c r="J1399" s="2">
        <v>45273</v>
      </c>
      <c r="K1399" t="s">
        <v>21</v>
      </c>
      <c r="L1399" t="s">
        <v>1710</v>
      </c>
      <c r="M1399" t="s">
        <v>1711</v>
      </c>
      <c r="N1399" s="1">
        <f>Table1[[#This Row],[Consideration Weight]]</f>
        <v>0.16200000000000001</v>
      </c>
      <c r="O1399" t="s">
        <v>194</v>
      </c>
      <c r="P1399" s="1">
        <v>0.16200000000000001</v>
      </c>
    </row>
    <row r="1400" spans="1:22" x14ac:dyDescent="0.3">
      <c r="A1400" t="s">
        <v>849</v>
      </c>
      <c r="B1400" t="str">
        <f ca="1">OFFSET(Industries!C$1,MATCH(Table1[[#This Row],[Ticker]],Industries!$A$2:$A$150,0),0)</f>
        <v>Consumer Discretionary</v>
      </c>
      <c r="C1400" t="str">
        <f ca="1">OFFSET(Industries!D$1,MATCH(Table1[[#This Row],[Ticker]],Industries!$A$2:$A$150,0),0)</f>
        <v>Consumer Durables and Apparel</v>
      </c>
      <c r="D1400" t="str">
        <f ca="1">OFFSET(Industries!E$1,MATCH(Table1[[#This Row],[Ticker]],Industries!$A$2:$A$150,0),0)</f>
        <v>Household Durables</v>
      </c>
      <c r="E1400" t="s">
        <v>850</v>
      </c>
      <c r="F1400" t="str">
        <f ca="1">OFFSET(Industries!B$1,MATCH(Table1[[#This Row],[Ticker]],Industries!$A$2:$A$140,0),0)</f>
        <v>Large-Cap</v>
      </c>
      <c r="G1400" t="str">
        <f ca="1">OFFSET(Industries!F$1,MATCH(Table1[[#This Row],[Ticker]],Industries!$A$2:$A$140,0),0)</f>
        <v>BBB+</v>
      </c>
      <c r="H1400" t="s">
        <v>1434</v>
      </c>
      <c r="I1400" t="s">
        <v>1434</v>
      </c>
      <c r="J1400" s="2">
        <v>45275</v>
      </c>
      <c r="K1400" t="s">
        <v>2</v>
      </c>
      <c r="L1400" t="s">
        <v>3</v>
      </c>
      <c r="M1400" t="s">
        <v>1711</v>
      </c>
      <c r="N1400" s="1">
        <f>Table1[[#This Row],[Consideration Weight]]</f>
        <v>0.02</v>
      </c>
      <c r="O1400" t="s">
        <v>3</v>
      </c>
      <c r="P1400" s="1">
        <v>0.02</v>
      </c>
      <c r="V1400" t="s">
        <v>852</v>
      </c>
    </row>
    <row r="1401" spans="1:22" x14ac:dyDescent="0.3">
      <c r="A1401" t="s">
        <v>849</v>
      </c>
      <c r="B1401" t="str">
        <f ca="1">OFFSET(Industries!C$1,MATCH(Table1[[#This Row],[Ticker]],Industries!$A$2:$A$150,0),0)</f>
        <v>Consumer Discretionary</v>
      </c>
      <c r="C1401" t="str">
        <f ca="1">OFFSET(Industries!D$1,MATCH(Table1[[#This Row],[Ticker]],Industries!$A$2:$A$150,0),0)</f>
        <v>Consumer Durables and Apparel</v>
      </c>
      <c r="D1401" t="str">
        <f ca="1">OFFSET(Industries!E$1,MATCH(Table1[[#This Row],[Ticker]],Industries!$A$2:$A$150,0),0)</f>
        <v>Household Durables</v>
      </c>
      <c r="E1401" t="s">
        <v>850</v>
      </c>
      <c r="F1401" t="str">
        <f ca="1">OFFSET(Industries!B$1,MATCH(Table1[[#This Row],[Ticker]],Industries!$A$2:$A$140,0),0)</f>
        <v>Large-Cap</v>
      </c>
      <c r="G1401" t="str">
        <f ca="1">OFFSET(Industries!F$1,MATCH(Table1[[#This Row],[Ticker]],Industries!$A$2:$A$140,0),0)</f>
        <v>BBB+</v>
      </c>
      <c r="H1401" t="s">
        <v>1434</v>
      </c>
      <c r="I1401" t="s">
        <v>1434</v>
      </c>
      <c r="J1401" s="2">
        <v>45275</v>
      </c>
      <c r="K1401" t="s">
        <v>2</v>
      </c>
      <c r="L1401" t="s">
        <v>1708</v>
      </c>
      <c r="M1401" t="s">
        <v>1709</v>
      </c>
      <c r="N1401" s="1">
        <f>Table1[[#This Row],[Consideration Weight]]</f>
        <v>0.2</v>
      </c>
      <c r="O1401" t="s">
        <v>4</v>
      </c>
      <c r="P1401" s="1">
        <v>0.2</v>
      </c>
      <c r="Q1401" s="1" t="s">
        <v>1636</v>
      </c>
      <c r="R1401" t="s">
        <v>24</v>
      </c>
      <c r="S1401" t="s">
        <v>851</v>
      </c>
      <c r="T1401" t="s">
        <v>851</v>
      </c>
      <c r="U1401" s="1">
        <v>1</v>
      </c>
      <c r="V1401" t="s">
        <v>854</v>
      </c>
    </row>
    <row r="1402" spans="1:22" x14ac:dyDescent="0.3">
      <c r="A1402" t="s">
        <v>849</v>
      </c>
      <c r="B1402" t="str">
        <f ca="1">OFFSET(Industries!C$1,MATCH(Table1[[#This Row],[Ticker]],Industries!$A$2:$A$150,0),0)</f>
        <v>Consumer Discretionary</v>
      </c>
      <c r="C1402" t="str">
        <f ca="1">OFFSET(Industries!D$1,MATCH(Table1[[#This Row],[Ticker]],Industries!$A$2:$A$150,0),0)</f>
        <v>Consumer Durables and Apparel</v>
      </c>
      <c r="D1402" t="str">
        <f ca="1">OFFSET(Industries!E$1,MATCH(Table1[[#This Row],[Ticker]],Industries!$A$2:$A$150,0),0)</f>
        <v>Household Durables</v>
      </c>
      <c r="E1402" t="s">
        <v>850</v>
      </c>
      <c r="F1402" t="str">
        <f ca="1">OFFSET(Industries!B$1,MATCH(Table1[[#This Row],[Ticker]],Industries!$A$2:$A$140,0),0)</f>
        <v>Large-Cap</v>
      </c>
      <c r="G1402" t="str">
        <f ca="1">OFFSET(Industries!F$1,MATCH(Table1[[#This Row],[Ticker]],Industries!$A$2:$A$140,0),0)</f>
        <v>BBB+</v>
      </c>
      <c r="H1402" t="s">
        <v>1434</v>
      </c>
      <c r="I1402" t="s">
        <v>1434</v>
      </c>
      <c r="J1402" s="2">
        <v>45275</v>
      </c>
      <c r="K1402" t="s">
        <v>2</v>
      </c>
      <c r="L1402" t="s">
        <v>1708</v>
      </c>
      <c r="M1402" t="s">
        <v>1709</v>
      </c>
      <c r="N1402" s="1"/>
      <c r="O1402" t="s">
        <v>4</v>
      </c>
      <c r="P1402" s="1">
        <v>0.2</v>
      </c>
      <c r="R1402" t="s">
        <v>28</v>
      </c>
      <c r="S1402" t="s">
        <v>1110</v>
      </c>
      <c r="T1402" t="s">
        <v>172</v>
      </c>
    </row>
    <row r="1403" spans="1:22" x14ac:dyDescent="0.3">
      <c r="A1403" t="s">
        <v>849</v>
      </c>
      <c r="B1403" t="str">
        <f ca="1">OFFSET(Industries!C$1,MATCH(Table1[[#This Row],[Ticker]],Industries!$A$2:$A$150,0),0)</f>
        <v>Consumer Discretionary</v>
      </c>
      <c r="C1403" t="str">
        <f ca="1">OFFSET(Industries!D$1,MATCH(Table1[[#This Row],[Ticker]],Industries!$A$2:$A$150,0),0)</f>
        <v>Consumer Durables and Apparel</v>
      </c>
      <c r="D1403" t="str">
        <f ca="1">OFFSET(Industries!E$1,MATCH(Table1[[#This Row],[Ticker]],Industries!$A$2:$A$150,0),0)</f>
        <v>Household Durables</v>
      </c>
      <c r="E1403" t="s">
        <v>850</v>
      </c>
      <c r="F1403" t="str">
        <f ca="1">OFFSET(Industries!B$1,MATCH(Table1[[#This Row],[Ticker]],Industries!$A$2:$A$140,0),0)</f>
        <v>Large-Cap</v>
      </c>
      <c r="G1403" t="str">
        <f ca="1">OFFSET(Industries!F$1,MATCH(Table1[[#This Row],[Ticker]],Industries!$A$2:$A$140,0),0)</f>
        <v>BBB+</v>
      </c>
      <c r="H1403" t="s">
        <v>1434</v>
      </c>
      <c r="I1403" t="s">
        <v>1434</v>
      </c>
      <c r="J1403" s="2">
        <v>45275</v>
      </c>
      <c r="K1403" t="s">
        <v>2</v>
      </c>
      <c r="L1403" t="s">
        <v>1708</v>
      </c>
      <c r="M1403" t="s">
        <v>1709</v>
      </c>
      <c r="N1403" s="1">
        <f>Table1[[#This Row],[Consideration Weight]]</f>
        <v>0.2</v>
      </c>
      <c r="O1403" t="s">
        <v>862</v>
      </c>
      <c r="P1403" s="1">
        <v>0.2</v>
      </c>
      <c r="V1403" t="s">
        <v>853</v>
      </c>
    </row>
    <row r="1404" spans="1:22" x14ac:dyDescent="0.3">
      <c r="A1404" t="s">
        <v>849</v>
      </c>
      <c r="B1404" t="str">
        <f ca="1">OFFSET(Industries!C$1,MATCH(Table1[[#This Row],[Ticker]],Industries!$A$2:$A$150,0),0)</f>
        <v>Consumer Discretionary</v>
      </c>
      <c r="C1404" t="str">
        <f ca="1">OFFSET(Industries!D$1,MATCH(Table1[[#This Row],[Ticker]],Industries!$A$2:$A$150,0),0)</f>
        <v>Consumer Durables and Apparel</v>
      </c>
      <c r="D1404" t="str">
        <f ca="1">OFFSET(Industries!E$1,MATCH(Table1[[#This Row],[Ticker]],Industries!$A$2:$A$150,0),0)</f>
        <v>Household Durables</v>
      </c>
      <c r="E1404" t="s">
        <v>850</v>
      </c>
      <c r="F1404" t="str">
        <f ca="1">OFFSET(Industries!B$1,MATCH(Table1[[#This Row],[Ticker]],Industries!$A$2:$A$140,0),0)</f>
        <v>Large-Cap</v>
      </c>
      <c r="G1404" t="str">
        <f ca="1">OFFSET(Industries!F$1,MATCH(Table1[[#This Row],[Ticker]],Industries!$A$2:$A$140,0),0)</f>
        <v>BBB+</v>
      </c>
      <c r="H1404" t="s">
        <v>1434</v>
      </c>
      <c r="I1404" t="s">
        <v>1434</v>
      </c>
      <c r="J1404" s="2">
        <v>45275</v>
      </c>
      <c r="K1404" t="s">
        <v>2</v>
      </c>
      <c r="L1404" t="s">
        <v>1710</v>
      </c>
      <c r="M1404" t="s">
        <v>1709</v>
      </c>
      <c r="N1404" s="1">
        <f>Table1[[#This Row],[Consideration Weight]]</f>
        <v>0.5</v>
      </c>
      <c r="O1404" t="s">
        <v>476</v>
      </c>
      <c r="P1404" s="1">
        <v>0.5</v>
      </c>
      <c r="Q1404" s="1" t="s">
        <v>1646</v>
      </c>
      <c r="R1404" t="s">
        <v>35</v>
      </c>
      <c r="S1404" t="s">
        <v>29</v>
      </c>
      <c r="T1404" t="s">
        <v>30</v>
      </c>
      <c r="U1404" s="1">
        <v>0.25</v>
      </c>
      <c r="V1404" t="s">
        <v>855</v>
      </c>
    </row>
    <row r="1405" spans="1:22" x14ac:dyDescent="0.3">
      <c r="A1405" t="s">
        <v>849</v>
      </c>
      <c r="B1405" t="str">
        <f ca="1">OFFSET(Industries!C$1,MATCH(Table1[[#This Row],[Ticker]],Industries!$A$2:$A$150,0),0)</f>
        <v>Consumer Discretionary</v>
      </c>
      <c r="C1405" t="str">
        <f ca="1">OFFSET(Industries!D$1,MATCH(Table1[[#This Row],[Ticker]],Industries!$A$2:$A$150,0),0)</f>
        <v>Consumer Durables and Apparel</v>
      </c>
      <c r="D1405" t="str">
        <f ca="1">OFFSET(Industries!E$1,MATCH(Table1[[#This Row],[Ticker]],Industries!$A$2:$A$150,0),0)</f>
        <v>Household Durables</v>
      </c>
      <c r="E1405" t="s">
        <v>850</v>
      </c>
      <c r="F1405" t="str">
        <f ca="1">OFFSET(Industries!B$1,MATCH(Table1[[#This Row],[Ticker]],Industries!$A$2:$A$140,0),0)</f>
        <v>Large-Cap</v>
      </c>
      <c r="G1405" t="str">
        <f ca="1">OFFSET(Industries!F$1,MATCH(Table1[[#This Row],[Ticker]],Industries!$A$2:$A$140,0),0)</f>
        <v>BBB+</v>
      </c>
      <c r="H1405" t="s">
        <v>1434</v>
      </c>
      <c r="I1405" t="s">
        <v>1434</v>
      </c>
      <c r="J1405" s="2">
        <v>45275</v>
      </c>
      <c r="K1405" t="s">
        <v>2</v>
      </c>
      <c r="L1405" t="s">
        <v>1710</v>
      </c>
      <c r="M1405" t="s">
        <v>1709</v>
      </c>
      <c r="N1405" s="1"/>
      <c r="O1405" t="s">
        <v>476</v>
      </c>
      <c r="P1405" s="1">
        <v>0.5</v>
      </c>
      <c r="Q1405" s="1" t="s">
        <v>1636</v>
      </c>
      <c r="R1405" t="s">
        <v>1059</v>
      </c>
      <c r="S1405" t="s">
        <v>1147</v>
      </c>
      <c r="T1405" t="s">
        <v>856</v>
      </c>
      <c r="U1405" s="1">
        <v>0.25</v>
      </c>
      <c r="V1405" t="s">
        <v>857</v>
      </c>
    </row>
    <row r="1406" spans="1:22" x14ac:dyDescent="0.3">
      <c r="A1406" t="s">
        <v>849</v>
      </c>
      <c r="B1406" t="str">
        <f ca="1">OFFSET(Industries!C$1,MATCH(Table1[[#This Row],[Ticker]],Industries!$A$2:$A$150,0),0)</f>
        <v>Consumer Discretionary</v>
      </c>
      <c r="C1406" t="str">
        <f ca="1">OFFSET(Industries!D$1,MATCH(Table1[[#This Row],[Ticker]],Industries!$A$2:$A$150,0),0)</f>
        <v>Consumer Durables and Apparel</v>
      </c>
      <c r="D1406" t="str">
        <f ca="1">OFFSET(Industries!E$1,MATCH(Table1[[#This Row],[Ticker]],Industries!$A$2:$A$150,0),0)</f>
        <v>Household Durables</v>
      </c>
      <c r="E1406" t="s">
        <v>850</v>
      </c>
      <c r="F1406" t="str">
        <f ca="1">OFFSET(Industries!B$1,MATCH(Table1[[#This Row],[Ticker]],Industries!$A$2:$A$140,0),0)</f>
        <v>Large-Cap</v>
      </c>
      <c r="G1406" t="str">
        <f ca="1">OFFSET(Industries!F$1,MATCH(Table1[[#This Row],[Ticker]],Industries!$A$2:$A$140,0),0)</f>
        <v>BBB+</v>
      </c>
      <c r="H1406" t="s">
        <v>1434</v>
      </c>
      <c r="I1406" t="s">
        <v>1434</v>
      </c>
      <c r="J1406" s="2">
        <v>45275</v>
      </c>
      <c r="K1406" t="s">
        <v>2</v>
      </c>
      <c r="L1406" t="s">
        <v>1710</v>
      </c>
      <c r="M1406" t="s">
        <v>1709</v>
      </c>
      <c r="N1406" s="1"/>
      <c r="O1406" t="s">
        <v>476</v>
      </c>
      <c r="P1406" s="1">
        <v>0.5</v>
      </c>
      <c r="Q1406" s="1" t="s">
        <v>1636</v>
      </c>
      <c r="R1406" t="s">
        <v>24</v>
      </c>
      <c r="S1406" t="s">
        <v>1086</v>
      </c>
      <c r="T1406" t="s">
        <v>1164</v>
      </c>
      <c r="U1406" s="1">
        <v>0.25</v>
      </c>
      <c r="V1406" t="s">
        <v>859</v>
      </c>
    </row>
    <row r="1407" spans="1:22" x14ac:dyDescent="0.3">
      <c r="A1407" t="s">
        <v>849</v>
      </c>
      <c r="B1407" t="str">
        <f ca="1">OFFSET(Industries!C$1,MATCH(Table1[[#This Row],[Ticker]],Industries!$A$2:$A$150,0),0)</f>
        <v>Consumer Discretionary</v>
      </c>
      <c r="C1407" t="str">
        <f ca="1">OFFSET(Industries!D$1,MATCH(Table1[[#This Row],[Ticker]],Industries!$A$2:$A$150,0),0)</f>
        <v>Consumer Durables and Apparel</v>
      </c>
      <c r="D1407" t="str">
        <f ca="1">OFFSET(Industries!E$1,MATCH(Table1[[#This Row],[Ticker]],Industries!$A$2:$A$150,0),0)</f>
        <v>Household Durables</v>
      </c>
      <c r="E1407" t="s">
        <v>850</v>
      </c>
      <c r="F1407" t="str">
        <f ca="1">OFFSET(Industries!B$1,MATCH(Table1[[#This Row],[Ticker]],Industries!$A$2:$A$140,0),0)</f>
        <v>Large-Cap</v>
      </c>
      <c r="G1407" t="str">
        <f ca="1">OFFSET(Industries!F$1,MATCH(Table1[[#This Row],[Ticker]],Industries!$A$2:$A$140,0),0)</f>
        <v>BBB+</v>
      </c>
      <c r="H1407" t="s">
        <v>1434</v>
      </c>
      <c r="I1407" t="s">
        <v>1434</v>
      </c>
      <c r="J1407" s="2">
        <v>45275</v>
      </c>
      <c r="K1407" t="s">
        <v>2</v>
      </c>
      <c r="L1407" t="s">
        <v>1710</v>
      </c>
      <c r="M1407" t="s">
        <v>1709</v>
      </c>
      <c r="N1407" s="1"/>
      <c r="O1407" t="s">
        <v>476</v>
      </c>
      <c r="P1407" s="1">
        <v>0.5</v>
      </c>
      <c r="Q1407" s="1" t="s">
        <v>1636</v>
      </c>
      <c r="R1407" t="s">
        <v>24</v>
      </c>
      <c r="S1407" t="s">
        <v>1105</v>
      </c>
      <c r="T1407" t="s">
        <v>858</v>
      </c>
      <c r="U1407" s="1">
        <v>0.25</v>
      </c>
    </row>
    <row r="1408" spans="1:22" x14ac:dyDescent="0.3">
      <c r="A1408" t="s">
        <v>849</v>
      </c>
      <c r="B1408" t="str">
        <f ca="1">OFFSET(Industries!C$1,MATCH(Table1[[#This Row],[Ticker]],Industries!$A$2:$A$150,0),0)</f>
        <v>Consumer Discretionary</v>
      </c>
      <c r="C1408" t="str">
        <f ca="1">OFFSET(Industries!D$1,MATCH(Table1[[#This Row],[Ticker]],Industries!$A$2:$A$150,0),0)</f>
        <v>Consumer Durables and Apparel</v>
      </c>
      <c r="D1408" t="str">
        <f ca="1">OFFSET(Industries!E$1,MATCH(Table1[[#This Row],[Ticker]],Industries!$A$2:$A$150,0),0)</f>
        <v>Household Durables</v>
      </c>
      <c r="E1408" t="s">
        <v>850</v>
      </c>
      <c r="F1408" t="str">
        <f ca="1">OFFSET(Industries!B$1,MATCH(Table1[[#This Row],[Ticker]],Industries!$A$2:$A$140,0),0)</f>
        <v>Large-Cap</v>
      </c>
      <c r="G1408" t="str">
        <f ca="1">OFFSET(Industries!F$1,MATCH(Table1[[#This Row],[Ticker]],Industries!$A$2:$A$140,0),0)</f>
        <v>BBB+</v>
      </c>
      <c r="H1408" t="s">
        <v>1434</v>
      </c>
      <c r="I1408" t="s">
        <v>1434</v>
      </c>
      <c r="J1408" s="2">
        <v>45275</v>
      </c>
      <c r="K1408" t="s">
        <v>2</v>
      </c>
      <c r="L1408" t="s">
        <v>1710</v>
      </c>
      <c r="M1408" t="s">
        <v>1711</v>
      </c>
      <c r="N1408" s="1">
        <f>Table1[[#This Row],[Consideration Weight]]</f>
        <v>0.08</v>
      </c>
      <c r="O1408" t="s">
        <v>194</v>
      </c>
      <c r="P1408" s="1">
        <v>0.08</v>
      </c>
    </row>
    <row r="1409" spans="1:22" x14ac:dyDescent="0.3">
      <c r="A1409" t="s">
        <v>849</v>
      </c>
      <c r="B1409" t="str">
        <f ca="1">OFFSET(Industries!C$1,MATCH(Table1[[#This Row],[Ticker]],Industries!$A$2:$A$150,0),0)</f>
        <v>Consumer Discretionary</v>
      </c>
      <c r="C1409" t="str">
        <f ca="1">OFFSET(Industries!D$1,MATCH(Table1[[#This Row],[Ticker]],Industries!$A$2:$A$150,0),0)</f>
        <v>Consumer Durables and Apparel</v>
      </c>
      <c r="D1409" t="str">
        <f ca="1">OFFSET(Industries!E$1,MATCH(Table1[[#This Row],[Ticker]],Industries!$A$2:$A$150,0),0)</f>
        <v>Household Durables</v>
      </c>
      <c r="E1409" t="s">
        <v>850</v>
      </c>
      <c r="F1409" t="str">
        <f ca="1">OFFSET(Industries!B$1,MATCH(Table1[[#This Row],[Ticker]],Industries!$A$2:$A$140,0),0)</f>
        <v>Large-Cap</v>
      </c>
      <c r="G1409" t="str">
        <f ca="1">OFFSET(Industries!F$1,MATCH(Table1[[#This Row],[Ticker]],Industries!$A$2:$A$140,0),0)</f>
        <v>BBB+</v>
      </c>
      <c r="H1409" t="s">
        <v>1434</v>
      </c>
      <c r="I1409" t="s">
        <v>1434</v>
      </c>
      <c r="J1409" s="2">
        <v>45275</v>
      </c>
      <c r="K1409" t="s">
        <v>21</v>
      </c>
      <c r="L1409" t="s">
        <v>3</v>
      </c>
      <c r="M1409" t="s">
        <v>1711</v>
      </c>
      <c r="N1409" s="1">
        <f>Table1[[#This Row],[Consideration Weight]]</f>
        <v>0.04</v>
      </c>
      <c r="O1409" t="s">
        <v>3</v>
      </c>
      <c r="P1409" s="1">
        <v>0.04</v>
      </c>
    </row>
    <row r="1410" spans="1:22" x14ac:dyDescent="0.3">
      <c r="A1410" t="s">
        <v>849</v>
      </c>
      <c r="B1410" t="str">
        <f ca="1">OFFSET(Industries!C$1,MATCH(Table1[[#This Row],[Ticker]],Industries!$A$2:$A$150,0),0)</f>
        <v>Consumer Discretionary</v>
      </c>
      <c r="C1410" t="str">
        <f ca="1">OFFSET(Industries!D$1,MATCH(Table1[[#This Row],[Ticker]],Industries!$A$2:$A$150,0),0)</f>
        <v>Consumer Durables and Apparel</v>
      </c>
      <c r="D1410" t="str">
        <f ca="1">OFFSET(Industries!E$1,MATCH(Table1[[#This Row],[Ticker]],Industries!$A$2:$A$150,0),0)</f>
        <v>Household Durables</v>
      </c>
      <c r="E1410" t="s">
        <v>850</v>
      </c>
      <c r="F1410" t="str">
        <f ca="1">OFFSET(Industries!B$1,MATCH(Table1[[#This Row],[Ticker]],Industries!$A$2:$A$140,0),0)</f>
        <v>Large-Cap</v>
      </c>
      <c r="G1410" t="str">
        <f ca="1">OFFSET(Industries!F$1,MATCH(Table1[[#This Row],[Ticker]],Industries!$A$2:$A$140,0),0)</f>
        <v>BBB+</v>
      </c>
      <c r="H1410" t="s">
        <v>1434</v>
      </c>
      <c r="I1410" t="s">
        <v>1434</v>
      </c>
      <c r="J1410" s="2">
        <v>45275</v>
      </c>
      <c r="K1410" t="s">
        <v>21</v>
      </c>
      <c r="L1410" t="s">
        <v>1708</v>
      </c>
      <c r="M1410" t="s">
        <v>1709</v>
      </c>
      <c r="N1410" s="1">
        <f>Table1[[#This Row],[Consideration Weight]]</f>
        <v>0.215</v>
      </c>
      <c r="O1410" t="s">
        <v>4</v>
      </c>
      <c r="P1410" s="1">
        <f>0.43/2</f>
        <v>0.215</v>
      </c>
      <c r="Q1410" s="1" t="s">
        <v>1636</v>
      </c>
      <c r="R1410" t="s">
        <v>24</v>
      </c>
      <c r="S1410" t="s">
        <v>851</v>
      </c>
      <c r="T1410" t="s">
        <v>851</v>
      </c>
      <c r="U1410" s="1">
        <v>1</v>
      </c>
    </row>
    <row r="1411" spans="1:22" x14ac:dyDescent="0.3">
      <c r="A1411" t="s">
        <v>849</v>
      </c>
      <c r="B1411" t="str">
        <f ca="1">OFFSET(Industries!C$1,MATCH(Table1[[#This Row],[Ticker]],Industries!$A$2:$A$150,0),0)</f>
        <v>Consumer Discretionary</v>
      </c>
      <c r="C1411" t="str">
        <f ca="1">OFFSET(Industries!D$1,MATCH(Table1[[#This Row],[Ticker]],Industries!$A$2:$A$150,0),0)</f>
        <v>Consumer Durables and Apparel</v>
      </c>
      <c r="D1411" t="str">
        <f ca="1">OFFSET(Industries!E$1,MATCH(Table1[[#This Row],[Ticker]],Industries!$A$2:$A$150,0),0)</f>
        <v>Household Durables</v>
      </c>
      <c r="E1411" t="s">
        <v>850</v>
      </c>
      <c r="F1411" t="str">
        <f ca="1">OFFSET(Industries!B$1,MATCH(Table1[[#This Row],[Ticker]],Industries!$A$2:$A$140,0),0)</f>
        <v>Large-Cap</v>
      </c>
      <c r="G1411" t="str">
        <f ca="1">OFFSET(Industries!F$1,MATCH(Table1[[#This Row],[Ticker]],Industries!$A$2:$A$140,0),0)</f>
        <v>BBB+</v>
      </c>
      <c r="H1411" t="s">
        <v>1434</v>
      </c>
      <c r="I1411" t="s">
        <v>1434</v>
      </c>
      <c r="J1411" s="2">
        <v>45275</v>
      </c>
      <c r="K1411" t="s">
        <v>21</v>
      </c>
      <c r="L1411" t="s">
        <v>1708</v>
      </c>
      <c r="M1411" t="s">
        <v>1709</v>
      </c>
      <c r="N1411" s="1"/>
      <c r="O1411" t="s">
        <v>4</v>
      </c>
      <c r="P1411" s="1">
        <f t="shared" ref="P1411:P1412" si="28">0.43/2</f>
        <v>0.215</v>
      </c>
      <c r="R1411" t="s">
        <v>28</v>
      </c>
      <c r="S1411" t="s">
        <v>1110</v>
      </c>
      <c r="T1411" t="s">
        <v>172</v>
      </c>
      <c r="V1411" t="s">
        <v>853</v>
      </c>
    </row>
    <row r="1412" spans="1:22" x14ac:dyDescent="0.3">
      <c r="A1412" t="s">
        <v>849</v>
      </c>
      <c r="B1412" t="str">
        <f ca="1">OFFSET(Industries!C$1,MATCH(Table1[[#This Row],[Ticker]],Industries!$A$2:$A$150,0),0)</f>
        <v>Consumer Discretionary</v>
      </c>
      <c r="C1412" t="str">
        <f ca="1">OFFSET(Industries!D$1,MATCH(Table1[[#This Row],[Ticker]],Industries!$A$2:$A$150,0),0)</f>
        <v>Consumer Durables and Apparel</v>
      </c>
      <c r="D1412" t="str">
        <f ca="1">OFFSET(Industries!E$1,MATCH(Table1[[#This Row],[Ticker]],Industries!$A$2:$A$150,0),0)</f>
        <v>Household Durables</v>
      </c>
      <c r="E1412" t="s">
        <v>850</v>
      </c>
      <c r="F1412" t="str">
        <f ca="1">OFFSET(Industries!B$1,MATCH(Table1[[#This Row],[Ticker]],Industries!$A$2:$A$140,0),0)</f>
        <v>Large-Cap</v>
      </c>
      <c r="G1412" t="str">
        <f ca="1">OFFSET(Industries!F$1,MATCH(Table1[[#This Row],[Ticker]],Industries!$A$2:$A$140,0),0)</f>
        <v>BBB+</v>
      </c>
      <c r="H1412" t="s">
        <v>1434</v>
      </c>
      <c r="I1412" t="s">
        <v>1434</v>
      </c>
      <c r="J1412" s="2">
        <v>45275</v>
      </c>
      <c r="K1412" t="s">
        <v>21</v>
      </c>
      <c r="L1412" t="s">
        <v>1708</v>
      </c>
      <c r="M1412" t="s">
        <v>1709</v>
      </c>
      <c r="N1412" s="1">
        <f>Table1[[#This Row],[Consideration Weight]]</f>
        <v>0.215</v>
      </c>
      <c r="O1412" t="s">
        <v>862</v>
      </c>
      <c r="P1412" s="1">
        <f t="shared" si="28"/>
        <v>0.215</v>
      </c>
    </row>
    <row r="1413" spans="1:22" x14ac:dyDescent="0.3">
      <c r="A1413" t="s">
        <v>849</v>
      </c>
      <c r="B1413" t="str">
        <f ca="1">OFFSET(Industries!C$1,MATCH(Table1[[#This Row],[Ticker]],Industries!$A$2:$A$150,0),0)</f>
        <v>Consumer Discretionary</v>
      </c>
      <c r="C1413" t="str">
        <f ca="1">OFFSET(Industries!D$1,MATCH(Table1[[#This Row],[Ticker]],Industries!$A$2:$A$150,0),0)</f>
        <v>Consumer Durables and Apparel</v>
      </c>
      <c r="D1413" t="str">
        <f ca="1">OFFSET(Industries!E$1,MATCH(Table1[[#This Row],[Ticker]],Industries!$A$2:$A$150,0),0)</f>
        <v>Household Durables</v>
      </c>
      <c r="E1413" t="s">
        <v>850</v>
      </c>
      <c r="F1413" t="str">
        <f ca="1">OFFSET(Industries!B$1,MATCH(Table1[[#This Row],[Ticker]],Industries!$A$2:$A$140,0),0)</f>
        <v>Large-Cap</v>
      </c>
      <c r="G1413" t="str">
        <f ca="1">OFFSET(Industries!F$1,MATCH(Table1[[#This Row],[Ticker]],Industries!$A$2:$A$140,0),0)</f>
        <v>BBB+</v>
      </c>
      <c r="H1413" t="s">
        <v>1434</v>
      </c>
      <c r="I1413" t="s">
        <v>1434</v>
      </c>
      <c r="J1413" s="2">
        <v>45275</v>
      </c>
      <c r="K1413" t="s">
        <v>21</v>
      </c>
      <c r="L1413" t="s">
        <v>1710</v>
      </c>
      <c r="M1413" t="s">
        <v>1709</v>
      </c>
      <c r="N1413" s="1">
        <f>Table1[[#This Row],[Consideration Weight]]</f>
        <v>0.44</v>
      </c>
      <c r="O1413" t="s">
        <v>476</v>
      </c>
      <c r="P1413" s="1">
        <v>0.44</v>
      </c>
      <c r="Q1413" s="1" t="s">
        <v>1646</v>
      </c>
      <c r="R1413" t="s">
        <v>35</v>
      </c>
      <c r="S1413" t="s">
        <v>29</v>
      </c>
      <c r="T1413" t="s">
        <v>30</v>
      </c>
      <c r="U1413" s="1">
        <v>0.25</v>
      </c>
    </row>
    <row r="1414" spans="1:22" x14ac:dyDescent="0.3">
      <c r="A1414" t="s">
        <v>849</v>
      </c>
      <c r="B1414" t="str">
        <f ca="1">OFFSET(Industries!C$1,MATCH(Table1[[#This Row],[Ticker]],Industries!$A$2:$A$150,0),0)</f>
        <v>Consumer Discretionary</v>
      </c>
      <c r="C1414" t="str">
        <f ca="1">OFFSET(Industries!D$1,MATCH(Table1[[#This Row],[Ticker]],Industries!$A$2:$A$150,0),0)</f>
        <v>Consumer Durables and Apparel</v>
      </c>
      <c r="D1414" t="str">
        <f ca="1">OFFSET(Industries!E$1,MATCH(Table1[[#This Row],[Ticker]],Industries!$A$2:$A$150,0),0)</f>
        <v>Household Durables</v>
      </c>
      <c r="E1414" t="s">
        <v>850</v>
      </c>
      <c r="F1414" t="str">
        <f ca="1">OFFSET(Industries!B$1,MATCH(Table1[[#This Row],[Ticker]],Industries!$A$2:$A$140,0),0)</f>
        <v>Large-Cap</v>
      </c>
      <c r="G1414" t="str">
        <f ca="1">OFFSET(Industries!F$1,MATCH(Table1[[#This Row],[Ticker]],Industries!$A$2:$A$140,0),0)</f>
        <v>BBB+</v>
      </c>
      <c r="H1414" t="s">
        <v>1434</v>
      </c>
      <c r="I1414" t="s">
        <v>1434</v>
      </c>
      <c r="J1414" s="2">
        <v>45275</v>
      </c>
      <c r="K1414" t="s">
        <v>21</v>
      </c>
      <c r="L1414" t="s">
        <v>1710</v>
      </c>
      <c r="M1414" t="s">
        <v>1709</v>
      </c>
      <c r="N1414" s="1"/>
      <c r="O1414" t="s">
        <v>476</v>
      </c>
      <c r="P1414" s="1">
        <v>0.44</v>
      </c>
      <c r="Q1414" s="1" t="s">
        <v>1636</v>
      </c>
      <c r="R1414" t="s">
        <v>1059</v>
      </c>
      <c r="S1414" t="s">
        <v>1147</v>
      </c>
      <c r="T1414" t="s">
        <v>856</v>
      </c>
      <c r="U1414" s="1">
        <v>0.25</v>
      </c>
    </row>
    <row r="1415" spans="1:22" x14ac:dyDescent="0.3">
      <c r="A1415" t="s">
        <v>849</v>
      </c>
      <c r="B1415" t="str">
        <f ca="1">OFFSET(Industries!C$1,MATCH(Table1[[#This Row],[Ticker]],Industries!$A$2:$A$150,0),0)</f>
        <v>Consumer Discretionary</v>
      </c>
      <c r="C1415" t="str">
        <f ca="1">OFFSET(Industries!D$1,MATCH(Table1[[#This Row],[Ticker]],Industries!$A$2:$A$150,0),0)</f>
        <v>Consumer Durables and Apparel</v>
      </c>
      <c r="D1415" t="str">
        <f ca="1">OFFSET(Industries!E$1,MATCH(Table1[[#This Row],[Ticker]],Industries!$A$2:$A$150,0),0)</f>
        <v>Household Durables</v>
      </c>
      <c r="E1415" t="s">
        <v>850</v>
      </c>
      <c r="F1415" t="str">
        <f ca="1">OFFSET(Industries!B$1,MATCH(Table1[[#This Row],[Ticker]],Industries!$A$2:$A$140,0),0)</f>
        <v>Large-Cap</v>
      </c>
      <c r="G1415" t="str">
        <f ca="1">OFFSET(Industries!F$1,MATCH(Table1[[#This Row],[Ticker]],Industries!$A$2:$A$140,0),0)</f>
        <v>BBB+</v>
      </c>
      <c r="H1415" t="s">
        <v>1434</v>
      </c>
      <c r="I1415" t="s">
        <v>1434</v>
      </c>
      <c r="J1415" s="2">
        <v>45275</v>
      </c>
      <c r="K1415" t="s">
        <v>21</v>
      </c>
      <c r="L1415" t="s">
        <v>1710</v>
      </c>
      <c r="M1415" t="s">
        <v>1709</v>
      </c>
      <c r="N1415" s="1"/>
      <c r="O1415" t="s">
        <v>476</v>
      </c>
      <c r="P1415" s="1">
        <v>0.44</v>
      </c>
      <c r="Q1415" s="1" t="s">
        <v>1636</v>
      </c>
      <c r="R1415" t="s">
        <v>24</v>
      </c>
      <c r="S1415" t="s">
        <v>1086</v>
      </c>
      <c r="T1415" t="s">
        <v>1164</v>
      </c>
      <c r="U1415" s="1">
        <v>0.25</v>
      </c>
    </row>
    <row r="1416" spans="1:22" x14ac:dyDescent="0.3">
      <c r="A1416" t="s">
        <v>849</v>
      </c>
      <c r="B1416" t="str">
        <f ca="1">OFFSET(Industries!C$1,MATCH(Table1[[#This Row],[Ticker]],Industries!$A$2:$A$150,0),0)</f>
        <v>Consumer Discretionary</v>
      </c>
      <c r="C1416" t="str">
        <f ca="1">OFFSET(Industries!D$1,MATCH(Table1[[#This Row],[Ticker]],Industries!$A$2:$A$150,0),0)</f>
        <v>Consumer Durables and Apparel</v>
      </c>
      <c r="D1416" t="str">
        <f ca="1">OFFSET(Industries!E$1,MATCH(Table1[[#This Row],[Ticker]],Industries!$A$2:$A$150,0),0)</f>
        <v>Household Durables</v>
      </c>
      <c r="E1416" t="s">
        <v>850</v>
      </c>
      <c r="F1416" t="str">
        <f ca="1">OFFSET(Industries!B$1,MATCH(Table1[[#This Row],[Ticker]],Industries!$A$2:$A$140,0),0)</f>
        <v>Large-Cap</v>
      </c>
      <c r="G1416" t="str">
        <f ca="1">OFFSET(Industries!F$1,MATCH(Table1[[#This Row],[Ticker]],Industries!$A$2:$A$140,0),0)</f>
        <v>BBB+</v>
      </c>
      <c r="H1416" t="s">
        <v>1434</v>
      </c>
      <c r="I1416" t="s">
        <v>1434</v>
      </c>
      <c r="J1416" s="2">
        <v>45275</v>
      </c>
      <c r="K1416" t="s">
        <v>21</v>
      </c>
      <c r="L1416" t="s">
        <v>1710</v>
      </c>
      <c r="M1416" t="s">
        <v>1709</v>
      </c>
      <c r="N1416" s="1"/>
      <c r="O1416" t="s">
        <v>476</v>
      </c>
      <c r="P1416" s="1">
        <v>0.44</v>
      </c>
      <c r="Q1416" s="1" t="s">
        <v>1636</v>
      </c>
      <c r="R1416" t="s">
        <v>24</v>
      </c>
      <c r="S1416" t="s">
        <v>1105</v>
      </c>
      <c r="T1416" t="s">
        <v>858</v>
      </c>
      <c r="U1416" s="1">
        <v>0.25</v>
      </c>
    </row>
    <row r="1417" spans="1:22" x14ac:dyDescent="0.3">
      <c r="A1417" t="s">
        <v>849</v>
      </c>
      <c r="B1417" t="str">
        <f ca="1">OFFSET(Industries!C$1,MATCH(Table1[[#This Row],[Ticker]],Industries!$A$2:$A$150,0),0)</f>
        <v>Consumer Discretionary</v>
      </c>
      <c r="C1417" t="str">
        <f ca="1">OFFSET(Industries!D$1,MATCH(Table1[[#This Row],[Ticker]],Industries!$A$2:$A$150,0),0)</f>
        <v>Consumer Durables and Apparel</v>
      </c>
      <c r="D1417" t="str">
        <f ca="1">OFFSET(Industries!E$1,MATCH(Table1[[#This Row],[Ticker]],Industries!$A$2:$A$150,0),0)</f>
        <v>Household Durables</v>
      </c>
      <c r="E1417" t="s">
        <v>850</v>
      </c>
      <c r="F1417" t="str">
        <f ca="1">OFFSET(Industries!B$1,MATCH(Table1[[#This Row],[Ticker]],Industries!$A$2:$A$140,0),0)</f>
        <v>Large-Cap</v>
      </c>
      <c r="G1417" t="str">
        <f ca="1">OFFSET(Industries!F$1,MATCH(Table1[[#This Row],[Ticker]],Industries!$A$2:$A$140,0),0)</f>
        <v>BBB+</v>
      </c>
      <c r="H1417" t="s">
        <v>1434</v>
      </c>
      <c r="I1417" t="s">
        <v>1434</v>
      </c>
      <c r="J1417" s="2">
        <v>45275</v>
      </c>
      <c r="K1417" t="s">
        <v>21</v>
      </c>
      <c r="L1417" t="s">
        <v>1710</v>
      </c>
      <c r="M1417" t="s">
        <v>1711</v>
      </c>
      <c r="N1417" s="1">
        <f>Table1[[#This Row],[Consideration Weight]]</f>
        <v>0.09</v>
      </c>
      <c r="O1417" t="s">
        <v>194</v>
      </c>
      <c r="P1417" s="1">
        <v>0.09</v>
      </c>
    </row>
    <row r="1418" spans="1:22" x14ac:dyDescent="0.3">
      <c r="A1418" t="s">
        <v>860</v>
      </c>
      <c r="B1418" t="str">
        <f ca="1">OFFSET(Industries!C$1,MATCH(Table1[[#This Row],[Ticker]],Industries!$A$2:$A$150,0),0)</f>
        <v>Financials</v>
      </c>
      <c r="C1418" t="str">
        <f ca="1">OFFSET(Industries!D$1,MATCH(Table1[[#This Row],[Ticker]],Industries!$A$2:$A$150,0),0)</f>
        <v>Insurance</v>
      </c>
      <c r="D1418" t="str">
        <f ca="1">OFFSET(Industries!E$1,MATCH(Table1[[#This Row],[Ticker]],Industries!$A$2:$A$150,0),0)</f>
        <v>Insurance</v>
      </c>
      <c r="E1418" t="s">
        <v>496</v>
      </c>
      <c r="F1418" t="str">
        <f ca="1">OFFSET(Industries!B$1,MATCH(Table1[[#This Row],[Ticker]],Industries!$A$2:$A$140,0),0)</f>
        <v>Ultra-Cap</v>
      </c>
      <c r="G1418" t="str">
        <f ca="1">OFFSET(Industries!F$1,MATCH(Table1[[#This Row],[Ticker]],Industries!$A$2:$A$140,0),0)</f>
        <v>BBB</v>
      </c>
      <c r="H1418" t="s">
        <v>1434</v>
      </c>
      <c r="I1418" t="s">
        <v>1434</v>
      </c>
      <c r="J1418" s="2">
        <v>45373</v>
      </c>
      <c r="K1418" t="s">
        <v>2</v>
      </c>
      <c r="L1418" t="s">
        <v>3</v>
      </c>
      <c r="M1418" t="s">
        <v>1711</v>
      </c>
      <c r="N1418" s="1">
        <f>Table1[[#This Row],[Consideration Weight]]</f>
        <v>0.10717230008244023</v>
      </c>
      <c r="O1418" t="s">
        <v>3</v>
      </c>
      <c r="P1418" s="1">
        <v>0.10717230008244023</v>
      </c>
      <c r="V1418" t="s">
        <v>864</v>
      </c>
    </row>
    <row r="1419" spans="1:22" x14ac:dyDescent="0.3">
      <c r="A1419" t="s">
        <v>860</v>
      </c>
      <c r="B1419" t="str">
        <f ca="1">OFFSET(Industries!C$1,MATCH(Table1[[#This Row],[Ticker]],Industries!$A$2:$A$150,0),0)</f>
        <v>Financials</v>
      </c>
      <c r="C1419" t="str">
        <f ca="1">OFFSET(Industries!D$1,MATCH(Table1[[#This Row],[Ticker]],Industries!$A$2:$A$150,0),0)</f>
        <v>Insurance</v>
      </c>
      <c r="D1419" t="str">
        <f ca="1">OFFSET(Industries!E$1,MATCH(Table1[[#This Row],[Ticker]],Industries!$A$2:$A$150,0),0)</f>
        <v>Insurance</v>
      </c>
      <c r="E1419" t="s">
        <v>496</v>
      </c>
      <c r="F1419" t="str">
        <f ca="1">OFFSET(Industries!B$1,MATCH(Table1[[#This Row],[Ticker]],Industries!$A$2:$A$140,0),0)</f>
        <v>Ultra-Cap</v>
      </c>
      <c r="G1419" t="str">
        <f ca="1">OFFSET(Industries!F$1,MATCH(Table1[[#This Row],[Ticker]],Industries!$A$2:$A$140,0),0)</f>
        <v>BBB</v>
      </c>
      <c r="H1419" t="s">
        <v>1434</v>
      </c>
      <c r="I1419" t="s">
        <v>1434</v>
      </c>
      <c r="J1419" s="2">
        <v>45373</v>
      </c>
      <c r="K1419" t="s">
        <v>2</v>
      </c>
      <c r="L1419" t="s">
        <v>1708</v>
      </c>
      <c r="M1419" t="s">
        <v>1709</v>
      </c>
      <c r="N1419" s="1">
        <f>Table1[[#This Row],[Consideration Weight]]</f>
        <v>0.24113767518549051</v>
      </c>
      <c r="O1419" t="s">
        <v>4</v>
      </c>
      <c r="P1419" s="1">
        <v>0.24113767518549051</v>
      </c>
      <c r="Q1419" s="1" t="s">
        <v>1636</v>
      </c>
      <c r="R1419" t="s">
        <v>23</v>
      </c>
      <c r="S1419" t="s">
        <v>1083</v>
      </c>
      <c r="T1419" t="s">
        <v>226</v>
      </c>
      <c r="U1419" s="1">
        <v>0.5</v>
      </c>
      <c r="V1419" t="s">
        <v>865</v>
      </c>
    </row>
    <row r="1420" spans="1:22" x14ac:dyDescent="0.3">
      <c r="A1420" t="s">
        <v>860</v>
      </c>
      <c r="B1420" t="str">
        <f ca="1">OFFSET(Industries!C$1,MATCH(Table1[[#This Row],[Ticker]],Industries!$A$2:$A$150,0),0)</f>
        <v>Financials</v>
      </c>
      <c r="C1420" t="str">
        <f ca="1">OFFSET(Industries!D$1,MATCH(Table1[[#This Row],[Ticker]],Industries!$A$2:$A$150,0),0)</f>
        <v>Insurance</v>
      </c>
      <c r="D1420" t="str">
        <f ca="1">OFFSET(Industries!E$1,MATCH(Table1[[#This Row],[Ticker]],Industries!$A$2:$A$150,0),0)</f>
        <v>Insurance</v>
      </c>
      <c r="E1420" t="s">
        <v>496</v>
      </c>
      <c r="F1420" t="str">
        <f ca="1">OFFSET(Industries!B$1,MATCH(Table1[[#This Row],[Ticker]],Industries!$A$2:$A$140,0),0)</f>
        <v>Ultra-Cap</v>
      </c>
      <c r="G1420" t="str">
        <f ca="1">OFFSET(Industries!F$1,MATCH(Table1[[#This Row],[Ticker]],Industries!$A$2:$A$140,0),0)</f>
        <v>BBB</v>
      </c>
      <c r="H1420" t="s">
        <v>1434</v>
      </c>
      <c r="I1420" t="s">
        <v>1434</v>
      </c>
      <c r="J1420" s="2">
        <v>45373</v>
      </c>
      <c r="K1420" t="s">
        <v>2</v>
      </c>
      <c r="L1420" t="s">
        <v>1708</v>
      </c>
      <c r="M1420" t="s">
        <v>1709</v>
      </c>
      <c r="N1420" s="1"/>
      <c r="O1420" t="s">
        <v>4</v>
      </c>
      <c r="P1420" s="1">
        <v>0.24113767518549051</v>
      </c>
      <c r="Q1420" s="1" t="s">
        <v>1636</v>
      </c>
      <c r="R1420" t="s">
        <v>24</v>
      </c>
      <c r="S1420" t="s">
        <v>1104</v>
      </c>
      <c r="T1420" t="s">
        <v>153</v>
      </c>
      <c r="U1420" s="1">
        <v>0.5</v>
      </c>
      <c r="V1420" t="s">
        <v>1753</v>
      </c>
    </row>
    <row r="1421" spans="1:22" x14ac:dyDescent="0.3">
      <c r="A1421" t="s">
        <v>860</v>
      </c>
      <c r="B1421" t="str">
        <f ca="1">OFFSET(Industries!C$1,MATCH(Table1[[#This Row],[Ticker]],Industries!$A$2:$A$150,0),0)</f>
        <v>Financials</v>
      </c>
      <c r="C1421" t="str">
        <f ca="1">OFFSET(Industries!D$1,MATCH(Table1[[#This Row],[Ticker]],Industries!$A$2:$A$150,0),0)</f>
        <v>Insurance</v>
      </c>
      <c r="D1421" t="str">
        <f ca="1">OFFSET(Industries!E$1,MATCH(Table1[[#This Row],[Ticker]],Industries!$A$2:$A$150,0),0)</f>
        <v>Insurance</v>
      </c>
      <c r="E1421" t="s">
        <v>496</v>
      </c>
      <c r="F1421" t="str">
        <f ca="1">OFFSET(Industries!B$1,MATCH(Table1[[#This Row],[Ticker]],Industries!$A$2:$A$140,0),0)</f>
        <v>Ultra-Cap</v>
      </c>
      <c r="G1421" t="str">
        <f ca="1">OFFSET(Industries!F$1,MATCH(Table1[[#This Row],[Ticker]],Industries!$A$2:$A$140,0),0)</f>
        <v>BBB</v>
      </c>
      <c r="H1421" t="s">
        <v>1434</v>
      </c>
      <c r="I1421" t="s">
        <v>1434</v>
      </c>
      <c r="J1421" s="2">
        <v>45373</v>
      </c>
      <c r="K1421" t="s">
        <v>2</v>
      </c>
      <c r="L1421" t="s">
        <v>1708</v>
      </c>
      <c r="M1421" t="s">
        <v>1709</v>
      </c>
      <c r="N1421" s="1"/>
      <c r="O1421" t="s">
        <v>4</v>
      </c>
      <c r="P1421" s="1">
        <v>0.24113767518549051</v>
      </c>
      <c r="R1421" t="s">
        <v>28</v>
      </c>
      <c r="S1421" t="s">
        <v>1110</v>
      </c>
      <c r="T1421" t="s">
        <v>172</v>
      </c>
      <c r="V1421" t="s">
        <v>442</v>
      </c>
    </row>
    <row r="1422" spans="1:22" x14ac:dyDescent="0.3">
      <c r="A1422" t="s">
        <v>860</v>
      </c>
      <c r="B1422" t="str">
        <f ca="1">OFFSET(Industries!C$1,MATCH(Table1[[#This Row],[Ticker]],Industries!$A$2:$A$150,0),0)</f>
        <v>Financials</v>
      </c>
      <c r="C1422" t="str">
        <f ca="1">OFFSET(Industries!D$1,MATCH(Table1[[#This Row],[Ticker]],Industries!$A$2:$A$150,0),0)</f>
        <v>Insurance</v>
      </c>
      <c r="D1422" t="str">
        <f ca="1">OFFSET(Industries!E$1,MATCH(Table1[[#This Row],[Ticker]],Industries!$A$2:$A$150,0),0)</f>
        <v>Insurance</v>
      </c>
      <c r="E1422" t="s">
        <v>496</v>
      </c>
      <c r="F1422" t="str">
        <f ca="1">OFFSET(Industries!B$1,MATCH(Table1[[#This Row],[Ticker]],Industries!$A$2:$A$140,0),0)</f>
        <v>Ultra-Cap</v>
      </c>
      <c r="G1422" t="str">
        <f ca="1">OFFSET(Industries!F$1,MATCH(Table1[[#This Row],[Ticker]],Industries!$A$2:$A$140,0),0)</f>
        <v>BBB</v>
      </c>
      <c r="H1422" t="s">
        <v>1434</v>
      </c>
      <c r="I1422" t="s">
        <v>1434</v>
      </c>
      <c r="J1422" s="2">
        <v>45373</v>
      </c>
      <c r="K1422" t="s">
        <v>2</v>
      </c>
      <c r="L1422" t="s">
        <v>1710</v>
      </c>
      <c r="M1422" t="s">
        <v>1709</v>
      </c>
      <c r="N1422" s="1">
        <f>Table1[[#This Row],[Consideration Weight]]</f>
        <v>0.34964962901896118</v>
      </c>
      <c r="O1422" t="s">
        <v>476</v>
      </c>
      <c r="P1422" s="1">
        <v>0.34964962901896118</v>
      </c>
      <c r="Q1422" s="1" t="s">
        <v>1636</v>
      </c>
      <c r="R1422" t="s">
        <v>24</v>
      </c>
      <c r="S1422" t="s">
        <v>1104</v>
      </c>
      <c r="T1422" t="s">
        <v>861</v>
      </c>
      <c r="U1422" s="1">
        <v>1</v>
      </c>
    </row>
    <row r="1423" spans="1:22" x14ac:dyDescent="0.3">
      <c r="A1423" t="s">
        <v>860</v>
      </c>
      <c r="B1423" t="str">
        <f ca="1">OFFSET(Industries!C$1,MATCH(Table1[[#This Row],[Ticker]],Industries!$A$2:$A$150,0),0)</f>
        <v>Financials</v>
      </c>
      <c r="C1423" t="str">
        <f ca="1">OFFSET(Industries!D$1,MATCH(Table1[[#This Row],[Ticker]],Industries!$A$2:$A$150,0),0)</f>
        <v>Insurance</v>
      </c>
      <c r="D1423" t="str">
        <f ca="1">OFFSET(Industries!E$1,MATCH(Table1[[#This Row],[Ticker]],Industries!$A$2:$A$150,0),0)</f>
        <v>Insurance</v>
      </c>
      <c r="E1423" t="s">
        <v>496</v>
      </c>
      <c r="F1423" t="str">
        <f ca="1">OFFSET(Industries!B$1,MATCH(Table1[[#This Row],[Ticker]],Industries!$A$2:$A$140,0),0)</f>
        <v>Ultra-Cap</v>
      </c>
      <c r="G1423" t="str">
        <f ca="1">OFFSET(Industries!F$1,MATCH(Table1[[#This Row],[Ticker]],Industries!$A$2:$A$140,0),0)</f>
        <v>BBB</v>
      </c>
      <c r="H1423" t="s">
        <v>1434</v>
      </c>
      <c r="I1423" t="s">
        <v>1434</v>
      </c>
      <c r="J1423" s="2">
        <v>45373</v>
      </c>
      <c r="K1423" t="s">
        <v>2</v>
      </c>
      <c r="L1423" t="s">
        <v>1710</v>
      </c>
      <c r="M1423" t="s">
        <v>1711</v>
      </c>
      <c r="N1423" s="1">
        <f>Table1[[#This Row],[Consideration Weight]]</f>
        <v>0.11654987633965373</v>
      </c>
      <c r="O1423" t="s">
        <v>87</v>
      </c>
      <c r="P1423" s="1">
        <v>0.11654987633965373</v>
      </c>
      <c r="V1423" t="s">
        <v>863</v>
      </c>
    </row>
    <row r="1424" spans="1:22" x14ac:dyDescent="0.3">
      <c r="A1424" t="s">
        <v>860</v>
      </c>
      <c r="B1424" t="str">
        <f ca="1">OFFSET(Industries!C$1,MATCH(Table1[[#This Row],[Ticker]],Industries!$A$2:$A$150,0),0)</f>
        <v>Financials</v>
      </c>
      <c r="C1424" t="str">
        <f ca="1">OFFSET(Industries!D$1,MATCH(Table1[[#This Row],[Ticker]],Industries!$A$2:$A$150,0),0)</f>
        <v>Insurance</v>
      </c>
      <c r="D1424" t="str">
        <f ca="1">OFFSET(Industries!E$1,MATCH(Table1[[#This Row],[Ticker]],Industries!$A$2:$A$150,0),0)</f>
        <v>Insurance</v>
      </c>
      <c r="E1424" t="s">
        <v>496</v>
      </c>
      <c r="F1424" t="str">
        <f ca="1">OFFSET(Industries!B$1,MATCH(Table1[[#This Row],[Ticker]],Industries!$A$2:$A$140,0),0)</f>
        <v>Ultra-Cap</v>
      </c>
      <c r="G1424" t="str">
        <f ca="1">OFFSET(Industries!F$1,MATCH(Table1[[#This Row],[Ticker]],Industries!$A$2:$A$140,0),0)</f>
        <v>BBB</v>
      </c>
      <c r="H1424" t="s">
        <v>1434</v>
      </c>
      <c r="I1424" t="s">
        <v>1434</v>
      </c>
      <c r="J1424" s="2">
        <v>45373</v>
      </c>
      <c r="K1424" t="s">
        <v>2</v>
      </c>
      <c r="L1424" t="s">
        <v>1710</v>
      </c>
      <c r="M1424" t="s">
        <v>1711</v>
      </c>
      <c r="N1424" s="1">
        <f>Table1[[#This Row],[Consideration Weight]]</f>
        <v>0.18549051937345423</v>
      </c>
      <c r="O1424" t="s">
        <v>862</v>
      </c>
      <c r="P1424" s="1">
        <v>0.18549051937345423</v>
      </c>
    </row>
    <row r="1425" spans="1:22" x14ac:dyDescent="0.3">
      <c r="A1425" t="s">
        <v>860</v>
      </c>
      <c r="B1425" t="str">
        <f ca="1">OFFSET(Industries!C$1,MATCH(Table1[[#This Row],[Ticker]],Industries!$A$2:$A$150,0),0)</f>
        <v>Financials</v>
      </c>
      <c r="C1425" t="str">
        <f ca="1">OFFSET(Industries!D$1,MATCH(Table1[[#This Row],[Ticker]],Industries!$A$2:$A$150,0),0)</f>
        <v>Insurance</v>
      </c>
      <c r="D1425" t="str">
        <f ca="1">OFFSET(Industries!E$1,MATCH(Table1[[#This Row],[Ticker]],Industries!$A$2:$A$150,0),0)</f>
        <v>Insurance</v>
      </c>
      <c r="E1425" t="s">
        <v>496</v>
      </c>
      <c r="F1425" t="str">
        <f ca="1">OFFSET(Industries!B$1,MATCH(Table1[[#This Row],[Ticker]],Industries!$A$2:$A$140,0),0)</f>
        <v>Ultra-Cap</v>
      </c>
      <c r="G1425" t="str">
        <f ca="1">OFFSET(Industries!F$1,MATCH(Table1[[#This Row],[Ticker]],Industries!$A$2:$A$140,0),0)</f>
        <v>BBB</v>
      </c>
      <c r="H1425" t="s">
        <v>1434</v>
      </c>
      <c r="I1425" t="s">
        <v>1434</v>
      </c>
      <c r="J1425" s="2">
        <v>45373</v>
      </c>
      <c r="K1425" t="s">
        <v>21</v>
      </c>
      <c r="L1425" t="s">
        <v>3</v>
      </c>
      <c r="M1425" t="s">
        <v>1711</v>
      </c>
      <c r="N1425" s="1">
        <f>Table1[[#This Row],[Consideration Weight]]</f>
        <v>0.213023306481369</v>
      </c>
      <c r="O1425" t="s">
        <v>3</v>
      </c>
      <c r="P1425" s="1">
        <v>0.213023306481369</v>
      </c>
    </row>
    <row r="1426" spans="1:22" x14ac:dyDescent="0.3">
      <c r="A1426" t="s">
        <v>860</v>
      </c>
      <c r="B1426" t="str">
        <f ca="1">OFFSET(Industries!C$1,MATCH(Table1[[#This Row],[Ticker]],Industries!$A$2:$A$150,0),0)</f>
        <v>Financials</v>
      </c>
      <c r="C1426" t="str">
        <f ca="1">OFFSET(Industries!D$1,MATCH(Table1[[#This Row],[Ticker]],Industries!$A$2:$A$150,0),0)</f>
        <v>Insurance</v>
      </c>
      <c r="D1426" t="str">
        <f ca="1">OFFSET(Industries!E$1,MATCH(Table1[[#This Row],[Ticker]],Industries!$A$2:$A$150,0),0)</f>
        <v>Insurance</v>
      </c>
      <c r="E1426" t="s">
        <v>496</v>
      </c>
      <c r="F1426" t="str">
        <f ca="1">OFFSET(Industries!B$1,MATCH(Table1[[#This Row],[Ticker]],Industries!$A$2:$A$140,0),0)</f>
        <v>Ultra-Cap</v>
      </c>
      <c r="G1426" t="str">
        <f ca="1">OFFSET(Industries!F$1,MATCH(Table1[[#This Row],[Ticker]],Industries!$A$2:$A$140,0),0)</f>
        <v>BBB</v>
      </c>
      <c r="H1426" t="s">
        <v>1434</v>
      </c>
      <c r="I1426" t="s">
        <v>1434</v>
      </c>
      <c r="J1426" s="2">
        <v>45373</v>
      </c>
      <c r="K1426" t="s">
        <v>21</v>
      </c>
      <c r="L1426" t="s">
        <v>1708</v>
      </c>
      <c r="M1426" t="s">
        <v>1709</v>
      </c>
      <c r="N1426" s="1">
        <f>Table1[[#This Row],[Consideration Weight]]</f>
        <v>0.26627913310171125</v>
      </c>
      <c r="O1426" t="s">
        <v>4</v>
      </c>
      <c r="P1426" s="1">
        <v>0.26627913310171125</v>
      </c>
      <c r="Q1426" s="1" t="s">
        <v>1636</v>
      </c>
      <c r="R1426" t="s">
        <v>23</v>
      </c>
      <c r="S1426" t="s">
        <v>1083</v>
      </c>
      <c r="T1426" t="s">
        <v>226</v>
      </c>
      <c r="U1426" s="1">
        <v>0.5</v>
      </c>
    </row>
    <row r="1427" spans="1:22" x14ac:dyDescent="0.3">
      <c r="A1427" t="s">
        <v>860</v>
      </c>
      <c r="B1427" t="str">
        <f ca="1">OFFSET(Industries!C$1,MATCH(Table1[[#This Row],[Ticker]],Industries!$A$2:$A$150,0),0)</f>
        <v>Financials</v>
      </c>
      <c r="C1427" t="str">
        <f ca="1">OFFSET(Industries!D$1,MATCH(Table1[[#This Row],[Ticker]],Industries!$A$2:$A$150,0),0)</f>
        <v>Insurance</v>
      </c>
      <c r="D1427" t="str">
        <f ca="1">OFFSET(Industries!E$1,MATCH(Table1[[#This Row],[Ticker]],Industries!$A$2:$A$150,0),0)</f>
        <v>Insurance</v>
      </c>
      <c r="E1427" t="s">
        <v>496</v>
      </c>
      <c r="F1427" t="str">
        <f ca="1">OFFSET(Industries!B$1,MATCH(Table1[[#This Row],[Ticker]],Industries!$A$2:$A$140,0),0)</f>
        <v>Ultra-Cap</v>
      </c>
      <c r="G1427" t="str">
        <f ca="1">OFFSET(Industries!F$1,MATCH(Table1[[#This Row],[Ticker]],Industries!$A$2:$A$140,0),0)</f>
        <v>BBB</v>
      </c>
      <c r="H1427" t="s">
        <v>1434</v>
      </c>
      <c r="I1427" t="s">
        <v>1434</v>
      </c>
      <c r="J1427" s="2">
        <v>45373</v>
      </c>
      <c r="K1427" t="s">
        <v>21</v>
      </c>
      <c r="L1427" t="s">
        <v>1708</v>
      </c>
      <c r="M1427" t="s">
        <v>1709</v>
      </c>
      <c r="N1427" s="1"/>
      <c r="O1427" t="s">
        <v>4</v>
      </c>
      <c r="P1427" s="1">
        <v>0.26627913310171125</v>
      </c>
      <c r="Q1427" s="1" t="s">
        <v>1636</v>
      </c>
      <c r="R1427" t="s">
        <v>24</v>
      </c>
      <c r="S1427" t="s">
        <v>1104</v>
      </c>
      <c r="T1427" t="s">
        <v>153</v>
      </c>
      <c r="U1427" s="1">
        <v>0.5</v>
      </c>
      <c r="V1427" t="s">
        <v>1753</v>
      </c>
    </row>
    <row r="1428" spans="1:22" x14ac:dyDescent="0.3">
      <c r="A1428" t="s">
        <v>860</v>
      </c>
      <c r="B1428" t="str">
        <f ca="1">OFFSET(Industries!C$1,MATCH(Table1[[#This Row],[Ticker]],Industries!$A$2:$A$150,0),0)</f>
        <v>Financials</v>
      </c>
      <c r="C1428" t="str">
        <f ca="1">OFFSET(Industries!D$1,MATCH(Table1[[#This Row],[Ticker]],Industries!$A$2:$A$150,0),0)</f>
        <v>Insurance</v>
      </c>
      <c r="D1428" t="str">
        <f ca="1">OFFSET(Industries!E$1,MATCH(Table1[[#This Row],[Ticker]],Industries!$A$2:$A$150,0),0)</f>
        <v>Insurance</v>
      </c>
      <c r="E1428" t="s">
        <v>496</v>
      </c>
      <c r="F1428" t="str">
        <f ca="1">OFFSET(Industries!B$1,MATCH(Table1[[#This Row],[Ticker]],Industries!$A$2:$A$140,0),0)</f>
        <v>Ultra-Cap</v>
      </c>
      <c r="G1428" t="str">
        <f ca="1">OFFSET(Industries!F$1,MATCH(Table1[[#This Row],[Ticker]],Industries!$A$2:$A$140,0),0)</f>
        <v>BBB</v>
      </c>
      <c r="H1428" t="s">
        <v>1434</v>
      </c>
      <c r="I1428" t="s">
        <v>1434</v>
      </c>
      <c r="J1428" s="2">
        <v>45373</v>
      </c>
      <c r="K1428" t="s">
        <v>21</v>
      </c>
      <c r="L1428" t="s">
        <v>1708</v>
      </c>
      <c r="M1428" t="s">
        <v>1709</v>
      </c>
      <c r="N1428" s="1"/>
      <c r="O1428" t="s">
        <v>4</v>
      </c>
      <c r="P1428" s="1">
        <v>0.26627913310171125</v>
      </c>
      <c r="R1428" t="s">
        <v>28</v>
      </c>
      <c r="S1428" t="s">
        <v>1110</v>
      </c>
      <c r="T1428" t="s">
        <v>172</v>
      </c>
    </row>
    <row r="1429" spans="1:22" x14ac:dyDescent="0.3">
      <c r="A1429" t="s">
        <v>860</v>
      </c>
      <c r="B1429" t="str">
        <f ca="1">OFFSET(Industries!C$1,MATCH(Table1[[#This Row],[Ticker]],Industries!$A$2:$A$150,0),0)</f>
        <v>Financials</v>
      </c>
      <c r="C1429" t="str">
        <f ca="1">OFFSET(Industries!D$1,MATCH(Table1[[#This Row],[Ticker]],Industries!$A$2:$A$150,0),0)</f>
        <v>Insurance</v>
      </c>
      <c r="D1429" t="str">
        <f ca="1">OFFSET(Industries!E$1,MATCH(Table1[[#This Row],[Ticker]],Industries!$A$2:$A$150,0),0)</f>
        <v>Insurance</v>
      </c>
      <c r="E1429" t="s">
        <v>496</v>
      </c>
      <c r="F1429" t="str">
        <f ca="1">OFFSET(Industries!B$1,MATCH(Table1[[#This Row],[Ticker]],Industries!$A$2:$A$140,0),0)</f>
        <v>Ultra-Cap</v>
      </c>
      <c r="G1429" t="str">
        <f ca="1">OFFSET(Industries!F$1,MATCH(Table1[[#This Row],[Ticker]],Industries!$A$2:$A$140,0),0)</f>
        <v>BBB</v>
      </c>
      <c r="H1429" t="s">
        <v>1434</v>
      </c>
      <c r="I1429" t="s">
        <v>1434</v>
      </c>
      <c r="J1429" s="2">
        <v>45373</v>
      </c>
      <c r="K1429" t="s">
        <v>21</v>
      </c>
      <c r="L1429" t="s">
        <v>1710</v>
      </c>
      <c r="M1429" t="s">
        <v>1709</v>
      </c>
      <c r="N1429" s="1">
        <f>Table1[[#This Row],[Consideration Weight]]</f>
        <v>0.19172097583323211</v>
      </c>
      <c r="O1429" t="s">
        <v>476</v>
      </c>
      <c r="P1429" s="1">
        <v>0.19172097583323211</v>
      </c>
      <c r="Q1429" s="1" t="s">
        <v>1636</v>
      </c>
      <c r="R1429" t="s">
        <v>24</v>
      </c>
      <c r="S1429" t="s">
        <v>1104</v>
      </c>
      <c r="T1429" t="s">
        <v>861</v>
      </c>
      <c r="U1429" s="1">
        <v>1</v>
      </c>
    </row>
    <row r="1430" spans="1:22" x14ac:dyDescent="0.3">
      <c r="A1430" t="s">
        <v>860</v>
      </c>
      <c r="B1430" t="str">
        <f ca="1">OFFSET(Industries!C$1,MATCH(Table1[[#This Row],[Ticker]],Industries!$A$2:$A$150,0),0)</f>
        <v>Financials</v>
      </c>
      <c r="C1430" t="str">
        <f ca="1">OFFSET(Industries!D$1,MATCH(Table1[[#This Row],[Ticker]],Industries!$A$2:$A$150,0),0)</f>
        <v>Insurance</v>
      </c>
      <c r="D1430" t="str">
        <f ca="1">OFFSET(Industries!E$1,MATCH(Table1[[#This Row],[Ticker]],Industries!$A$2:$A$150,0),0)</f>
        <v>Insurance</v>
      </c>
      <c r="E1430" t="s">
        <v>496</v>
      </c>
      <c r="F1430" t="str">
        <f ca="1">OFFSET(Industries!B$1,MATCH(Table1[[#This Row],[Ticker]],Industries!$A$2:$A$140,0),0)</f>
        <v>Ultra-Cap</v>
      </c>
      <c r="G1430" t="str">
        <f ca="1">OFFSET(Industries!F$1,MATCH(Table1[[#This Row],[Ticker]],Industries!$A$2:$A$140,0),0)</f>
        <v>BBB</v>
      </c>
      <c r="H1430" t="s">
        <v>1434</v>
      </c>
      <c r="I1430" t="s">
        <v>1434</v>
      </c>
      <c r="J1430" s="2">
        <v>45373</v>
      </c>
      <c r="K1430" t="s">
        <v>21</v>
      </c>
      <c r="L1430" t="s">
        <v>1710</v>
      </c>
      <c r="M1430" t="s">
        <v>1711</v>
      </c>
      <c r="N1430" s="1">
        <f>Table1[[#This Row],[Consideration Weight]]</f>
        <v>0.1278139838888214</v>
      </c>
      <c r="O1430" t="s">
        <v>87</v>
      </c>
      <c r="P1430" s="1">
        <v>0.1278139838888214</v>
      </c>
    </row>
    <row r="1431" spans="1:22" x14ac:dyDescent="0.3">
      <c r="A1431" t="s">
        <v>860</v>
      </c>
      <c r="B1431" t="str">
        <f ca="1">OFFSET(Industries!C$1,MATCH(Table1[[#This Row],[Ticker]],Industries!$A$2:$A$150,0),0)</f>
        <v>Financials</v>
      </c>
      <c r="C1431" t="str">
        <f ca="1">OFFSET(Industries!D$1,MATCH(Table1[[#This Row],[Ticker]],Industries!$A$2:$A$150,0),0)</f>
        <v>Insurance</v>
      </c>
      <c r="D1431" t="str">
        <f ca="1">OFFSET(Industries!E$1,MATCH(Table1[[#This Row],[Ticker]],Industries!$A$2:$A$150,0),0)</f>
        <v>Insurance</v>
      </c>
      <c r="E1431" t="s">
        <v>496</v>
      </c>
      <c r="F1431" t="str">
        <f ca="1">OFFSET(Industries!B$1,MATCH(Table1[[#This Row],[Ticker]],Industries!$A$2:$A$140,0),0)</f>
        <v>Ultra-Cap</v>
      </c>
      <c r="G1431" t="str">
        <f ca="1">OFFSET(Industries!F$1,MATCH(Table1[[#This Row],[Ticker]],Industries!$A$2:$A$140,0),0)</f>
        <v>BBB</v>
      </c>
      <c r="H1431" t="s">
        <v>1434</v>
      </c>
      <c r="I1431" t="s">
        <v>1434</v>
      </c>
      <c r="J1431" s="2">
        <v>45373</v>
      </c>
      <c r="K1431" t="s">
        <v>21</v>
      </c>
      <c r="L1431" t="s">
        <v>1710</v>
      </c>
      <c r="M1431" t="s">
        <v>1711</v>
      </c>
      <c r="N1431" s="1">
        <f>Table1[[#This Row],[Consideration Weight]]</f>
        <v>0.20116260069486619</v>
      </c>
      <c r="O1431" t="s">
        <v>862</v>
      </c>
      <c r="P1431" s="1">
        <v>0.20116260069486619</v>
      </c>
    </row>
    <row r="1432" spans="1:22" x14ac:dyDescent="0.3">
      <c r="A1432" t="s">
        <v>866</v>
      </c>
      <c r="B1432" t="str">
        <f ca="1">OFFSET(Industries!C$1,MATCH(Table1[[#This Row],[Ticker]],Industries!$A$2:$A$150,0),0)</f>
        <v>Health Care</v>
      </c>
      <c r="C1432" t="str">
        <f ca="1">OFFSET(Industries!D$1,MATCH(Table1[[#This Row],[Ticker]],Industries!$A$2:$A$150,0),0)</f>
        <v>Pharmaceuticals, Biotechnology and Life Sciences</v>
      </c>
      <c r="D1432" t="str">
        <f ca="1">OFFSET(Industries!E$1,MATCH(Table1[[#This Row],[Ticker]],Industries!$A$2:$A$150,0),0)</f>
        <v>Biotechnology</v>
      </c>
      <c r="E1432" t="s">
        <v>49</v>
      </c>
      <c r="F1432" t="str">
        <f ca="1">OFFSET(Industries!B$1,MATCH(Table1[[#This Row],[Ticker]],Industries!$A$2:$A$140,0),0)</f>
        <v>Mega-Cap</v>
      </c>
      <c r="G1432" t="str">
        <f ca="1">OFFSET(Industries!F$1,MATCH(Table1[[#This Row],[Ticker]],Industries!$A$2:$A$140,0),0)</f>
        <v>BBB+</v>
      </c>
      <c r="H1432" t="s">
        <v>1434</v>
      </c>
      <c r="I1432" t="s">
        <v>1434</v>
      </c>
      <c r="J1432" s="2">
        <v>45399</v>
      </c>
      <c r="K1432" t="s">
        <v>2</v>
      </c>
      <c r="L1432" t="s">
        <v>3</v>
      </c>
      <c r="M1432" t="s">
        <v>1711</v>
      </c>
      <c r="N1432" s="1">
        <f>Table1[[#This Row],[Consideration Weight]]</f>
        <v>0.09</v>
      </c>
      <c r="O1432" t="s">
        <v>3</v>
      </c>
      <c r="P1432" s="1">
        <v>0.09</v>
      </c>
    </row>
    <row r="1433" spans="1:22" x14ac:dyDescent="0.3">
      <c r="A1433" t="s">
        <v>866</v>
      </c>
      <c r="B1433" t="str">
        <f ca="1">OFFSET(Industries!C$1,MATCH(Table1[[#This Row],[Ticker]],Industries!$A$2:$A$150,0),0)</f>
        <v>Health Care</v>
      </c>
      <c r="C1433" t="str">
        <f ca="1">OFFSET(Industries!D$1,MATCH(Table1[[#This Row],[Ticker]],Industries!$A$2:$A$150,0),0)</f>
        <v>Pharmaceuticals, Biotechnology and Life Sciences</v>
      </c>
      <c r="D1433" t="str">
        <f ca="1">OFFSET(Industries!E$1,MATCH(Table1[[#This Row],[Ticker]],Industries!$A$2:$A$150,0),0)</f>
        <v>Biotechnology</v>
      </c>
      <c r="E1433" t="s">
        <v>49</v>
      </c>
      <c r="F1433" t="str">
        <f ca="1">OFFSET(Industries!B$1,MATCH(Table1[[#This Row],[Ticker]],Industries!$A$2:$A$140,0),0)</f>
        <v>Mega-Cap</v>
      </c>
      <c r="G1433" t="str">
        <f ca="1">OFFSET(Industries!F$1,MATCH(Table1[[#This Row],[Ticker]],Industries!$A$2:$A$140,0),0)</f>
        <v>BBB+</v>
      </c>
      <c r="H1433" t="s">
        <v>1434</v>
      </c>
      <c r="I1433" t="s">
        <v>1434</v>
      </c>
      <c r="J1433" s="2">
        <v>45399</v>
      </c>
      <c r="K1433" t="s">
        <v>2</v>
      </c>
      <c r="L1433" t="s">
        <v>1708</v>
      </c>
      <c r="M1433" t="s">
        <v>1709</v>
      </c>
      <c r="N1433" s="1">
        <f>Table1[[#This Row],[Consideration Weight]]</f>
        <v>0.13</v>
      </c>
      <c r="O1433" t="s">
        <v>4</v>
      </c>
      <c r="P1433" s="1">
        <v>0.13</v>
      </c>
      <c r="Q1433" s="1" t="s">
        <v>1636</v>
      </c>
      <c r="R1433" t="s">
        <v>23</v>
      </c>
      <c r="S1433" t="s">
        <v>1083</v>
      </c>
      <c r="T1433" t="s">
        <v>37</v>
      </c>
      <c r="U1433" s="1">
        <v>0.3</v>
      </c>
      <c r="V1433" t="s">
        <v>870</v>
      </c>
    </row>
    <row r="1434" spans="1:22" x14ac:dyDescent="0.3">
      <c r="A1434" t="s">
        <v>866</v>
      </c>
      <c r="B1434" t="str">
        <f ca="1">OFFSET(Industries!C$1,MATCH(Table1[[#This Row],[Ticker]],Industries!$A$2:$A$150,0),0)</f>
        <v>Health Care</v>
      </c>
      <c r="C1434" t="str">
        <f ca="1">OFFSET(Industries!D$1,MATCH(Table1[[#This Row],[Ticker]],Industries!$A$2:$A$150,0),0)</f>
        <v>Pharmaceuticals, Biotechnology and Life Sciences</v>
      </c>
      <c r="D1434" t="str">
        <f ca="1">OFFSET(Industries!E$1,MATCH(Table1[[#This Row],[Ticker]],Industries!$A$2:$A$150,0),0)</f>
        <v>Biotechnology</v>
      </c>
      <c r="E1434" t="s">
        <v>49</v>
      </c>
      <c r="F1434" t="str">
        <f ca="1">OFFSET(Industries!B$1,MATCH(Table1[[#This Row],[Ticker]],Industries!$A$2:$A$140,0),0)</f>
        <v>Mega-Cap</v>
      </c>
      <c r="G1434" t="str">
        <f ca="1">OFFSET(Industries!F$1,MATCH(Table1[[#This Row],[Ticker]],Industries!$A$2:$A$140,0),0)</f>
        <v>BBB+</v>
      </c>
      <c r="H1434" t="s">
        <v>1434</v>
      </c>
      <c r="I1434" t="s">
        <v>1434</v>
      </c>
      <c r="J1434" s="2">
        <v>45399</v>
      </c>
      <c r="K1434" t="s">
        <v>2</v>
      </c>
      <c r="L1434" t="s">
        <v>1708</v>
      </c>
      <c r="M1434" t="s">
        <v>1709</v>
      </c>
      <c r="N1434" s="1"/>
      <c r="O1434" t="s">
        <v>4</v>
      </c>
      <c r="P1434" s="1">
        <v>0.13</v>
      </c>
      <c r="Q1434" s="1" t="s">
        <v>1636</v>
      </c>
      <c r="R1434" t="s">
        <v>24</v>
      </c>
      <c r="S1434" t="s">
        <v>1098</v>
      </c>
      <c r="T1434" t="s">
        <v>107</v>
      </c>
      <c r="U1434" s="1">
        <v>0.3</v>
      </c>
      <c r="V1434" t="s">
        <v>344</v>
      </c>
    </row>
    <row r="1435" spans="1:22" x14ac:dyDescent="0.3">
      <c r="A1435" t="s">
        <v>866</v>
      </c>
      <c r="B1435" t="str">
        <f ca="1">OFFSET(Industries!C$1,MATCH(Table1[[#This Row],[Ticker]],Industries!$A$2:$A$150,0),0)</f>
        <v>Health Care</v>
      </c>
      <c r="C1435" t="str">
        <f ca="1">OFFSET(Industries!D$1,MATCH(Table1[[#This Row],[Ticker]],Industries!$A$2:$A$150,0),0)</f>
        <v>Pharmaceuticals, Biotechnology and Life Sciences</v>
      </c>
      <c r="D1435" t="str">
        <f ca="1">OFFSET(Industries!E$1,MATCH(Table1[[#This Row],[Ticker]],Industries!$A$2:$A$150,0),0)</f>
        <v>Biotechnology</v>
      </c>
      <c r="E1435" t="s">
        <v>49</v>
      </c>
      <c r="F1435" t="str">
        <f ca="1">OFFSET(Industries!B$1,MATCH(Table1[[#This Row],[Ticker]],Industries!$A$2:$A$140,0),0)</f>
        <v>Mega-Cap</v>
      </c>
      <c r="G1435" t="str">
        <f ca="1">OFFSET(Industries!F$1,MATCH(Table1[[#This Row],[Ticker]],Industries!$A$2:$A$140,0),0)</f>
        <v>BBB+</v>
      </c>
      <c r="H1435" t="s">
        <v>1434</v>
      </c>
      <c r="I1435" t="s">
        <v>1434</v>
      </c>
      <c r="J1435" s="2">
        <v>45399</v>
      </c>
      <c r="K1435" t="s">
        <v>2</v>
      </c>
      <c r="L1435" t="s">
        <v>1708</v>
      </c>
      <c r="M1435" t="s">
        <v>1709</v>
      </c>
      <c r="N1435" s="1"/>
      <c r="O1435" t="s">
        <v>4</v>
      </c>
      <c r="P1435" s="1">
        <v>0.13</v>
      </c>
      <c r="Q1435" s="1" t="s">
        <v>1637</v>
      </c>
      <c r="R1435" t="s">
        <v>25</v>
      </c>
      <c r="S1435" t="s">
        <v>344</v>
      </c>
      <c r="T1435" t="s">
        <v>867</v>
      </c>
      <c r="U1435" s="1">
        <v>0.2</v>
      </c>
      <c r="V1435" t="s">
        <v>871</v>
      </c>
    </row>
    <row r="1436" spans="1:22" x14ac:dyDescent="0.3">
      <c r="A1436" t="s">
        <v>866</v>
      </c>
      <c r="B1436" t="str">
        <f ca="1">OFFSET(Industries!C$1,MATCH(Table1[[#This Row],[Ticker]],Industries!$A$2:$A$150,0),0)</f>
        <v>Health Care</v>
      </c>
      <c r="C1436" t="str">
        <f ca="1">OFFSET(Industries!D$1,MATCH(Table1[[#This Row],[Ticker]],Industries!$A$2:$A$150,0),0)</f>
        <v>Pharmaceuticals, Biotechnology and Life Sciences</v>
      </c>
      <c r="D1436" t="str">
        <f ca="1">OFFSET(Industries!E$1,MATCH(Table1[[#This Row],[Ticker]],Industries!$A$2:$A$150,0),0)</f>
        <v>Biotechnology</v>
      </c>
      <c r="E1436" t="s">
        <v>49</v>
      </c>
      <c r="F1436" t="str">
        <f ca="1">OFFSET(Industries!B$1,MATCH(Table1[[#This Row],[Ticker]],Industries!$A$2:$A$140,0),0)</f>
        <v>Mega-Cap</v>
      </c>
      <c r="G1436" t="str">
        <f ca="1">OFFSET(Industries!F$1,MATCH(Table1[[#This Row],[Ticker]],Industries!$A$2:$A$140,0),0)</f>
        <v>BBB+</v>
      </c>
      <c r="H1436" t="s">
        <v>1434</v>
      </c>
      <c r="I1436" t="s">
        <v>1434</v>
      </c>
      <c r="J1436" s="2">
        <v>45399</v>
      </c>
      <c r="K1436" t="s">
        <v>2</v>
      </c>
      <c r="L1436" t="s">
        <v>1708</v>
      </c>
      <c r="M1436" t="s">
        <v>1709</v>
      </c>
      <c r="N1436" s="1"/>
      <c r="O1436" t="s">
        <v>4</v>
      </c>
      <c r="P1436" s="1">
        <v>0.13</v>
      </c>
      <c r="Q1436" s="1" t="s">
        <v>1637</v>
      </c>
      <c r="R1436" t="s">
        <v>25</v>
      </c>
      <c r="S1436" t="s">
        <v>344</v>
      </c>
      <c r="T1436" t="s">
        <v>868</v>
      </c>
      <c r="U1436" s="1">
        <v>0.1</v>
      </c>
      <c r="V1436" t="s">
        <v>872</v>
      </c>
    </row>
    <row r="1437" spans="1:22" x14ac:dyDescent="0.3">
      <c r="A1437" t="s">
        <v>866</v>
      </c>
      <c r="B1437" t="str">
        <f ca="1">OFFSET(Industries!C$1,MATCH(Table1[[#This Row],[Ticker]],Industries!$A$2:$A$150,0),0)</f>
        <v>Health Care</v>
      </c>
      <c r="C1437" t="str">
        <f ca="1">OFFSET(Industries!D$1,MATCH(Table1[[#This Row],[Ticker]],Industries!$A$2:$A$150,0),0)</f>
        <v>Pharmaceuticals, Biotechnology and Life Sciences</v>
      </c>
      <c r="D1437" t="str">
        <f ca="1">OFFSET(Industries!E$1,MATCH(Table1[[#This Row],[Ticker]],Industries!$A$2:$A$150,0),0)</f>
        <v>Biotechnology</v>
      </c>
      <c r="E1437" t="s">
        <v>49</v>
      </c>
      <c r="F1437" t="str">
        <f ca="1">OFFSET(Industries!B$1,MATCH(Table1[[#This Row],[Ticker]],Industries!$A$2:$A$140,0),0)</f>
        <v>Mega-Cap</v>
      </c>
      <c r="G1437" t="str">
        <f ca="1">OFFSET(Industries!F$1,MATCH(Table1[[#This Row],[Ticker]],Industries!$A$2:$A$140,0),0)</f>
        <v>BBB+</v>
      </c>
      <c r="H1437" t="s">
        <v>1434</v>
      </c>
      <c r="I1437" t="s">
        <v>1434</v>
      </c>
      <c r="J1437" s="2">
        <v>45399</v>
      </c>
      <c r="K1437" t="s">
        <v>2</v>
      </c>
      <c r="L1437" t="s">
        <v>1708</v>
      </c>
      <c r="M1437" t="s">
        <v>1709</v>
      </c>
      <c r="N1437" s="1"/>
      <c r="O1437" t="s">
        <v>4</v>
      </c>
      <c r="P1437" s="1">
        <v>0.13</v>
      </c>
      <c r="Q1437" s="1" t="s">
        <v>1637</v>
      </c>
      <c r="R1437" t="s">
        <v>26</v>
      </c>
      <c r="S1437" t="s">
        <v>26</v>
      </c>
      <c r="T1437" t="s">
        <v>26</v>
      </c>
      <c r="U1437" s="1">
        <v>0.05</v>
      </c>
      <c r="V1437" t="s">
        <v>873</v>
      </c>
    </row>
    <row r="1438" spans="1:22" x14ac:dyDescent="0.3">
      <c r="A1438" t="s">
        <v>866</v>
      </c>
      <c r="B1438" t="str">
        <f ca="1">OFFSET(Industries!C$1,MATCH(Table1[[#This Row],[Ticker]],Industries!$A$2:$A$150,0),0)</f>
        <v>Health Care</v>
      </c>
      <c r="C1438" t="str">
        <f ca="1">OFFSET(Industries!D$1,MATCH(Table1[[#This Row],[Ticker]],Industries!$A$2:$A$150,0),0)</f>
        <v>Pharmaceuticals, Biotechnology and Life Sciences</v>
      </c>
      <c r="D1438" t="str">
        <f ca="1">OFFSET(Industries!E$1,MATCH(Table1[[#This Row],[Ticker]],Industries!$A$2:$A$150,0),0)</f>
        <v>Biotechnology</v>
      </c>
      <c r="E1438" t="s">
        <v>49</v>
      </c>
      <c r="F1438" t="str">
        <f ca="1">OFFSET(Industries!B$1,MATCH(Table1[[#This Row],[Ticker]],Industries!$A$2:$A$140,0),0)</f>
        <v>Mega-Cap</v>
      </c>
      <c r="G1438" t="str">
        <f ca="1">OFFSET(Industries!F$1,MATCH(Table1[[#This Row],[Ticker]],Industries!$A$2:$A$140,0),0)</f>
        <v>BBB+</v>
      </c>
      <c r="H1438" t="s">
        <v>1434</v>
      </c>
      <c r="I1438" t="s">
        <v>1434</v>
      </c>
      <c r="J1438" s="2">
        <v>45399</v>
      </c>
      <c r="K1438" t="s">
        <v>2</v>
      </c>
      <c r="L1438" t="s">
        <v>1708</v>
      </c>
      <c r="M1438" t="s">
        <v>1709</v>
      </c>
      <c r="N1438" s="1"/>
      <c r="O1438" t="s">
        <v>4</v>
      </c>
      <c r="P1438" s="1">
        <v>0.13</v>
      </c>
      <c r="Q1438" s="1" t="s">
        <v>1637</v>
      </c>
      <c r="R1438" t="s">
        <v>25</v>
      </c>
      <c r="S1438" t="s">
        <v>1086</v>
      </c>
      <c r="T1438" t="s">
        <v>869</v>
      </c>
      <c r="U1438" s="1">
        <v>0.05</v>
      </c>
      <c r="V1438" t="s">
        <v>874</v>
      </c>
    </row>
    <row r="1439" spans="1:22" x14ac:dyDescent="0.3">
      <c r="A1439" t="s">
        <v>866</v>
      </c>
      <c r="B1439" t="str">
        <f ca="1">OFFSET(Industries!C$1,MATCH(Table1[[#This Row],[Ticker]],Industries!$A$2:$A$150,0),0)</f>
        <v>Health Care</v>
      </c>
      <c r="C1439" t="str">
        <f ca="1">OFFSET(Industries!D$1,MATCH(Table1[[#This Row],[Ticker]],Industries!$A$2:$A$150,0),0)</f>
        <v>Pharmaceuticals, Biotechnology and Life Sciences</v>
      </c>
      <c r="D1439" t="str">
        <f ca="1">OFFSET(Industries!E$1,MATCH(Table1[[#This Row],[Ticker]],Industries!$A$2:$A$150,0),0)</f>
        <v>Biotechnology</v>
      </c>
      <c r="E1439" t="s">
        <v>49</v>
      </c>
      <c r="F1439" t="str">
        <f ca="1">OFFSET(Industries!B$1,MATCH(Table1[[#This Row],[Ticker]],Industries!$A$2:$A$140,0),0)</f>
        <v>Mega-Cap</v>
      </c>
      <c r="G1439" t="str">
        <f ca="1">OFFSET(Industries!F$1,MATCH(Table1[[#This Row],[Ticker]],Industries!$A$2:$A$140,0),0)</f>
        <v>BBB+</v>
      </c>
      <c r="H1439" t="s">
        <v>1434</v>
      </c>
      <c r="I1439" t="s">
        <v>1434</v>
      </c>
      <c r="J1439" s="2">
        <v>45399</v>
      </c>
      <c r="K1439" t="s">
        <v>2</v>
      </c>
      <c r="L1439" t="s">
        <v>1710</v>
      </c>
      <c r="M1439" t="s">
        <v>1709</v>
      </c>
      <c r="N1439" s="1">
        <f>Table1[[#This Row],[Consideration Weight]]</f>
        <v>0.39</v>
      </c>
      <c r="O1439" t="s">
        <v>476</v>
      </c>
      <c r="P1439" s="1">
        <f>0.78*0.5</f>
        <v>0.39</v>
      </c>
      <c r="Q1439" s="1" t="s">
        <v>1636</v>
      </c>
      <c r="R1439" t="s">
        <v>24</v>
      </c>
      <c r="S1439" t="s">
        <v>1089</v>
      </c>
      <c r="T1439" t="s">
        <v>50</v>
      </c>
      <c r="U1439" s="1">
        <v>0.5</v>
      </c>
      <c r="V1439" t="s">
        <v>874</v>
      </c>
    </row>
    <row r="1440" spans="1:22" x14ac:dyDescent="0.3">
      <c r="A1440" t="s">
        <v>866</v>
      </c>
      <c r="B1440" t="str">
        <f ca="1">OFFSET(Industries!C$1,MATCH(Table1[[#This Row],[Ticker]],Industries!$A$2:$A$150,0),0)</f>
        <v>Health Care</v>
      </c>
      <c r="C1440" t="str">
        <f ca="1">OFFSET(Industries!D$1,MATCH(Table1[[#This Row],[Ticker]],Industries!$A$2:$A$150,0),0)</f>
        <v>Pharmaceuticals, Biotechnology and Life Sciences</v>
      </c>
      <c r="D1440" t="str">
        <f ca="1">OFFSET(Industries!E$1,MATCH(Table1[[#This Row],[Ticker]],Industries!$A$2:$A$150,0),0)</f>
        <v>Biotechnology</v>
      </c>
      <c r="E1440" t="s">
        <v>49</v>
      </c>
      <c r="F1440" t="str">
        <f ca="1">OFFSET(Industries!B$1,MATCH(Table1[[#This Row],[Ticker]],Industries!$A$2:$A$140,0),0)</f>
        <v>Mega-Cap</v>
      </c>
      <c r="G1440" t="str">
        <f ca="1">OFFSET(Industries!F$1,MATCH(Table1[[#This Row],[Ticker]],Industries!$A$2:$A$140,0),0)</f>
        <v>BBB+</v>
      </c>
      <c r="H1440" t="s">
        <v>1434</v>
      </c>
      <c r="I1440" t="s">
        <v>1434</v>
      </c>
      <c r="J1440" s="2">
        <v>45399</v>
      </c>
      <c r="K1440" t="s">
        <v>2</v>
      </c>
      <c r="L1440" t="s">
        <v>1710</v>
      </c>
      <c r="M1440" t="s">
        <v>1709</v>
      </c>
      <c r="N1440" s="1"/>
      <c r="O1440" t="s">
        <v>476</v>
      </c>
      <c r="P1440" s="1">
        <f>0.78*0.5</f>
        <v>0.39</v>
      </c>
      <c r="Q1440" s="1" t="s">
        <v>1636</v>
      </c>
      <c r="R1440" t="s">
        <v>1059</v>
      </c>
      <c r="S1440" t="s">
        <v>1101</v>
      </c>
      <c r="T1440" t="s">
        <v>515</v>
      </c>
      <c r="U1440" s="1">
        <v>0.5</v>
      </c>
      <c r="V1440" t="s">
        <v>720</v>
      </c>
    </row>
    <row r="1441" spans="1:22" x14ac:dyDescent="0.3">
      <c r="A1441" t="s">
        <v>866</v>
      </c>
      <c r="B1441" t="str">
        <f ca="1">OFFSET(Industries!C$1,MATCH(Table1[[#This Row],[Ticker]],Industries!$A$2:$A$150,0),0)</f>
        <v>Health Care</v>
      </c>
      <c r="C1441" t="str">
        <f ca="1">OFFSET(Industries!D$1,MATCH(Table1[[#This Row],[Ticker]],Industries!$A$2:$A$150,0),0)</f>
        <v>Pharmaceuticals, Biotechnology and Life Sciences</v>
      </c>
      <c r="D1441" t="str">
        <f ca="1">OFFSET(Industries!E$1,MATCH(Table1[[#This Row],[Ticker]],Industries!$A$2:$A$150,0),0)</f>
        <v>Biotechnology</v>
      </c>
      <c r="E1441" t="s">
        <v>49</v>
      </c>
      <c r="F1441" t="str">
        <f ca="1">OFFSET(Industries!B$1,MATCH(Table1[[#This Row],[Ticker]],Industries!$A$2:$A$140,0),0)</f>
        <v>Mega-Cap</v>
      </c>
      <c r="G1441" t="str">
        <f ca="1">OFFSET(Industries!F$1,MATCH(Table1[[#This Row],[Ticker]],Industries!$A$2:$A$140,0),0)</f>
        <v>BBB+</v>
      </c>
      <c r="H1441" t="s">
        <v>1434</v>
      </c>
      <c r="I1441" t="s">
        <v>1434</v>
      </c>
      <c r="J1441" s="2">
        <v>45399</v>
      </c>
      <c r="K1441" t="s">
        <v>2</v>
      </c>
      <c r="L1441" t="s">
        <v>1710</v>
      </c>
      <c r="M1441" t="s">
        <v>1709</v>
      </c>
      <c r="N1441" s="1"/>
      <c r="O1441" t="s">
        <v>476</v>
      </c>
      <c r="P1441" s="1">
        <f>0.78*0.5</f>
        <v>0.39</v>
      </c>
      <c r="R1441" t="s">
        <v>28</v>
      </c>
      <c r="S1441" t="s">
        <v>1085</v>
      </c>
      <c r="T1441" t="s">
        <v>30</v>
      </c>
      <c r="V1441" t="s">
        <v>875</v>
      </c>
    </row>
    <row r="1442" spans="1:22" x14ac:dyDescent="0.3">
      <c r="A1442" t="s">
        <v>866</v>
      </c>
      <c r="B1442" t="str">
        <f ca="1">OFFSET(Industries!C$1,MATCH(Table1[[#This Row],[Ticker]],Industries!$A$2:$A$150,0),0)</f>
        <v>Health Care</v>
      </c>
      <c r="C1442" t="str">
        <f ca="1">OFFSET(Industries!D$1,MATCH(Table1[[#This Row],[Ticker]],Industries!$A$2:$A$150,0),0)</f>
        <v>Pharmaceuticals, Biotechnology and Life Sciences</v>
      </c>
      <c r="D1442" t="str">
        <f ca="1">OFFSET(Industries!E$1,MATCH(Table1[[#This Row],[Ticker]],Industries!$A$2:$A$150,0),0)</f>
        <v>Biotechnology</v>
      </c>
      <c r="E1442" t="s">
        <v>49</v>
      </c>
      <c r="F1442" t="str">
        <f ca="1">OFFSET(Industries!B$1,MATCH(Table1[[#This Row],[Ticker]],Industries!$A$2:$A$140,0),0)</f>
        <v>Mega-Cap</v>
      </c>
      <c r="G1442" t="str">
        <f ca="1">OFFSET(Industries!F$1,MATCH(Table1[[#This Row],[Ticker]],Industries!$A$2:$A$140,0),0)</f>
        <v>BBB+</v>
      </c>
      <c r="H1442" t="s">
        <v>1434</v>
      </c>
      <c r="I1442" t="s">
        <v>1434</v>
      </c>
      <c r="J1442" s="2">
        <v>45399</v>
      </c>
      <c r="K1442" t="s">
        <v>2</v>
      </c>
      <c r="L1442" t="s">
        <v>1710</v>
      </c>
      <c r="M1442" t="s">
        <v>1709</v>
      </c>
      <c r="N1442" s="1"/>
      <c r="O1442" t="s">
        <v>476</v>
      </c>
      <c r="P1442" s="1">
        <f>0.78*0.5</f>
        <v>0.39</v>
      </c>
      <c r="R1442" t="s">
        <v>28</v>
      </c>
      <c r="S1442" t="s">
        <v>1095</v>
      </c>
      <c r="T1442" t="s">
        <v>55</v>
      </c>
    </row>
    <row r="1443" spans="1:22" x14ac:dyDescent="0.3">
      <c r="A1443" t="s">
        <v>866</v>
      </c>
      <c r="B1443" t="str">
        <f ca="1">OFFSET(Industries!C$1,MATCH(Table1[[#This Row],[Ticker]],Industries!$A$2:$A$150,0),0)</f>
        <v>Health Care</v>
      </c>
      <c r="C1443" t="str">
        <f ca="1">OFFSET(Industries!D$1,MATCH(Table1[[#This Row],[Ticker]],Industries!$A$2:$A$150,0),0)</f>
        <v>Pharmaceuticals, Biotechnology and Life Sciences</v>
      </c>
      <c r="D1443" t="str">
        <f ca="1">OFFSET(Industries!E$1,MATCH(Table1[[#This Row],[Ticker]],Industries!$A$2:$A$150,0),0)</f>
        <v>Biotechnology</v>
      </c>
      <c r="E1443" t="s">
        <v>49</v>
      </c>
      <c r="F1443" t="str">
        <f ca="1">OFFSET(Industries!B$1,MATCH(Table1[[#This Row],[Ticker]],Industries!$A$2:$A$140,0),0)</f>
        <v>Mega-Cap</v>
      </c>
      <c r="G1443" t="str">
        <f ca="1">OFFSET(Industries!F$1,MATCH(Table1[[#This Row],[Ticker]],Industries!$A$2:$A$140,0),0)</f>
        <v>BBB+</v>
      </c>
      <c r="H1443" t="s">
        <v>1434</v>
      </c>
      <c r="I1443" t="s">
        <v>1434</v>
      </c>
      <c r="J1443" s="2">
        <v>45399</v>
      </c>
      <c r="K1443" t="s">
        <v>2</v>
      </c>
      <c r="L1443" t="s">
        <v>1710</v>
      </c>
      <c r="M1443" t="s">
        <v>1711</v>
      </c>
      <c r="N1443" s="1">
        <f>Table1[[#This Row],[Consideration Weight]]</f>
        <v>0.23399999999999999</v>
      </c>
      <c r="O1443" t="s">
        <v>87</v>
      </c>
      <c r="P1443" s="1">
        <f>0.78*0.3</f>
        <v>0.23399999999999999</v>
      </c>
    </row>
    <row r="1444" spans="1:22" x14ac:dyDescent="0.3">
      <c r="A1444" t="s">
        <v>866</v>
      </c>
      <c r="B1444" t="str">
        <f ca="1">OFFSET(Industries!C$1,MATCH(Table1[[#This Row],[Ticker]],Industries!$A$2:$A$150,0),0)</f>
        <v>Health Care</v>
      </c>
      <c r="C1444" t="str">
        <f ca="1">OFFSET(Industries!D$1,MATCH(Table1[[#This Row],[Ticker]],Industries!$A$2:$A$150,0),0)</f>
        <v>Pharmaceuticals, Biotechnology and Life Sciences</v>
      </c>
      <c r="D1444" t="str">
        <f ca="1">OFFSET(Industries!E$1,MATCH(Table1[[#This Row],[Ticker]],Industries!$A$2:$A$150,0),0)</f>
        <v>Biotechnology</v>
      </c>
      <c r="E1444" t="s">
        <v>49</v>
      </c>
      <c r="F1444" t="str">
        <f ca="1">OFFSET(Industries!B$1,MATCH(Table1[[#This Row],[Ticker]],Industries!$A$2:$A$140,0),0)</f>
        <v>Mega-Cap</v>
      </c>
      <c r="G1444" t="str">
        <f ca="1">OFFSET(Industries!F$1,MATCH(Table1[[#This Row],[Ticker]],Industries!$A$2:$A$140,0),0)</f>
        <v>BBB+</v>
      </c>
      <c r="H1444" t="s">
        <v>1434</v>
      </c>
      <c r="I1444" t="s">
        <v>1434</v>
      </c>
      <c r="J1444" s="2">
        <v>45399</v>
      </c>
      <c r="K1444" t="s">
        <v>2</v>
      </c>
      <c r="L1444" t="s">
        <v>1710</v>
      </c>
      <c r="M1444" t="s">
        <v>1711</v>
      </c>
      <c r="N1444" s="1">
        <f>Table1[[#This Row],[Consideration Weight]]</f>
        <v>0.15600000000000003</v>
      </c>
      <c r="O1444" t="s">
        <v>194</v>
      </c>
      <c r="P1444" s="1">
        <f>0.78*0.2</f>
        <v>0.15600000000000003</v>
      </c>
    </row>
    <row r="1445" spans="1:22" x14ac:dyDescent="0.3">
      <c r="A1445" t="s">
        <v>866</v>
      </c>
      <c r="B1445" t="str">
        <f ca="1">OFFSET(Industries!C$1,MATCH(Table1[[#This Row],[Ticker]],Industries!$A$2:$A$150,0),0)</f>
        <v>Health Care</v>
      </c>
      <c r="C1445" t="str">
        <f ca="1">OFFSET(Industries!D$1,MATCH(Table1[[#This Row],[Ticker]],Industries!$A$2:$A$150,0),0)</f>
        <v>Pharmaceuticals, Biotechnology and Life Sciences</v>
      </c>
      <c r="D1445" t="str">
        <f ca="1">OFFSET(Industries!E$1,MATCH(Table1[[#This Row],[Ticker]],Industries!$A$2:$A$150,0),0)</f>
        <v>Biotechnology</v>
      </c>
      <c r="E1445" t="s">
        <v>49</v>
      </c>
      <c r="F1445" t="str">
        <f ca="1">OFFSET(Industries!B$1,MATCH(Table1[[#This Row],[Ticker]],Industries!$A$2:$A$140,0),0)</f>
        <v>Mega-Cap</v>
      </c>
      <c r="G1445" t="str">
        <f ca="1">OFFSET(Industries!F$1,MATCH(Table1[[#This Row],[Ticker]],Industries!$A$2:$A$140,0),0)</f>
        <v>BBB+</v>
      </c>
      <c r="H1445" t="s">
        <v>1434</v>
      </c>
      <c r="I1445" t="s">
        <v>1434</v>
      </c>
      <c r="J1445" s="2">
        <v>45399</v>
      </c>
      <c r="K1445" t="s">
        <v>21</v>
      </c>
      <c r="L1445" t="s">
        <v>3</v>
      </c>
      <c r="M1445" t="s">
        <v>1711</v>
      </c>
      <c r="N1445" s="1">
        <f>Table1[[#This Row],[Consideration Weight]]</f>
        <v>0.17</v>
      </c>
      <c r="O1445" t="s">
        <v>3</v>
      </c>
      <c r="P1445" s="1">
        <v>0.17</v>
      </c>
    </row>
    <row r="1446" spans="1:22" x14ac:dyDescent="0.3">
      <c r="A1446" t="s">
        <v>866</v>
      </c>
      <c r="B1446" t="str">
        <f ca="1">OFFSET(Industries!C$1,MATCH(Table1[[#This Row],[Ticker]],Industries!$A$2:$A$150,0),0)</f>
        <v>Health Care</v>
      </c>
      <c r="C1446" t="str">
        <f ca="1">OFFSET(Industries!D$1,MATCH(Table1[[#This Row],[Ticker]],Industries!$A$2:$A$150,0),0)</f>
        <v>Pharmaceuticals, Biotechnology and Life Sciences</v>
      </c>
      <c r="D1446" t="str">
        <f ca="1">OFFSET(Industries!E$1,MATCH(Table1[[#This Row],[Ticker]],Industries!$A$2:$A$150,0),0)</f>
        <v>Biotechnology</v>
      </c>
      <c r="E1446" t="s">
        <v>49</v>
      </c>
      <c r="F1446" t="str">
        <f ca="1">OFFSET(Industries!B$1,MATCH(Table1[[#This Row],[Ticker]],Industries!$A$2:$A$140,0),0)</f>
        <v>Mega-Cap</v>
      </c>
      <c r="G1446" t="str">
        <f ca="1">OFFSET(Industries!F$1,MATCH(Table1[[#This Row],[Ticker]],Industries!$A$2:$A$140,0),0)</f>
        <v>BBB+</v>
      </c>
      <c r="H1446" t="s">
        <v>1434</v>
      </c>
      <c r="I1446" t="s">
        <v>1434</v>
      </c>
      <c r="J1446" s="2">
        <v>45399</v>
      </c>
      <c r="K1446" t="s">
        <v>21</v>
      </c>
      <c r="L1446" t="s">
        <v>1708</v>
      </c>
      <c r="M1446" t="s">
        <v>1709</v>
      </c>
      <c r="N1446" s="1">
        <f>Table1[[#This Row],[Consideration Weight]]</f>
        <v>0.16</v>
      </c>
      <c r="O1446" t="s">
        <v>4</v>
      </c>
      <c r="P1446" s="1">
        <v>0.16</v>
      </c>
      <c r="Q1446" s="1" t="s">
        <v>1636</v>
      </c>
      <c r="R1446" t="s">
        <v>23</v>
      </c>
      <c r="S1446" t="s">
        <v>1083</v>
      </c>
      <c r="T1446" t="s">
        <v>37</v>
      </c>
      <c r="U1446" s="1">
        <v>0.3</v>
      </c>
    </row>
    <row r="1447" spans="1:22" x14ac:dyDescent="0.3">
      <c r="A1447" t="s">
        <v>866</v>
      </c>
      <c r="B1447" t="str">
        <f ca="1">OFFSET(Industries!C$1,MATCH(Table1[[#This Row],[Ticker]],Industries!$A$2:$A$150,0),0)</f>
        <v>Health Care</v>
      </c>
      <c r="C1447" t="str">
        <f ca="1">OFFSET(Industries!D$1,MATCH(Table1[[#This Row],[Ticker]],Industries!$A$2:$A$150,0),0)</f>
        <v>Pharmaceuticals, Biotechnology and Life Sciences</v>
      </c>
      <c r="D1447" t="str">
        <f ca="1">OFFSET(Industries!E$1,MATCH(Table1[[#This Row],[Ticker]],Industries!$A$2:$A$150,0),0)</f>
        <v>Biotechnology</v>
      </c>
      <c r="E1447" t="s">
        <v>49</v>
      </c>
      <c r="F1447" t="str">
        <f ca="1">OFFSET(Industries!B$1,MATCH(Table1[[#This Row],[Ticker]],Industries!$A$2:$A$140,0),0)</f>
        <v>Mega-Cap</v>
      </c>
      <c r="G1447" t="str">
        <f ca="1">OFFSET(Industries!F$1,MATCH(Table1[[#This Row],[Ticker]],Industries!$A$2:$A$140,0),0)</f>
        <v>BBB+</v>
      </c>
      <c r="H1447" t="s">
        <v>1434</v>
      </c>
      <c r="I1447" t="s">
        <v>1434</v>
      </c>
      <c r="J1447" s="2">
        <v>45399</v>
      </c>
      <c r="K1447" t="s">
        <v>21</v>
      </c>
      <c r="L1447" t="s">
        <v>1708</v>
      </c>
      <c r="M1447" t="s">
        <v>1709</v>
      </c>
      <c r="N1447" s="1"/>
      <c r="O1447" t="s">
        <v>4</v>
      </c>
      <c r="P1447" s="1">
        <v>0.16</v>
      </c>
      <c r="Q1447" s="1" t="s">
        <v>1636</v>
      </c>
      <c r="R1447" t="s">
        <v>24</v>
      </c>
      <c r="S1447" t="s">
        <v>1098</v>
      </c>
      <c r="T1447" t="s">
        <v>107</v>
      </c>
      <c r="U1447" s="1">
        <v>0.3</v>
      </c>
    </row>
    <row r="1448" spans="1:22" x14ac:dyDescent="0.3">
      <c r="A1448" t="s">
        <v>866</v>
      </c>
      <c r="B1448" t="str">
        <f ca="1">OFFSET(Industries!C$1,MATCH(Table1[[#This Row],[Ticker]],Industries!$A$2:$A$150,0),0)</f>
        <v>Health Care</v>
      </c>
      <c r="C1448" t="str">
        <f ca="1">OFFSET(Industries!D$1,MATCH(Table1[[#This Row],[Ticker]],Industries!$A$2:$A$150,0),0)</f>
        <v>Pharmaceuticals, Biotechnology and Life Sciences</v>
      </c>
      <c r="D1448" t="str">
        <f ca="1">OFFSET(Industries!E$1,MATCH(Table1[[#This Row],[Ticker]],Industries!$A$2:$A$150,0),0)</f>
        <v>Biotechnology</v>
      </c>
      <c r="E1448" t="s">
        <v>49</v>
      </c>
      <c r="F1448" t="str">
        <f ca="1">OFFSET(Industries!B$1,MATCH(Table1[[#This Row],[Ticker]],Industries!$A$2:$A$140,0),0)</f>
        <v>Mega-Cap</v>
      </c>
      <c r="G1448" t="str">
        <f ca="1">OFFSET(Industries!F$1,MATCH(Table1[[#This Row],[Ticker]],Industries!$A$2:$A$140,0),0)</f>
        <v>BBB+</v>
      </c>
      <c r="H1448" t="s">
        <v>1434</v>
      </c>
      <c r="I1448" t="s">
        <v>1434</v>
      </c>
      <c r="J1448" s="2">
        <v>45399</v>
      </c>
      <c r="K1448" t="s">
        <v>21</v>
      </c>
      <c r="L1448" t="s">
        <v>1708</v>
      </c>
      <c r="M1448" t="s">
        <v>1709</v>
      </c>
      <c r="N1448" s="1"/>
      <c r="O1448" t="s">
        <v>4</v>
      </c>
      <c r="P1448" s="1">
        <v>0.16</v>
      </c>
      <c r="Q1448" s="1" t="s">
        <v>1637</v>
      </c>
      <c r="R1448" t="s">
        <v>25</v>
      </c>
      <c r="S1448" t="s">
        <v>344</v>
      </c>
      <c r="T1448" t="s">
        <v>867</v>
      </c>
      <c r="U1448" s="1">
        <v>0.2</v>
      </c>
    </row>
    <row r="1449" spans="1:22" x14ac:dyDescent="0.3">
      <c r="A1449" t="s">
        <v>866</v>
      </c>
      <c r="B1449" t="str">
        <f ca="1">OFFSET(Industries!C$1,MATCH(Table1[[#This Row],[Ticker]],Industries!$A$2:$A$150,0),0)</f>
        <v>Health Care</v>
      </c>
      <c r="C1449" t="str">
        <f ca="1">OFFSET(Industries!D$1,MATCH(Table1[[#This Row],[Ticker]],Industries!$A$2:$A$150,0),0)</f>
        <v>Pharmaceuticals, Biotechnology and Life Sciences</v>
      </c>
      <c r="D1449" t="str">
        <f ca="1">OFFSET(Industries!E$1,MATCH(Table1[[#This Row],[Ticker]],Industries!$A$2:$A$150,0),0)</f>
        <v>Biotechnology</v>
      </c>
      <c r="E1449" t="s">
        <v>49</v>
      </c>
      <c r="F1449" t="str">
        <f ca="1">OFFSET(Industries!B$1,MATCH(Table1[[#This Row],[Ticker]],Industries!$A$2:$A$140,0),0)</f>
        <v>Mega-Cap</v>
      </c>
      <c r="G1449" t="str">
        <f ca="1">OFFSET(Industries!F$1,MATCH(Table1[[#This Row],[Ticker]],Industries!$A$2:$A$140,0),0)</f>
        <v>BBB+</v>
      </c>
      <c r="H1449" t="s">
        <v>1434</v>
      </c>
      <c r="I1449" t="s">
        <v>1434</v>
      </c>
      <c r="J1449" s="2">
        <v>45399</v>
      </c>
      <c r="K1449" t="s">
        <v>21</v>
      </c>
      <c r="L1449" t="s">
        <v>1708</v>
      </c>
      <c r="M1449" t="s">
        <v>1709</v>
      </c>
      <c r="N1449" s="1"/>
      <c r="O1449" t="s">
        <v>4</v>
      </c>
      <c r="P1449" s="1">
        <v>0.16</v>
      </c>
      <c r="Q1449" s="1" t="s">
        <v>1637</v>
      </c>
      <c r="R1449" t="s">
        <v>25</v>
      </c>
      <c r="S1449" t="s">
        <v>344</v>
      </c>
      <c r="T1449" t="s">
        <v>868</v>
      </c>
      <c r="U1449" s="1">
        <v>0.1</v>
      </c>
    </row>
    <row r="1450" spans="1:22" x14ac:dyDescent="0.3">
      <c r="A1450" t="s">
        <v>866</v>
      </c>
      <c r="B1450" t="str">
        <f ca="1">OFFSET(Industries!C$1,MATCH(Table1[[#This Row],[Ticker]],Industries!$A$2:$A$150,0),0)</f>
        <v>Health Care</v>
      </c>
      <c r="C1450" t="str">
        <f ca="1">OFFSET(Industries!D$1,MATCH(Table1[[#This Row],[Ticker]],Industries!$A$2:$A$150,0),0)</f>
        <v>Pharmaceuticals, Biotechnology and Life Sciences</v>
      </c>
      <c r="D1450" t="str">
        <f ca="1">OFFSET(Industries!E$1,MATCH(Table1[[#This Row],[Ticker]],Industries!$A$2:$A$150,0),0)</f>
        <v>Biotechnology</v>
      </c>
      <c r="E1450" t="s">
        <v>49</v>
      </c>
      <c r="F1450" t="str">
        <f ca="1">OFFSET(Industries!B$1,MATCH(Table1[[#This Row],[Ticker]],Industries!$A$2:$A$140,0),0)</f>
        <v>Mega-Cap</v>
      </c>
      <c r="G1450" t="str">
        <f ca="1">OFFSET(Industries!F$1,MATCH(Table1[[#This Row],[Ticker]],Industries!$A$2:$A$140,0),0)</f>
        <v>BBB+</v>
      </c>
      <c r="H1450" t="s">
        <v>1434</v>
      </c>
      <c r="I1450" t="s">
        <v>1434</v>
      </c>
      <c r="J1450" s="2">
        <v>45399</v>
      </c>
      <c r="K1450" t="s">
        <v>21</v>
      </c>
      <c r="L1450" t="s">
        <v>1708</v>
      </c>
      <c r="M1450" t="s">
        <v>1709</v>
      </c>
      <c r="N1450" s="1"/>
      <c r="O1450" t="s">
        <v>4</v>
      </c>
      <c r="P1450" s="1">
        <v>0.16</v>
      </c>
      <c r="Q1450" s="1" t="s">
        <v>1637</v>
      </c>
      <c r="R1450" t="s">
        <v>26</v>
      </c>
      <c r="S1450" t="s">
        <v>26</v>
      </c>
      <c r="T1450" t="s">
        <v>26</v>
      </c>
      <c r="U1450" s="1">
        <v>0.05</v>
      </c>
    </row>
    <row r="1451" spans="1:22" x14ac:dyDescent="0.3">
      <c r="A1451" t="s">
        <v>866</v>
      </c>
      <c r="B1451" t="str">
        <f ca="1">OFFSET(Industries!C$1,MATCH(Table1[[#This Row],[Ticker]],Industries!$A$2:$A$150,0),0)</f>
        <v>Health Care</v>
      </c>
      <c r="C1451" t="str">
        <f ca="1">OFFSET(Industries!D$1,MATCH(Table1[[#This Row],[Ticker]],Industries!$A$2:$A$150,0),0)</f>
        <v>Pharmaceuticals, Biotechnology and Life Sciences</v>
      </c>
      <c r="D1451" t="str">
        <f ca="1">OFFSET(Industries!E$1,MATCH(Table1[[#This Row],[Ticker]],Industries!$A$2:$A$150,0),0)</f>
        <v>Biotechnology</v>
      </c>
      <c r="E1451" t="s">
        <v>49</v>
      </c>
      <c r="F1451" t="str">
        <f ca="1">OFFSET(Industries!B$1,MATCH(Table1[[#This Row],[Ticker]],Industries!$A$2:$A$140,0),0)</f>
        <v>Mega-Cap</v>
      </c>
      <c r="G1451" t="str">
        <f ca="1">OFFSET(Industries!F$1,MATCH(Table1[[#This Row],[Ticker]],Industries!$A$2:$A$140,0),0)</f>
        <v>BBB+</v>
      </c>
      <c r="H1451" t="s">
        <v>1434</v>
      </c>
      <c r="I1451" t="s">
        <v>1434</v>
      </c>
      <c r="J1451" s="2">
        <v>45399</v>
      </c>
      <c r="K1451" t="s">
        <v>21</v>
      </c>
      <c r="L1451" t="s">
        <v>1708</v>
      </c>
      <c r="M1451" t="s">
        <v>1709</v>
      </c>
      <c r="N1451" s="1"/>
      <c r="O1451" t="s">
        <v>4</v>
      </c>
      <c r="P1451" s="1">
        <v>0.16</v>
      </c>
      <c r="Q1451" s="1" t="s">
        <v>1637</v>
      </c>
      <c r="R1451" t="s">
        <v>25</v>
      </c>
      <c r="S1451" t="s">
        <v>1086</v>
      </c>
      <c r="T1451" t="s">
        <v>869</v>
      </c>
      <c r="U1451" s="1">
        <v>0.05</v>
      </c>
    </row>
    <row r="1452" spans="1:22" x14ac:dyDescent="0.3">
      <c r="A1452" t="s">
        <v>866</v>
      </c>
      <c r="B1452" t="str">
        <f ca="1">OFFSET(Industries!C$1,MATCH(Table1[[#This Row],[Ticker]],Industries!$A$2:$A$150,0),0)</f>
        <v>Health Care</v>
      </c>
      <c r="C1452" t="str">
        <f ca="1">OFFSET(Industries!D$1,MATCH(Table1[[#This Row],[Ticker]],Industries!$A$2:$A$150,0),0)</f>
        <v>Pharmaceuticals, Biotechnology and Life Sciences</v>
      </c>
      <c r="D1452" t="str">
        <f ca="1">OFFSET(Industries!E$1,MATCH(Table1[[#This Row],[Ticker]],Industries!$A$2:$A$150,0),0)</f>
        <v>Biotechnology</v>
      </c>
      <c r="E1452" t="s">
        <v>49</v>
      </c>
      <c r="F1452" t="str">
        <f ca="1">OFFSET(Industries!B$1,MATCH(Table1[[#This Row],[Ticker]],Industries!$A$2:$A$140,0),0)</f>
        <v>Mega-Cap</v>
      </c>
      <c r="G1452" t="str">
        <f ca="1">OFFSET(Industries!F$1,MATCH(Table1[[#This Row],[Ticker]],Industries!$A$2:$A$140,0),0)</f>
        <v>BBB+</v>
      </c>
      <c r="H1452" t="s">
        <v>1434</v>
      </c>
      <c r="I1452" t="s">
        <v>1434</v>
      </c>
      <c r="J1452" s="2">
        <v>45399</v>
      </c>
      <c r="K1452" t="s">
        <v>21</v>
      </c>
      <c r="L1452" t="s">
        <v>1710</v>
      </c>
      <c r="M1452" t="s">
        <v>1709</v>
      </c>
      <c r="N1452" s="1">
        <f>Table1[[#This Row],[Consideration Weight]]</f>
        <v>0.33500000000000002</v>
      </c>
      <c r="O1452" t="s">
        <v>476</v>
      </c>
      <c r="P1452" s="1">
        <f>0.67*0.5</f>
        <v>0.33500000000000002</v>
      </c>
      <c r="Q1452" s="1" t="s">
        <v>1636</v>
      </c>
      <c r="R1452" t="s">
        <v>24</v>
      </c>
      <c r="S1452" t="s">
        <v>1089</v>
      </c>
      <c r="T1452" t="s">
        <v>50</v>
      </c>
      <c r="U1452" s="1">
        <v>0.5</v>
      </c>
    </row>
    <row r="1453" spans="1:22" x14ac:dyDescent="0.3">
      <c r="A1453" t="s">
        <v>866</v>
      </c>
      <c r="B1453" t="str">
        <f ca="1">OFFSET(Industries!C$1,MATCH(Table1[[#This Row],[Ticker]],Industries!$A$2:$A$150,0),0)</f>
        <v>Health Care</v>
      </c>
      <c r="C1453" t="str">
        <f ca="1">OFFSET(Industries!D$1,MATCH(Table1[[#This Row],[Ticker]],Industries!$A$2:$A$150,0),0)</f>
        <v>Pharmaceuticals, Biotechnology and Life Sciences</v>
      </c>
      <c r="D1453" t="str">
        <f ca="1">OFFSET(Industries!E$1,MATCH(Table1[[#This Row],[Ticker]],Industries!$A$2:$A$150,0),0)</f>
        <v>Biotechnology</v>
      </c>
      <c r="E1453" t="s">
        <v>49</v>
      </c>
      <c r="F1453" t="str">
        <f ca="1">OFFSET(Industries!B$1,MATCH(Table1[[#This Row],[Ticker]],Industries!$A$2:$A$140,0),0)</f>
        <v>Mega-Cap</v>
      </c>
      <c r="G1453" t="str">
        <f ca="1">OFFSET(Industries!F$1,MATCH(Table1[[#This Row],[Ticker]],Industries!$A$2:$A$140,0),0)</f>
        <v>BBB+</v>
      </c>
      <c r="H1453" t="s">
        <v>1434</v>
      </c>
      <c r="I1453" t="s">
        <v>1434</v>
      </c>
      <c r="J1453" s="2">
        <v>45399</v>
      </c>
      <c r="K1453" t="s">
        <v>21</v>
      </c>
      <c r="L1453" t="s">
        <v>1710</v>
      </c>
      <c r="M1453" t="s">
        <v>1709</v>
      </c>
      <c r="N1453" s="1"/>
      <c r="O1453" t="s">
        <v>476</v>
      </c>
      <c r="P1453" s="1">
        <f t="shared" ref="P1453:P1455" si="29">0.67*0.5</f>
        <v>0.33500000000000002</v>
      </c>
      <c r="Q1453" s="1" t="s">
        <v>1636</v>
      </c>
      <c r="R1453" t="s">
        <v>1059</v>
      </c>
      <c r="S1453" t="s">
        <v>1101</v>
      </c>
      <c r="T1453" t="s">
        <v>515</v>
      </c>
      <c r="U1453" s="1">
        <v>0.5</v>
      </c>
    </row>
    <row r="1454" spans="1:22" x14ac:dyDescent="0.3">
      <c r="A1454" t="s">
        <v>866</v>
      </c>
      <c r="B1454" t="str">
        <f ca="1">OFFSET(Industries!C$1,MATCH(Table1[[#This Row],[Ticker]],Industries!$A$2:$A$150,0),0)</f>
        <v>Health Care</v>
      </c>
      <c r="C1454" t="str">
        <f ca="1">OFFSET(Industries!D$1,MATCH(Table1[[#This Row],[Ticker]],Industries!$A$2:$A$150,0),0)</f>
        <v>Pharmaceuticals, Biotechnology and Life Sciences</v>
      </c>
      <c r="D1454" t="str">
        <f ca="1">OFFSET(Industries!E$1,MATCH(Table1[[#This Row],[Ticker]],Industries!$A$2:$A$150,0),0)</f>
        <v>Biotechnology</v>
      </c>
      <c r="E1454" t="s">
        <v>49</v>
      </c>
      <c r="F1454" t="str">
        <f ca="1">OFFSET(Industries!B$1,MATCH(Table1[[#This Row],[Ticker]],Industries!$A$2:$A$140,0),0)</f>
        <v>Mega-Cap</v>
      </c>
      <c r="G1454" t="str">
        <f ca="1">OFFSET(Industries!F$1,MATCH(Table1[[#This Row],[Ticker]],Industries!$A$2:$A$140,0),0)</f>
        <v>BBB+</v>
      </c>
      <c r="H1454" t="s">
        <v>1434</v>
      </c>
      <c r="I1454" t="s">
        <v>1434</v>
      </c>
      <c r="J1454" s="2">
        <v>45399</v>
      </c>
      <c r="K1454" t="s">
        <v>21</v>
      </c>
      <c r="L1454" t="s">
        <v>1710</v>
      </c>
      <c r="M1454" t="s">
        <v>1709</v>
      </c>
      <c r="N1454" s="1"/>
      <c r="O1454" t="s">
        <v>476</v>
      </c>
      <c r="P1454" s="1">
        <f t="shared" si="29"/>
        <v>0.33500000000000002</v>
      </c>
      <c r="R1454" t="s">
        <v>28</v>
      </c>
      <c r="S1454" t="s">
        <v>1085</v>
      </c>
      <c r="T1454" t="s">
        <v>30</v>
      </c>
    </row>
    <row r="1455" spans="1:22" x14ac:dyDescent="0.3">
      <c r="A1455" t="s">
        <v>866</v>
      </c>
      <c r="B1455" t="str">
        <f ca="1">OFFSET(Industries!C$1,MATCH(Table1[[#This Row],[Ticker]],Industries!$A$2:$A$150,0),0)</f>
        <v>Health Care</v>
      </c>
      <c r="C1455" t="str">
        <f ca="1">OFFSET(Industries!D$1,MATCH(Table1[[#This Row],[Ticker]],Industries!$A$2:$A$150,0),0)</f>
        <v>Pharmaceuticals, Biotechnology and Life Sciences</v>
      </c>
      <c r="D1455" t="str">
        <f ca="1">OFFSET(Industries!E$1,MATCH(Table1[[#This Row],[Ticker]],Industries!$A$2:$A$150,0),0)</f>
        <v>Biotechnology</v>
      </c>
      <c r="E1455" t="s">
        <v>49</v>
      </c>
      <c r="F1455" t="str">
        <f ca="1">OFFSET(Industries!B$1,MATCH(Table1[[#This Row],[Ticker]],Industries!$A$2:$A$140,0),0)</f>
        <v>Mega-Cap</v>
      </c>
      <c r="G1455" t="str">
        <f ca="1">OFFSET(Industries!F$1,MATCH(Table1[[#This Row],[Ticker]],Industries!$A$2:$A$140,0),0)</f>
        <v>BBB+</v>
      </c>
      <c r="H1455" t="s">
        <v>1434</v>
      </c>
      <c r="I1455" t="s">
        <v>1434</v>
      </c>
      <c r="J1455" s="2">
        <v>45399</v>
      </c>
      <c r="K1455" t="s">
        <v>21</v>
      </c>
      <c r="L1455" t="s">
        <v>1710</v>
      </c>
      <c r="M1455" t="s">
        <v>1709</v>
      </c>
      <c r="N1455" s="1"/>
      <c r="O1455" t="s">
        <v>476</v>
      </c>
      <c r="P1455" s="1">
        <f t="shared" si="29"/>
        <v>0.33500000000000002</v>
      </c>
      <c r="R1455" t="s">
        <v>28</v>
      </c>
      <c r="S1455" t="s">
        <v>1095</v>
      </c>
      <c r="T1455" t="s">
        <v>55</v>
      </c>
    </row>
    <row r="1456" spans="1:22" x14ac:dyDescent="0.3">
      <c r="A1456" t="s">
        <v>866</v>
      </c>
      <c r="B1456" t="str">
        <f ca="1">OFFSET(Industries!C$1,MATCH(Table1[[#This Row],[Ticker]],Industries!$A$2:$A$150,0),0)</f>
        <v>Health Care</v>
      </c>
      <c r="C1456" t="str">
        <f ca="1">OFFSET(Industries!D$1,MATCH(Table1[[#This Row],[Ticker]],Industries!$A$2:$A$150,0),0)</f>
        <v>Pharmaceuticals, Biotechnology and Life Sciences</v>
      </c>
      <c r="D1456" t="str">
        <f ca="1">OFFSET(Industries!E$1,MATCH(Table1[[#This Row],[Ticker]],Industries!$A$2:$A$150,0),0)</f>
        <v>Biotechnology</v>
      </c>
      <c r="E1456" t="s">
        <v>49</v>
      </c>
      <c r="F1456" t="str">
        <f ca="1">OFFSET(Industries!B$1,MATCH(Table1[[#This Row],[Ticker]],Industries!$A$2:$A$140,0),0)</f>
        <v>Mega-Cap</v>
      </c>
      <c r="G1456" t="str">
        <f ca="1">OFFSET(Industries!F$1,MATCH(Table1[[#This Row],[Ticker]],Industries!$A$2:$A$140,0),0)</f>
        <v>BBB+</v>
      </c>
      <c r="H1456" t="s">
        <v>1434</v>
      </c>
      <c r="I1456" t="s">
        <v>1434</v>
      </c>
      <c r="J1456" s="2">
        <v>45399</v>
      </c>
      <c r="K1456" t="s">
        <v>21</v>
      </c>
      <c r="L1456" t="s">
        <v>1710</v>
      </c>
      <c r="M1456" t="s">
        <v>1711</v>
      </c>
      <c r="N1456" s="1">
        <f>Table1[[#This Row],[Consideration Weight]]</f>
        <v>0.20100000000000001</v>
      </c>
      <c r="O1456" t="s">
        <v>87</v>
      </c>
      <c r="P1456" s="1">
        <f>0.67*0.3</f>
        <v>0.20100000000000001</v>
      </c>
    </row>
    <row r="1457" spans="1:22" x14ac:dyDescent="0.3">
      <c r="A1457" t="s">
        <v>866</v>
      </c>
      <c r="B1457" t="str">
        <f ca="1">OFFSET(Industries!C$1,MATCH(Table1[[#This Row],[Ticker]],Industries!$A$2:$A$150,0),0)</f>
        <v>Health Care</v>
      </c>
      <c r="C1457" t="str">
        <f ca="1">OFFSET(Industries!D$1,MATCH(Table1[[#This Row],[Ticker]],Industries!$A$2:$A$150,0),0)</f>
        <v>Pharmaceuticals, Biotechnology and Life Sciences</v>
      </c>
      <c r="D1457" t="str">
        <f ca="1">OFFSET(Industries!E$1,MATCH(Table1[[#This Row],[Ticker]],Industries!$A$2:$A$150,0),0)</f>
        <v>Biotechnology</v>
      </c>
      <c r="E1457" t="s">
        <v>49</v>
      </c>
      <c r="F1457" t="str">
        <f ca="1">OFFSET(Industries!B$1,MATCH(Table1[[#This Row],[Ticker]],Industries!$A$2:$A$140,0),0)</f>
        <v>Mega-Cap</v>
      </c>
      <c r="G1457" t="str">
        <f ca="1">OFFSET(Industries!F$1,MATCH(Table1[[#This Row],[Ticker]],Industries!$A$2:$A$140,0),0)</f>
        <v>BBB+</v>
      </c>
      <c r="H1457" t="s">
        <v>1434</v>
      </c>
      <c r="I1457" t="s">
        <v>1434</v>
      </c>
      <c r="J1457" s="2">
        <v>45399</v>
      </c>
      <c r="K1457" t="s">
        <v>21</v>
      </c>
      <c r="L1457" t="s">
        <v>1710</v>
      </c>
      <c r="M1457" t="s">
        <v>1711</v>
      </c>
      <c r="N1457" s="1">
        <f>Table1[[#This Row],[Consideration Weight]]</f>
        <v>0.13400000000000001</v>
      </c>
      <c r="O1457" t="s">
        <v>194</v>
      </c>
      <c r="P1457" s="1">
        <f>0.67*0.2</f>
        <v>0.13400000000000001</v>
      </c>
    </row>
    <row r="1458" spans="1:22" x14ac:dyDescent="0.3">
      <c r="A1458" t="s">
        <v>876</v>
      </c>
      <c r="B1458" t="str">
        <f ca="1">OFFSET(Industries!C$1,MATCH(Table1[[#This Row],[Ticker]],Industries!$A$2:$A$150,0),0)</f>
        <v>Consumer Staples</v>
      </c>
      <c r="C1458" t="str">
        <f ca="1">OFFSET(Industries!D$1,MATCH(Table1[[#This Row],[Ticker]],Industries!$A$2:$A$150,0),0)</f>
        <v>Food, Beverage and Tobacco</v>
      </c>
      <c r="D1458" t="str">
        <f ca="1">OFFSET(Industries!E$1,MATCH(Table1[[#This Row],[Ticker]],Industries!$A$2:$A$150,0),0)</f>
        <v>Tobacco</v>
      </c>
      <c r="E1458" t="s">
        <v>59</v>
      </c>
      <c r="F1458" t="str">
        <f ca="1">OFFSET(Industries!B$1,MATCH(Table1[[#This Row],[Ticker]],Industries!$A$2:$A$140,0),0)</f>
        <v>Ultra-Cap</v>
      </c>
      <c r="G1458" t="str">
        <f ca="1">OFFSET(Industries!F$1,MATCH(Table1[[#This Row],[Ticker]],Industries!$A$2:$A$140,0),0)</f>
        <v>BBB</v>
      </c>
      <c r="H1458" t="s">
        <v>1434</v>
      </c>
      <c r="I1458" t="s">
        <v>1434</v>
      </c>
      <c r="J1458" s="2">
        <v>45386</v>
      </c>
      <c r="K1458" t="s">
        <v>2</v>
      </c>
      <c r="L1458" t="s">
        <v>3</v>
      </c>
      <c r="M1458" t="s">
        <v>1711</v>
      </c>
      <c r="N1458" s="1">
        <f>Table1[[#This Row],[Consideration Weight]]</f>
        <v>0.10315186246418338</v>
      </c>
      <c r="O1458" t="s">
        <v>3</v>
      </c>
      <c r="P1458" s="1">
        <v>0.10315186246418338</v>
      </c>
      <c r="V1458" t="s">
        <v>884</v>
      </c>
    </row>
    <row r="1459" spans="1:22" x14ac:dyDescent="0.3">
      <c r="A1459" t="s">
        <v>876</v>
      </c>
      <c r="B1459" t="str">
        <f ca="1">OFFSET(Industries!C$1,MATCH(Table1[[#This Row],[Ticker]],Industries!$A$2:$A$150,0),0)</f>
        <v>Consumer Staples</v>
      </c>
      <c r="C1459" t="str">
        <f ca="1">OFFSET(Industries!D$1,MATCH(Table1[[#This Row],[Ticker]],Industries!$A$2:$A$150,0),0)</f>
        <v>Food, Beverage and Tobacco</v>
      </c>
      <c r="D1459" t="str">
        <f ca="1">OFFSET(Industries!E$1,MATCH(Table1[[#This Row],[Ticker]],Industries!$A$2:$A$150,0),0)</f>
        <v>Tobacco</v>
      </c>
      <c r="E1459" t="s">
        <v>59</v>
      </c>
      <c r="F1459" t="str">
        <f ca="1">OFFSET(Industries!B$1,MATCH(Table1[[#This Row],[Ticker]],Industries!$A$2:$A$140,0),0)</f>
        <v>Ultra-Cap</v>
      </c>
      <c r="G1459" t="str">
        <f ca="1">OFFSET(Industries!F$1,MATCH(Table1[[#This Row],[Ticker]],Industries!$A$2:$A$140,0),0)</f>
        <v>BBB</v>
      </c>
      <c r="H1459" t="s">
        <v>1434</v>
      </c>
      <c r="I1459" t="s">
        <v>1434</v>
      </c>
      <c r="J1459" s="2">
        <v>45386</v>
      </c>
      <c r="K1459" t="s">
        <v>2</v>
      </c>
      <c r="L1459" t="s">
        <v>1708</v>
      </c>
      <c r="M1459" t="s">
        <v>1709</v>
      </c>
      <c r="N1459" s="1">
        <f>Table1[[#This Row],[Consideration Weight]]</f>
        <v>0.17020057306590258</v>
      </c>
      <c r="O1459" t="s">
        <v>4</v>
      </c>
      <c r="P1459" s="1">
        <v>0.17020057306590258</v>
      </c>
      <c r="Q1459" s="1" t="s">
        <v>1636</v>
      </c>
      <c r="R1459" t="s">
        <v>24</v>
      </c>
      <c r="S1459" t="s">
        <v>1089</v>
      </c>
      <c r="T1459" t="s">
        <v>50</v>
      </c>
      <c r="U1459" s="1">
        <v>0.3</v>
      </c>
      <c r="V1459" t="s">
        <v>885</v>
      </c>
    </row>
    <row r="1460" spans="1:22" x14ac:dyDescent="0.3">
      <c r="A1460" t="s">
        <v>876</v>
      </c>
      <c r="B1460" t="str">
        <f ca="1">OFFSET(Industries!C$1,MATCH(Table1[[#This Row],[Ticker]],Industries!$A$2:$A$150,0),0)</f>
        <v>Consumer Staples</v>
      </c>
      <c r="C1460" t="str">
        <f ca="1">OFFSET(Industries!D$1,MATCH(Table1[[#This Row],[Ticker]],Industries!$A$2:$A$150,0),0)</f>
        <v>Food, Beverage and Tobacco</v>
      </c>
      <c r="D1460" t="str">
        <f ca="1">OFFSET(Industries!E$1,MATCH(Table1[[#This Row],[Ticker]],Industries!$A$2:$A$150,0),0)</f>
        <v>Tobacco</v>
      </c>
      <c r="E1460" t="s">
        <v>59</v>
      </c>
      <c r="F1460" t="str">
        <f ca="1">OFFSET(Industries!B$1,MATCH(Table1[[#This Row],[Ticker]],Industries!$A$2:$A$140,0),0)</f>
        <v>Ultra-Cap</v>
      </c>
      <c r="G1460" t="str">
        <f ca="1">OFFSET(Industries!F$1,MATCH(Table1[[#This Row],[Ticker]],Industries!$A$2:$A$140,0),0)</f>
        <v>BBB</v>
      </c>
      <c r="H1460" t="s">
        <v>1434</v>
      </c>
      <c r="I1460" t="s">
        <v>1434</v>
      </c>
      <c r="J1460" s="2">
        <v>45386</v>
      </c>
      <c r="K1460" t="s">
        <v>2</v>
      </c>
      <c r="L1460" t="s">
        <v>1708</v>
      </c>
      <c r="M1460" t="s">
        <v>1709</v>
      </c>
      <c r="N1460" s="1"/>
      <c r="O1460" t="s">
        <v>4</v>
      </c>
      <c r="P1460" s="1">
        <v>0.17020057306590258</v>
      </c>
      <c r="Q1460" s="1" t="s">
        <v>1636</v>
      </c>
      <c r="R1460" t="s">
        <v>24</v>
      </c>
      <c r="S1460" t="s">
        <v>90</v>
      </c>
      <c r="T1460" t="s">
        <v>877</v>
      </c>
      <c r="U1460" s="1">
        <v>0.3</v>
      </c>
      <c r="V1460" t="s">
        <v>886</v>
      </c>
    </row>
    <row r="1461" spans="1:22" x14ac:dyDescent="0.3">
      <c r="A1461" t="s">
        <v>876</v>
      </c>
      <c r="B1461" t="str">
        <f ca="1">OFFSET(Industries!C$1,MATCH(Table1[[#This Row],[Ticker]],Industries!$A$2:$A$150,0),0)</f>
        <v>Consumer Staples</v>
      </c>
      <c r="C1461" t="str">
        <f ca="1">OFFSET(Industries!D$1,MATCH(Table1[[#This Row],[Ticker]],Industries!$A$2:$A$150,0),0)</f>
        <v>Food, Beverage and Tobacco</v>
      </c>
      <c r="D1461" t="str">
        <f ca="1">OFFSET(Industries!E$1,MATCH(Table1[[#This Row],[Ticker]],Industries!$A$2:$A$150,0),0)</f>
        <v>Tobacco</v>
      </c>
      <c r="E1461" t="s">
        <v>59</v>
      </c>
      <c r="F1461" t="str">
        <f ca="1">OFFSET(Industries!B$1,MATCH(Table1[[#This Row],[Ticker]],Industries!$A$2:$A$140,0),0)</f>
        <v>Ultra-Cap</v>
      </c>
      <c r="G1461" t="str">
        <f ca="1">OFFSET(Industries!F$1,MATCH(Table1[[#This Row],[Ticker]],Industries!$A$2:$A$140,0),0)</f>
        <v>BBB</v>
      </c>
      <c r="H1461" t="s">
        <v>1434</v>
      </c>
      <c r="I1461" t="s">
        <v>1434</v>
      </c>
      <c r="J1461" s="2">
        <v>45386</v>
      </c>
      <c r="K1461" t="s">
        <v>2</v>
      </c>
      <c r="L1461" t="s">
        <v>1708</v>
      </c>
      <c r="M1461" t="s">
        <v>1709</v>
      </c>
      <c r="N1461" s="1"/>
      <c r="O1461" t="s">
        <v>4</v>
      </c>
      <c r="P1461" s="1">
        <v>0.17020057306590258</v>
      </c>
      <c r="Q1461" s="1" t="s">
        <v>1636</v>
      </c>
      <c r="R1461" t="s">
        <v>62</v>
      </c>
      <c r="S1461" t="s">
        <v>129</v>
      </c>
      <c r="T1461" t="s">
        <v>878</v>
      </c>
      <c r="U1461" s="1">
        <v>0.25</v>
      </c>
      <c r="V1461" t="s">
        <v>887</v>
      </c>
    </row>
    <row r="1462" spans="1:22" x14ac:dyDescent="0.3">
      <c r="A1462" t="s">
        <v>876</v>
      </c>
      <c r="B1462" t="str">
        <f ca="1">OFFSET(Industries!C$1,MATCH(Table1[[#This Row],[Ticker]],Industries!$A$2:$A$150,0),0)</f>
        <v>Consumer Staples</v>
      </c>
      <c r="C1462" t="str">
        <f ca="1">OFFSET(Industries!D$1,MATCH(Table1[[#This Row],[Ticker]],Industries!$A$2:$A$150,0),0)</f>
        <v>Food, Beverage and Tobacco</v>
      </c>
      <c r="D1462" t="str">
        <f ca="1">OFFSET(Industries!E$1,MATCH(Table1[[#This Row],[Ticker]],Industries!$A$2:$A$150,0),0)</f>
        <v>Tobacco</v>
      </c>
      <c r="E1462" t="s">
        <v>59</v>
      </c>
      <c r="F1462" t="str">
        <f ca="1">OFFSET(Industries!B$1,MATCH(Table1[[#This Row],[Ticker]],Industries!$A$2:$A$140,0),0)</f>
        <v>Ultra-Cap</v>
      </c>
      <c r="G1462" t="str">
        <f ca="1">OFFSET(Industries!F$1,MATCH(Table1[[#This Row],[Ticker]],Industries!$A$2:$A$140,0),0)</f>
        <v>BBB</v>
      </c>
      <c r="H1462" t="s">
        <v>1434</v>
      </c>
      <c r="I1462" t="s">
        <v>1434</v>
      </c>
      <c r="J1462" s="2">
        <v>45386</v>
      </c>
      <c r="K1462" t="s">
        <v>2</v>
      </c>
      <c r="L1462" t="s">
        <v>1708</v>
      </c>
      <c r="M1462" t="s">
        <v>1709</v>
      </c>
      <c r="N1462" s="1"/>
      <c r="O1462" t="s">
        <v>4</v>
      </c>
      <c r="P1462" s="1">
        <v>0.17020057306590258</v>
      </c>
      <c r="Q1462" s="1" t="s">
        <v>1637</v>
      </c>
      <c r="R1462" t="s">
        <v>25</v>
      </c>
      <c r="S1462" t="s">
        <v>1086</v>
      </c>
      <c r="T1462" t="s">
        <v>64</v>
      </c>
      <c r="U1462" s="1">
        <v>0.15</v>
      </c>
      <c r="V1462" t="s">
        <v>888</v>
      </c>
    </row>
    <row r="1463" spans="1:22" x14ac:dyDescent="0.3">
      <c r="A1463" t="s">
        <v>876</v>
      </c>
      <c r="B1463" t="str">
        <f ca="1">OFFSET(Industries!C$1,MATCH(Table1[[#This Row],[Ticker]],Industries!$A$2:$A$150,0),0)</f>
        <v>Consumer Staples</v>
      </c>
      <c r="C1463" t="str">
        <f ca="1">OFFSET(Industries!D$1,MATCH(Table1[[#This Row],[Ticker]],Industries!$A$2:$A$150,0),0)</f>
        <v>Food, Beverage and Tobacco</v>
      </c>
      <c r="D1463" t="str">
        <f ca="1">OFFSET(Industries!E$1,MATCH(Table1[[#This Row],[Ticker]],Industries!$A$2:$A$150,0),0)</f>
        <v>Tobacco</v>
      </c>
      <c r="E1463" t="s">
        <v>59</v>
      </c>
      <c r="F1463" t="str">
        <f ca="1">OFFSET(Industries!B$1,MATCH(Table1[[#This Row],[Ticker]],Industries!$A$2:$A$140,0),0)</f>
        <v>Ultra-Cap</v>
      </c>
      <c r="G1463" t="str">
        <f ca="1">OFFSET(Industries!F$1,MATCH(Table1[[#This Row],[Ticker]],Industries!$A$2:$A$140,0),0)</f>
        <v>BBB</v>
      </c>
      <c r="H1463" t="s">
        <v>1434</v>
      </c>
      <c r="I1463" t="s">
        <v>1434</v>
      </c>
      <c r="J1463" s="2">
        <v>45386</v>
      </c>
      <c r="K1463" t="s">
        <v>2</v>
      </c>
      <c r="L1463" t="s">
        <v>1708</v>
      </c>
      <c r="M1463" t="s">
        <v>1709</v>
      </c>
      <c r="N1463" s="1"/>
      <c r="O1463" t="s">
        <v>4</v>
      </c>
      <c r="P1463" s="1">
        <v>0.17020057306590258</v>
      </c>
      <c r="R1463" t="s">
        <v>28</v>
      </c>
      <c r="S1463" t="s">
        <v>1093</v>
      </c>
      <c r="T1463" t="s">
        <v>40</v>
      </c>
      <c r="V1463" t="s">
        <v>880</v>
      </c>
    </row>
    <row r="1464" spans="1:22" x14ac:dyDescent="0.3">
      <c r="A1464" t="s">
        <v>876</v>
      </c>
      <c r="B1464" t="str">
        <f ca="1">OFFSET(Industries!C$1,MATCH(Table1[[#This Row],[Ticker]],Industries!$A$2:$A$150,0),0)</f>
        <v>Consumer Staples</v>
      </c>
      <c r="C1464" t="str">
        <f ca="1">OFFSET(Industries!D$1,MATCH(Table1[[#This Row],[Ticker]],Industries!$A$2:$A$150,0),0)</f>
        <v>Food, Beverage and Tobacco</v>
      </c>
      <c r="D1464" t="str">
        <f ca="1">OFFSET(Industries!E$1,MATCH(Table1[[#This Row],[Ticker]],Industries!$A$2:$A$150,0),0)</f>
        <v>Tobacco</v>
      </c>
      <c r="E1464" t="s">
        <v>59</v>
      </c>
      <c r="F1464" t="str">
        <f ca="1">OFFSET(Industries!B$1,MATCH(Table1[[#This Row],[Ticker]],Industries!$A$2:$A$140,0),0)</f>
        <v>Ultra-Cap</v>
      </c>
      <c r="G1464" t="str">
        <f ca="1">OFFSET(Industries!F$1,MATCH(Table1[[#This Row],[Ticker]],Industries!$A$2:$A$140,0),0)</f>
        <v>BBB</v>
      </c>
      <c r="H1464" t="s">
        <v>1434</v>
      </c>
      <c r="I1464" t="s">
        <v>1434</v>
      </c>
      <c r="J1464" s="2">
        <v>45386</v>
      </c>
      <c r="K1464" t="s">
        <v>2</v>
      </c>
      <c r="L1464" t="s">
        <v>1710</v>
      </c>
      <c r="M1464" t="s">
        <v>1709</v>
      </c>
      <c r="N1464" s="1">
        <f>Table1[[#This Row],[Consideration Weight]]</f>
        <v>0.2681948424068768</v>
      </c>
      <c r="O1464" t="s">
        <v>488</v>
      </c>
      <c r="P1464" s="1">
        <v>0.2681948424068768</v>
      </c>
      <c r="Q1464" s="1" t="s">
        <v>1637</v>
      </c>
      <c r="R1464" t="s">
        <v>25</v>
      </c>
      <c r="S1464" t="s">
        <v>1086</v>
      </c>
      <c r="T1464" t="s">
        <v>879</v>
      </c>
      <c r="U1464" s="1">
        <v>0.5</v>
      </c>
      <c r="V1464" t="s">
        <v>889</v>
      </c>
    </row>
    <row r="1465" spans="1:22" x14ac:dyDescent="0.3">
      <c r="A1465" t="s">
        <v>876</v>
      </c>
      <c r="B1465" t="str">
        <f ca="1">OFFSET(Industries!C$1,MATCH(Table1[[#This Row],[Ticker]],Industries!$A$2:$A$150,0),0)</f>
        <v>Consumer Staples</v>
      </c>
      <c r="C1465" t="str">
        <f ca="1">OFFSET(Industries!D$1,MATCH(Table1[[#This Row],[Ticker]],Industries!$A$2:$A$150,0),0)</f>
        <v>Food, Beverage and Tobacco</v>
      </c>
      <c r="D1465" t="str">
        <f ca="1">OFFSET(Industries!E$1,MATCH(Table1[[#This Row],[Ticker]],Industries!$A$2:$A$150,0),0)</f>
        <v>Tobacco</v>
      </c>
      <c r="E1465" t="s">
        <v>59</v>
      </c>
      <c r="F1465" t="str">
        <f ca="1">OFFSET(Industries!B$1,MATCH(Table1[[#This Row],[Ticker]],Industries!$A$2:$A$140,0),0)</f>
        <v>Ultra-Cap</v>
      </c>
      <c r="G1465" t="str">
        <f ca="1">OFFSET(Industries!F$1,MATCH(Table1[[#This Row],[Ticker]],Industries!$A$2:$A$140,0),0)</f>
        <v>BBB</v>
      </c>
      <c r="H1465" t="s">
        <v>1434</v>
      </c>
      <c r="I1465" t="s">
        <v>1434</v>
      </c>
      <c r="J1465" s="2">
        <v>45386</v>
      </c>
      <c r="K1465" t="s">
        <v>2</v>
      </c>
      <c r="L1465" t="s">
        <v>1710</v>
      </c>
      <c r="M1465" t="s">
        <v>1709</v>
      </c>
      <c r="N1465" s="1"/>
      <c r="O1465" t="s">
        <v>488</v>
      </c>
      <c r="P1465" s="1">
        <v>0.2681948424068768</v>
      </c>
      <c r="Q1465" s="1" t="s">
        <v>1636</v>
      </c>
      <c r="R1465" t="s">
        <v>24</v>
      </c>
      <c r="S1465" t="s">
        <v>1089</v>
      </c>
      <c r="T1465" t="s">
        <v>111</v>
      </c>
      <c r="U1465" s="1">
        <f>0.75*0.5</f>
        <v>0.375</v>
      </c>
      <c r="V1465" t="s">
        <v>890</v>
      </c>
    </row>
    <row r="1466" spans="1:22" x14ac:dyDescent="0.3">
      <c r="A1466" t="s">
        <v>876</v>
      </c>
      <c r="B1466" t="str">
        <f ca="1">OFFSET(Industries!C$1,MATCH(Table1[[#This Row],[Ticker]],Industries!$A$2:$A$150,0),0)</f>
        <v>Consumer Staples</v>
      </c>
      <c r="C1466" t="str">
        <f ca="1">OFFSET(Industries!D$1,MATCH(Table1[[#This Row],[Ticker]],Industries!$A$2:$A$150,0),0)</f>
        <v>Food, Beverage and Tobacco</v>
      </c>
      <c r="D1466" t="str">
        <f ca="1">OFFSET(Industries!E$1,MATCH(Table1[[#This Row],[Ticker]],Industries!$A$2:$A$150,0),0)</f>
        <v>Tobacco</v>
      </c>
      <c r="E1466" t="s">
        <v>59</v>
      </c>
      <c r="F1466" t="str">
        <f ca="1">OFFSET(Industries!B$1,MATCH(Table1[[#This Row],[Ticker]],Industries!$A$2:$A$140,0),0)</f>
        <v>Ultra-Cap</v>
      </c>
      <c r="G1466" t="str">
        <f ca="1">OFFSET(Industries!F$1,MATCH(Table1[[#This Row],[Ticker]],Industries!$A$2:$A$140,0),0)</f>
        <v>BBB</v>
      </c>
      <c r="H1466" t="s">
        <v>1434</v>
      </c>
      <c r="I1466" t="s">
        <v>1434</v>
      </c>
      <c r="J1466" s="2">
        <v>45386</v>
      </c>
      <c r="K1466" t="s">
        <v>2</v>
      </c>
      <c r="L1466" t="s">
        <v>1710</v>
      </c>
      <c r="M1466" t="s">
        <v>1709</v>
      </c>
      <c r="N1466" s="1"/>
      <c r="O1466" t="s">
        <v>488</v>
      </c>
      <c r="P1466" s="1">
        <v>0.2681948424068768</v>
      </c>
      <c r="Q1466" s="1" t="s">
        <v>1636</v>
      </c>
      <c r="R1466" t="s">
        <v>62</v>
      </c>
      <c r="S1466" t="s">
        <v>1108</v>
      </c>
      <c r="T1466" t="s">
        <v>882</v>
      </c>
      <c r="U1466" s="1">
        <f>0.25*0.5</f>
        <v>0.125</v>
      </c>
      <c r="V1466" t="s">
        <v>881</v>
      </c>
    </row>
    <row r="1467" spans="1:22" x14ac:dyDescent="0.3">
      <c r="A1467" t="s">
        <v>876</v>
      </c>
      <c r="B1467" t="str">
        <f ca="1">OFFSET(Industries!C$1,MATCH(Table1[[#This Row],[Ticker]],Industries!$A$2:$A$150,0),0)</f>
        <v>Consumer Staples</v>
      </c>
      <c r="C1467" t="str">
        <f ca="1">OFFSET(Industries!D$1,MATCH(Table1[[#This Row],[Ticker]],Industries!$A$2:$A$150,0),0)</f>
        <v>Food, Beverage and Tobacco</v>
      </c>
      <c r="D1467" t="str">
        <f ca="1">OFFSET(Industries!E$1,MATCH(Table1[[#This Row],[Ticker]],Industries!$A$2:$A$150,0),0)</f>
        <v>Tobacco</v>
      </c>
      <c r="E1467" t="s">
        <v>59</v>
      </c>
      <c r="F1467" t="str">
        <f ca="1">OFFSET(Industries!B$1,MATCH(Table1[[#This Row],[Ticker]],Industries!$A$2:$A$140,0),0)</f>
        <v>Ultra-Cap</v>
      </c>
      <c r="G1467" t="str">
        <f ca="1">OFFSET(Industries!F$1,MATCH(Table1[[#This Row],[Ticker]],Industries!$A$2:$A$140,0),0)</f>
        <v>BBB</v>
      </c>
      <c r="H1467" t="s">
        <v>1434</v>
      </c>
      <c r="I1467" t="s">
        <v>1434</v>
      </c>
      <c r="J1467" s="2">
        <v>45386</v>
      </c>
      <c r="K1467" t="s">
        <v>2</v>
      </c>
      <c r="L1467" t="s">
        <v>1710</v>
      </c>
      <c r="M1467" t="s">
        <v>1709</v>
      </c>
      <c r="N1467" s="1"/>
      <c r="O1467" t="s">
        <v>488</v>
      </c>
      <c r="P1467" s="1">
        <v>0.2681948424068768</v>
      </c>
      <c r="R1467" t="s">
        <v>28</v>
      </c>
      <c r="S1467" t="s">
        <v>1085</v>
      </c>
      <c r="T1467" t="s">
        <v>30</v>
      </c>
    </row>
    <row r="1468" spans="1:22" x14ac:dyDescent="0.3">
      <c r="A1468" t="s">
        <v>876</v>
      </c>
      <c r="B1468" t="str">
        <f ca="1">OFFSET(Industries!C$1,MATCH(Table1[[#This Row],[Ticker]],Industries!$A$2:$A$150,0),0)</f>
        <v>Consumer Staples</v>
      </c>
      <c r="C1468" t="str">
        <f ca="1">OFFSET(Industries!D$1,MATCH(Table1[[#This Row],[Ticker]],Industries!$A$2:$A$150,0),0)</f>
        <v>Food, Beverage and Tobacco</v>
      </c>
      <c r="D1468" t="str">
        <f ca="1">OFFSET(Industries!E$1,MATCH(Table1[[#This Row],[Ticker]],Industries!$A$2:$A$150,0),0)</f>
        <v>Tobacco</v>
      </c>
      <c r="E1468" t="s">
        <v>59</v>
      </c>
      <c r="F1468" t="str">
        <f ca="1">OFFSET(Industries!B$1,MATCH(Table1[[#This Row],[Ticker]],Industries!$A$2:$A$140,0),0)</f>
        <v>Ultra-Cap</v>
      </c>
      <c r="G1468" t="str">
        <f ca="1">OFFSET(Industries!F$1,MATCH(Table1[[#This Row],[Ticker]],Industries!$A$2:$A$140,0),0)</f>
        <v>BBB</v>
      </c>
      <c r="H1468" t="s">
        <v>1434</v>
      </c>
      <c r="I1468" t="s">
        <v>1434</v>
      </c>
      <c r="J1468" s="2">
        <v>45386</v>
      </c>
      <c r="K1468" t="s">
        <v>2</v>
      </c>
      <c r="L1468" t="s">
        <v>1710</v>
      </c>
      <c r="M1468" t="s">
        <v>1709</v>
      </c>
      <c r="N1468" s="1"/>
      <c r="O1468" t="s">
        <v>488</v>
      </c>
      <c r="P1468" s="1">
        <v>0.2681948424068768</v>
      </c>
      <c r="R1468" t="s">
        <v>28</v>
      </c>
      <c r="S1468" t="s">
        <v>1093</v>
      </c>
      <c r="T1468" t="s">
        <v>40</v>
      </c>
      <c r="V1468" t="s">
        <v>883</v>
      </c>
    </row>
    <row r="1469" spans="1:22" x14ac:dyDescent="0.3">
      <c r="A1469" t="s">
        <v>876</v>
      </c>
      <c r="B1469" t="str">
        <f ca="1">OFFSET(Industries!C$1,MATCH(Table1[[#This Row],[Ticker]],Industries!$A$2:$A$150,0),0)</f>
        <v>Consumer Staples</v>
      </c>
      <c r="C1469" t="str">
        <f ca="1">OFFSET(Industries!D$1,MATCH(Table1[[#This Row],[Ticker]],Industries!$A$2:$A$150,0),0)</f>
        <v>Food, Beverage and Tobacco</v>
      </c>
      <c r="D1469" t="str">
        <f ca="1">OFFSET(Industries!E$1,MATCH(Table1[[#This Row],[Ticker]],Industries!$A$2:$A$150,0),0)</f>
        <v>Tobacco</v>
      </c>
      <c r="E1469" t="s">
        <v>59</v>
      </c>
      <c r="F1469" t="str">
        <f ca="1">OFFSET(Industries!B$1,MATCH(Table1[[#This Row],[Ticker]],Industries!$A$2:$A$140,0),0)</f>
        <v>Ultra-Cap</v>
      </c>
      <c r="G1469" t="str">
        <f ca="1">OFFSET(Industries!F$1,MATCH(Table1[[#This Row],[Ticker]],Industries!$A$2:$A$140,0),0)</f>
        <v>BBB</v>
      </c>
      <c r="H1469" t="s">
        <v>1434</v>
      </c>
      <c r="I1469" t="s">
        <v>1434</v>
      </c>
      <c r="J1469" s="2">
        <v>45386</v>
      </c>
      <c r="K1469" t="s">
        <v>2</v>
      </c>
      <c r="L1469" t="s">
        <v>1710</v>
      </c>
      <c r="M1469" t="s">
        <v>1709</v>
      </c>
      <c r="N1469" s="1"/>
      <c r="O1469" t="s">
        <v>488</v>
      </c>
      <c r="P1469" s="1">
        <v>0.2681948424068768</v>
      </c>
      <c r="R1469" t="s">
        <v>28</v>
      </c>
      <c r="S1469" t="s">
        <v>1110</v>
      </c>
      <c r="T1469" t="s">
        <v>172</v>
      </c>
      <c r="V1469" t="s">
        <v>1726</v>
      </c>
    </row>
    <row r="1470" spans="1:22" x14ac:dyDescent="0.3">
      <c r="A1470" t="s">
        <v>876</v>
      </c>
      <c r="B1470" t="str">
        <f ca="1">OFFSET(Industries!C$1,MATCH(Table1[[#This Row],[Ticker]],Industries!$A$2:$A$150,0),0)</f>
        <v>Consumer Staples</v>
      </c>
      <c r="C1470" t="str">
        <f ca="1">OFFSET(Industries!D$1,MATCH(Table1[[#This Row],[Ticker]],Industries!$A$2:$A$150,0),0)</f>
        <v>Food, Beverage and Tobacco</v>
      </c>
      <c r="D1470" t="str">
        <f ca="1">OFFSET(Industries!E$1,MATCH(Table1[[#This Row],[Ticker]],Industries!$A$2:$A$150,0),0)</f>
        <v>Tobacco</v>
      </c>
      <c r="E1470" t="s">
        <v>59</v>
      </c>
      <c r="F1470" t="str">
        <f ca="1">OFFSET(Industries!B$1,MATCH(Table1[[#This Row],[Ticker]],Industries!$A$2:$A$140,0),0)</f>
        <v>Ultra-Cap</v>
      </c>
      <c r="G1470" t="str">
        <f ca="1">OFFSET(Industries!F$1,MATCH(Table1[[#This Row],[Ticker]],Industries!$A$2:$A$140,0),0)</f>
        <v>BBB</v>
      </c>
      <c r="H1470" t="s">
        <v>1434</v>
      </c>
      <c r="I1470" t="s">
        <v>1434</v>
      </c>
      <c r="J1470" s="2">
        <v>45386</v>
      </c>
      <c r="K1470" t="s">
        <v>2</v>
      </c>
      <c r="L1470" t="s">
        <v>1710</v>
      </c>
      <c r="M1470" t="s">
        <v>1709</v>
      </c>
      <c r="N1470" s="1">
        <f>Table1[[#This Row],[Consideration Weight]]</f>
        <v>0.22922636103151864</v>
      </c>
      <c r="O1470" t="s">
        <v>476</v>
      </c>
      <c r="P1470" s="1">
        <v>0.22922636103151864</v>
      </c>
    </row>
    <row r="1471" spans="1:22" x14ac:dyDescent="0.3">
      <c r="A1471" t="s">
        <v>876</v>
      </c>
      <c r="B1471" t="str">
        <f ca="1">OFFSET(Industries!C$1,MATCH(Table1[[#This Row],[Ticker]],Industries!$A$2:$A$150,0),0)</f>
        <v>Consumer Staples</v>
      </c>
      <c r="C1471" t="str">
        <f ca="1">OFFSET(Industries!D$1,MATCH(Table1[[#This Row],[Ticker]],Industries!$A$2:$A$150,0),0)</f>
        <v>Food, Beverage and Tobacco</v>
      </c>
      <c r="D1471" t="str">
        <f ca="1">OFFSET(Industries!E$1,MATCH(Table1[[#This Row],[Ticker]],Industries!$A$2:$A$150,0),0)</f>
        <v>Tobacco</v>
      </c>
      <c r="E1471" t="s">
        <v>59</v>
      </c>
      <c r="F1471" t="str">
        <f ca="1">OFFSET(Industries!B$1,MATCH(Table1[[#This Row],[Ticker]],Industries!$A$2:$A$140,0),0)</f>
        <v>Ultra-Cap</v>
      </c>
      <c r="G1471" t="str">
        <f ca="1">OFFSET(Industries!F$1,MATCH(Table1[[#This Row],[Ticker]],Industries!$A$2:$A$140,0),0)</f>
        <v>BBB</v>
      </c>
      <c r="H1471" t="s">
        <v>1434</v>
      </c>
      <c r="I1471" t="s">
        <v>1434</v>
      </c>
      <c r="J1471" s="2">
        <v>45386</v>
      </c>
      <c r="K1471" t="s">
        <v>2</v>
      </c>
      <c r="L1471" t="s">
        <v>1710</v>
      </c>
      <c r="M1471" t="s">
        <v>1711</v>
      </c>
      <c r="N1471" s="1">
        <f>Table1[[#This Row],[Consideration Weight]]</f>
        <v>0.22922636103151864</v>
      </c>
      <c r="O1471" t="s">
        <v>194</v>
      </c>
      <c r="P1471" s="1">
        <v>0.22922636103151864</v>
      </c>
    </row>
    <row r="1472" spans="1:22" x14ac:dyDescent="0.3">
      <c r="A1472" t="s">
        <v>876</v>
      </c>
      <c r="B1472" t="str">
        <f ca="1">OFFSET(Industries!C$1,MATCH(Table1[[#This Row],[Ticker]],Industries!$A$2:$A$150,0),0)</f>
        <v>Consumer Staples</v>
      </c>
      <c r="C1472" t="str">
        <f ca="1">OFFSET(Industries!D$1,MATCH(Table1[[#This Row],[Ticker]],Industries!$A$2:$A$150,0),0)</f>
        <v>Food, Beverage and Tobacco</v>
      </c>
      <c r="D1472" t="str">
        <f ca="1">OFFSET(Industries!E$1,MATCH(Table1[[#This Row],[Ticker]],Industries!$A$2:$A$150,0),0)</f>
        <v>Tobacco</v>
      </c>
      <c r="E1472" t="s">
        <v>59</v>
      </c>
      <c r="F1472" t="str">
        <f ca="1">OFFSET(Industries!B$1,MATCH(Table1[[#This Row],[Ticker]],Industries!$A$2:$A$140,0),0)</f>
        <v>Ultra-Cap</v>
      </c>
      <c r="G1472" t="str">
        <f ca="1">OFFSET(Industries!F$1,MATCH(Table1[[#This Row],[Ticker]],Industries!$A$2:$A$140,0),0)</f>
        <v>BBB</v>
      </c>
      <c r="H1472" t="s">
        <v>1434</v>
      </c>
      <c r="I1472" t="s">
        <v>1434</v>
      </c>
      <c r="J1472" s="2">
        <v>45386</v>
      </c>
      <c r="K1472" t="s">
        <v>21</v>
      </c>
      <c r="L1472" t="s">
        <v>3</v>
      </c>
      <c r="M1472" t="s">
        <v>1711</v>
      </c>
      <c r="N1472" s="1">
        <f>Table1[[#This Row],[Consideration Weight]]</f>
        <v>0.19</v>
      </c>
      <c r="O1472" t="s">
        <v>3</v>
      </c>
      <c r="P1472" s="1">
        <v>0.19</v>
      </c>
    </row>
    <row r="1473" spans="1:22" x14ac:dyDescent="0.3">
      <c r="A1473" t="s">
        <v>876</v>
      </c>
      <c r="B1473" t="str">
        <f ca="1">OFFSET(Industries!C$1,MATCH(Table1[[#This Row],[Ticker]],Industries!$A$2:$A$150,0),0)</f>
        <v>Consumer Staples</v>
      </c>
      <c r="C1473" t="str">
        <f ca="1">OFFSET(Industries!D$1,MATCH(Table1[[#This Row],[Ticker]],Industries!$A$2:$A$150,0),0)</f>
        <v>Food, Beverage and Tobacco</v>
      </c>
      <c r="D1473" t="str">
        <f ca="1">OFFSET(Industries!E$1,MATCH(Table1[[#This Row],[Ticker]],Industries!$A$2:$A$150,0),0)</f>
        <v>Tobacco</v>
      </c>
      <c r="E1473" t="s">
        <v>59</v>
      </c>
      <c r="F1473" t="str">
        <f ca="1">OFFSET(Industries!B$1,MATCH(Table1[[#This Row],[Ticker]],Industries!$A$2:$A$140,0),0)</f>
        <v>Ultra-Cap</v>
      </c>
      <c r="G1473" t="str">
        <f ca="1">OFFSET(Industries!F$1,MATCH(Table1[[#This Row],[Ticker]],Industries!$A$2:$A$140,0),0)</f>
        <v>BBB</v>
      </c>
      <c r="H1473" t="s">
        <v>1434</v>
      </c>
      <c r="I1473" t="s">
        <v>1434</v>
      </c>
      <c r="J1473" s="2">
        <v>45386</v>
      </c>
      <c r="K1473" t="s">
        <v>21</v>
      </c>
      <c r="L1473" t="s">
        <v>1708</v>
      </c>
      <c r="M1473" t="s">
        <v>1709</v>
      </c>
      <c r="N1473" s="1">
        <f>Table1[[#This Row],[Consideration Weight]]</f>
        <v>0.18</v>
      </c>
      <c r="O1473" t="s">
        <v>4</v>
      </c>
      <c r="P1473" s="1">
        <v>0.18</v>
      </c>
      <c r="Q1473" s="1" t="s">
        <v>1636</v>
      </c>
      <c r="R1473" t="s">
        <v>24</v>
      </c>
      <c r="S1473" t="s">
        <v>1089</v>
      </c>
      <c r="T1473" t="s">
        <v>50</v>
      </c>
      <c r="U1473" s="1">
        <v>0.3</v>
      </c>
    </row>
    <row r="1474" spans="1:22" x14ac:dyDescent="0.3">
      <c r="A1474" t="s">
        <v>876</v>
      </c>
      <c r="B1474" t="str">
        <f ca="1">OFFSET(Industries!C$1,MATCH(Table1[[#This Row],[Ticker]],Industries!$A$2:$A$150,0),0)</f>
        <v>Consumer Staples</v>
      </c>
      <c r="C1474" t="str">
        <f ca="1">OFFSET(Industries!D$1,MATCH(Table1[[#This Row],[Ticker]],Industries!$A$2:$A$150,0),0)</f>
        <v>Food, Beverage and Tobacco</v>
      </c>
      <c r="D1474" t="str">
        <f ca="1">OFFSET(Industries!E$1,MATCH(Table1[[#This Row],[Ticker]],Industries!$A$2:$A$150,0),0)</f>
        <v>Tobacco</v>
      </c>
      <c r="E1474" t="s">
        <v>59</v>
      </c>
      <c r="F1474" t="str">
        <f ca="1">OFFSET(Industries!B$1,MATCH(Table1[[#This Row],[Ticker]],Industries!$A$2:$A$140,0),0)</f>
        <v>Ultra-Cap</v>
      </c>
      <c r="G1474" t="str">
        <f ca="1">OFFSET(Industries!F$1,MATCH(Table1[[#This Row],[Ticker]],Industries!$A$2:$A$140,0),0)</f>
        <v>BBB</v>
      </c>
      <c r="H1474" t="s">
        <v>1434</v>
      </c>
      <c r="I1474" t="s">
        <v>1434</v>
      </c>
      <c r="J1474" s="2">
        <v>45386</v>
      </c>
      <c r="K1474" t="s">
        <v>21</v>
      </c>
      <c r="L1474" t="s">
        <v>1708</v>
      </c>
      <c r="M1474" t="s">
        <v>1709</v>
      </c>
      <c r="N1474" s="1"/>
      <c r="O1474" t="s">
        <v>4</v>
      </c>
      <c r="P1474" s="1">
        <v>0.18</v>
      </c>
      <c r="Q1474" s="1" t="s">
        <v>1636</v>
      </c>
      <c r="R1474" t="s">
        <v>24</v>
      </c>
      <c r="S1474" t="s">
        <v>90</v>
      </c>
      <c r="T1474" t="s">
        <v>877</v>
      </c>
      <c r="U1474" s="1">
        <v>0.3</v>
      </c>
    </row>
    <row r="1475" spans="1:22" x14ac:dyDescent="0.3">
      <c r="A1475" t="s">
        <v>876</v>
      </c>
      <c r="B1475" t="str">
        <f ca="1">OFFSET(Industries!C$1,MATCH(Table1[[#This Row],[Ticker]],Industries!$A$2:$A$150,0),0)</f>
        <v>Consumer Staples</v>
      </c>
      <c r="C1475" t="str">
        <f ca="1">OFFSET(Industries!D$1,MATCH(Table1[[#This Row],[Ticker]],Industries!$A$2:$A$150,0),0)</f>
        <v>Food, Beverage and Tobacco</v>
      </c>
      <c r="D1475" t="str">
        <f ca="1">OFFSET(Industries!E$1,MATCH(Table1[[#This Row],[Ticker]],Industries!$A$2:$A$150,0),0)</f>
        <v>Tobacco</v>
      </c>
      <c r="E1475" t="s">
        <v>59</v>
      </c>
      <c r="F1475" t="str">
        <f ca="1">OFFSET(Industries!B$1,MATCH(Table1[[#This Row],[Ticker]],Industries!$A$2:$A$140,0),0)</f>
        <v>Ultra-Cap</v>
      </c>
      <c r="G1475" t="str">
        <f ca="1">OFFSET(Industries!F$1,MATCH(Table1[[#This Row],[Ticker]],Industries!$A$2:$A$140,0),0)</f>
        <v>BBB</v>
      </c>
      <c r="H1475" t="s">
        <v>1434</v>
      </c>
      <c r="I1475" t="s">
        <v>1434</v>
      </c>
      <c r="J1475" s="2">
        <v>45386</v>
      </c>
      <c r="K1475" t="s">
        <v>21</v>
      </c>
      <c r="L1475" t="s">
        <v>1708</v>
      </c>
      <c r="M1475" t="s">
        <v>1709</v>
      </c>
      <c r="N1475" s="1"/>
      <c r="O1475" t="s">
        <v>4</v>
      </c>
      <c r="P1475" s="1">
        <v>0.18</v>
      </c>
      <c r="Q1475" s="1" t="s">
        <v>1636</v>
      </c>
      <c r="R1475" t="s">
        <v>62</v>
      </c>
      <c r="S1475" t="s">
        <v>129</v>
      </c>
      <c r="T1475" t="s">
        <v>878</v>
      </c>
      <c r="U1475" s="1">
        <v>0.25</v>
      </c>
    </row>
    <row r="1476" spans="1:22" x14ac:dyDescent="0.3">
      <c r="A1476" t="s">
        <v>876</v>
      </c>
      <c r="B1476" t="str">
        <f ca="1">OFFSET(Industries!C$1,MATCH(Table1[[#This Row],[Ticker]],Industries!$A$2:$A$150,0),0)</f>
        <v>Consumer Staples</v>
      </c>
      <c r="C1476" t="str">
        <f ca="1">OFFSET(Industries!D$1,MATCH(Table1[[#This Row],[Ticker]],Industries!$A$2:$A$150,0),0)</f>
        <v>Food, Beverage and Tobacco</v>
      </c>
      <c r="D1476" t="str">
        <f ca="1">OFFSET(Industries!E$1,MATCH(Table1[[#This Row],[Ticker]],Industries!$A$2:$A$150,0),0)</f>
        <v>Tobacco</v>
      </c>
      <c r="E1476" t="s">
        <v>59</v>
      </c>
      <c r="F1476" t="str">
        <f ca="1">OFFSET(Industries!B$1,MATCH(Table1[[#This Row],[Ticker]],Industries!$A$2:$A$140,0),0)</f>
        <v>Ultra-Cap</v>
      </c>
      <c r="G1476" t="str">
        <f ca="1">OFFSET(Industries!F$1,MATCH(Table1[[#This Row],[Ticker]],Industries!$A$2:$A$140,0),0)</f>
        <v>BBB</v>
      </c>
      <c r="H1476" t="s">
        <v>1434</v>
      </c>
      <c r="I1476" t="s">
        <v>1434</v>
      </c>
      <c r="J1476" s="2">
        <v>45386</v>
      </c>
      <c r="K1476" t="s">
        <v>21</v>
      </c>
      <c r="L1476" t="s">
        <v>1708</v>
      </c>
      <c r="M1476" t="s">
        <v>1709</v>
      </c>
      <c r="N1476" s="1"/>
      <c r="O1476" t="s">
        <v>4</v>
      </c>
      <c r="P1476" s="1">
        <v>0.18</v>
      </c>
      <c r="Q1476" s="1" t="s">
        <v>1637</v>
      </c>
      <c r="R1476" t="s">
        <v>25</v>
      </c>
      <c r="S1476" t="s">
        <v>1086</v>
      </c>
      <c r="T1476" t="s">
        <v>64</v>
      </c>
      <c r="U1476" s="1">
        <v>0.15</v>
      </c>
    </row>
    <row r="1477" spans="1:22" x14ac:dyDescent="0.3">
      <c r="A1477" t="s">
        <v>876</v>
      </c>
      <c r="B1477" t="str">
        <f ca="1">OFFSET(Industries!C$1,MATCH(Table1[[#This Row],[Ticker]],Industries!$A$2:$A$150,0),0)</f>
        <v>Consumer Staples</v>
      </c>
      <c r="C1477" t="str">
        <f ca="1">OFFSET(Industries!D$1,MATCH(Table1[[#This Row],[Ticker]],Industries!$A$2:$A$150,0),0)</f>
        <v>Food, Beverage and Tobacco</v>
      </c>
      <c r="D1477" t="str">
        <f ca="1">OFFSET(Industries!E$1,MATCH(Table1[[#This Row],[Ticker]],Industries!$A$2:$A$150,0),0)</f>
        <v>Tobacco</v>
      </c>
      <c r="E1477" t="s">
        <v>59</v>
      </c>
      <c r="F1477" t="str">
        <f ca="1">OFFSET(Industries!B$1,MATCH(Table1[[#This Row],[Ticker]],Industries!$A$2:$A$140,0),0)</f>
        <v>Ultra-Cap</v>
      </c>
      <c r="G1477" t="str">
        <f ca="1">OFFSET(Industries!F$1,MATCH(Table1[[#This Row],[Ticker]],Industries!$A$2:$A$140,0),0)</f>
        <v>BBB</v>
      </c>
      <c r="H1477" t="s">
        <v>1434</v>
      </c>
      <c r="I1477" t="s">
        <v>1434</v>
      </c>
      <c r="J1477" s="2">
        <v>45386</v>
      </c>
      <c r="K1477" t="s">
        <v>21</v>
      </c>
      <c r="L1477" t="s">
        <v>1708</v>
      </c>
      <c r="M1477" t="s">
        <v>1709</v>
      </c>
      <c r="N1477" s="1"/>
      <c r="O1477" t="s">
        <v>4</v>
      </c>
      <c r="P1477" s="1">
        <v>0.18</v>
      </c>
      <c r="R1477" t="s">
        <v>28</v>
      </c>
      <c r="S1477" t="s">
        <v>1093</v>
      </c>
      <c r="T1477" t="s">
        <v>40</v>
      </c>
    </row>
    <row r="1478" spans="1:22" x14ac:dyDescent="0.3">
      <c r="A1478" t="s">
        <v>876</v>
      </c>
      <c r="B1478" t="str">
        <f ca="1">OFFSET(Industries!C$1,MATCH(Table1[[#This Row],[Ticker]],Industries!$A$2:$A$150,0),0)</f>
        <v>Consumer Staples</v>
      </c>
      <c r="C1478" t="str">
        <f ca="1">OFFSET(Industries!D$1,MATCH(Table1[[#This Row],[Ticker]],Industries!$A$2:$A$150,0),0)</f>
        <v>Food, Beverage and Tobacco</v>
      </c>
      <c r="D1478" t="str">
        <f ca="1">OFFSET(Industries!E$1,MATCH(Table1[[#This Row],[Ticker]],Industries!$A$2:$A$150,0),0)</f>
        <v>Tobacco</v>
      </c>
      <c r="E1478" t="s">
        <v>59</v>
      </c>
      <c r="F1478" t="str">
        <f ca="1">OFFSET(Industries!B$1,MATCH(Table1[[#This Row],[Ticker]],Industries!$A$2:$A$140,0),0)</f>
        <v>Ultra-Cap</v>
      </c>
      <c r="G1478" t="str">
        <f ca="1">OFFSET(Industries!F$1,MATCH(Table1[[#This Row],[Ticker]],Industries!$A$2:$A$140,0),0)</f>
        <v>BBB</v>
      </c>
      <c r="H1478" t="s">
        <v>1434</v>
      </c>
      <c r="I1478" t="s">
        <v>1434</v>
      </c>
      <c r="J1478" s="2">
        <v>45386</v>
      </c>
      <c r="K1478" t="s">
        <v>21</v>
      </c>
      <c r="L1478" t="s">
        <v>1710</v>
      </c>
      <c r="M1478" t="s">
        <v>1709</v>
      </c>
      <c r="N1478" s="1">
        <f>Table1[[#This Row],[Consideration Weight]]</f>
        <v>0.25</v>
      </c>
      <c r="O1478" t="s">
        <v>488</v>
      </c>
      <c r="P1478" s="1">
        <v>0.25</v>
      </c>
      <c r="Q1478" s="1" t="s">
        <v>1637</v>
      </c>
      <c r="R1478" t="s">
        <v>25</v>
      </c>
      <c r="S1478" t="s">
        <v>1086</v>
      </c>
      <c r="T1478" t="s">
        <v>879</v>
      </c>
      <c r="U1478" s="1">
        <v>0.5</v>
      </c>
    </row>
    <row r="1479" spans="1:22" x14ac:dyDescent="0.3">
      <c r="A1479" t="s">
        <v>876</v>
      </c>
      <c r="B1479" t="str">
        <f ca="1">OFFSET(Industries!C$1,MATCH(Table1[[#This Row],[Ticker]],Industries!$A$2:$A$150,0),0)</f>
        <v>Consumer Staples</v>
      </c>
      <c r="C1479" t="str">
        <f ca="1">OFFSET(Industries!D$1,MATCH(Table1[[#This Row],[Ticker]],Industries!$A$2:$A$150,0),0)</f>
        <v>Food, Beverage and Tobacco</v>
      </c>
      <c r="D1479" t="str">
        <f ca="1">OFFSET(Industries!E$1,MATCH(Table1[[#This Row],[Ticker]],Industries!$A$2:$A$150,0),0)</f>
        <v>Tobacco</v>
      </c>
      <c r="E1479" t="s">
        <v>59</v>
      </c>
      <c r="F1479" t="str">
        <f ca="1">OFFSET(Industries!B$1,MATCH(Table1[[#This Row],[Ticker]],Industries!$A$2:$A$140,0),0)</f>
        <v>Ultra-Cap</v>
      </c>
      <c r="G1479" t="str">
        <f ca="1">OFFSET(Industries!F$1,MATCH(Table1[[#This Row],[Ticker]],Industries!$A$2:$A$140,0),0)</f>
        <v>BBB</v>
      </c>
      <c r="H1479" t="s">
        <v>1434</v>
      </c>
      <c r="I1479" t="s">
        <v>1434</v>
      </c>
      <c r="J1479" s="2">
        <v>45386</v>
      </c>
      <c r="K1479" t="s">
        <v>21</v>
      </c>
      <c r="L1479" t="s">
        <v>1710</v>
      </c>
      <c r="M1479" t="s">
        <v>1709</v>
      </c>
      <c r="N1479" s="1"/>
      <c r="O1479" t="s">
        <v>488</v>
      </c>
      <c r="P1479" s="1">
        <v>0.25</v>
      </c>
      <c r="Q1479" s="1" t="s">
        <v>1636</v>
      </c>
      <c r="R1479" t="s">
        <v>24</v>
      </c>
      <c r="S1479" t="s">
        <v>1089</v>
      </c>
      <c r="T1479" t="s">
        <v>111</v>
      </c>
      <c r="U1479" s="1">
        <f>0.75*0.5</f>
        <v>0.375</v>
      </c>
    </row>
    <row r="1480" spans="1:22" x14ac:dyDescent="0.3">
      <c r="A1480" t="s">
        <v>876</v>
      </c>
      <c r="B1480" t="str">
        <f ca="1">OFFSET(Industries!C$1,MATCH(Table1[[#This Row],[Ticker]],Industries!$A$2:$A$150,0),0)</f>
        <v>Consumer Staples</v>
      </c>
      <c r="C1480" t="str">
        <f ca="1">OFFSET(Industries!D$1,MATCH(Table1[[#This Row],[Ticker]],Industries!$A$2:$A$150,0),0)</f>
        <v>Food, Beverage and Tobacco</v>
      </c>
      <c r="D1480" t="str">
        <f ca="1">OFFSET(Industries!E$1,MATCH(Table1[[#This Row],[Ticker]],Industries!$A$2:$A$150,0),0)</f>
        <v>Tobacco</v>
      </c>
      <c r="E1480" t="s">
        <v>59</v>
      </c>
      <c r="F1480" t="str">
        <f ca="1">OFFSET(Industries!B$1,MATCH(Table1[[#This Row],[Ticker]],Industries!$A$2:$A$140,0),0)</f>
        <v>Ultra-Cap</v>
      </c>
      <c r="G1480" t="str">
        <f ca="1">OFFSET(Industries!F$1,MATCH(Table1[[#This Row],[Ticker]],Industries!$A$2:$A$140,0),0)</f>
        <v>BBB</v>
      </c>
      <c r="H1480" t="s">
        <v>1434</v>
      </c>
      <c r="I1480" t="s">
        <v>1434</v>
      </c>
      <c r="J1480" s="2">
        <v>45386</v>
      </c>
      <c r="K1480" t="s">
        <v>21</v>
      </c>
      <c r="L1480" t="s">
        <v>1710</v>
      </c>
      <c r="M1480" t="s">
        <v>1709</v>
      </c>
      <c r="N1480" s="1"/>
      <c r="O1480" t="s">
        <v>488</v>
      </c>
      <c r="P1480" s="1">
        <v>0.25</v>
      </c>
      <c r="Q1480" s="1" t="s">
        <v>1636</v>
      </c>
      <c r="R1480" t="s">
        <v>62</v>
      </c>
      <c r="S1480" t="s">
        <v>1108</v>
      </c>
      <c r="T1480" t="s">
        <v>882</v>
      </c>
      <c r="U1480" s="1">
        <f>0.25*0.5</f>
        <v>0.125</v>
      </c>
    </row>
    <row r="1481" spans="1:22" x14ac:dyDescent="0.3">
      <c r="A1481" t="s">
        <v>876</v>
      </c>
      <c r="B1481" t="str">
        <f ca="1">OFFSET(Industries!C$1,MATCH(Table1[[#This Row],[Ticker]],Industries!$A$2:$A$150,0),0)</f>
        <v>Consumer Staples</v>
      </c>
      <c r="C1481" t="str">
        <f ca="1">OFFSET(Industries!D$1,MATCH(Table1[[#This Row],[Ticker]],Industries!$A$2:$A$150,0),0)</f>
        <v>Food, Beverage and Tobacco</v>
      </c>
      <c r="D1481" t="str">
        <f ca="1">OFFSET(Industries!E$1,MATCH(Table1[[#This Row],[Ticker]],Industries!$A$2:$A$150,0),0)</f>
        <v>Tobacco</v>
      </c>
      <c r="E1481" t="s">
        <v>59</v>
      </c>
      <c r="F1481" t="str">
        <f ca="1">OFFSET(Industries!B$1,MATCH(Table1[[#This Row],[Ticker]],Industries!$A$2:$A$140,0),0)</f>
        <v>Ultra-Cap</v>
      </c>
      <c r="G1481" t="str">
        <f ca="1">OFFSET(Industries!F$1,MATCH(Table1[[#This Row],[Ticker]],Industries!$A$2:$A$140,0),0)</f>
        <v>BBB</v>
      </c>
      <c r="H1481" t="s">
        <v>1434</v>
      </c>
      <c r="I1481" t="s">
        <v>1434</v>
      </c>
      <c r="J1481" s="2">
        <v>45386</v>
      </c>
      <c r="K1481" t="s">
        <v>21</v>
      </c>
      <c r="L1481" t="s">
        <v>1710</v>
      </c>
      <c r="M1481" t="s">
        <v>1709</v>
      </c>
      <c r="N1481" s="1"/>
      <c r="O1481" t="s">
        <v>488</v>
      </c>
      <c r="P1481" s="1">
        <v>0.25</v>
      </c>
      <c r="R1481" t="s">
        <v>28</v>
      </c>
      <c r="S1481" t="s">
        <v>1085</v>
      </c>
      <c r="T1481" t="s">
        <v>30</v>
      </c>
    </row>
    <row r="1482" spans="1:22" x14ac:dyDescent="0.3">
      <c r="A1482" t="s">
        <v>876</v>
      </c>
      <c r="B1482" t="str">
        <f ca="1">OFFSET(Industries!C$1,MATCH(Table1[[#This Row],[Ticker]],Industries!$A$2:$A$150,0),0)</f>
        <v>Consumer Staples</v>
      </c>
      <c r="C1482" t="str">
        <f ca="1">OFFSET(Industries!D$1,MATCH(Table1[[#This Row],[Ticker]],Industries!$A$2:$A$150,0),0)</f>
        <v>Food, Beverage and Tobacco</v>
      </c>
      <c r="D1482" t="str">
        <f ca="1">OFFSET(Industries!E$1,MATCH(Table1[[#This Row],[Ticker]],Industries!$A$2:$A$150,0),0)</f>
        <v>Tobacco</v>
      </c>
      <c r="E1482" t="s">
        <v>59</v>
      </c>
      <c r="F1482" t="str">
        <f ca="1">OFFSET(Industries!B$1,MATCH(Table1[[#This Row],[Ticker]],Industries!$A$2:$A$140,0),0)</f>
        <v>Ultra-Cap</v>
      </c>
      <c r="G1482" t="str">
        <f ca="1">OFFSET(Industries!F$1,MATCH(Table1[[#This Row],[Ticker]],Industries!$A$2:$A$140,0),0)</f>
        <v>BBB</v>
      </c>
      <c r="H1482" t="s">
        <v>1434</v>
      </c>
      <c r="I1482" t="s">
        <v>1434</v>
      </c>
      <c r="J1482" s="2">
        <v>45386</v>
      </c>
      <c r="K1482" t="s">
        <v>21</v>
      </c>
      <c r="L1482" t="s">
        <v>1710</v>
      </c>
      <c r="M1482" t="s">
        <v>1709</v>
      </c>
      <c r="N1482" s="1"/>
      <c r="O1482" t="s">
        <v>488</v>
      </c>
      <c r="P1482" s="1">
        <v>0.25</v>
      </c>
      <c r="R1482" t="s">
        <v>28</v>
      </c>
      <c r="S1482" t="s">
        <v>1093</v>
      </c>
      <c r="T1482" t="s">
        <v>40</v>
      </c>
    </row>
    <row r="1483" spans="1:22" x14ac:dyDescent="0.3">
      <c r="A1483" t="s">
        <v>876</v>
      </c>
      <c r="B1483" t="str">
        <f ca="1">OFFSET(Industries!C$1,MATCH(Table1[[#This Row],[Ticker]],Industries!$A$2:$A$150,0),0)</f>
        <v>Consumer Staples</v>
      </c>
      <c r="C1483" t="str">
        <f ca="1">OFFSET(Industries!D$1,MATCH(Table1[[#This Row],[Ticker]],Industries!$A$2:$A$150,0),0)</f>
        <v>Food, Beverage and Tobacco</v>
      </c>
      <c r="D1483" t="str">
        <f ca="1">OFFSET(Industries!E$1,MATCH(Table1[[#This Row],[Ticker]],Industries!$A$2:$A$150,0),0)</f>
        <v>Tobacco</v>
      </c>
      <c r="E1483" t="s">
        <v>59</v>
      </c>
      <c r="F1483" t="str">
        <f ca="1">OFFSET(Industries!B$1,MATCH(Table1[[#This Row],[Ticker]],Industries!$A$2:$A$140,0),0)</f>
        <v>Ultra-Cap</v>
      </c>
      <c r="G1483" t="str">
        <f ca="1">OFFSET(Industries!F$1,MATCH(Table1[[#This Row],[Ticker]],Industries!$A$2:$A$140,0),0)</f>
        <v>BBB</v>
      </c>
      <c r="H1483" t="s">
        <v>1434</v>
      </c>
      <c r="I1483" t="s">
        <v>1434</v>
      </c>
      <c r="J1483" s="2">
        <v>45386</v>
      </c>
      <c r="K1483" t="s">
        <v>21</v>
      </c>
      <c r="L1483" t="s">
        <v>1710</v>
      </c>
      <c r="M1483" t="s">
        <v>1709</v>
      </c>
      <c r="N1483" s="1"/>
      <c r="O1483" t="s">
        <v>488</v>
      </c>
      <c r="P1483" s="1">
        <v>0.25</v>
      </c>
      <c r="R1483" t="s">
        <v>28</v>
      </c>
      <c r="S1483" t="s">
        <v>1110</v>
      </c>
      <c r="T1483" t="s">
        <v>172</v>
      </c>
    </row>
    <row r="1484" spans="1:22" x14ac:dyDescent="0.3">
      <c r="A1484" t="s">
        <v>876</v>
      </c>
      <c r="B1484" t="str">
        <f ca="1">OFFSET(Industries!C$1,MATCH(Table1[[#This Row],[Ticker]],Industries!$A$2:$A$150,0),0)</f>
        <v>Consumer Staples</v>
      </c>
      <c r="C1484" t="str">
        <f ca="1">OFFSET(Industries!D$1,MATCH(Table1[[#This Row],[Ticker]],Industries!$A$2:$A$150,0),0)</f>
        <v>Food, Beverage and Tobacco</v>
      </c>
      <c r="D1484" t="str">
        <f ca="1">OFFSET(Industries!E$1,MATCH(Table1[[#This Row],[Ticker]],Industries!$A$2:$A$150,0),0)</f>
        <v>Tobacco</v>
      </c>
      <c r="E1484" t="s">
        <v>59</v>
      </c>
      <c r="F1484" t="str">
        <f ca="1">OFFSET(Industries!B$1,MATCH(Table1[[#This Row],[Ticker]],Industries!$A$2:$A$140,0),0)</f>
        <v>Ultra-Cap</v>
      </c>
      <c r="G1484" t="str">
        <f ca="1">OFFSET(Industries!F$1,MATCH(Table1[[#This Row],[Ticker]],Industries!$A$2:$A$140,0),0)</f>
        <v>BBB</v>
      </c>
      <c r="H1484" t="s">
        <v>1434</v>
      </c>
      <c r="I1484" t="s">
        <v>1434</v>
      </c>
      <c r="J1484" s="2">
        <v>45386</v>
      </c>
      <c r="K1484" t="s">
        <v>21</v>
      </c>
      <c r="L1484" t="s">
        <v>1710</v>
      </c>
      <c r="M1484" t="s">
        <v>1711</v>
      </c>
      <c r="N1484" s="1">
        <f>Table1[[#This Row],[Consideration Weight]]</f>
        <v>0.23</v>
      </c>
      <c r="O1484" t="s">
        <v>194</v>
      </c>
      <c r="P1484" s="1">
        <v>0.23</v>
      </c>
      <c r="V1484" t="s">
        <v>1726</v>
      </c>
    </row>
    <row r="1485" spans="1:22" x14ac:dyDescent="0.3">
      <c r="A1485" t="s">
        <v>876</v>
      </c>
      <c r="B1485" t="str">
        <f ca="1">OFFSET(Industries!C$1,MATCH(Table1[[#This Row],[Ticker]],Industries!$A$2:$A$150,0),0)</f>
        <v>Consumer Staples</v>
      </c>
      <c r="C1485" t="str">
        <f ca="1">OFFSET(Industries!D$1,MATCH(Table1[[#This Row],[Ticker]],Industries!$A$2:$A$150,0),0)</f>
        <v>Food, Beverage and Tobacco</v>
      </c>
      <c r="D1485" t="str">
        <f ca="1">OFFSET(Industries!E$1,MATCH(Table1[[#This Row],[Ticker]],Industries!$A$2:$A$150,0),0)</f>
        <v>Tobacco</v>
      </c>
      <c r="E1485" t="s">
        <v>59</v>
      </c>
      <c r="F1485" t="str">
        <f ca="1">OFFSET(Industries!B$1,MATCH(Table1[[#This Row],[Ticker]],Industries!$A$2:$A$140,0),0)</f>
        <v>Ultra-Cap</v>
      </c>
      <c r="G1485" t="str">
        <f ca="1">OFFSET(Industries!F$1,MATCH(Table1[[#This Row],[Ticker]],Industries!$A$2:$A$140,0),0)</f>
        <v>BBB</v>
      </c>
      <c r="H1485" t="s">
        <v>1434</v>
      </c>
      <c r="I1485" t="s">
        <v>1434</v>
      </c>
      <c r="J1485" s="2">
        <v>45386</v>
      </c>
      <c r="K1485" t="s">
        <v>21</v>
      </c>
      <c r="L1485" t="s">
        <v>1710</v>
      </c>
      <c r="M1485" t="s">
        <v>1709</v>
      </c>
      <c r="N1485" s="1">
        <f>Table1[[#This Row],[Consideration Weight]]</f>
        <v>0.15</v>
      </c>
      <c r="O1485" t="s">
        <v>476</v>
      </c>
      <c r="P1485" s="1">
        <v>0.15</v>
      </c>
    </row>
    <row r="1486" spans="1:22" x14ac:dyDescent="0.3">
      <c r="A1486" t="s">
        <v>891</v>
      </c>
      <c r="B1486" t="str">
        <f ca="1">OFFSET(Industries!C$1,MATCH(Table1[[#This Row],[Ticker]],Industries!$A$2:$A$150,0),0)</f>
        <v>Consumer Staples</v>
      </c>
      <c r="C1486" t="str">
        <f ca="1">OFFSET(Industries!D$1,MATCH(Table1[[#This Row],[Ticker]],Industries!$A$2:$A$150,0),0)</f>
        <v>Consumer Staples Distribution and Retail</v>
      </c>
      <c r="D1486" t="str">
        <f ca="1">OFFSET(Industries!E$1,MATCH(Table1[[#This Row],[Ticker]],Industries!$A$2:$A$150,0),0)</f>
        <v>Consumer Staples Distribution and Retail</v>
      </c>
      <c r="E1486" t="s">
        <v>892</v>
      </c>
      <c r="F1486" t="str">
        <f ca="1">OFFSET(Industries!B$1,MATCH(Table1[[#This Row],[Ticker]],Industries!$A$2:$A$140,0),0)</f>
        <v>Ultra-Cap</v>
      </c>
      <c r="G1486" t="str">
        <f ca="1">OFFSET(Industries!F$1,MATCH(Table1[[#This Row],[Ticker]],Industries!$A$2:$A$140,0),0)</f>
        <v>A</v>
      </c>
      <c r="H1486" t="s">
        <v>1434</v>
      </c>
      <c r="I1486" t="s">
        <v>1434</v>
      </c>
      <c r="J1486" s="2">
        <v>45411</v>
      </c>
      <c r="K1486" t="s">
        <v>2</v>
      </c>
      <c r="L1486" t="s">
        <v>3</v>
      </c>
      <c r="M1486" t="s">
        <v>1711</v>
      </c>
      <c r="N1486" s="1">
        <f>Table1[[#This Row],[Consideration Weight]]</f>
        <v>0.08</v>
      </c>
      <c r="O1486" t="s">
        <v>3</v>
      </c>
      <c r="P1486" s="1">
        <v>0.08</v>
      </c>
    </row>
    <row r="1487" spans="1:22" x14ac:dyDescent="0.3">
      <c r="A1487" t="s">
        <v>891</v>
      </c>
      <c r="B1487" t="str">
        <f ca="1">OFFSET(Industries!C$1,MATCH(Table1[[#This Row],[Ticker]],Industries!$A$2:$A$150,0),0)</f>
        <v>Consumer Staples</v>
      </c>
      <c r="C1487" t="str">
        <f ca="1">OFFSET(Industries!D$1,MATCH(Table1[[#This Row],[Ticker]],Industries!$A$2:$A$150,0),0)</f>
        <v>Consumer Staples Distribution and Retail</v>
      </c>
      <c r="D1487" t="str">
        <f ca="1">OFFSET(Industries!E$1,MATCH(Table1[[#This Row],[Ticker]],Industries!$A$2:$A$150,0),0)</f>
        <v>Consumer Staples Distribution and Retail</v>
      </c>
      <c r="E1487" t="s">
        <v>892</v>
      </c>
      <c r="F1487" t="str">
        <f ca="1">OFFSET(Industries!B$1,MATCH(Table1[[#This Row],[Ticker]],Industries!$A$2:$A$140,0),0)</f>
        <v>Ultra-Cap</v>
      </c>
      <c r="G1487" t="str">
        <f ca="1">OFFSET(Industries!F$1,MATCH(Table1[[#This Row],[Ticker]],Industries!$A$2:$A$140,0),0)</f>
        <v>A</v>
      </c>
      <c r="H1487" t="s">
        <v>1434</v>
      </c>
      <c r="I1487" t="s">
        <v>1434</v>
      </c>
      <c r="J1487" s="2">
        <v>45411</v>
      </c>
      <c r="K1487" t="s">
        <v>2</v>
      </c>
      <c r="L1487" t="s">
        <v>1708</v>
      </c>
      <c r="M1487" t="s">
        <v>1709</v>
      </c>
      <c r="N1487" s="1">
        <f>Table1[[#This Row],[Consideration Weight]]</f>
        <v>0.15</v>
      </c>
      <c r="O1487" t="s">
        <v>4</v>
      </c>
      <c r="P1487" s="1">
        <v>0.15</v>
      </c>
      <c r="Q1487" s="1" t="s">
        <v>1636</v>
      </c>
      <c r="R1487" t="s">
        <v>23</v>
      </c>
      <c r="S1487" t="s">
        <v>1083</v>
      </c>
      <c r="T1487" t="s">
        <v>37</v>
      </c>
      <c r="U1487" s="1">
        <f>0.67*0.5</f>
        <v>0.33500000000000002</v>
      </c>
      <c r="V1487" t="s">
        <v>893</v>
      </c>
    </row>
    <row r="1488" spans="1:22" x14ac:dyDescent="0.3">
      <c r="A1488" t="s">
        <v>891</v>
      </c>
      <c r="B1488" t="str">
        <f ca="1">OFFSET(Industries!C$1,MATCH(Table1[[#This Row],[Ticker]],Industries!$A$2:$A$150,0),0)</f>
        <v>Consumer Staples</v>
      </c>
      <c r="C1488" t="str">
        <f ca="1">OFFSET(Industries!D$1,MATCH(Table1[[#This Row],[Ticker]],Industries!$A$2:$A$150,0),0)</f>
        <v>Consumer Staples Distribution and Retail</v>
      </c>
      <c r="D1488" t="str">
        <f ca="1">OFFSET(Industries!E$1,MATCH(Table1[[#This Row],[Ticker]],Industries!$A$2:$A$150,0),0)</f>
        <v>Consumer Staples Distribution and Retail</v>
      </c>
      <c r="E1488" t="s">
        <v>892</v>
      </c>
      <c r="F1488" t="str">
        <f ca="1">OFFSET(Industries!B$1,MATCH(Table1[[#This Row],[Ticker]],Industries!$A$2:$A$140,0),0)</f>
        <v>Ultra-Cap</v>
      </c>
      <c r="G1488" t="str">
        <f ca="1">OFFSET(Industries!F$1,MATCH(Table1[[#This Row],[Ticker]],Industries!$A$2:$A$140,0),0)</f>
        <v>A</v>
      </c>
      <c r="H1488" t="s">
        <v>1434</v>
      </c>
      <c r="I1488" t="s">
        <v>1434</v>
      </c>
      <c r="J1488" s="2">
        <v>45411</v>
      </c>
      <c r="K1488" t="s">
        <v>2</v>
      </c>
      <c r="L1488" t="s">
        <v>1708</v>
      </c>
      <c r="M1488" t="s">
        <v>1709</v>
      </c>
      <c r="N1488" s="1"/>
      <c r="O1488" t="s">
        <v>4</v>
      </c>
      <c r="P1488" s="1">
        <v>0.15</v>
      </c>
      <c r="Q1488" s="1" t="s">
        <v>1636</v>
      </c>
      <c r="R1488" t="s">
        <v>24</v>
      </c>
      <c r="S1488" t="s">
        <v>90</v>
      </c>
      <c r="T1488" t="s">
        <v>8</v>
      </c>
      <c r="U1488" s="1">
        <f>0.67*0.5</f>
        <v>0.33500000000000002</v>
      </c>
      <c r="V1488" t="s">
        <v>1678</v>
      </c>
    </row>
    <row r="1489" spans="1:22" x14ac:dyDescent="0.3">
      <c r="A1489" t="s">
        <v>891</v>
      </c>
      <c r="B1489" t="str">
        <f ca="1">OFFSET(Industries!C$1,MATCH(Table1[[#This Row],[Ticker]],Industries!$A$2:$A$150,0),0)</f>
        <v>Consumer Staples</v>
      </c>
      <c r="C1489" t="str">
        <f ca="1">OFFSET(Industries!D$1,MATCH(Table1[[#This Row],[Ticker]],Industries!$A$2:$A$150,0),0)</f>
        <v>Consumer Staples Distribution and Retail</v>
      </c>
      <c r="D1489" t="str">
        <f ca="1">OFFSET(Industries!E$1,MATCH(Table1[[#This Row],[Ticker]],Industries!$A$2:$A$150,0),0)</f>
        <v>Consumer Staples Distribution and Retail</v>
      </c>
      <c r="E1489" t="s">
        <v>892</v>
      </c>
      <c r="F1489" t="str">
        <f ca="1">OFFSET(Industries!B$1,MATCH(Table1[[#This Row],[Ticker]],Industries!$A$2:$A$140,0),0)</f>
        <v>Ultra-Cap</v>
      </c>
      <c r="G1489" t="str">
        <f ca="1">OFFSET(Industries!F$1,MATCH(Table1[[#This Row],[Ticker]],Industries!$A$2:$A$140,0),0)</f>
        <v>A</v>
      </c>
      <c r="H1489" t="s">
        <v>1434</v>
      </c>
      <c r="I1489" t="s">
        <v>1434</v>
      </c>
      <c r="J1489" s="2">
        <v>45411</v>
      </c>
      <c r="K1489" t="s">
        <v>2</v>
      </c>
      <c r="L1489" t="s">
        <v>1708</v>
      </c>
      <c r="M1489" t="s">
        <v>1709</v>
      </c>
      <c r="N1489" s="1"/>
      <c r="O1489" t="s">
        <v>4</v>
      </c>
      <c r="P1489" s="1">
        <v>0.15</v>
      </c>
      <c r="Q1489" s="1" t="s">
        <v>1637</v>
      </c>
      <c r="R1489" t="s">
        <v>25</v>
      </c>
      <c r="S1489" t="s">
        <v>1086</v>
      </c>
      <c r="T1489" t="s">
        <v>894</v>
      </c>
      <c r="U1489" s="1">
        <v>0.33</v>
      </c>
      <c r="V1489" t="s">
        <v>900</v>
      </c>
    </row>
    <row r="1490" spans="1:22" x14ac:dyDescent="0.3">
      <c r="A1490" t="s">
        <v>891</v>
      </c>
      <c r="B1490" t="str">
        <f ca="1">OFFSET(Industries!C$1,MATCH(Table1[[#This Row],[Ticker]],Industries!$A$2:$A$150,0),0)</f>
        <v>Consumer Staples</v>
      </c>
      <c r="C1490" t="str">
        <f ca="1">OFFSET(Industries!D$1,MATCH(Table1[[#This Row],[Ticker]],Industries!$A$2:$A$150,0),0)</f>
        <v>Consumer Staples Distribution and Retail</v>
      </c>
      <c r="D1490" t="str">
        <f ca="1">OFFSET(Industries!E$1,MATCH(Table1[[#This Row],[Ticker]],Industries!$A$2:$A$150,0),0)</f>
        <v>Consumer Staples Distribution and Retail</v>
      </c>
      <c r="E1490" t="s">
        <v>892</v>
      </c>
      <c r="F1490" t="str">
        <f ca="1">OFFSET(Industries!B$1,MATCH(Table1[[#This Row],[Ticker]],Industries!$A$2:$A$140,0),0)</f>
        <v>Ultra-Cap</v>
      </c>
      <c r="G1490" t="str">
        <f ca="1">OFFSET(Industries!F$1,MATCH(Table1[[#This Row],[Ticker]],Industries!$A$2:$A$140,0),0)</f>
        <v>A</v>
      </c>
      <c r="H1490" t="s">
        <v>1434</v>
      </c>
      <c r="I1490" t="s">
        <v>1434</v>
      </c>
      <c r="J1490" s="2">
        <v>45411</v>
      </c>
      <c r="K1490" t="s">
        <v>2</v>
      </c>
      <c r="L1490" t="s">
        <v>1710</v>
      </c>
      <c r="M1490" t="s">
        <v>1709</v>
      </c>
      <c r="N1490" s="1">
        <f>Table1[[#This Row],[Consideration Weight]]</f>
        <v>0.77</v>
      </c>
      <c r="O1490" t="s">
        <v>476</v>
      </c>
      <c r="P1490" s="1">
        <v>0.77</v>
      </c>
      <c r="Q1490" s="1" t="s">
        <v>1646</v>
      </c>
      <c r="R1490" t="s">
        <v>35</v>
      </c>
      <c r="S1490" t="s">
        <v>29</v>
      </c>
      <c r="T1490" t="s">
        <v>30</v>
      </c>
      <c r="U1490" s="1">
        <f>1-SUM(U1491:U1493)</f>
        <v>0.40259740259740262</v>
      </c>
      <c r="V1490" t="s">
        <v>895</v>
      </c>
    </row>
    <row r="1491" spans="1:22" x14ac:dyDescent="0.3">
      <c r="A1491" t="s">
        <v>891</v>
      </c>
      <c r="B1491" t="str">
        <f ca="1">OFFSET(Industries!C$1,MATCH(Table1[[#This Row],[Ticker]],Industries!$A$2:$A$150,0),0)</f>
        <v>Consumer Staples</v>
      </c>
      <c r="C1491" t="str">
        <f ca="1">OFFSET(Industries!D$1,MATCH(Table1[[#This Row],[Ticker]],Industries!$A$2:$A$150,0),0)</f>
        <v>Consumer Staples Distribution and Retail</v>
      </c>
      <c r="D1491" t="str">
        <f ca="1">OFFSET(Industries!E$1,MATCH(Table1[[#This Row],[Ticker]],Industries!$A$2:$A$150,0),0)</f>
        <v>Consumer Staples Distribution and Retail</v>
      </c>
      <c r="E1491" t="s">
        <v>892</v>
      </c>
      <c r="F1491" t="str">
        <f ca="1">OFFSET(Industries!B$1,MATCH(Table1[[#This Row],[Ticker]],Industries!$A$2:$A$140,0),0)</f>
        <v>Ultra-Cap</v>
      </c>
      <c r="G1491" t="str">
        <f ca="1">OFFSET(Industries!F$1,MATCH(Table1[[#This Row],[Ticker]],Industries!$A$2:$A$140,0),0)</f>
        <v>A</v>
      </c>
      <c r="H1491" t="s">
        <v>1434</v>
      </c>
      <c r="I1491" t="s">
        <v>1434</v>
      </c>
      <c r="J1491" s="2">
        <v>45411</v>
      </c>
      <c r="K1491" t="s">
        <v>2</v>
      </c>
      <c r="L1491" t="s">
        <v>1710</v>
      </c>
      <c r="M1491" t="s">
        <v>1709</v>
      </c>
      <c r="N1491" s="1"/>
      <c r="O1491" t="s">
        <v>476</v>
      </c>
      <c r="P1491" s="1">
        <v>0.77</v>
      </c>
      <c r="Q1491" s="1" t="s">
        <v>1636</v>
      </c>
      <c r="R1491" t="s">
        <v>23</v>
      </c>
      <c r="S1491" t="s">
        <v>1083</v>
      </c>
      <c r="T1491" t="s">
        <v>901</v>
      </c>
      <c r="U1491" s="1">
        <f>1/3*(0.46/0.77)</f>
        <v>0.19913419913419911</v>
      </c>
      <c r="V1491" t="s">
        <v>897</v>
      </c>
    </row>
    <row r="1492" spans="1:22" x14ac:dyDescent="0.3">
      <c r="A1492" t="s">
        <v>891</v>
      </c>
      <c r="B1492" t="str">
        <f ca="1">OFFSET(Industries!C$1,MATCH(Table1[[#This Row],[Ticker]],Industries!$A$2:$A$150,0),0)</f>
        <v>Consumer Staples</v>
      </c>
      <c r="C1492" t="str">
        <f ca="1">OFFSET(Industries!D$1,MATCH(Table1[[#This Row],[Ticker]],Industries!$A$2:$A$150,0),0)</f>
        <v>Consumer Staples Distribution and Retail</v>
      </c>
      <c r="D1492" t="str">
        <f ca="1">OFFSET(Industries!E$1,MATCH(Table1[[#This Row],[Ticker]],Industries!$A$2:$A$150,0),0)</f>
        <v>Consumer Staples Distribution and Retail</v>
      </c>
      <c r="E1492" t="s">
        <v>892</v>
      </c>
      <c r="F1492" t="str">
        <f ca="1">OFFSET(Industries!B$1,MATCH(Table1[[#This Row],[Ticker]],Industries!$A$2:$A$140,0),0)</f>
        <v>Ultra-Cap</v>
      </c>
      <c r="G1492" t="str">
        <f ca="1">OFFSET(Industries!F$1,MATCH(Table1[[#This Row],[Ticker]],Industries!$A$2:$A$140,0),0)</f>
        <v>A</v>
      </c>
      <c r="H1492" t="s">
        <v>1434</v>
      </c>
      <c r="I1492" t="s">
        <v>1434</v>
      </c>
      <c r="J1492" s="2">
        <v>45411</v>
      </c>
      <c r="K1492" t="s">
        <v>2</v>
      </c>
      <c r="L1492" t="s">
        <v>1710</v>
      </c>
      <c r="M1492" t="s">
        <v>1709</v>
      </c>
      <c r="N1492" s="1"/>
      <c r="O1492" t="s">
        <v>476</v>
      </c>
      <c r="P1492" s="1">
        <v>0.77</v>
      </c>
      <c r="Q1492" s="1" t="s">
        <v>1636</v>
      </c>
      <c r="R1492" t="s">
        <v>24</v>
      </c>
      <c r="S1492" t="s">
        <v>1165</v>
      </c>
      <c r="T1492" t="s">
        <v>896</v>
      </c>
      <c r="U1492" s="1">
        <f t="shared" ref="U1492:U1493" si="30">1/3*(0.46/0.77)</f>
        <v>0.19913419913419911</v>
      </c>
      <c r="V1492" t="s">
        <v>899</v>
      </c>
    </row>
    <row r="1493" spans="1:22" x14ac:dyDescent="0.3">
      <c r="A1493" t="s">
        <v>891</v>
      </c>
      <c r="B1493" t="str">
        <f ca="1">OFFSET(Industries!C$1,MATCH(Table1[[#This Row],[Ticker]],Industries!$A$2:$A$150,0),0)</f>
        <v>Consumer Staples</v>
      </c>
      <c r="C1493" t="str">
        <f ca="1">OFFSET(Industries!D$1,MATCH(Table1[[#This Row],[Ticker]],Industries!$A$2:$A$150,0),0)</f>
        <v>Consumer Staples Distribution and Retail</v>
      </c>
      <c r="D1493" t="str">
        <f ca="1">OFFSET(Industries!E$1,MATCH(Table1[[#This Row],[Ticker]],Industries!$A$2:$A$150,0),0)</f>
        <v>Consumer Staples Distribution and Retail</v>
      </c>
      <c r="E1493" t="s">
        <v>892</v>
      </c>
      <c r="F1493" t="str">
        <f ca="1">OFFSET(Industries!B$1,MATCH(Table1[[#This Row],[Ticker]],Industries!$A$2:$A$140,0),0)</f>
        <v>Ultra-Cap</v>
      </c>
      <c r="G1493" t="str">
        <f ca="1">OFFSET(Industries!F$1,MATCH(Table1[[#This Row],[Ticker]],Industries!$A$2:$A$140,0),0)</f>
        <v>A</v>
      </c>
      <c r="H1493" t="s">
        <v>1434</v>
      </c>
      <c r="I1493" t="s">
        <v>1434</v>
      </c>
      <c r="J1493" s="2">
        <v>45411</v>
      </c>
      <c r="K1493" t="s">
        <v>2</v>
      </c>
      <c r="L1493" t="s">
        <v>1710</v>
      </c>
      <c r="M1493" t="s">
        <v>1709</v>
      </c>
      <c r="N1493" s="1"/>
      <c r="O1493" t="s">
        <v>476</v>
      </c>
      <c r="P1493" s="1">
        <v>0.77</v>
      </c>
      <c r="Q1493" s="1" t="s">
        <v>1636</v>
      </c>
      <c r="R1493" t="s">
        <v>1059</v>
      </c>
      <c r="S1493" t="s">
        <v>1109</v>
      </c>
      <c r="T1493" t="s">
        <v>898</v>
      </c>
      <c r="U1493" s="1">
        <f t="shared" si="30"/>
        <v>0.19913419913419911</v>
      </c>
      <c r="V1493" s="1"/>
    </row>
    <row r="1494" spans="1:22" x14ac:dyDescent="0.3">
      <c r="A1494" t="s">
        <v>891</v>
      </c>
      <c r="B1494" t="str">
        <f ca="1">OFFSET(Industries!C$1,MATCH(Table1[[#This Row],[Ticker]],Industries!$A$2:$A$150,0),0)</f>
        <v>Consumer Staples</v>
      </c>
      <c r="C1494" t="str">
        <f ca="1">OFFSET(Industries!D$1,MATCH(Table1[[#This Row],[Ticker]],Industries!$A$2:$A$150,0),0)</f>
        <v>Consumer Staples Distribution and Retail</v>
      </c>
      <c r="D1494" t="str">
        <f ca="1">OFFSET(Industries!E$1,MATCH(Table1[[#This Row],[Ticker]],Industries!$A$2:$A$150,0),0)</f>
        <v>Consumer Staples Distribution and Retail</v>
      </c>
      <c r="E1494" t="s">
        <v>892</v>
      </c>
      <c r="F1494" t="str">
        <f ca="1">OFFSET(Industries!B$1,MATCH(Table1[[#This Row],[Ticker]],Industries!$A$2:$A$140,0),0)</f>
        <v>Ultra-Cap</v>
      </c>
      <c r="G1494" t="str">
        <f ca="1">OFFSET(Industries!F$1,MATCH(Table1[[#This Row],[Ticker]],Industries!$A$2:$A$140,0),0)</f>
        <v>A</v>
      </c>
      <c r="H1494" t="s">
        <v>1434</v>
      </c>
      <c r="I1494" t="s">
        <v>1434</v>
      </c>
      <c r="J1494" s="2">
        <v>45411</v>
      </c>
      <c r="K1494" t="s">
        <v>21</v>
      </c>
      <c r="L1494" t="s">
        <v>3</v>
      </c>
      <c r="M1494" t="s">
        <v>1711</v>
      </c>
      <c r="N1494" s="1">
        <f>Table1[[#This Row],[Consideration Weight]]</f>
        <v>0.16</v>
      </c>
      <c r="O1494" t="s">
        <v>3</v>
      </c>
      <c r="P1494" s="1">
        <v>0.16</v>
      </c>
    </row>
    <row r="1495" spans="1:22" x14ac:dyDescent="0.3">
      <c r="A1495" t="s">
        <v>891</v>
      </c>
      <c r="B1495" t="str">
        <f ca="1">OFFSET(Industries!C$1,MATCH(Table1[[#This Row],[Ticker]],Industries!$A$2:$A$150,0),0)</f>
        <v>Consumer Staples</v>
      </c>
      <c r="C1495" t="str">
        <f ca="1">OFFSET(Industries!D$1,MATCH(Table1[[#This Row],[Ticker]],Industries!$A$2:$A$150,0),0)</f>
        <v>Consumer Staples Distribution and Retail</v>
      </c>
      <c r="D1495" t="str">
        <f ca="1">OFFSET(Industries!E$1,MATCH(Table1[[#This Row],[Ticker]],Industries!$A$2:$A$150,0),0)</f>
        <v>Consumer Staples Distribution and Retail</v>
      </c>
      <c r="E1495" t="s">
        <v>892</v>
      </c>
      <c r="F1495" t="str">
        <f ca="1">OFFSET(Industries!B$1,MATCH(Table1[[#This Row],[Ticker]],Industries!$A$2:$A$140,0),0)</f>
        <v>Ultra-Cap</v>
      </c>
      <c r="G1495" t="str">
        <f ca="1">OFFSET(Industries!F$1,MATCH(Table1[[#This Row],[Ticker]],Industries!$A$2:$A$140,0),0)</f>
        <v>A</v>
      </c>
      <c r="H1495" t="s">
        <v>1434</v>
      </c>
      <c r="I1495" t="s">
        <v>1434</v>
      </c>
      <c r="J1495" s="2">
        <v>45411</v>
      </c>
      <c r="K1495" t="s">
        <v>21</v>
      </c>
      <c r="L1495" t="s">
        <v>1708</v>
      </c>
      <c r="M1495" t="s">
        <v>1709</v>
      </c>
      <c r="N1495" s="1">
        <f>Table1[[#This Row],[Consideration Weight]]</f>
        <v>0.16</v>
      </c>
      <c r="O1495" t="s">
        <v>4</v>
      </c>
      <c r="P1495" s="1">
        <v>0.16</v>
      </c>
      <c r="Q1495" s="1" t="s">
        <v>1636</v>
      </c>
      <c r="R1495" t="s">
        <v>23</v>
      </c>
      <c r="S1495" t="s">
        <v>1083</v>
      </c>
      <c r="T1495" t="s">
        <v>37</v>
      </c>
      <c r="U1495" s="1">
        <f>0.67*0.5</f>
        <v>0.33500000000000002</v>
      </c>
    </row>
    <row r="1496" spans="1:22" x14ac:dyDescent="0.3">
      <c r="A1496" t="s">
        <v>891</v>
      </c>
      <c r="B1496" t="str">
        <f ca="1">OFFSET(Industries!C$1,MATCH(Table1[[#This Row],[Ticker]],Industries!$A$2:$A$150,0),0)</f>
        <v>Consumer Staples</v>
      </c>
      <c r="C1496" t="str">
        <f ca="1">OFFSET(Industries!D$1,MATCH(Table1[[#This Row],[Ticker]],Industries!$A$2:$A$150,0),0)</f>
        <v>Consumer Staples Distribution and Retail</v>
      </c>
      <c r="D1496" t="str">
        <f ca="1">OFFSET(Industries!E$1,MATCH(Table1[[#This Row],[Ticker]],Industries!$A$2:$A$150,0),0)</f>
        <v>Consumer Staples Distribution and Retail</v>
      </c>
      <c r="E1496" t="s">
        <v>892</v>
      </c>
      <c r="F1496" t="str">
        <f ca="1">OFFSET(Industries!B$1,MATCH(Table1[[#This Row],[Ticker]],Industries!$A$2:$A$140,0),0)</f>
        <v>Ultra-Cap</v>
      </c>
      <c r="G1496" t="str">
        <f ca="1">OFFSET(Industries!F$1,MATCH(Table1[[#This Row],[Ticker]],Industries!$A$2:$A$140,0),0)</f>
        <v>A</v>
      </c>
      <c r="H1496" t="s">
        <v>1434</v>
      </c>
      <c r="I1496" t="s">
        <v>1434</v>
      </c>
      <c r="J1496" s="2">
        <v>45411</v>
      </c>
      <c r="K1496" t="s">
        <v>21</v>
      </c>
      <c r="L1496" t="s">
        <v>1708</v>
      </c>
      <c r="M1496" t="s">
        <v>1709</v>
      </c>
      <c r="N1496" s="1"/>
      <c r="O1496" t="s">
        <v>4</v>
      </c>
      <c r="P1496" s="1">
        <v>0.16</v>
      </c>
      <c r="Q1496" s="1" t="s">
        <v>1636</v>
      </c>
      <c r="R1496" t="s">
        <v>24</v>
      </c>
      <c r="S1496" t="s">
        <v>90</v>
      </c>
      <c r="T1496" t="s">
        <v>8</v>
      </c>
      <c r="U1496" s="1">
        <f>0.67*0.5</f>
        <v>0.33500000000000002</v>
      </c>
    </row>
    <row r="1497" spans="1:22" x14ac:dyDescent="0.3">
      <c r="A1497" t="s">
        <v>891</v>
      </c>
      <c r="B1497" t="str">
        <f ca="1">OFFSET(Industries!C$1,MATCH(Table1[[#This Row],[Ticker]],Industries!$A$2:$A$150,0),0)</f>
        <v>Consumer Staples</v>
      </c>
      <c r="C1497" t="str">
        <f ca="1">OFFSET(Industries!D$1,MATCH(Table1[[#This Row],[Ticker]],Industries!$A$2:$A$150,0),0)</f>
        <v>Consumer Staples Distribution and Retail</v>
      </c>
      <c r="D1497" t="str">
        <f ca="1">OFFSET(Industries!E$1,MATCH(Table1[[#This Row],[Ticker]],Industries!$A$2:$A$150,0),0)</f>
        <v>Consumer Staples Distribution and Retail</v>
      </c>
      <c r="E1497" t="s">
        <v>892</v>
      </c>
      <c r="F1497" t="str">
        <f ca="1">OFFSET(Industries!B$1,MATCH(Table1[[#This Row],[Ticker]],Industries!$A$2:$A$140,0),0)</f>
        <v>Ultra-Cap</v>
      </c>
      <c r="G1497" t="str">
        <f ca="1">OFFSET(Industries!F$1,MATCH(Table1[[#This Row],[Ticker]],Industries!$A$2:$A$140,0),0)</f>
        <v>A</v>
      </c>
      <c r="H1497" t="s">
        <v>1434</v>
      </c>
      <c r="I1497" t="s">
        <v>1434</v>
      </c>
      <c r="J1497" s="2">
        <v>45411</v>
      </c>
      <c r="K1497" t="s">
        <v>21</v>
      </c>
      <c r="L1497" t="s">
        <v>1708</v>
      </c>
      <c r="M1497" t="s">
        <v>1709</v>
      </c>
      <c r="N1497" s="1"/>
      <c r="O1497" t="s">
        <v>4</v>
      </c>
      <c r="P1497" s="1">
        <v>0.16</v>
      </c>
      <c r="Q1497" s="1" t="s">
        <v>1637</v>
      </c>
      <c r="R1497" t="s">
        <v>25</v>
      </c>
      <c r="S1497" t="s">
        <v>1086</v>
      </c>
      <c r="T1497" t="s">
        <v>894</v>
      </c>
      <c r="U1497" s="1">
        <v>0.33</v>
      </c>
    </row>
    <row r="1498" spans="1:22" x14ac:dyDescent="0.3">
      <c r="A1498" t="s">
        <v>891</v>
      </c>
      <c r="B1498" t="str">
        <f ca="1">OFFSET(Industries!C$1,MATCH(Table1[[#This Row],[Ticker]],Industries!$A$2:$A$150,0),0)</f>
        <v>Consumer Staples</v>
      </c>
      <c r="C1498" t="str">
        <f ca="1">OFFSET(Industries!D$1,MATCH(Table1[[#This Row],[Ticker]],Industries!$A$2:$A$150,0),0)</f>
        <v>Consumer Staples Distribution and Retail</v>
      </c>
      <c r="D1498" t="str">
        <f ca="1">OFFSET(Industries!E$1,MATCH(Table1[[#This Row],[Ticker]],Industries!$A$2:$A$150,0),0)</f>
        <v>Consumer Staples Distribution and Retail</v>
      </c>
      <c r="E1498" t="s">
        <v>892</v>
      </c>
      <c r="F1498" t="str">
        <f ca="1">OFFSET(Industries!B$1,MATCH(Table1[[#This Row],[Ticker]],Industries!$A$2:$A$140,0),0)</f>
        <v>Ultra-Cap</v>
      </c>
      <c r="G1498" t="str">
        <f ca="1">OFFSET(Industries!F$1,MATCH(Table1[[#This Row],[Ticker]],Industries!$A$2:$A$140,0),0)</f>
        <v>A</v>
      </c>
      <c r="H1498" t="s">
        <v>1434</v>
      </c>
      <c r="I1498" t="s">
        <v>1434</v>
      </c>
      <c r="J1498" s="2">
        <v>45411</v>
      </c>
      <c r="K1498" t="s">
        <v>21</v>
      </c>
      <c r="L1498" t="s">
        <v>1710</v>
      </c>
      <c r="M1498" t="s">
        <v>1709</v>
      </c>
      <c r="N1498" s="1">
        <f>Table1[[#This Row],[Consideration Weight]]</f>
        <v>0.68</v>
      </c>
      <c r="O1498" t="s">
        <v>476</v>
      </c>
      <c r="P1498" s="1">
        <v>0.68</v>
      </c>
      <c r="Q1498" s="1" t="s">
        <v>1646</v>
      </c>
      <c r="R1498" t="s">
        <v>35</v>
      </c>
      <c r="S1498" t="s">
        <v>29</v>
      </c>
      <c r="T1498" t="s">
        <v>30</v>
      </c>
      <c r="U1498" s="1">
        <f>1-SUM(U1499:U1501)</f>
        <v>0.40259740259740262</v>
      </c>
    </row>
    <row r="1499" spans="1:22" x14ac:dyDescent="0.3">
      <c r="A1499" t="s">
        <v>891</v>
      </c>
      <c r="B1499" t="str">
        <f ca="1">OFFSET(Industries!C$1,MATCH(Table1[[#This Row],[Ticker]],Industries!$A$2:$A$150,0),0)</f>
        <v>Consumer Staples</v>
      </c>
      <c r="C1499" t="str">
        <f ca="1">OFFSET(Industries!D$1,MATCH(Table1[[#This Row],[Ticker]],Industries!$A$2:$A$150,0),0)</f>
        <v>Consumer Staples Distribution and Retail</v>
      </c>
      <c r="D1499" t="str">
        <f ca="1">OFFSET(Industries!E$1,MATCH(Table1[[#This Row],[Ticker]],Industries!$A$2:$A$150,0),0)</f>
        <v>Consumer Staples Distribution and Retail</v>
      </c>
      <c r="E1499" t="s">
        <v>892</v>
      </c>
      <c r="F1499" t="str">
        <f ca="1">OFFSET(Industries!B$1,MATCH(Table1[[#This Row],[Ticker]],Industries!$A$2:$A$140,0),0)</f>
        <v>Ultra-Cap</v>
      </c>
      <c r="G1499" t="str">
        <f ca="1">OFFSET(Industries!F$1,MATCH(Table1[[#This Row],[Ticker]],Industries!$A$2:$A$140,0),0)</f>
        <v>A</v>
      </c>
      <c r="H1499" t="s">
        <v>1434</v>
      </c>
      <c r="I1499" t="s">
        <v>1434</v>
      </c>
      <c r="J1499" s="2">
        <v>45411</v>
      </c>
      <c r="K1499" t="s">
        <v>21</v>
      </c>
      <c r="L1499" t="s">
        <v>1710</v>
      </c>
      <c r="M1499" t="s">
        <v>1709</v>
      </c>
      <c r="N1499" s="1"/>
      <c r="O1499" t="s">
        <v>476</v>
      </c>
      <c r="P1499" s="1">
        <v>0.68</v>
      </c>
      <c r="Q1499" s="1" t="s">
        <v>1636</v>
      </c>
      <c r="R1499" t="s">
        <v>23</v>
      </c>
      <c r="S1499" t="s">
        <v>1083</v>
      </c>
      <c r="T1499" t="s">
        <v>901</v>
      </c>
      <c r="U1499" s="1">
        <f>1/3*(0.46/0.77)</f>
        <v>0.19913419913419911</v>
      </c>
    </row>
    <row r="1500" spans="1:22" x14ac:dyDescent="0.3">
      <c r="A1500" t="s">
        <v>891</v>
      </c>
      <c r="B1500" t="str">
        <f ca="1">OFFSET(Industries!C$1,MATCH(Table1[[#This Row],[Ticker]],Industries!$A$2:$A$150,0),0)</f>
        <v>Consumer Staples</v>
      </c>
      <c r="C1500" t="str">
        <f ca="1">OFFSET(Industries!D$1,MATCH(Table1[[#This Row],[Ticker]],Industries!$A$2:$A$150,0),0)</f>
        <v>Consumer Staples Distribution and Retail</v>
      </c>
      <c r="D1500" t="str">
        <f ca="1">OFFSET(Industries!E$1,MATCH(Table1[[#This Row],[Ticker]],Industries!$A$2:$A$150,0),0)</f>
        <v>Consumer Staples Distribution and Retail</v>
      </c>
      <c r="E1500" t="s">
        <v>892</v>
      </c>
      <c r="F1500" t="str">
        <f ca="1">OFFSET(Industries!B$1,MATCH(Table1[[#This Row],[Ticker]],Industries!$A$2:$A$140,0),0)</f>
        <v>Ultra-Cap</v>
      </c>
      <c r="G1500" t="str">
        <f ca="1">OFFSET(Industries!F$1,MATCH(Table1[[#This Row],[Ticker]],Industries!$A$2:$A$140,0),0)</f>
        <v>A</v>
      </c>
      <c r="H1500" t="s">
        <v>1434</v>
      </c>
      <c r="I1500" t="s">
        <v>1434</v>
      </c>
      <c r="J1500" s="2">
        <v>45411</v>
      </c>
      <c r="K1500" t="s">
        <v>21</v>
      </c>
      <c r="L1500" t="s">
        <v>1710</v>
      </c>
      <c r="M1500" t="s">
        <v>1709</v>
      </c>
      <c r="N1500" s="1"/>
      <c r="O1500" t="s">
        <v>476</v>
      </c>
      <c r="P1500" s="1">
        <v>0.68</v>
      </c>
      <c r="Q1500" s="1" t="s">
        <v>1636</v>
      </c>
      <c r="R1500" t="s">
        <v>24</v>
      </c>
      <c r="S1500" t="s">
        <v>1165</v>
      </c>
      <c r="T1500" t="s">
        <v>896</v>
      </c>
      <c r="U1500" s="1">
        <f t="shared" ref="U1500:U1501" si="31">1/3*(0.46/0.77)</f>
        <v>0.19913419913419911</v>
      </c>
    </row>
    <row r="1501" spans="1:22" x14ac:dyDescent="0.3">
      <c r="A1501" t="s">
        <v>891</v>
      </c>
      <c r="B1501" t="str">
        <f ca="1">OFFSET(Industries!C$1,MATCH(Table1[[#This Row],[Ticker]],Industries!$A$2:$A$150,0),0)</f>
        <v>Consumer Staples</v>
      </c>
      <c r="C1501" t="str">
        <f ca="1">OFFSET(Industries!D$1,MATCH(Table1[[#This Row],[Ticker]],Industries!$A$2:$A$150,0),0)</f>
        <v>Consumer Staples Distribution and Retail</v>
      </c>
      <c r="D1501" t="str">
        <f ca="1">OFFSET(Industries!E$1,MATCH(Table1[[#This Row],[Ticker]],Industries!$A$2:$A$150,0),0)</f>
        <v>Consumer Staples Distribution and Retail</v>
      </c>
      <c r="E1501" t="s">
        <v>892</v>
      </c>
      <c r="F1501" t="str">
        <f ca="1">OFFSET(Industries!B$1,MATCH(Table1[[#This Row],[Ticker]],Industries!$A$2:$A$140,0),0)</f>
        <v>Ultra-Cap</v>
      </c>
      <c r="G1501" t="str">
        <f ca="1">OFFSET(Industries!F$1,MATCH(Table1[[#This Row],[Ticker]],Industries!$A$2:$A$140,0),0)</f>
        <v>A</v>
      </c>
      <c r="H1501" t="s">
        <v>1434</v>
      </c>
      <c r="I1501" t="s">
        <v>1434</v>
      </c>
      <c r="J1501" s="2">
        <v>45411</v>
      </c>
      <c r="K1501" t="s">
        <v>21</v>
      </c>
      <c r="L1501" t="s">
        <v>1710</v>
      </c>
      <c r="M1501" t="s">
        <v>1709</v>
      </c>
      <c r="N1501" s="1"/>
      <c r="O1501" t="s">
        <v>476</v>
      </c>
      <c r="P1501" s="1">
        <v>0.68</v>
      </c>
      <c r="Q1501" s="1" t="s">
        <v>1636</v>
      </c>
      <c r="R1501" t="s">
        <v>1059</v>
      </c>
      <c r="S1501" t="s">
        <v>1109</v>
      </c>
      <c r="T1501" t="s">
        <v>898</v>
      </c>
      <c r="U1501" s="1">
        <f t="shared" si="31"/>
        <v>0.19913419913419911</v>
      </c>
    </row>
    <row r="1502" spans="1:22" x14ac:dyDescent="0.3">
      <c r="A1502" t="s">
        <v>902</v>
      </c>
      <c r="B1502" t="str">
        <f ca="1">OFFSET(Industries!C$1,MATCH(Table1[[#This Row],[Ticker]],Industries!$A$2:$A$150,0),0)</f>
        <v>Information Technology</v>
      </c>
      <c r="C1502" t="str">
        <f ca="1">OFFSET(Industries!D$1,MATCH(Table1[[#This Row],[Ticker]],Industries!$A$2:$A$150,0),0)</f>
        <v>Semiconductors</v>
      </c>
      <c r="D1502" t="str">
        <f ca="1">OFFSET(Industries!E$1,MATCH(Table1[[#This Row],[Ticker]],Industries!$A$2:$A$150,0),0)</f>
        <v>Semiconductors</v>
      </c>
      <c r="E1502" t="s">
        <v>34</v>
      </c>
      <c r="F1502" t="str">
        <f ca="1">OFFSET(Industries!B$1,MATCH(Table1[[#This Row],[Ticker]],Industries!$A$2:$A$140,0),0)</f>
        <v>Mega-Cap</v>
      </c>
      <c r="G1502" t="str">
        <f ca="1">OFFSET(Industries!F$1,MATCH(Table1[[#This Row],[Ticker]],Industries!$A$2:$A$140,0),0)</f>
        <v>A-</v>
      </c>
      <c r="H1502" t="s">
        <v>1434</v>
      </c>
      <c r="I1502" t="s">
        <v>1434</v>
      </c>
      <c r="J1502" s="2">
        <v>45379</v>
      </c>
      <c r="K1502" t="s">
        <v>2</v>
      </c>
      <c r="L1502" t="s">
        <v>3</v>
      </c>
      <c r="M1502" t="s">
        <v>1711</v>
      </c>
      <c r="N1502" s="1">
        <f>Table1[[#This Row],[Consideration Weight]]</f>
        <v>0.05</v>
      </c>
      <c r="O1502" t="s">
        <v>3</v>
      </c>
      <c r="P1502" s="1">
        <v>0.05</v>
      </c>
      <c r="V1502" t="s">
        <v>906</v>
      </c>
    </row>
    <row r="1503" spans="1:22" x14ac:dyDescent="0.3">
      <c r="A1503" t="s">
        <v>902</v>
      </c>
      <c r="B1503" t="str">
        <f ca="1">OFFSET(Industries!C$1,MATCH(Table1[[#This Row],[Ticker]],Industries!$A$2:$A$150,0),0)</f>
        <v>Information Technology</v>
      </c>
      <c r="C1503" t="str">
        <f ca="1">OFFSET(Industries!D$1,MATCH(Table1[[#This Row],[Ticker]],Industries!$A$2:$A$150,0),0)</f>
        <v>Semiconductors</v>
      </c>
      <c r="D1503" t="str">
        <f ca="1">OFFSET(Industries!E$1,MATCH(Table1[[#This Row],[Ticker]],Industries!$A$2:$A$150,0),0)</f>
        <v>Semiconductors</v>
      </c>
      <c r="E1503" t="s">
        <v>34</v>
      </c>
      <c r="F1503" t="str">
        <f ca="1">OFFSET(Industries!B$1,MATCH(Table1[[#This Row],[Ticker]],Industries!$A$2:$A$140,0),0)</f>
        <v>Mega-Cap</v>
      </c>
      <c r="G1503" t="str">
        <f ca="1">OFFSET(Industries!F$1,MATCH(Table1[[#This Row],[Ticker]],Industries!$A$2:$A$140,0),0)</f>
        <v>A-</v>
      </c>
      <c r="H1503" t="s">
        <v>1434</v>
      </c>
      <c r="I1503" t="s">
        <v>1434</v>
      </c>
      <c r="J1503" s="2">
        <v>45379</v>
      </c>
      <c r="K1503" t="s">
        <v>2</v>
      </c>
      <c r="L1503" t="s">
        <v>1708</v>
      </c>
      <c r="M1503" t="s">
        <v>1709</v>
      </c>
      <c r="N1503" s="1">
        <f>Table1[[#This Row],[Consideration Weight]]</f>
        <v>0.13</v>
      </c>
      <c r="O1503" t="s">
        <v>4</v>
      </c>
      <c r="P1503" s="1">
        <v>0.13</v>
      </c>
      <c r="Q1503" s="1" t="s">
        <v>1636</v>
      </c>
      <c r="R1503" t="s">
        <v>23</v>
      </c>
      <c r="S1503" t="s">
        <v>1083</v>
      </c>
      <c r="T1503" t="s">
        <v>7</v>
      </c>
      <c r="U1503" s="1">
        <v>0.25</v>
      </c>
      <c r="V1503" t="s">
        <v>907</v>
      </c>
    </row>
    <row r="1504" spans="1:22" x14ac:dyDescent="0.3">
      <c r="A1504" t="s">
        <v>902</v>
      </c>
      <c r="B1504" t="str">
        <f ca="1">OFFSET(Industries!C$1,MATCH(Table1[[#This Row],[Ticker]],Industries!$A$2:$A$150,0),0)</f>
        <v>Information Technology</v>
      </c>
      <c r="C1504" t="str">
        <f ca="1">OFFSET(Industries!D$1,MATCH(Table1[[#This Row],[Ticker]],Industries!$A$2:$A$150,0),0)</f>
        <v>Semiconductors</v>
      </c>
      <c r="D1504" t="str">
        <f ca="1">OFFSET(Industries!E$1,MATCH(Table1[[#This Row],[Ticker]],Industries!$A$2:$A$150,0),0)</f>
        <v>Semiconductors</v>
      </c>
      <c r="E1504" t="s">
        <v>34</v>
      </c>
      <c r="F1504" t="str">
        <f ca="1">OFFSET(Industries!B$1,MATCH(Table1[[#This Row],[Ticker]],Industries!$A$2:$A$140,0),0)</f>
        <v>Mega-Cap</v>
      </c>
      <c r="G1504" t="str">
        <f ca="1">OFFSET(Industries!F$1,MATCH(Table1[[#This Row],[Ticker]],Industries!$A$2:$A$140,0),0)</f>
        <v>A-</v>
      </c>
      <c r="H1504" t="s">
        <v>1434</v>
      </c>
      <c r="I1504" t="s">
        <v>1434</v>
      </c>
      <c r="J1504" s="2">
        <v>45379</v>
      </c>
      <c r="K1504" t="s">
        <v>2</v>
      </c>
      <c r="L1504" t="s">
        <v>1708</v>
      </c>
      <c r="M1504" t="s">
        <v>1709</v>
      </c>
      <c r="N1504" s="1"/>
      <c r="O1504" t="s">
        <v>4</v>
      </c>
      <c r="P1504" s="1">
        <v>0.13</v>
      </c>
      <c r="Q1504" s="1" t="s">
        <v>1636</v>
      </c>
      <c r="R1504" t="s">
        <v>24</v>
      </c>
      <c r="S1504" t="s">
        <v>1105</v>
      </c>
      <c r="T1504" t="s">
        <v>136</v>
      </c>
      <c r="U1504" s="1">
        <v>0.25</v>
      </c>
      <c r="V1504" t="s">
        <v>908</v>
      </c>
    </row>
    <row r="1505" spans="1:22" x14ac:dyDescent="0.3">
      <c r="A1505" t="s">
        <v>902</v>
      </c>
      <c r="B1505" t="str">
        <f ca="1">OFFSET(Industries!C$1,MATCH(Table1[[#This Row],[Ticker]],Industries!$A$2:$A$150,0),0)</f>
        <v>Information Technology</v>
      </c>
      <c r="C1505" t="str">
        <f ca="1">OFFSET(Industries!D$1,MATCH(Table1[[#This Row],[Ticker]],Industries!$A$2:$A$150,0),0)</f>
        <v>Semiconductors</v>
      </c>
      <c r="D1505" t="str">
        <f ca="1">OFFSET(Industries!E$1,MATCH(Table1[[#This Row],[Ticker]],Industries!$A$2:$A$150,0),0)</f>
        <v>Semiconductors</v>
      </c>
      <c r="E1505" t="s">
        <v>34</v>
      </c>
      <c r="F1505" t="str">
        <f ca="1">OFFSET(Industries!B$1,MATCH(Table1[[#This Row],[Ticker]],Industries!$A$2:$A$140,0),0)</f>
        <v>Mega-Cap</v>
      </c>
      <c r="G1505" t="str">
        <f ca="1">OFFSET(Industries!F$1,MATCH(Table1[[#This Row],[Ticker]],Industries!$A$2:$A$140,0),0)</f>
        <v>A-</v>
      </c>
      <c r="H1505" t="s">
        <v>1434</v>
      </c>
      <c r="I1505" t="s">
        <v>1434</v>
      </c>
      <c r="J1505" s="2">
        <v>45379</v>
      </c>
      <c r="K1505" t="s">
        <v>2</v>
      </c>
      <c r="L1505" t="s">
        <v>1708</v>
      </c>
      <c r="M1505" t="s">
        <v>1709</v>
      </c>
      <c r="N1505" s="1"/>
      <c r="O1505" t="s">
        <v>4</v>
      </c>
      <c r="P1505" s="1">
        <v>0.13</v>
      </c>
      <c r="Q1505" s="1" t="s">
        <v>1636</v>
      </c>
      <c r="R1505" t="s">
        <v>24</v>
      </c>
      <c r="S1505" t="s">
        <v>90</v>
      </c>
      <c r="T1505" t="s">
        <v>8</v>
      </c>
      <c r="U1505" s="1">
        <v>0.25</v>
      </c>
      <c r="V1505" t="s">
        <v>1682</v>
      </c>
    </row>
    <row r="1506" spans="1:22" x14ac:dyDescent="0.3">
      <c r="A1506" t="s">
        <v>902</v>
      </c>
      <c r="B1506" t="str">
        <f ca="1">OFFSET(Industries!C$1,MATCH(Table1[[#This Row],[Ticker]],Industries!$A$2:$A$150,0),0)</f>
        <v>Information Technology</v>
      </c>
      <c r="C1506" t="str">
        <f ca="1">OFFSET(Industries!D$1,MATCH(Table1[[#This Row],[Ticker]],Industries!$A$2:$A$150,0),0)</f>
        <v>Semiconductors</v>
      </c>
      <c r="D1506" t="str">
        <f ca="1">OFFSET(Industries!E$1,MATCH(Table1[[#This Row],[Ticker]],Industries!$A$2:$A$150,0),0)</f>
        <v>Semiconductors</v>
      </c>
      <c r="E1506" t="s">
        <v>34</v>
      </c>
      <c r="F1506" t="str">
        <f ca="1">OFFSET(Industries!B$1,MATCH(Table1[[#This Row],[Ticker]],Industries!$A$2:$A$140,0),0)</f>
        <v>Mega-Cap</v>
      </c>
      <c r="G1506" t="str">
        <f ca="1">OFFSET(Industries!F$1,MATCH(Table1[[#This Row],[Ticker]],Industries!$A$2:$A$140,0),0)</f>
        <v>A-</v>
      </c>
      <c r="H1506" t="s">
        <v>1434</v>
      </c>
      <c r="I1506" t="s">
        <v>1434</v>
      </c>
      <c r="J1506" s="2">
        <v>45379</v>
      </c>
      <c r="K1506" t="s">
        <v>2</v>
      </c>
      <c r="L1506" t="s">
        <v>1708</v>
      </c>
      <c r="M1506" t="s">
        <v>1709</v>
      </c>
      <c r="N1506" s="1"/>
      <c r="O1506" t="s">
        <v>4</v>
      </c>
      <c r="P1506" s="1">
        <v>0.13</v>
      </c>
      <c r="Q1506" s="1" t="s">
        <v>1636</v>
      </c>
      <c r="R1506" t="s">
        <v>25</v>
      </c>
      <c r="S1506" t="s">
        <v>1086</v>
      </c>
      <c r="T1506" t="s">
        <v>1679</v>
      </c>
      <c r="U1506" s="1">
        <f>0.475*25%</f>
        <v>0.11874999999999999</v>
      </c>
    </row>
    <row r="1507" spans="1:22" x14ac:dyDescent="0.3">
      <c r="A1507" t="s">
        <v>902</v>
      </c>
      <c r="B1507" t="str">
        <f ca="1">OFFSET(Industries!C$1,MATCH(Table1[[#This Row],[Ticker]],Industries!$A$2:$A$150,0),0)</f>
        <v>Information Technology</v>
      </c>
      <c r="C1507" t="str">
        <f ca="1">OFFSET(Industries!D$1,MATCH(Table1[[#This Row],[Ticker]],Industries!$A$2:$A$150,0),0)</f>
        <v>Semiconductors</v>
      </c>
      <c r="D1507" t="str">
        <f ca="1">OFFSET(Industries!E$1,MATCH(Table1[[#This Row],[Ticker]],Industries!$A$2:$A$150,0),0)</f>
        <v>Semiconductors</v>
      </c>
      <c r="E1507" t="s">
        <v>34</v>
      </c>
      <c r="F1507" t="str">
        <f ca="1">OFFSET(Industries!B$1,MATCH(Table1[[#This Row],[Ticker]],Industries!$A$2:$A$140,0),0)</f>
        <v>Mega-Cap</v>
      </c>
      <c r="G1507" t="str">
        <f ca="1">OFFSET(Industries!F$1,MATCH(Table1[[#This Row],[Ticker]],Industries!$A$2:$A$140,0),0)</f>
        <v>A-</v>
      </c>
      <c r="H1507" t="s">
        <v>1434</v>
      </c>
      <c r="I1507" t="s">
        <v>1434</v>
      </c>
      <c r="J1507" s="2">
        <v>45379</v>
      </c>
      <c r="K1507" t="s">
        <v>2</v>
      </c>
      <c r="L1507" t="s">
        <v>1708</v>
      </c>
      <c r="M1507" t="s">
        <v>1709</v>
      </c>
      <c r="N1507" s="1"/>
      <c r="O1507" t="s">
        <v>4</v>
      </c>
      <c r="P1507" s="1">
        <v>0.13</v>
      </c>
      <c r="Q1507" s="1" t="s">
        <v>1637</v>
      </c>
      <c r="R1507" t="s">
        <v>25</v>
      </c>
      <c r="S1507" t="s">
        <v>1086</v>
      </c>
      <c r="T1507" t="s">
        <v>1680</v>
      </c>
      <c r="U1507" s="1">
        <f>0.525*25%</f>
        <v>0.13125000000000001</v>
      </c>
      <c r="V1507" t="s">
        <v>1683</v>
      </c>
    </row>
    <row r="1508" spans="1:22" x14ac:dyDescent="0.3">
      <c r="A1508" t="s">
        <v>902</v>
      </c>
      <c r="B1508" t="str">
        <f ca="1">OFFSET(Industries!C$1,MATCH(Table1[[#This Row],[Ticker]],Industries!$A$2:$A$150,0),0)</f>
        <v>Information Technology</v>
      </c>
      <c r="C1508" t="str">
        <f ca="1">OFFSET(Industries!D$1,MATCH(Table1[[#This Row],[Ticker]],Industries!$A$2:$A$150,0),0)</f>
        <v>Semiconductors</v>
      </c>
      <c r="D1508" t="str">
        <f ca="1">OFFSET(Industries!E$1,MATCH(Table1[[#This Row],[Ticker]],Industries!$A$2:$A$150,0),0)</f>
        <v>Semiconductors</v>
      </c>
      <c r="E1508" t="s">
        <v>34</v>
      </c>
      <c r="F1508" t="str">
        <f ca="1">OFFSET(Industries!B$1,MATCH(Table1[[#This Row],[Ticker]],Industries!$A$2:$A$140,0),0)</f>
        <v>Mega-Cap</v>
      </c>
      <c r="G1508" t="str">
        <f ca="1">OFFSET(Industries!F$1,MATCH(Table1[[#This Row],[Ticker]],Industries!$A$2:$A$140,0),0)</f>
        <v>A-</v>
      </c>
      <c r="H1508" t="s">
        <v>1434</v>
      </c>
      <c r="I1508" t="s">
        <v>1434</v>
      </c>
      <c r="J1508" s="2">
        <v>45379</v>
      </c>
      <c r="K1508" t="s">
        <v>2</v>
      </c>
      <c r="L1508" t="s">
        <v>1708</v>
      </c>
      <c r="M1508" t="s">
        <v>1709</v>
      </c>
      <c r="N1508" s="1"/>
      <c r="O1508" t="s">
        <v>4</v>
      </c>
      <c r="P1508" s="1">
        <v>0.13</v>
      </c>
      <c r="R1508" t="s">
        <v>28</v>
      </c>
      <c r="S1508" t="s">
        <v>1093</v>
      </c>
      <c r="T1508" t="s">
        <v>1681</v>
      </c>
      <c r="V1508" t="s">
        <v>794</v>
      </c>
    </row>
    <row r="1509" spans="1:22" x14ac:dyDescent="0.3">
      <c r="A1509" t="s">
        <v>902</v>
      </c>
      <c r="B1509" t="str">
        <f ca="1">OFFSET(Industries!C$1,MATCH(Table1[[#This Row],[Ticker]],Industries!$A$2:$A$150,0),0)</f>
        <v>Information Technology</v>
      </c>
      <c r="C1509" t="str">
        <f ca="1">OFFSET(Industries!D$1,MATCH(Table1[[#This Row],[Ticker]],Industries!$A$2:$A$150,0),0)</f>
        <v>Semiconductors</v>
      </c>
      <c r="D1509" t="str">
        <f ca="1">OFFSET(Industries!E$1,MATCH(Table1[[#This Row],[Ticker]],Industries!$A$2:$A$150,0),0)</f>
        <v>Semiconductors</v>
      </c>
      <c r="E1509" t="s">
        <v>34</v>
      </c>
      <c r="F1509" t="str">
        <f ca="1">OFFSET(Industries!B$1,MATCH(Table1[[#This Row],[Ticker]],Industries!$A$2:$A$140,0),0)</f>
        <v>Mega-Cap</v>
      </c>
      <c r="G1509" t="str">
        <f ca="1">OFFSET(Industries!F$1,MATCH(Table1[[#This Row],[Ticker]],Industries!$A$2:$A$140,0),0)</f>
        <v>A-</v>
      </c>
      <c r="H1509" t="s">
        <v>1434</v>
      </c>
      <c r="I1509" t="s">
        <v>1434</v>
      </c>
      <c r="J1509" s="2">
        <v>45379</v>
      </c>
      <c r="K1509" t="s">
        <v>2</v>
      </c>
      <c r="L1509" t="s">
        <v>1708</v>
      </c>
      <c r="M1509" t="s">
        <v>1709</v>
      </c>
      <c r="N1509" s="1"/>
      <c r="O1509" t="s">
        <v>4</v>
      </c>
      <c r="P1509" s="1">
        <v>0.13</v>
      </c>
      <c r="R1509" t="s">
        <v>28</v>
      </c>
      <c r="S1509" t="s">
        <v>1110</v>
      </c>
      <c r="T1509" t="s">
        <v>172</v>
      </c>
      <c r="V1509" t="s">
        <v>903</v>
      </c>
    </row>
    <row r="1510" spans="1:22" x14ac:dyDescent="0.3">
      <c r="A1510" t="s">
        <v>902</v>
      </c>
      <c r="B1510" t="str">
        <f ca="1">OFFSET(Industries!C$1,MATCH(Table1[[#This Row],[Ticker]],Industries!$A$2:$A$150,0),0)</f>
        <v>Information Technology</v>
      </c>
      <c r="C1510" t="str">
        <f ca="1">OFFSET(Industries!D$1,MATCH(Table1[[#This Row],[Ticker]],Industries!$A$2:$A$150,0),0)</f>
        <v>Semiconductors</v>
      </c>
      <c r="D1510" t="str">
        <f ca="1">OFFSET(Industries!E$1,MATCH(Table1[[#This Row],[Ticker]],Industries!$A$2:$A$150,0),0)</f>
        <v>Semiconductors</v>
      </c>
      <c r="E1510" t="s">
        <v>34</v>
      </c>
      <c r="F1510" t="str">
        <f ca="1">OFFSET(Industries!B$1,MATCH(Table1[[#This Row],[Ticker]],Industries!$A$2:$A$140,0),0)</f>
        <v>Mega-Cap</v>
      </c>
      <c r="G1510" t="str">
        <f ca="1">OFFSET(Industries!F$1,MATCH(Table1[[#This Row],[Ticker]],Industries!$A$2:$A$140,0),0)</f>
        <v>A-</v>
      </c>
      <c r="H1510" t="s">
        <v>1434</v>
      </c>
      <c r="I1510" t="s">
        <v>1434</v>
      </c>
      <c r="J1510" s="2">
        <v>45379</v>
      </c>
      <c r="K1510" t="s">
        <v>2</v>
      </c>
      <c r="L1510" t="s">
        <v>1710</v>
      </c>
      <c r="M1510" t="s">
        <v>1709</v>
      </c>
      <c r="N1510" s="1">
        <f>Table1[[#This Row],[Consideration Weight]]</f>
        <v>0.66</v>
      </c>
      <c r="O1510" t="s">
        <v>476</v>
      </c>
      <c r="P1510" s="1">
        <v>0.66</v>
      </c>
      <c r="Q1510" s="1" t="s">
        <v>1636</v>
      </c>
      <c r="R1510" t="s">
        <v>23</v>
      </c>
      <c r="S1510" t="s">
        <v>1083</v>
      </c>
      <c r="T1510" t="s">
        <v>226</v>
      </c>
      <c r="U1510" s="1">
        <v>0.6</v>
      </c>
      <c r="V1510" t="s">
        <v>903</v>
      </c>
    </row>
    <row r="1511" spans="1:22" x14ac:dyDescent="0.3">
      <c r="A1511" t="s">
        <v>902</v>
      </c>
      <c r="B1511" t="str">
        <f ca="1">OFFSET(Industries!C$1,MATCH(Table1[[#This Row],[Ticker]],Industries!$A$2:$A$150,0),0)</f>
        <v>Information Technology</v>
      </c>
      <c r="C1511" t="str">
        <f ca="1">OFFSET(Industries!D$1,MATCH(Table1[[#This Row],[Ticker]],Industries!$A$2:$A$150,0),0)</f>
        <v>Semiconductors</v>
      </c>
      <c r="D1511" t="str">
        <f ca="1">OFFSET(Industries!E$1,MATCH(Table1[[#This Row],[Ticker]],Industries!$A$2:$A$150,0),0)</f>
        <v>Semiconductors</v>
      </c>
      <c r="E1511" t="s">
        <v>34</v>
      </c>
      <c r="F1511" t="str">
        <f ca="1">OFFSET(Industries!B$1,MATCH(Table1[[#This Row],[Ticker]],Industries!$A$2:$A$140,0),0)</f>
        <v>Mega-Cap</v>
      </c>
      <c r="G1511" t="str">
        <f ca="1">OFFSET(Industries!F$1,MATCH(Table1[[#This Row],[Ticker]],Industries!$A$2:$A$140,0),0)</f>
        <v>A-</v>
      </c>
      <c r="H1511" t="s">
        <v>1434</v>
      </c>
      <c r="I1511" t="s">
        <v>1434</v>
      </c>
      <c r="J1511" s="2">
        <v>45379</v>
      </c>
      <c r="K1511" t="s">
        <v>2</v>
      </c>
      <c r="L1511" t="s">
        <v>1710</v>
      </c>
      <c r="M1511" t="s">
        <v>1709</v>
      </c>
      <c r="N1511" s="1"/>
      <c r="O1511" t="s">
        <v>476</v>
      </c>
      <c r="P1511" s="1">
        <v>0.66</v>
      </c>
      <c r="Q1511" s="1" t="s">
        <v>1636</v>
      </c>
      <c r="R1511" t="s">
        <v>62</v>
      </c>
      <c r="S1511" t="s">
        <v>63</v>
      </c>
      <c r="T1511" t="s">
        <v>63</v>
      </c>
      <c r="U1511" s="1">
        <v>0.4</v>
      </c>
      <c r="V1511" t="s">
        <v>904</v>
      </c>
    </row>
    <row r="1512" spans="1:22" x14ac:dyDescent="0.3">
      <c r="A1512" t="s">
        <v>902</v>
      </c>
      <c r="B1512" t="str">
        <f ca="1">OFFSET(Industries!C$1,MATCH(Table1[[#This Row],[Ticker]],Industries!$A$2:$A$150,0),0)</f>
        <v>Information Technology</v>
      </c>
      <c r="C1512" t="str">
        <f ca="1">OFFSET(Industries!D$1,MATCH(Table1[[#This Row],[Ticker]],Industries!$A$2:$A$150,0),0)</f>
        <v>Semiconductors</v>
      </c>
      <c r="D1512" t="str">
        <f ca="1">OFFSET(Industries!E$1,MATCH(Table1[[#This Row],[Ticker]],Industries!$A$2:$A$150,0),0)</f>
        <v>Semiconductors</v>
      </c>
      <c r="E1512" t="s">
        <v>34</v>
      </c>
      <c r="F1512" t="str">
        <f ca="1">OFFSET(Industries!B$1,MATCH(Table1[[#This Row],[Ticker]],Industries!$A$2:$A$140,0),0)</f>
        <v>Mega-Cap</v>
      </c>
      <c r="G1512" t="str">
        <f ca="1">OFFSET(Industries!F$1,MATCH(Table1[[#This Row],[Ticker]],Industries!$A$2:$A$140,0),0)</f>
        <v>A-</v>
      </c>
      <c r="H1512" t="s">
        <v>1434</v>
      </c>
      <c r="I1512" t="s">
        <v>1434</v>
      </c>
      <c r="J1512" s="2">
        <v>45379</v>
      </c>
      <c r="K1512" t="s">
        <v>2</v>
      </c>
      <c r="L1512" t="s">
        <v>1710</v>
      </c>
      <c r="M1512" t="s">
        <v>1709</v>
      </c>
      <c r="N1512" s="1"/>
      <c r="O1512" t="s">
        <v>476</v>
      </c>
      <c r="P1512" s="1">
        <v>0.66</v>
      </c>
      <c r="R1512" t="s">
        <v>28</v>
      </c>
      <c r="S1512" t="s">
        <v>1085</v>
      </c>
      <c r="T1512" t="s">
        <v>30</v>
      </c>
      <c r="V1512" t="s">
        <v>905</v>
      </c>
    </row>
    <row r="1513" spans="1:22" x14ac:dyDescent="0.3">
      <c r="A1513" t="s">
        <v>902</v>
      </c>
      <c r="B1513" t="str">
        <f ca="1">OFFSET(Industries!C$1,MATCH(Table1[[#This Row],[Ticker]],Industries!$A$2:$A$150,0),0)</f>
        <v>Information Technology</v>
      </c>
      <c r="C1513" t="str">
        <f ca="1">OFFSET(Industries!D$1,MATCH(Table1[[#This Row],[Ticker]],Industries!$A$2:$A$150,0),0)</f>
        <v>Semiconductors</v>
      </c>
      <c r="D1513" t="str">
        <f ca="1">OFFSET(Industries!E$1,MATCH(Table1[[#This Row],[Ticker]],Industries!$A$2:$A$150,0),0)</f>
        <v>Semiconductors</v>
      </c>
      <c r="E1513" t="s">
        <v>34</v>
      </c>
      <c r="F1513" t="str">
        <f ca="1">OFFSET(Industries!B$1,MATCH(Table1[[#This Row],[Ticker]],Industries!$A$2:$A$140,0),0)</f>
        <v>Mega-Cap</v>
      </c>
      <c r="G1513" t="str">
        <f ca="1">OFFSET(Industries!F$1,MATCH(Table1[[#This Row],[Ticker]],Industries!$A$2:$A$140,0),0)</f>
        <v>A-</v>
      </c>
      <c r="H1513" t="s">
        <v>1434</v>
      </c>
      <c r="I1513" t="s">
        <v>1434</v>
      </c>
      <c r="J1513" s="2">
        <v>45379</v>
      </c>
      <c r="K1513" t="s">
        <v>2</v>
      </c>
      <c r="L1513" t="s">
        <v>1710</v>
      </c>
      <c r="M1513" t="s">
        <v>1709</v>
      </c>
      <c r="N1513" s="1"/>
      <c r="O1513" t="s">
        <v>476</v>
      </c>
      <c r="P1513" s="1">
        <v>0.66</v>
      </c>
      <c r="R1513" t="s">
        <v>28</v>
      </c>
      <c r="S1513" t="s">
        <v>1125</v>
      </c>
      <c r="T1513" t="s">
        <v>631</v>
      </c>
      <c r="V1513" t="s">
        <v>657</v>
      </c>
    </row>
    <row r="1514" spans="1:22" x14ac:dyDescent="0.3">
      <c r="A1514" t="s">
        <v>902</v>
      </c>
      <c r="B1514" t="str">
        <f ca="1">OFFSET(Industries!C$1,MATCH(Table1[[#This Row],[Ticker]],Industries!$A$2:$A$150,0),0)</f>
        <v>Information Technology</v>
      </c>
      <c r="C1514" t="str">
        <f ca="1">OFFSET(Industries!D$1,MATCH(Table1[[#This Row],[Ticker]],Industries!$A$2:$A$150,0),0)</f>
        <v>Semiconductors</v>
      </c>
      <c r="D1514" t="str">
        <f ca="1">OFFSET(Industries!E$1,MATCH(Table1[[#This Row],[Ticker]],Industries!$A$2:$A$150,0),0)</f>
        <v>Semiconductors</v>
      </c>
      <c r="E1514" t="s">
        <v>34</v>
      </c>
      <c r="F1514" t="str">
        <f ca="1">OFFSET(Industries!B$1,MATCH(Table1[[#This Row],[Ticker]],Industries!$A$2:$A$140,0),0)</f>
        <v>Mega-Cap</v>
      </c>
      <c r="G1514" t="str">
        <f ca="1">OFFSET(Industries!F$1,MATCH(Table1[[#This Row],[Ticker]],Industries!$A$2:$A$140,0),0)</f>
        <v>A-</v>
      </c>
      <c r="H1514" t="s">
        <v>1434</v>
      </c>
      <c r="I1514" t="s">
        <v>1434</v>
      </c>
      <c r="J1514" s="2">
        <v>45379</v>
      </c>
      <c r="K1514" t="s">
        <v>2</v>
      </c>
      <c r="L1514" t="s">
        <v>1710</v>
      </c>
      <c r="M1514" t="s">
        <v>1709</v>
      </c>
      <c r="N1514" s="1"/>
      <c r="O1514" t="s">
        <v>476</v>
      </c>
      <c r="P1514" s="1">
        <v>0.66</v>
      </c>
      <c r="R1514" t="s">
        <v>28</v>
      </c>
      <c r="S1514" t="s">
        <v>1095</v>
      </c>
      <c r="T1514" t="s">
        <v>55</v>
      </c>
    </row>
    <row r="1515" spans="1:22" x14ac:dyDescent="0.3">
      <c r="A1515" t="s">
        <v>902</v>
      </c>
      <c r="B1515" t="str">
        <f ca="1">OFFSET(Industries!C$1,MATCH(Table1[[#This Row],[Ticker]],Industries!$A$2:$A$150,0),0)</f>
        <v>Information Technology</v>
      </c>
      <c r="C1515" t="str">
        <f ca="1">OFFSET(Industries!D$1,MATCH(Table1[[#This Row],[Ticker]],Industries!$A$2:$A$150,0),0)</f>
        <v>Semiconductors</v>
      </c>
      <c r="D1515" t="str">
        <f ca="1">OFFSET(Industries!E$1,MATCH(Table1[[#This Row],[Ticker]],Industries!$A$2:$A$150,0),0)</f>
        <v>Semiconductors</v>
      </c>
      <c r="E1515" t="s">
        <v>34</v>
      </c>
      <c r="F1515" t="str">
        <f ca="1">OFFSET(Industries!B$1,MATCH(Table1[[#This Row],[Ticker]],Industries!$A$2:$A$140,0),0)</f>
        <v>Mega-Cap</v>
      </c>
      <c r="G1515" t="str">
        <f ca="1">OFFSET(Industries!F$1,MATCH(Table1[[#This Row],[Ticker]],Industries!$A$2:$A$140,0),0)</f>
        <v>A-</v>
      </c>
      <c r="H1515" t="s">
        <v>1434</v>
      </c>
      <c r="I1515" t="s">
        <v>1434</v>
      </c>
      <c r="J1515" s="2">
        <v>45379</v>
      </c>
      <c r="K1515" t="s">
        <v>2</v>
      </c>
      <c r="L1515" t="s">
        <v>1710</v>
      </c>
      <c r="M1515" t="s">
        <v>1711</v>
      </c>
      <c r="N1515" s="1">
        <f>Table1[[#This Row],[Consideration Weight]]</f>
        <v>0.16</v>
      </c>
      <c r="O1515" t="s">
        <v>194</v>
      </c>
      <c r="P1515" s="1">
        <v>0.16</v>
      </c>
    </row>
    <row r="1516" spans="1:22" x14ac:dyDescent="0.3">
      <c r="A1516" t="s">
        <v>902</v>
      </c>
      <c r="B1516" t="str">
        <f ca="1">OFFSET(Industries!C$1,MATCH(Table1[[#This Row],[Ticker]],Industries!$A$2:$A$150,0),0)</f>
        <v>Information Technology</v>
      </c>
      <c r="C1516" t="str">
        <f ca="1">OFFSET(Industries!D$1,MATCH(Table1[[#This Row],[Ticker]],Industries!$A$2:$A$150,0),0)</f>
        <v>Semiconductors</v>
      </c>
      <c r="D1516" t="str">
        <f ca="1">OFFSET(Industries!E$1,MATCH(Table1[[#This Row],[Ticker]],Industries!$A$2:$A$150,0),0)</f>
        <v>Semiconductors</v>
      </c>
      <c r="E1516" t="s">
        <v>34</v>
      </c>
      <c r="F1516" t="str">
        <f ca="1">OFFSET(Industries!B$1,MATCH(Table1[[#This Row],[Ticker]],Industries!$A$2:$A$140,0),0)</f>
        <v>Mega-Cap</v>
      </c>
      <c r="G1516" t="str">
        <f ca="1">OFFSET(Industries!F$1,MATCH(Table1[[#This Row],[Ticker]],Industries!$A$2:$A$140,0),0)</f>
        <v>A-</v>
      </c>
      <c r="H1516" t="s">
        <v>1434</v>
      </c>
      <c r="I1516" t="s">
        <v>1434</v>
      </c>
      <c r="J1516" s="2">
        <v>45379</v>
      </c>
      <c r="K1516" t="s">
        <v>21</v>
      </c>
      <c r="L1516" t="s">
        <v>3</v>
      </c>
      <c r="M1516" t="s">
        <v>1711</v>
      </c>
      <c r="N1516" s="1">
        <f>Table1[[#This Row],[Consideration Weight]]</f>
        <v>7.0000000000000007E-2</v>
      </c>
      <c r="O1516" t="s">
        <v>3</v>
      </c>
      <c r="P1516" s="1">
        <v>7.0000000000000007E-2</v>
      </c>
    </row>
    <row r="1517" spans="1:22" x14ac:dyDescent="0.3">
      <c r="A1517" t="s">
        <v>902</v>
      </c>
      <c r="B1517" t="str">
        <f ca="1">OFFSET(Industries!C$1,MATCH(Table1[[#This Row],[Ticker]],Industries!$A$2:$A$150,0),0)</f>
        <v>Information Technology</v>
      </c>
      <c r="C1517" t="str">
        <f ca="1">OFFSET(Industries!D$1,MATCH(Table1[[#This Row],[Ticker]],Industries!$A$2:$A$150,0),0)</f>
        <v>Semiconductors</v>
      </c>
      <c r="D1517" t="str">
        <f ca="1">OFFSET(Industries!E$1,MATCH(Table1[[#This Row],[Ticker]],Industries!$A$2:$A$150,0),0)</f>
        <v>Semiconductors</v>
      </c>
      <c r="E1517" t="s">
        <v>34</v>
      </c>
      <c r="F1517" t="str">
        <f ca="1">OFFSET(Industries!B$1,MATCH(Table1[[#This Row],[Ticker]],Industries!$A$2:$A$140,0),0)</f>
        <v>Mega-Cap</v>
      </c>
      <c r="G1517" t="str">
        <f ca="1">OFFSET(Industries!F$1,MATCH(Table1[[#This Row],[Ticker]],Industries!$A$2:$A$140,0),0)</f>
        <v>A-</v>
      </c>
      <c r="H1517" t="s">
        <v>1434</v>
      </c>
      <c r="I1517" t="s">
        <v>1434</v>
      </c>
      <c r="J1517" s="2">
        <v>45379</v>
      </c>
      <c r="K1517" t="s">
        <v>21</v>
      </c>
      <c r="L1517" t="s">
        <v>1708</v>
      </c>
      <c r="M1517" t="s">
        <v>1709</v>
      </c>
      <c r="N1517" s="1">
        <f>Table1[[#This Row],[Consideration Weight]]</f>
        <v>0.12</v>
      </c>
      <c r="O1517" t="s">
        <v>4</v>
      </c>
      <c r="P1517" s="1">
        <v>0.12</v>
      </c>
      <c r="Q1517" s="1" t="s">
        <v>1636</v>
      </c>
      <c r="R1517" t="s">
        <v>23</v>
      </c>
      <c r="S1517" t="s">
        <v>1083</v>
      </c>
      <c r="T1517" t="s">
        <v>7</v>
      </c>
      <c r="U1517" s="1">
        <v>0.2</v>
      </c>
    </row>
    <row r="1518" spans="1:22" x14ac:dyDescent="0.3">
      <c r="A1518" t="s">
        <v>902</v>
      </c>
      <c r="B1518" t="str">
        <f ca="1">OFFSET(Industries!C$1,MATCH(Table1[[#This Row],[Ticker]],Industries!$A$2:$A$150,0),0)</f>
        <v>Information Technology</v>
      </c>
      <c r="C1518" t="str">
        <f ca="1">OFFSET(Industries!D$1,MATCH(Table1[[#This Row],[Ticker]],Industries!$A$2:$A$150,0),0)</f>
        <v>Semiconductors</v>
      </c>
      <c r="D1518" t="str">
        <f ca="1">OFFSET(Industries!E$1,MATCH(Table1[[#This Row],[Ticker]],Industries!$A$2:$A$150,0),0)</f>
        <v>Semiconductors</v>
      </c>
      <c r="E1518" t="s">
        <v>34</v>
      </c>
      <c r="F1518" t="str">
        <f ca="1">OFFSET(Industries!B$1,MATCH(Table1[[#This Row],[Ticker]],Industries!$A$2:$A$140,0),0)</f>
        <v>Mega-Cap</v>
      </c>
      <c r="G1518" t="str">
        <f ca="1">OFFSET(Industries!F$1,MATCH(Table1[[#This Row],[Ticker]],Industries!$A$2:$A$140,0),0)</f>
        <v>A-</v>
      </c>
      <c r="H1518" t="s">
        <v>1434</v>
      </c>
      <c r="I1518" t="s">
        <v>1434</v>
      </c>
      <c r="J1518" s="2">
        <v>45379</v>
      </c>
      <c r="K1518" t="s">
        <v>21</v>
      </c>
      <c r="L1518" t="s">
        <v>1708</v>
      </c>
      <c r="M1518" t="s">
        <v>1709</v>
      </c>
      <c r="N1518" s="1"/>
      <c r="O1518" t="s">
        <v>4</v>
      </c>
      <c r="P1518" s="1">
        <v>0.12</v>
      </c>
      <c r="Q1518" s="1" t="s">
        <v>1636</v>
      </c>
      <c r="R1518" t="s">
        <v>24</v>
      </c>
      <c r="S1518" t="s">
        <v>1105</v>
      </c>
      <c r="T1518" t="s">
        <v>136</v>
      </c>
      <c r="U1518" s="1">
        <v>0.2</v>
      </c>
    </row>
    <row r="1519" spans="1:22" x14ac:dyDescent="0.3">
      <c r="A1519" t="s">
        <v>902</v>
      </c>
      <c r="B1519" t="str">
        <f ca="1">OFFSET(Industries!C$1,MATCH(Table1[[#This Row],[Ticker]],Industries!$A$2:$A$150,0),0)</f>
        <v>Information Technology</v>
      </c>
      <c r="C1519" t="str">
        <f ca="1">OFFSET(Industries!D$1,MATCH(Table1[[#This Row],[Ticker]],Industries!$A$2:$A$150,0),0)</f>
        <v>Semiconductors</v>
      </c>
      <c r="D1519" t="str">
        <f ca="1">OFFSET(Industries!E$1,MATCH(Table1[[#This Row],[Ticker]],Industries!$A$2:$A$150,0),0)</f>
        <v>Semiconductors</v>
      </c>
      <c r="E1519" t="s">
        <v>34</v>
      </c>
      <c r="F1519" t="str">
        <f ca="1">OFFSET(Industries!B$1,MATCH(Table1[[#This Row],[Ticker]],Industries!$A$2:$A$140,0),0)</f>
        <v>Mega-Cap</v>
      </c>
      <c r="G1519" t="str">
        <f ca="1">OFFSET(Industries!F$1,MATCH(Table1[[#This Row],[Ticker]],Industries!$A$2:$A$140,0),0)</f>
        <v>A-</v>
      </c>
      <c r="H1519" t="s">
        <v>1434</v>
      </c>
      <c r="I1519" t="s">
        <v>1434</v>
      </c>
      <c r="J1519" s="2">
        <v>45379</v>
      </c>
      <c r="K1519" t="s">
        <v>21</v>
      </c>
      <c r="L1519" t="s">
        <v>1708</v>
      </c>
      <c r="M1519" t="s">
        <v>1709</v>
      </c>
      <c r="N1519" s="1"/>
      <c r="O1519" t="s">
        <v>4</v>
      </c>
      <c r="P1519" s="1">
        <v>0.12</v>
      </c>
      <c r="Q1519" s="1" t="s">
        <v>1636</v>
      </c>
      <c r="R1519" t="s">
        <v>24</v>
      </c>
      <c r="S1519" t="s">
        <v>90</v>
      </c>
      <c r="T1519" t="s">
        <v>8</v>
      </c>
      <c r="U1519" s="1">
        <v>0.2</v>
      </c>
    </row>
    <row r="1520" spans="1:22" x14ac:dyDescent="0.3">
      <c r="A1520" t="s">
        <v>902</v>
      </c>
      <c r="B1520" t="str">
        <f ca="1">OFFSET(Industries!C$1,MATCH(Table1[[#This Row],[Ticker]],Industries!$A$2:$A$150,0),0)</f>
        <v>Information Technology</v>
      </c>
      <c r="C1520" t="str">
        <f ca="1">OFFSET(Industries!D$1,MATCH(Table1[[#This Row],[Ticker]],Industries!$A$2:$A$150,0),0)</f>
        <v>Semiconductors</v>
      </c>
      <c r="D1520" t="str">
        <f ca="1">OFFSET(Industries!E$1,MATCH(Table1[[#This Row],[Ticker]],Industries!$A$2:$A$150,0),0)</f>
        <v>Semiconductors</v>
      </c>
      <c r="E1520" t="s">
        <v>34</v>
      </c>
      <c r="F1520" t="str">
        <f ca="1">OFFSET(Industries!B$1,MATCH(Table1[[#This Row],[Ticker]],Industries!$A$2:$A$140,0),0)</f>
        <v>Mega-Cap</v>
      </c>
      <c r="G1520" t="str">
        <f ca="1">OFFSET(Industries!F$1,MATCH(Table1[[#This Row],[Ticker]],Industries!$A$2:$A$140,0),0)</f>
        <v>A-</v>
      </c>
      <c r="H1520" t="s">
        <v>1434</v>
      </c>
      <c r="I1520" t="s">
        <v>1434</v>
      </c>
      <c r="J1520" s="2">
        <v>45379</v>
      </c>
      <c r="K1520" t="s">
        <v>21</v>
      </c>
      <c r="L1520" t="s">
        <v>1708</v>
      </c>
      <c r="M1520" t="s">
        <v>1709</v>
      </c>
      <c r="N1520" s="1"/>
      <c r="O1520" t="s">
        <v>4</v>
      </c>
      <c r="P1520" s="1">
        <v>0.12</v>
      </c>
      <c r="Q1520" s="1" t="s">
        <v>1636</v>
      </c>
      <c r="R1520" t="s">
        <v>25</v>
      </c>
      <c r="S1520" t="s">
        <v>1086</v>
      </c>
      <c r="T1520" t="s">
        <v>1679</v>
      </c>
      <c r="U1520" s="1">
        <f>0.475*20%</f>
        <v>9.5000000000000001E-2</v>
      </c>
    </row>
    <row r="1521" spans="1:22" x14ac:dyDescent="0.3">
      <c r="A1521" t="s">
        <v>902</v>
      </c>
      <c r="B1521" t="str">
        <f ca="1">OFFSET(Industries!C$1,MATCH(Table1[[#This Row],[Ticker]],Industries!$A$2:$A$150,0),0)</f>
        <v>Information Technology</v>
      </c>
      <c r="C1521" t="str">
        <f ca="1">OFFSET(Industries!D$1,MATCH(Table1[[#This Row],[Ticker]],Industries!$A$2:$A$150,0),0)</f>
        <v>Semiconductors</v>
      </c>
      <c r="D1521" t="str">
        <f ca="1">OFFSET(Industries!E$1,MATCH(Table1[[#This Row],[Ticker]],Industries!$A$2:$A$150,0),0)</f>
        <v>Semiconductors</v>
      </c>
      <c r="E1521" t="s">
        <v>34</v>
      </c>
      <c r="F1521" t="str">
        <f ca="1">OFFSET(Industries!B$1,MATCH(Table1[[#This Row],[Ticker]],Industries!$A$2:$A$140,0),0)</f>
        <v>Mega-Cap</v>
      </c>
      <c r="G1521" t="str">
        <f ca="1">OFFSET(Industries!F$1,MATCH(Table1[[#This Row],[Ticker]],Industries!$A$2:$A$140,0),0)</f>
        <v>A-</v>
      </c>
      <c r="H1521" t="s">
        <v>1434</v>
      </c>
      <c r="I1521" t="s">
        <v>1434</v>
      </c>
      <c r="J1521" s="2">
        <v>45379</v>
      </c>
      <c r="K1521" t="s">
        <v>21</v>
      </c>
      <c r="L1521" t="s">
        <v>1708</v>
      </c>
      <c r="M1521" t="s">
        <v>1709</v>
      </c>
      <c r="N1521" s="1"/>
      <c r="O1521" t="s">
        <v>4</v>
      </c>
      <c r="P1521" s="1">
        <v>0.12</v>
      </c>
      <c r="Q1521" s="1" t="s">
        <v>1637</v>
      </c>
      <c r="R1521" t="s">
        <v>25</v>
      </c>
      <c r="S1521" t="s">
        <v>1086</v>
      </c>
      <c r="T1521" t="s">
        <v>1679</v>
      </c>
      <c r="U1521" s="1">
        <f>0.525*20%</f>
        <v>0.10500000000000001</v>
      </c>
    </row>
    <row r="1522" spans="1:22" x14ac:dyDescent="0.3">
      <c r="A1522" t="s">
        <v>902</v>
      </c>
      <c r="B1522" t="str">
        <f ca="1">OFFSET(Industries!C$1,MATCH(Table1[[#This Row],[Ticker]],Industries!$A$2:$A$150,0),0)</f>
        <v>Information Technology</v>
      </c>
      <c r="C1522" t="str">
        <f ca="1">OFFSET(Industries!D$1,MATCH(Table1[[#This Row],[Ticker]],Industries!$A$2:$A$150,0),0)</f>
        <v>Semiconductors</v>
      </c>
      <c r="D1522" t="str">
        <f ca="1">OFFSET(Industries!E$1,MATCH(Table1[[#This Row],[Ticker]],Industries!$A$2:$A$150,0),0)</f>
        <v>Semiconductors</v>
      </c>
      <c r="E1522" t="s">
        <v>34</v>
      </c>
      <c r="F1522" t="str">
        <f ca="1">OFFSET(Industries!B$1,MATCH(Table1[[#This Row],[Ticker]],Industries!$A$2:$A$140,0),0)</f>
        <v>Mega-Cap</v>
      </c>
      <c r="G1522" t="str">
        <f ca="1">OFFSET(Industries!F$1,MATCH(Table1[[#This Row],[Ticker]],Industries!$A$2:$A$140,0),0)</f>
        <v>A-</v>
      </c>
      <c r="H1522" t="s">
        <v>1434</v>
      </c>
      <c r="I1522" t="s">
        <v>1434</v>
      </c>
      <c r="J1522" s="2">
        <v>45379</v>
      </c>
      <c r="K1522" t="s">
        <v>21</v>
      </c>
      <c r="L1522" t="s">
        <v>1708</v>
      </c>
      <c r="M1522" t="s">
        <v>1709</v>
      </c>
      <c r="N1522" s="1"/>
      <c r="O1522" t="s">
        <v>4</v>
      </c>
      <c r="P1522" s="1">
        <v>0.12</v>
      </c>
      <c r="Q1522" s="1" t="s">
        <v>1637</v>
      </c>
      <c r="R1522" t="s">
        <v>332</v>
      </c>
      <c r="S1522" t="s">
        <v>380</v>
      </c>
      <c r="T1522" t="s">
        <v>380</v>
      </c>
      <c r="U1522" s="1">
        <v>0.2</v>
      </c>
    </row>
    <row r="1523" spans="1:22" x14ac:dyDescent="0.3">
      <c r="A1523" t="s">
        <v>902</v>
      </c>
      <c r="B1523" t="str">
        <f ca="1">OFFSET(Industries!C$1,MATCH(Table1[[#This Row],[Ticker]],Industries!$A$2:$A$150,0),0)</f>
        <v>Information Technology</v>
      </c>
      <c r="C1523" t="str">
        <f ca="1">OFFSET(Industries!D$1,MATCH(Table1[[#This Row],[Ticker]],Industries!$A$2:$A$150,0),0)</f>
        <v>Semiconductors</v>
      </c>
      <c r="D1523" t="str">
        <f ca="1">OFFSET(Industries!E$1,MATCH(Table1[[#This Row],[Ticker]],Industries!$A$2:$A$150,0),0)</f>
        <v>Semiconductors</v>
      </c>
      <c r="E1523" t="s">
        <v>34</v>
      </c>
      <c r="F1523" t="str">
        <f ca="1">OFFSET(Industries!B$1,MATCH(Table1[[#This Row],[Ticker]],Industries!$A$2:$A$140,0),0)</f>
        <v>Mega-Cap</v>
      </c>
      <c r="G1523" t="str">
        <f ca="1">OFFSET(Industries!F$1,MATCH(Table1[[#This Row],[Ticker]],Industries!$A$2:$A$140,0),0)</f>
        <v>A-</v>
      </c>
      <c r="H1523" t="s">
        <v>1434</v>
      </c>
      <c r="I1523" t="s">
        <v>1434</v>
      </c>
      <c r="J1523" s="2">
        <v>45379</v>
      </c>
      <c r="K1523" t="s">
        <v>21</v>
      </c>
      <c r="L1523" t="s">
        <v>1708</v>
      </c>
      <c r="M1523" t="s">
        <v>1709</v>
      </c>
      <c r="N1523" s="1"/>
      <c r="O1523" t="s">
        <v>4</v>
      </c>
      <c r="P1523" s="1">
        <v>0.12</v>
      </c>
      <c r="R1523" t="s">
        <v>28</v>
      </c>
      <c r="S1523" t="s">
        <v>1093</v>
      </c>
      <c r="T1523" t="s">
        <v>1681</v>
      </c>
    </row>
    <row r="1524" spans="1:22" x14ac:dyDescent="0.3">
      <c r="A1524" t="s">
        <v>902</v>
      </c>
      <c r="B1524" t="str">
        <f ca="1">OFFSET(Industries!C$1,MATCH(Table1[[#This Row],[Ticker]],Industries!$A$2:$A$150,0),0)</f>
        <v>Information Technology</v>
      </c>
      <c r="C1524" t="str">
        <f ca="1">OFFSET(Industries!D$1,MATCH(Table1[[#This Row],[Ticker]],Industries!$A$2:$A$150,0),0)</f>
        <v>Semiconductors</v>
      </c>
      <c r="D1524" t="str">
        <f ca="1">OFFSET(Industries!E$1,MATCH(Table1[[#This Row],[Ticker]],Industries!$A$2:$A$150,0),0)</f>
        <v>Semiconductors</v>
      </c>
      <c r="E1524" t="s">
        <v>34</v>
      </c>
      <c r="F1524" t="str">
        <f ca="1">OFFSET(Industries!B$1,MATCH(Table1[[#This Row],[Ticker]],Industries!$A$2:$A$140,0),0)</f>
        <v>Mega-Cap</v>
      </c>
      <c r="G1524" t="str">
        <f ca="1">OFFSET(Industries!F$1,MATCH(Table1[[#This Row],[Ticker]],Industries!$A$2:$A$140,0),0)</f>
        <v>A-</v>
      </c>
      <c r="H1524" t="s">
        <v>1434</v>
      </c>
      <c r="I1524" t="s">
        <v>1434</v>
      </c>
      <c r="J1524" s="2">
        <v>45379</v>
      </c>
      <c r="K1524" t="s">
        <v>21</v>
      </c>
      <c r="L1524" t="s">
        <v>1708</v>
      </c>
      <c r="M1524" t="s">
        <v>1709</v>
      </c>
      <c r="N1524" s="1"/>
      <c r="O1524" t="s">
        <v>4</v>
      </c>
      <c r="P1524" s="1">
        <v>0.12</v>
      </c>
      <c r="R1524" t="s">
        <v>28</v>
      </c>
      <c r="S1524" t="s">
        <v>1110</v>
      </c>
      <c r="T1524" t="s">
        <v>172</v>
      </c>
    </row>
    <row r="1525" spans="1:22" x14ac:dyDescent="0.3">
      <c r="A1525" t="s">
        <v>902</v>
      </c>
      <c r="B1525" t="str">
        <f ca="1">OFFSET(Industries!C$1,MATCH(Table1[[#This Row],[Ticker]],Industries!$A$2:$A$150,0),0)</f>
        <v>Information Technology</v>
      </c>
      <c r="C1525" t="str">
        <f ca="1">OFFSET(Industries!D$1,MATCH(Table1[[#This Row],[Ticker]],Industries!$A$2:$A$150,0),0)</f>
        <v>Semiconductors</v>
      </c>
      <c r="D1525" t="str">
        <f ca="1">OFFSET(Industries!E$1,MATCH(Table1[[#This Row],[Ticker]],Industries!$A$2:$A$150,0),0)</f>
        <v>Semiconductors</v>
      </c>
      <c r="E1525" t="s">
        <v>34</v>
      </c>
      <c r="F1525" t="str">
        <f ca="1">OFFSET(Industries!B$1,MATCH(Table1[[#This Row],[Ticker]],Industries!$A$2:$A$140,0),0)</f>
        <v>Mega-Cap</v>
      </c>
      <c r="G1525" t="str">
        <f ca="1">OFFSET(Industries!F$1,MATCH(Table1[[#This Row],[Ticker]],Industries!$A$2:$A$140,0),0)</f>
        <v>A-</v>
      </c>
      <c r="H1525" t="s">
        <v>1434</v>
      </c>
      <c r="I1525" t="s">
        <v>1434</v>
      </c>
      <c r="J1525" s="2">
        <v>45379</v>
      </c>
      <c r="K1525" t="s">
        <v>21</v>
      </c>
      <c r="L1525" t="s">
        <v>1710</v>
      </c>
      <c r="M1525" t="s">
        <v>1709</v>
      </c>
      <c r="N1525" s="1">
        <f>Table1[[#This Row],[Consideration Weight]]</f>
        <v>0.49</v>
      </c>
      <c r="O1525" t="s">
        <v>476</v>
      </c>
      <c r="P1525" s="1">
        <v>0.49</v>
      </c>
      <c r="Q1525" s="1" t="s">
        <v>1636</v>
      </c>
      <c r="R1525" t="s">
        <v>23</v>
      </c>
      <c r="S1525" t="s">
        <v>1083</v>
      </c>
      <c r="T1525" t="s">
        <v>226</v>
      </c>
      <c r="U1525" s="1">
        <v>0.6</v>
      </c>
    </row>
    <row r="1526" spans="1:22" x14ac:dyDescent="0.3">
      <c r="A1526" t="s">
        <v>902</v>
      </c>
      <c r="B1526" t="str">
        <f ca="1">OFFSET(Industries!C$1,MATCH(Table1[[#This Row],[Ticker]],Industries!$A$2:$A$150,0),0)</f>
        <v>Information Technology</v>
      </c>
      <c r="C1526" t="str">
        <f ca="1">OFFSET(Industries!D$1,MATCH(Table1[[#This Row],[Ticker]],Industries!$A$2:$A$150,0),0)</f>
        <v>Semiconductors</v>
      </c>
      <c r="D1526" t="str">
        <f ca="1">OFFSET(Industries!E$1,MATCH(Table1[[#This Row],[Ticker]],Industries!$A$2:$A$150,0),0)</f>
        <v>Semiconductors</v>
      </c>
      <c r="E1526" t="s">
        <v>34</v>
      </c>
      <c r="F1526" t="str">
        <f ca="1">OFFSET(Industries!B$1,MATCH(Table1[[#This Row],[Ticker]],Industries!$A$2:$A$140,0),0)</f>
        <v>Mega-Cap</v>
      </c>
      <c r="G1526" t="str">
        <f ca="1">OFFSET(Industries!F$1,MATCH(Table1[[#This Row],[Ticker]],Industries!$A$2:$A$140,0),0)</f>
        <v>A-</v>
      </c>
      <c r="H1526" t="s">
        <v>1434</v>
      </c>
      <c r="I1526" t="s">
        <v>1434</v>
      </c>
      <c r="J1526" s="2">
        <v>45379</v>
      </c>
      <c r="K1526" t="s">
        <v>21</v>
      </c>
      <c r="L1526" t="s">
        <v>1710</v>
      </c>
      <c r="M1526" t="s">
        <v>1709</v>
      </c>
      <c r="N1526" s="1"/>
      <c r="O1526" t="s">
        <v>476</v>
      </c>
      <c r="P1526" s="1">
        <v>0.49</v>
      </c>
      <c r="Q1526" s="1" t="s">
        <v>1636</v>
      </c>
      <c r="R1526" t="s">
        <v>62</v>
      </c>
      <c r="S1526" t="s">
        <v>63</v>
      </c>
      <c r="T1526" t="s">
        <v>63</v>
      </c>
      <c r="U1526" s="1">
        <v>0.4</v>
      </c>
    </row>
    <row r="1527" spans="1:22" x14ac:dyDescent="0.3">
      <c r="A1527" t="s">
        <v>902</v>
      </c>
      <c r="B1527" t="str">
        <f ca="1">OFFSET(Industries!C$1,MATCH(Table1[[#This Row],[Ticker]],Industries!$A$2:$A$150,0),0)</f>
        <v>Information Technology</v>
      </c>
      <c r="C1527" t="str">
        <f ca="1">OFFSET(Industries!D$1,MATCH(Table1[[#This Row],[Ticker]],Industries!$A$2:$A$150,0),0)</f>
        <v>Semiconductors</v>
      </c>
      <c r="D1527" t="str">
        <f ca="1">OFFSET(Industries!E$1,MATCH(Table1[[#This Row],[Ticker]],Industries!$A$2:$A$150,0),0)</f>
        <v>Semiconductors</v>
      </c>
      <c r="E1527" t="s">
        <v>34</v>
      </c>
      <c r="F1527" t="str">
        <f ca="1">OFFSET(Industries!B$1,MATCH(Table1[[#This Row],[Ticker]],Industries!$A$2:$A$140,0),0)</f>
        <v>Mega-Cap</v>
      </c>
      <c r="G1527" t="str">
        <f ca="1">OFFSET(Industries!F$1,MATCH(Table1[[#This Row],[Ticker]],Industries!$A$2:$A$140,0),0)</f>
        <v>A-</v>
      </c>
      <c r="H1527" t="s">
        <v>1434</v>
      </c>
      <c r="I1527" t="s">
        <v>1434</v>
      </c>
      <c r="J1527" s="2">
        <v>45379</v>
      </c>
      <c r="K1527" t="s">
        <v>21</v>
      </c>
      <c r="L1527" t="s">
        <v>1710</v>
      </c>
      <c r="M1527" t="s">
        <v>1709</v>
      </c>
      <c r="N1527" s="1"/>
      <c r="O1527" t="s">
        <v>476</v>
      </c>
      <c r="P1527" s="1">
        <v>0.49</v>
      </c>
      <c r="R1527" t="s">
        <v>28</v>
      </c>
      <c r="S1527" t="s">
        <v>1085</v>
      </c>
      <c r="T1527" t="s">
        <v>30</v>
      </c>
    </row>
    <row r="1528" spans="1:22" x14ac:dyDescent="0.3">
      <c r="A1528" t="s">
        <v>902</v>
      </c>
      <c r="B1528" t="str">
        <f ca="1">OFFSET(Industries!C$1,MATCH(Table1[[#This Row],[Ticker]],Industries!$A$2:$A$150,0),0)</f>
        <v>Information Technology</v>
      </c>
      <c r="C1528" t="str">
        <f ca="1">OFFSET(Industries!D$1,MATCH(Table1[[#This Row],[Ticker]],Industries!$A$2:$A$150,0),0)</f>
        <v>Semiconductors</v>
      </c>
      <c r="D1528" t="str">
        <f ca="1">OFFSET(Industries!E$1,MATCH(Table1[[#This Row],[Ticker]],Industries!$A$2:$A$150,0),0)</f>
        <v>Semiconductors</v>
      </c>
      <c r="E1528" t="s">
        <v>34</v>
      </c>
      <c r="F1528" t="str">
        <f ca="1">OFFSET(Industries!B$1,MATCH(Table1[[#This Row],[Ticker]],Industries!$A$2:$A$140,0),0)</f>
        <v>Mega-Cap</v>
      </c>
      <c r="G1528" t="str">
        <f ca="1">OFFSET(Industries!F$1,MATCH(Table1[[#This Row],[Ticker]],Industries!$A$2:$A$140,0),0)</f>
        <v>A-</v>
      </c>
      <c r="H1528" t="s">
        <v>1434</v>
      </c>
      <c r="I1528" t="s">
        <v>1434</v>
      </c>
      <c r="J1528" s="2">
        <v>45379</v>
      </c>
      <c r="K1528" t="s">
        <v>21</v>
      </c>
      <c r="L1528" t="s">
        <v>1710</v>
      </c>
      <c r="M1528" t="s">
        <v>1709</v>
      </c>
      <c r="N1528" s="1"/>
      <c r="O1528" t="s">
        <v>476</v>
      </c>
      <c r="P1528" s="1">
        <v>0.49</v>
      </c>
      <c r="R1528" t="s">
        <v>28</v>
      </c>
      <c r="S1528" t="s">
        <v>1125</v>
      </c>
      <c r="T1528" t="s">
        <v>631</v>
      </c>
    </row>
    <row r="1529" spans="1:22" x14ac:dyDescent="0.3">
      <c r="A1529" t="s">
        <v>902</v>
      </c>
      <c r="B1529" t="str">
        <f ca="1">OFFSET(Industries!C$1,MATCH(Table1[[#This Row],[Ticker]],Industries!$A$2:$A$150,0),0)</f>
        <v>Information Technology</v>
      </c>
      <c r="C1529" t="str">
        <f ca="1">OFFSET(Industries!D$1,MATCH(Table1[[#This Row],[Ticker]],Industries!$A$2:$A$150,0),0)</f>
        <v>Semiconductors</v>
      </c>
      <c r="D1529" t="str">
        <f ca="1">OFFSET(Industries!E$1,MATCH(Table1[[#This Row],[Ticker]],Industries!$A$2:$A$150,0),0)</f>
        <v>Semiconductors</v>
      </c>
      <c r="E1529" t="s">
        <v>34</v>
      </c>
      <c r="F1529" t="str">
        <f ca="1">OFFSET(Industries!B$1,MATCH(Table1[[#This Row],[Ticker]],Industries!$A$2:$A$140,0),0)</f>
        <v>Mega-Cap</v>
      </c>
      <c r="G1529" t="str">
        <f ca="1">OFFSET(Industries!F$1,MATCH(Table1[[#This Row],[Ticker]],Industries!$A$2:$A$140,0),0)</f>
        <v>A-</v>
      </c>
      <c r="H1529" t="s">
        <v>1434</v>
      </c>
      <c r="I1529" t="s">
        <v>1434</v>
      </c>
      <c r="J1529" s="2">
        <v>45379</v>
      </c>
      <c r="K1529" t="s">
        <v>21</v>
      </c>
      <c r="L1529" t="s">
        <v>1710</v>
      </c>
      <c r="M1529" t="s">
        <v>1709</v>
      </c>
      <c r="N1529" s="1"/>
      <c r="O1529" t="s">
        <v>476</v>
      </c>
      <c r="P1529" s="1">
        <v>0.49</v>
      </c>
      <c r="R1529" t="s">
        <v>28</v>
      </c>
      <c r="S1529" t="s">
        <v>1095</v>
      </c>
      <c r="T1529" t="s">
        <v>55</v>
      </c>
    </row>
    <row r="1530" spans="1:22" x14ac:dyDescent="0.3">
      <c r="A1530" t="s">
        <v>902</v>
      </c>
      <c r="B1530" t="str">
        <f ca="1">OFFSET(Industries!C$1,MATCH(Table1[[#This Row],[Ticker]],Industries!$A$2:$A$150,0),0)</f>
        <v>Information Technology</v>
      </c>
      <c r="C1530" t="str">
        <f ca="1">OFFSET(Industries!D$1,MATCH(Table1[[#This Row],[Ticker]],Industries!$A$2:$A$150,0),0)</f>
        <v>Semiconductors</v>
      </c>
      <c r="D1530" t="str">
        <f ca="1">OFFSET(Industries!E$1,MATCH(Table1[[#This Row],[Ticker]],Industries!$A$2:$A$150,0),0)</f>
        <v>Semiconductors</v>
      </c>
      <c r="E1530" t="s">
        <v>34</v>
      </c>
      <c r="F1530" t="str">
        <f ca="1">OFFSET(Industries!B$1,MATCH(Table1[[#This Row],[Ticker]],Industries!$A$2:$A$140,0),0)</f>
        <v>Mega-Cap</v>
      </c>
      <c r="G1530" t="str">
        <f ca="1">OFFSET(Industries!F$1,MATCH(Table1[[#This Row],[Ticker]],Industries!$A$2:$A$140,0),0)</f>
        <v>A-</v>
      </c>
      <c r="H1530" t="s">
        <v>1434</v>
      </c>
      <c r="I1530" t="s">
        <v>1434</v>
      </c>
      <c r="J1530" s="2">
        <v>45379</v>
      </c>
      <c r="K1530" t="s">
        <v>21</v>
      </c>
      <c r="L1530" t="s">
        <v>1710</v>
      </c>
      <c r="M1530" t="s">
        <v>1711</v>
      </c>
      <c r="N1530" s="1">
        <f>Table1[[#This Row],[Consideration Weight]]</f>
        <v>0.32</v>
      </c>
      <c r="O1530" t="s">
        <v>194</v>
      </c>
      <c r="P1530" s="1">
        <v>0.32</v>
      </c>
    </row>
    <row r="1531" spans="1:22" x14ac:dyDescent="0.3">
      <c r="A1531" t="s">
        <v>909</v>
      </c>
      <c r="B1531" t="str">
        <f ca="1">OFFSET(Industries!C$1,MATCH(Table1[[#This Row],[Ticker]],Industries!$A$2:$A$150,0),0)</f>
        <v>Real Estate</v>
      </c>
      <c r="C1531" t="str">
        <f ca="1">OFFSET(Industries!D$1,MATCH(Table1[[#This Row],[Ticker]],Industries!$A$2:$A$150,0),0)</f>
        <v>Equity Real Estate Investment Trusts (REITs)</v>
      </c>
      <c r="D1531" t="str">
        <f ca="1">OFFSET(Industries!E$1,MATCH(Table1[[#This Row],[Ticker]],Industries!$A$2:$A$150,0),0)</f>
        <v>Specialized REITs</v>
      </c>
      <c r="E1531" t="s">
        <v>910</v>
      </c>
      <c r="F1531" t="str">
        <f ca="1">OFFSET(Industries!B$1,MATCH(Table1[[#This Row],[Ticker]],Industries!$A$2:$A$140,0),0)</f>
        <v>Large-Cap</v>
      </c>
      <c r="G1531" t="str">
        <f ca="1">OFFSET(Industries!F$1,MATCH(Table1[[#This Row],[Ticker]],Industries!$A$2:$A$140,0),0)</f>
        <v>BBB-</v>
      </c>
      <c r="H1531" t="s">
        <v>1434</v>
      </c>
      <c r="I1531" t="s">
        <v>1434</v>
      </c>
      <c r="J1531" s="2">
        <v>45365</v>
      </c>
      <c r="K1531" t="s">
        <v>2</v>
      </c>
      <c r="L1531" t="s">
        <v>3</v>
      </c>
      <c r="M1531" t="s">
        <v>1711</v>
      </c>
      <c r="N1531" s="1">
        <f>Table1[[#This Row],[Consideration Weight]]</f>
        <v>0.108</v>
      </c>
      <c r="O1531" t="s">
        <v>3</v>
      </c>
      <c r="P1531" s="1">
        <v>0.108</v>
      </c>
      <c r="V1531" t="s">
        <v>911</v>
      </c>
    </row>
    <row r="1532" spans="1:22" x14ac:dyDescent="0.3">
      <c r="A1532" t="s">
        <v>909</v>
      </c>
      <c r="B1532" t="str">
        <f ca="1">OFFSET(Industries!C$1,MATCH(Table1[[#This Row],[Ticker]],Industries!$A$2:$A$150,0),0)</f>
        <v>Real Estate</v>
      </c>
      <c r="C1532" t="str">
        <f ca="1">OFFSET(Industries!D$1,MATCH(Table1[[#This Row],[Ticker]],Industries!$A$2:$A$150,0),0)</f>
        <v>Equity Real Estate Investment Trusts (REITs)</v>
      </c>
      <c r="D1532" t="str">
        <f ca="1">OFFSET(Industries!E$1,MATCH(Table1[[#This Row],[Ticker]],Industries!$A$2:$A$150,0),0)</f>
        <v>Specialized REITs</v>
      </c>
      <c r="E1532" t="s">
        <v>910</v>
      </c>
      <c r="F1532" t="str">
        <f ca="1">OFFSET(Industries!B$1,MATCH(Table1[[#This Row],[Ticker]],Industries!$A$2:$A$140,0),0)</f>
        <v>Large-Cap</v>
      </c>
      <c r="G1532" t="str">
        <f ca="1">OFFSET(Industries!F$1,MATCH(Table1[[#This Row],[Ticker]],Industries!$A$2:$A$140,0),0)</f>
        <v>BBB-</v>
      </c>
      <c r="H1532" t="s">
        <v>1434</v>
      </c>
      <c r="I1532" t="s">
        <v>1434</v>
      </c>
      <c r="J1532" s="2">
        <v>45365</v>
      </c>
      <c r="K1532" t="s">
        <v>2</v>
      </c>
      <c r="L1532" t="s">
        <v>1708</v>
      </c>
      <c r="M1532" t="s">
        <v>1709</v>
      </c>
      <c r="N1532" s="1">
        <f>Table1[[#This Row],[Consideration Weight]]</f>
        <v>0.216</v>
      </c>
      <c r="O1532" t="s">
        <v>4</v>
      </c>
      <c r="P1532" s="1">
        <v>0.216</v>
      </c>
      <c r="Q1532" s="1" t="s">
        <v>1636</v>
      </c>
      <c r="R1532" t="s">
        <v>62</v>
      </c>
      <c r="S1532" t="s">
        <v>1166</v>
      </c>
      <c r="T1532" t="s">
        <v>913</v>
      </c>
      <c r="U1532" s="1">
        <v>1</v>
      </c>
    </row>
    <row r="1533" spans="1:22" x14ac:dyDescent="0.3">
      <c r="A1533" t="s">
        <v>909</v>
      </c>
      <c r="B1533" t="str">
        <f ca="1">OFFSET(Industries!C$1,MATCH(Table1[[#This Row],[Ticker]],Industries!$A$2:$A$150,0),0)</f>
        <v>Real Estate</v>
      </c>
      <c r="C1533" t="str">
        <f ca="1">OFFSET(Industries!D$1,MATCH(Table1[[#This Row],[Ticker]],Industries!$A$2:$A$150,0),0)</f>
        <v>Equity Real Estate Investment Trusts (REITs)</v>
      </c>
      <c r="D1533" t="str">
        <f ca="1">OFFSET(Industries!E$1,MATCH(Table1[[#This Row],[Ticker]],Industries!$A$2:$A$150,0),0)</f>
        <v>Specialized REITs</v>
      </c>
      <c r="E1533" t="s">
        <v>910</v>
      </c>
      <c r="F1533" t="str">
        <f ca="1">OFFSET(Industries!B$1,MATCH(Table1[[#This Row],[Ticker]],Industries!$A$2:$A$140,0),0)</f>
        <v>Large-Cap</v>
      </c>
      <c r="G1533" t="str">
        <f ca="1">OFFSET(Industries!F$1,MATCH(Table1[[#This Row],[Ticker]],Industries!$A$2:$A$140,0),0)</f>
        <v>BBB-</v>
      </c>
      <c r="H1533" t="s">
        <v>1434</v>
      </c>
      <c r="I1533" t="s">
        <v>1434</v>
      </c>
      <c r="J1533" s="2">
        <v>45365</v>
      </c>
      <c r="K1533" t="s">
        <v>2</v>
      </c>
      <c r="L1533" t="s">
        <v>1710</v>
      </c>
      <c r="M1533" t="s">
        <v>1709</v>
      </c>
      <c r="N1533" s="1">
        <f>Table1[[#This Row],[Consideration Weight]]</f>
        <v>0.40560000000000002</v>
      </c>
      <c r="O1533" t="s">
        <v>476</v>
      </c>
      <c r="P1533" s="1">
        <f>0.6*0.676</f>
        <v>0.40560000000000002</v>
      </c>
      <c r="Q1533" s="1" t="s">
        <v>1646</v>
      </c>
      <c r="R1533" t="s">
        <v>35</v>
      </c>
      <c r="S1533" t="s">
        <v>36</v>
      </c>
      <c r="T1533" t="s">
        <v>55</v>
      </c>
      <c r="U1533" s="1">
        <v>0.5</v>
      </c>
      <c r="V1533" t="s">
        <v>912</v>
      </c>
    </row>
    <row r="1534" spans="1:22" x14ac:dyDescent="0.3">
      <c r="A1534" t="s">
        <v>909</v>
      </c>
      <c r="B1534" t="str">
        <f ca="1">OFFSET(Industries!C$1,MATCH(Table1[[#This Row],[Ticker]],Industries!$A$2:$A$150,0),0)</f>
        <v>Real Estate</v>
      </c>
      <c r="C1534" t="str">
        <f ca="1">OFFSET(Industries!D$1,MATCH(Table1[[#This Row],[Ticker]],Industries!$A$2:$A$150,0),0)</f>
        <v>Equity Real Estate Investment Trusts (REITs)</v>
      </c>
      <c r="D1534" t="str">
        <f ca="1">OFFSET(Industries!E$1,MATCH(Table1[[#This Row],[Ticker]],Industries!$A$2:$A$150,0),0)</f>
        <v>Specialized REITs</v>
      </c>
      <c r="E1534" t="s">
        <v>910</v>
      </c>
      <c r="F1534" t="str">
        <f ca="1">OFFSET(Industries!B$1,MATCH(Table1[[#This Row],[Ticker]],Industries!$A$2:$A$140,0),0)</f>
        <v>Large-Cap</v>
      </c>
      <c r="G1534" t="str">
        <f ca="1">OFFSET(Industries!F$1,MATCH(Table1[[#This Row],[Ticker]],Industries!$A$2:$A$140,0),0)</f>
        <v>BBB-</v>
      </c>
      <c r="H1534" t="s">
        <v>1434</v>
      </c>
      <c r="I1534" t="s">
        <v>1434</v>
      </c>
      <c r="J1534" s="2">
        <v>45365</v>
      </c>
      <c r="K1534" t="s">
        <v>2</v>
      </c>
      <c r="L1534" t="s">
        <v>1710</v>
      </c>
      <c r="M1534" t="s">
        <v>1709</v>
      </c>
      <c r="N1534" s="1"/>
      <c r="O1534" t="s">
        <v>476</v>
      </c>
      <c r="P1534" s="1">
        <f>0.6*0.676</f>
        <v>0.40560000000000002</v>
      </c>
      <c r="Q1534" s="1" t="s">
        <v>1646</v>
      </c>
      <c r="R1534" t="s">
        <v>35</v>
      </c>
      <c r="S1534" t="s">
        <v>29</v>
      </c>
      <c r="T1534" t="s">
        <v>30</v>
      </c>
      <c r="U1534" s="1">
        <v>0.5</v>
      </c>
    </row>
    <row r="1535" spans="1:22" x14ac:dyDescent="0.3">
      <c r="A1535" t="s">
        <v>909</v>
      </c>
      <c r="B1535" t="str">
        <f ca="1">OFFSET(Industries!C$1,MATCH(Table1[[#This Row],[Ticker]],Industries!$A$2:$A$150,0),0)</f>
        <v>Real Estate</v>
      </c>
      <c r="C1535" t="str">
        <f ca="1">OFFSET(Industries!D$1,MATCH(Table1[[#This Row],[Ticker]],Industries!$A$2:$A$150,0),0)</f>
        <v>Equity Real Estate Investment Trusts (REITs)</v>
      </c>
      <c r="D1535" t="str">
        <f ca="1">OFFSET(Industries!E$1,MATCH(Table1[[#This Row],[Ticker]],Industries!$A$2:$A$150,0),0)</f>
        <v>Specialized REITs</v>
      </c>
      <c r="E1535" t="s">
        <v>910</v>
      </c>
      <c r="F1535" t="str">
        <f ca="1">OFFSET(Industries!B$1,MATCH(Table1[[#This Row],[Ticker]],Industries!$A$2:$A$140,0),0)</f>
        <v>Large-Cap</v>
      </c>
      <c r="G1535" t="str">
        <f ca="1">OFFSET(Industries!F$1,MATCH(Table1[[#This Row],[Ticker]],Industries!$A$2:$A$140,0),0)</f>
        <v>BBB-</v>
      </c>
      <c r="H1535" t="s">
        <v>1434</v>
      </c>
      <c r="I1535" t="s">
        <v>1434</v>
      </c>
      <c r="J1535" s="2">
        <v>45365</v>
      </c>
      <c r="K1535" t="s">
        <v>2</v>
      </c>
      <c r="L1535" t="s">
        <v>1710</v>
      </c>
      <c r="M1535" t="s">
        <v>1711</v>
      </c>
      <c r="N1535" s="1">
        <f>Table1[[#This Row],[Consideration Weight]]</f>
        <v>0.27040000000000003</v>
      </c>
      <c r="O1535" t="s">
        <v>194</v>
      </c>
      <c r="P1535" s="1">
        <f>0.676*0.4</f>
        <v>0.27040000000000003</v>
      </c>
    </row>
    <row r="1536" spans="1:22" x14ac:dyDescent="0.3">
      <c r="A1536" t="s">
        <v>909</v>
      </c>
      <c r="B1536" t="str">
        <f ca="1">OFFSET(Industries!C$1,MATCH(Table1[[#This Row],[Ticker]],Industries!$A$2:$A$150,0),0)</f>
        <v>Real Estate</v>
      </c>
      <c r="C1536" t="str">
        <f ca="1">OFFSET(Industries!D$1,MATCH(Table1[[#This Row],[Ticker]],Industries!$A$2:$A$150,0),0)</f>
        <v>Equity Real Estate Investment Trusts (REITs)</v>
      </c>
      <c r="D1536" t="str">
        <f ca="1">OFFSET(Industries!E$1,MATCH(Table1[[#This Row],[Ticker]],Industries!$A$2:$A$150,0),0)</f>
        <v>Specialized REITs</v>
      </c>
      <c r="E1536" t="s">
        <v>910</v>
      </c>
      <c r="F1536" t="str">
        <f ca="1">OFFSET(Industries!B$1,MATCH(Table1[[#This Row],[Ticker]],Industries!$A$2:$A$140,0),0)</f>
        <v>Large-Cap</v>
      </c>
      <c r="G1536" t="str">
        <f ca="1">OFFSET(Industries!F$1,MATCH(Table1[[#This Row],[Ticker]],Industries!$A$2:$A$140,0),0)</f>
        <v>BBB-</v>
      </c>
      <c r="H1536" t="s">
        <v>1434</v>
      </c>
      <c r="I1536" t="s">
        <v>1434</v>
      </c>
      <c r="J1536" s="2">
        <v>45365</v>
      </c>
      <c r="K1536" t="s">
        <v>21</v>
      </c>
      <c r="L1536" t="s">
        <v>3</v>
      </c>
      <c r="M1536" t="s">
        <v>1711</v>
      </c>
      <c r="N1536" s="1">
        <f>Table1[[#This Row],[Consideration Weight]]</f>
        <v>0.22</v>
      </c>
      <c r="O1536" t="s">
        <v>3</v>
      </c>
      <c r="P1536" s="1">
        <v>0.22</v>
      </c>
    </row>
    <row r="1537" spans="1:22" x14ac:dyDescent="0.3">
      <c r="A1537" t="s">
        <v>909</v>
      </c>
      <c r="B1537" t="str">
        <f ca="1">OFFSET(Industries!C$1,MATCH(Table1[[#This Row],[Ticker]],Industries!$A$2:$A$150,0),0)</f>
        <v>Real Estate</v>
      </c>
      <c r="C1537" t="str">
        <f ca="1">OFFSET(Industries!D$1,MATCH(Table1[[#This Row],[Ticker]],Industries!$A$2:$A$150,0),0)</f>
        <v>Equity Real Estate Investment Trusts (REITs)</v>
      </c>
      <c r="D1537" t="str">
        <f ca="1">OFFSET(Industries!E$1,MATCH(Table1[[#This Row],[Ticker]],Industries!$A$2:$A$150,0),0)</f>
        <v>Specialized REITs</v>
      </c>
      <c r="E1537" t="s">
        <v>910</v>
      </c>
      <c r="F1537" t="str">
        <f ca="1">OFFSET(Industries!B$1,MATCH(Table1[[#This Row],[Ticker]],Industries!$A$2:$A$140,0),0)</f>
        <v>Large-Cap</v>
      </c>
      <c r="G1537" t="str">
        <f ca="1">OFFSET(Industries!F$1,MATCH(Table1[[#This Row],[Ticker]],Industries!$A$2:$A$140,0),0)</f>
        <v>BBB-</v>
      </c>
      <c r="H1537" t="s">
        <v>1434</v>
      </c>
      <c r="I1537" t="s">
        <v>1434</v>
      </c>
      <c r="J1537" s="2">
        <v>45365</v>
      </c>
      <c r="K1537" t="s">
        <v>21</v>
      </c>
      <c r="L1537" t="s">
        <v>1708</v>
      </c>
      <c r="M1537" t="s">
        <v>1709</v>
      </c>
      <c r="N1537" s="1">
        <f>Table1[[#This Row],[Consideration Weight]]</f>
        <v>0.25</v>
      </c>
      <c r="O1537" t="s">
        <v>4</v>
      </c>
      <c r="P1537" s="1">
        <v>0.25</v>
      </c>
      <c r="Q1537" s="1" t="s">
        <v>1636</v>
      </c>
      <c r="R1537" t="s">
        <v>62</v>
      </c>
      <c r="S1537" t="s">
        <v>1166</v>
      </c>
      <c r="T1537" t="s">
        <v>913</v>
      </c>
      <c r="U1537" s="1">
        <v>1</v>
      </c>
    </row>
    <row r="1538" spans="1:22" x14ac:dyDescent="0.3">
      <c r="A1538" t="s">
        <v>909</v>
      </c>
      <c r="B1538" t="str">
        <f ca="1">OFFSET(Industries!C$1,MATCH(Table1[[#This Row],[Ticker]],Industries!$A$2:$A$150,0),0)</f>
        <v>Real Estate</v>
      </c>
      <c r="C1538" t="str">
        <f ca="1">OFFSET(Industries!D$1,MATCH(Table1[[#This Row],[Ticker]],Industries!$A$2:$A$150,0),0)</f>
        <v>Equity Real Estate Investment Trusts (REITs)</v>
      </c>
      <c r="D1538" t="str">
        <f ca="1">OFFSET(Industries!E$1,MATCH(Table1[[#This Row],[Ticker]],Industries!$A$2:$A$150,0),0)</f>
        <v>Specialized REITs</v>
      </c>
      <c r="E1538" t="s">
        <v>910</v>
      </c>
      <c r="F1538" t="str">
        <f ca="1">OFFSET(Industries!B$1,MATCH(Table1[[#This Row],[Ticker]],Industries!$A$2:$A$140,0),0)</f>
        <v>Large-Cap</v>
      </c>
      <c r="G1538" t="str">
        <f ca="1">OFFSET(Industries!F$1,MATCH(Table1[[#This Row],[Ticker]],Industries!$A$2:$A$140,0),0)</f>
        <v>BBB-</v>
      </c>
      <c r="H1538" t="s">
        <v>1434</v>
      </c>
      <c r="I1538" t="s">
        <v>1434</v>
      </c>
      <c r="J1538" s="2">
        <v>45365</v>
      </c>
      <c r="K1538" t="s">
        <v>21</v>
      </c>
      <c r="L1538" t="s">
        <v>1710</v>
      </c>
      <c r="M1538" t="s">
        <v>1709</v>
      </c>
      <c r="N1538" s="1">
        <f>Table1[[#This Row],[Consideration Weight]]</f>
        <v>0.32</v>
      </c>
      <c r="O1538" t="s">
        <v>476</v>
      </c>
      <c r="P1538" s="1">
        <v>0.32</v>
      </c>
      <c r="Q1538" s="1" t="s">
        <v>1646</v>
      </c>
      <c r="R1538" t="s">
        <v>35</v>
      </c>
      <c r="S1538" t="s">
        <v>36</v>
      </c>
      <c r="T1538" t="s">
        <v>55</v>
      </c>
      <c r="U1538" s="1">
        <v>0.5</v>
      </c>
    </row>
    <row r="1539" spans="1:22" x14ac:dyDescent="0.3">
      <c r="A1539" t="s">
        <v>909</v>
      </c>
      <c r="B1539" t="str">
        <f ca="1">OFFSET(Industries!C$1,MATCH(Table1[[#This Row],[Ticker]],Industries!$A$2:$A$150,0),0)</f>
        <v>Real Estate</v>
      </c>
      <c r="C1539" t="str">
        <f ca="1">OFFSET(Industries!D$1,MATCH(Table1[[#This Row],[Ticker]],Industries!$A$2:$A$150,0),0)</f>
        <v>Equity Real Estate Investment Trusts (REITs)</v>
      </c>
      <c r="D1539" t="str">
        <f ca="1">OFFSET(Industries!E$1,MATCH(Table1[[#This Row],[Ticker]],Industries!$A$2:$A$150,0),0)</f>
        <v>Specialized REITs</v>
      </c>
      <c r="E1539" t="s">
        <v>910</v>
      </c>
      <c r="F1539" t="str">
        <f ca="1">OFFSET(Industries!B$1,MATCH(Table1[[#This Row],[Ticker]],Industries!$A$2:$A$140,0),0)</f>
        <v>Large-Cap</v>
      </c>
      <c r="G1539" t="str">
        <f ca="1">OFFSET(Industries!F$1,MATCH(Table1[[#This Row],[Ticker]],Industries!$A$2:$A$140,0),0)</f>
        <v>BBB-</v>
      </c>
      <c r="H1539" t="s">
        <v>1434</v>
      </c>
      <c r="I1539" t="s">
        <v>1434</v>
      </c>
      <c r="J1539" s="2">
        <v>45365</v>
      </c>
      <c r="K1539" t="s">
        <v>21</v>
      </c>
      <c r="L1539" t="s">
        <v>1710</v>
      </c>
      <c r="M1539" t="s">
        <v>1709</v>
      </c>
      <c r="N1539" s="1"/>
      <c r="O1539" t="s">
        <v>476</v>
      </c>
      <c r="P1539" s="1">
        <v>0.32</v>
      </c>
      <c r="Q1539" s="1" t="s">
        <v>1646</v>
      </c>
      <c r="R1539" t="s">
        <v>35</v>
      </c>
      <c r="S1539" t="s">
        <v>29</v>
      </c>
      <c r="T1539" t="s">
        <v>30</v>
      </c>
      <c r="U1539" s="1">
        <v>0.5</v>
      </c>
    </row>
    <row r="1540" spans="1:22" x14ac:dyDescent="0.3">
      <c r="A1540" t="s">
        <v>909</v>
      </c>
      <c r="B1540" t="str">
        <f ca="1">OFFSET(Industries!C$1,MATCH(Table1[[#This Row],[Ticker]],Industries!$A$2:$A$150,0),0)</f>
        <v>Real Estate</v>
      </c>
      <c r="C1540" t="str">
        <f ca="1">OFFSET(Industries!D$1,MATCH(Table1[[#This Row],[Ticker]],Industries!$A$2:$A$150,0),0)</f>
        <v>Equity Real Estate Investment Trusts (REITs)</v>
      </c>
      <c r="D1540" t="str">
        <f ca="1">OFFSET(Industries!E$1,MATCH(Table1[[#This Row],[Ticker]],Industries!$A$2:$A$150,0),0)</f>
        <v>Specialized REITs</v>
      </c>
      <c r="E1540" t="s">
        <v>910</v>
      </c>
      <c r="F1540" t="str">
        <f ca="1">OFFSET(Industries!B$1,MATCH(Table1[[#This Row],[Ticker]],Industries!$A$2:$A$140,0),0)</f>
        <v>Large-Cap</v>
      </c>
      <c r="G1540" t="str">
        <f ca="1">OFFSET(Industries!F$1,MATCH(Table1[[#This Row],[Ticker]],Industries!$A$2:$A$140,0),0)</f>
        <v>BBB-</v>
      </c>
      <c r="H1540" t="s">
        <v>1434</v>
      </c>
      <c r="I1540" t="s">
        <v>1434</v>
      </c>
      <c r="J1540" s="2">
        <v>45365</v>
      </c>
      <c r="K1540" t="s">
        <v>21</v>
      </c>
      <c r="L1540" t="s">
        <v>1710</v>
      </c>
      <c r="M1540" t="s">
        <v>1711</v>
      </c>
      <c r="N1540" s="1">
        <f>Table1[[#This Row],[Consideration Weight]]</f>
        <v>0.21</v>
      </c>
      <c r="O1540" t="s">
        <v>194</v>
      </c>
      <c r="P1540" s="1">
        <v>0.21</v>
      </c>
    </row>
    <row r="1541" spans="1:22" x14ac:dyDescent="0.3">
      <c r="A1541" t="s">
        <v>914</v>
      </c>
      <c r="B1541" t="str">
        <f ca="1">OFFSET(Industries!C$1,MATCH(Table1[[#This Row],[Ticker]],Industries!$A$2:$A$150,0),0)</f>
        <v>Consumer Staples</v>
      </c>
      <c r="C1541" t="str">
        <f ca="1">OFFSET(Industries!D$1,MATCH(Table1[[#This Row],[Ticker]],Industries!$A$2:$A$150,0),0)</f>
        <v>Consumer Staples Distribution and Retail</v>
      </c>
      <c r="D1541" t="str">
        <f ca="1">OFFSET(Industries!E$1,MATCH(Table1[[#This Row],[Ticker]],Industries!$A$2:$A$150,0),0)</f>
        <v>Consumer Staples Distribution and Retail</v>
      </c>
      <c r="E1541" t="s">
        <v>915</v>
      </c>
      <c r="F1541" t="str">
        <f ca="1">OFFSET(Industries!B$1,MATCH(Table1[[#This Row],[Ticker]],Industries!$A$2:$A$140,0),0)</f>
        <v>Mega-Cap</v>
      </c>
      <c r="G1541" t="str">
        <f ca="1">OFFSET(Industries!F$1,MATCH(Table1[[#This Row],[Ticker]],Industries!$A$2:$A$140,0),0)</f>
        <v>A+</v>
      </c>
      <c r="H1541" t="s">
        <v>1434</v>
      </c>
      <c r="I1541" t="s">
        <v>1434</v>
      </c>
      <c r="J1541" s="2">
        <v>45267</v>
      </c>
      <c r="K1541" t="s">
        <v>2</v>
      </c>
      <c r="L1541" t="s">
        <v>3</v>
      </c>
      <c r="M1541" t="s">
        <v>1711</v>
      </c>
      <c r="N1541" s="1">
        <f>Table1[[#This Row],[Consideration Weight]]</f>
        <v>6.9000000000000006E-2</v>
      </c>
      <c r="O1541" t="s">
        <v>3</v>
      </c>
      <c r="P1541" s="1">
        <v>6.9000000000000006E-2</v>
      </c>
      <c r="V1541" t="s">
        <v>917</v>
      </c>
    </row>
    <row r="1542" spans="1:22" x14ac:dyDescent="0.3">
      <c r="A1542" t="s">
        <v>914</v>
      </c>
      <c r="B1542" t="str">
        <f ca="1">OFFSET(Industries!C$1,MATCH(Table1[[#This Row],[Ticker]],Industries!$A$2:$A$150,0),0)</f>
        <v>Consumer Staples</v>
      </c>
      <c r="C1542" t="str">
        <f ca="1">OFFSET(Industries!D$1,MATCH(Table1[[#This Row],[Ticker]],Industries!$A$2:$A$150,0),0)</f>
        <v>Consumer Staples Distribution and Retail</v>
      </c>
      <c r="D1542" t="str">
        <f ca="1">OFFSET(Industries!E$1,MATCH(Table1[[#This Row],[Ticker]],Industries!$A$2:$A$150,0),0)</f>
        <v>Consumer Staples Distribution and Retail</v>
      </c>
      <c r="E1542" t="s">
        <v>915</v>
      </c>
      <c r="F1542" t="str">
        <f ca="1">OFFSET(Industries!B$1,MATCH(Table1[[#This Row],[Ticker]],Industries!$A$2:$A$140,0),0)</f>
        <v>Mega-Cap</v>
      </c>
      <c r="G1542" t="str">
        <f ca="1">OFFSET(Industries!F$1,MATCH(Table1[[#This Row],[Ticker]],Industries!$A$2:$A$140,0),0)</f>
        <v>A+</v>
      </c>
      <c r="H1542" t="s">
        <v>1434</v>
      </c>
      <c r="I1542" t="s">
        <v>1434</v>
      </c>
      <c r="J1542" s="2">
        <v>45267</v>
      </c>
      <c r="K1542" t="s">
        <v>2</v>
      </c>
      <c r="L1542" t="s">
        <v>1708</v>
      </c>
      <c r="M1542" t="s">
        <v>1709</v>
      </c>
      <c r="N1542" s="1">
        <f>Table1[[#This Row],[Consideration Weight]]</f>
        <v>3.5999999999999997E-2</v>
      </c>
      <c r="O1542" t="s">
        <v>4</v>
      </c>
      <c r="P1542" s="1">
        <v>3.5999999999999997E-2</v>
      </c>
      <c r="Q1542" s="1" t="s">
        <v>1636</v>
      </c>
      <c r="R1542" t="s">
        <v>24</v>
      </c>
      <c r="S1542" t="s">
        <v>851</v>
      </c>
      <c r="T1542" t="s">
        <v>166</v>
      </c>
      <c r="U1542" s="1">
        <f>5/12</f>
        <v>0.41666666666666669</v>
      </c>
      <c r="V1542" t="s">
        <v>918</v>
      </c>
    </row>
    <row r="1543" spans="1:22" x14ac:dyDescent="0.3">
      <c r="A1543" t="s">
        <v>914</v>
      </c>
      <c r="B1543" t="str">
        <f ca="1">OFFSET(Industries!C$1,MATCH(Table1[[#This Row],[Ticker]],Industries!$A$2:$A$150,0),0)</f>
        <v>Consumer Staples</v>
      </c>
      <c r="C1543" t="str">
        <f ca="1">OFFSET(Industries!D$1,MATCH(Table1[[#This Row],[Ticker]],Industries!$A$2:$A$150,0),0)</f>
        <v>Consumer Staples Distribution and Retail</v>
      </c>
      <c r="D1543" t="str">
        <f ca="1">OFFSET(Industries!E$1,MATCH(Table1[[#This Row],[Ticker]],Industries!$A$2:$A$150,0),0)</f>
        <v>Consumer Staples Distribution and Retail</v>
      </c>
      <c r="E1543" t="s">
        <v>915</v>
      </c>
      <c r="F1543" t="str">
        <f ca="1">OFFSET(Industries!B$1,MATCH(Table1[[#This Row],[Ticker]],Industries!$A$2:$A$140,0),0)</f>
        <v>Mega-Cap</v>
      </c>
      <c r="G1543" t="str">
        <f ca="1">OFFSET(Industries!F$1,MATCH(Table1[[#This Row],[Ticker]],Industries!$A$2:$A$140,0),0)</f>
        <v>A+</v>
      </c>
      <c r="H1543" t="s">
        <v>1434</v>
      </c>
      <c r="I1543" t="s">
        <v>1434</v>
      </c>
      <c r="J1543" s="2">
        <v>45267</v>
      </c>
      <c r="K1543" t="s">
        <v>2</v>
      </c>
      <c r="L1543" t="s">
        <v>1708</v>
      </c>
      <c r="M1543" t="s">
        <v>1709</v>
      </c>
      <c r="N1543" s="1"/>
      <c r="O1543" t="s">
        <v>4</v>
      </c>
      <c r="P1543" s="1">
        <v>3.5999999999999997E-2</v>
      </c>
      <c r="Q1543" s="1" t="s">
        <v>1636</v>
      </c>
      <c r="R1543" t="s">
        <v>23</v>
      </c>
      <c r="S1543" t="s">
        <v>1083</v>
      </c>
      <c r="T1543" t="s">
        <v>489</v>
      </c>
      <c r="U1543" s="1">
        <f>5/12</f>
        <v>0.41666666666666669</v>
      </c>
      <c r="V1543" t="s">
        <v>920</v>
      </c>
    </row>
    <row r="1544" spans="1:22" x14ac:dyDescent="0.3">
      <c r="A1544" t="s">
        <v>914</v>
      </c>
      <c r="B1544" t="str">
        <f ca="1">OFFSET(Industries!C$1,MATCH(Table1[[#This Row],[Ticker]],Industries!$A$2:$A$150,0),0)</f>
        <v>Consumer Staples</v>
      </c>
      <c r="C1544" t="str">
        <f ca="1">OFFSET(Industries!D$1,MATCH(Table1[[#This Row],[Ticker]],Industries!$A$2:$A$150,0),0)</f>
        <v>Consumer Staples Distribution and Retail</v>
      </c>
      <c r="D1544" t="str">
        <f ca="1">OFFSET(Industries!E$1,MATCH(Table1[[#This Row],[Ticker]],Industries!$A$2:$A$150,0),0)</f>
        <v>Consumer Staples Distribution and Retail</v>
      </c>
      <c r="E1544" t="s">
        <v>915</v>
      </c>
      <c r="F1544" t="str">
        <f ca="1">OFFSET(Industries!B$1,MATCH(Table1[[#This Row],[Ticker]],Industries!$A$2:$A$140,0),0)</f>
        <v>Mega-Cap</v>
      </c>
      <c r="G1544" t="str">
        <f ca="1">OFFSET(Industries!F$1,MATCH(Table1[[#This Row],[Ticker]],Industries!$A$2:$A$140,0),0)</f>
        <v>A+</v>
      </c>
      <c r="H1544" t="s">
        <v>1434</v>
      </c>
      <c r="I1544" t="s">
        <v>1434</v>
      </c>
      <c r="J1544" s="2">
        <v>45267</v>
      </c>
      <c r="K1544" t="s">
        <v>2</v>
      </c>
      <c r="L1544" t="s">
        <v>1708</v>
      </c>
      <c r="M1544" t="s">
        <v>1709</v>
      </c>
      <c r="N1544" s="1"/>
      <c r="O1544" t="s">
        <v>4</v>
      </c>
      <c r="P1544" s="1">
        <v>3.5999999999999997E-2</v>
      </c>
      <c r="Q1544" s="1" t="s">
        <v>1637</v>
      </c>
      <c r="R1544" t="s">
        <v>26</v>
      </c>
      <c r="S1544" t="s">
        <v>26</v>
      </c>
      <c r="T1544" t="s">
        <v>26</v>
      </c>
      <c r="U1544" s="1">
        <f>1/6</f>
        <v>0.16666666666666666</v>
      </c>
      <c r="V1544" t="s">
        <v>1759</v>
      </c>
    </row>
    <row r="1545" spans="1:22" x14ac:dyDescent="0.3">
      <c r="A1545" t="s">
        <v>914</v>
      </c>
      <c r="B1545" t="str">
        <f ca="1">OFFSET(Industries!C$1,MATCH(Table1[[#This Row],[Ticker]],Industries!$A$2:$A$150,0),0)</f>
        <v>Consumer Staples</v>
      </c>
      <c r="C1545" t="str">
        <f ca="1">OFFSET(Industries!D$1,MATCH(Table1[[#This Row],[Ticker]],Industries!$A$2:$A$150,0),0)</f>
        <v>Consumer Staples Distribution and Retail</v>
      </c>
      <c r="D1545" t="str">
        <f ca="1">OFFSET(Industries!E$1,MATCH(Table1[[#This Row],[Ticker]],Industries!$A$2:$A$150,0),0)</f>
        <v>Consumer Staples Distribution and Retail</v>
      </c>
      <c r="E1545" t="s">
        <v>915</v>
      </c>
      <c r="F1545" t="str">
        <f ca="1">OFFSET(Industries!B$1,MATCH(Table1[[#This Row],[Ticker]],Industries!$A$2:$A$140,0),0)</f>
        <v>Mega-Cap</v>
      </c>
      <c r="G1545" t="str">
        <f ca="1">OFFSET(Industries!F$1,MATCH(Table1[[#This Row],[Ticker]],Industries!$A$2:$A$140,0),0)</f>
        <v>A+</v>
      </c>
      <c r="H1545" t="s">
        <v>1434</v>
      </c>
      <c r="I1545" t="s">
        <v>1434</v>
      </c>
      <c r="J1545" s="2">
        <v>45267</v>
      </c>
      <c r="K1545" t="s">
        <v>2</v>
      </c>
      <c r="L1545" t="s">
        <v>1710</v>
      </c>
      <c r="M1545" t="s">
        <v>1709</v>
      </c>
      <c r="N1545" s="1">
        <f>Table1[[#This Row],[Consideration Weight]]</f>
        <v>0.89500000000000002</v>
      </c>
      <c r="O1545" t="s">
        <v>476</v>
      </c>
      <c r="P1545" s="1">
        <v>0.89500000000000002</v>
      </c>
      <c r="Q1545" s="1" t="s">
        <v>1758</v>
      </c>
      <c r="R1545" t="s">
        <v>28</v>
      </c>
      <c r="S1545" t="s">
        <v>1167</v>
      </c>
      <c r="T1545" t="s">
        <v>226</v>
      </c>
      <c r="U1545" s="1">
        <v>0.5</v>
      </c>
      <c r="V1545" t="s">
        <v>919</v>
      </c>
    </row>
    <row r="1546" spans="1:22" x14ac:dyDescent="0.3">
      <c r="A1546" t="s">
        <v>914</v>
      </c>
      <c r="B1546" t="str">
        <f ca="1">OFFSET(Industries!C$1,MATCH(Table1[[#This Row],[Ticker]],Industries!$A$2:$A$150,0),0)</f>
        <v>Consumer Staples</v>
      </c>
      <c r="C1546" t="str">
        <f ca="1">OFFSET(Industries!D$1,MATCH(Table1[[#This Row],[Ticker]],Industries!$A$2:$A$150,0),0)</f>
        <v>Consumer Staples Distribution and Retail</v>
      </c>
      <c r="D1546" t="str">
        <f ca="1">OFFSET(Industries!E$1,MATCH(Table1[[#This Row],[Ticker]],Industries!$A$2:$A$150,0),0)</f>
        <v>Consumer Staples Distribution and Retail</v>
      </c>
      <c r="E1546" t="s">
        <v>915</v>
      </c>
      <c r="F1546" t="str">
        <f ca="1">OFFSET(Industries!B$1,MATCH(Table1[[#This Row],[Ticker]],Industries!$A$2:$A$140,0),0)</f>
        <v>Mega-Cap</v>
      </c>
      <c r="G1546" t="str">
        <f ca="1">OFFSET(Industries!F$1,MATCH(Table1[[#This Row],[Ticker]],Industries!$A$2:$A$140,0),0)</f>
        <v>A+</v>
      </c>
      <c r="H1546" t="s">
        <v>1434</v>
      </c>
      <c r="I1546" t="s">
        <v>1434</v>
      </c>
      <c r="J1546" s="2">
        <v>45267</v>
      </c>
      <c r="K1546" t="s">
        <v>2</v>
      </c>
      <c r="L1546" t="s">
        <v>1710</v>
      </c>
      <c r="M1546" t="s">
        <v>1709</v>
      </c>
      <c r="N1546" s="1"/>
      <c r="O1546" t="s">
        <v>476</v>
      </c>
      <c r="P1546" s="1">
        <v>0.89500000000000002</v>
      </c>
      <c r="Q1546" s="1" t="s">
        <v>1758</v>
      </c>
      <c r="R1546" t="s">
        <v>28</v>
      </c>
      <c r="S1546" t="s">
        <v>1168</v>
      </c>
      <c r="T1546" t="s">
        <v>916</v>
      </c>
      <c r="U1546" s="1">
        <v>0.5</v>
      </c>
    </row>
    <row r="1547" spans="1:22" x14ac:dyDescent="0.3">
      <c r="A1547" t="s">
        <v>914</v>
      </c>
      <c r="B1547" t="str">
        <f ca="1">OFFSET(Industries!C$1,MATCH(Table1[[#This Row],[Ticker]],Industries!$A$2:$A$150,0),0)</f>
        <v>Consumer Staples</v>
      </c>
      <c r="C1547" t="str">
        <f ca="1">OFFSET(Industries!D$1,MATCH(Table1[[#This Row],[Ticker]],Industries!$A$2:$A$150,0),0)</f>
        <v>Consumer Staples Distribution and Retail</v>
      </c>
      <c r="D1547" t="str">
        <f ca="1">OFFSET(Industries!E$1,MATCH(Table1[[#This Row],[Ticker]],Industries!$A$2:$A$150,0),0)</f>
        <v>Consumer Staples Distribution and Retail</v>
      </c>
      <c r="E1547" t="s">
        <v>915</v>
      </c>
      <c r="F1547" t="str">
        <f ca="1">OFFSET(Industries!B$1,MATCH(Table1[[#This Row],[Ticker]],Industries!$A$2:$A$140,0),0)</f>
        <v>Mega-Cap</v>
      </c>
      <c r="G1547" t="str">
        <f ca="1">OFFSET(Industries!F$1,MATCH(Table1[[#This Row],[Ticker]],Industries!$A$2:$A$140,0),0)</f>
        <v>A+</v>
      </c>
      <c r="H1547" t="s">
        <v>1434</v>
      </c>
      <c r="I1547" t="s">
        <v>1434</v>
      </c>
      <c r="J1547" s="2">
        <v>45267</v>
      </c>
      <c r="K1547" t="s">
        <v>21</v>
      </c>
      <c r="L1547" t="s">
        <v>3</v>
      </c>
      <c r="M1547" t="s">
        <v>1711</v>
      </c>
      <c r="N1547" s="1">
        <f>Table1[[#This Row],[Consideration Weight]]</f>
        <v>0.13749664676948048</v>
      </c>
      <c r="O1547" t="s">
        <v>3</v>
      </c>
      <c r="P1547" s="1">
        <v>0.13749664676948048</v>
      </c>
    </row>
    <row r="1548" spans="1:22" x14ac:dyDescent="0.3">
      <c r="A1548" t="s">
        <v>914</v>
      </c>
      <c r="B1548" t="str">
        <f ca="1">OFFSET(Industries!C$1,MATCH(Table1[[#This Row],[Ticker]],Industries!$A$2:$A$150,0),0)</f>
        <v>Consumer Staples</v>
      </c>
      <c r="C1548" t="str">
        <f ca="1">OFFSET(Industries!D$1,MATCH(Table1[[#This Row],[Ticker]],Industries!$A$2:$A$150,0),0)</f>
        <v>Consumer Staples Distribution and Retail</v>
      </c>
      <c r="D1548" t="str">
        <f ca="1">OFFSET(Industries!E$1,MATCH(Table1[[#This Row],[Ticker]],Industries!$A$2:$A$150,0),0)</f>
        <v>Consumer Staples Distribution and Retail</v>
      </c>
      <c r="E1548" t="s">
        <v>915</v>
      </c>
      <c r="F1548" t="str">
        <f ca="1">OFFSET(Industries!B$1,MATCH(Table1[[#This Row],[Ticker]],Industries!$A$2:$A$140,0),0)</f>
        <v>Mega-Cap</v>
      </c>
      <c r="G1548" t="str">
        <f ca="1">OFFSET(Industries!F$1,MATCH(Table1[[#This Row],[Ticker]],Industries!$A$2:$A$140,0),0)</f>
        <v>A+</v>
      </c>
      <c r="H1548" t="s">
        <v>1434</v>
      </c>
      <c r="I1548" t="s">
        <v>1434</v>
      </c>
      <c r="J1548" s="2">
        <v>45267</v>
      </c>
      <c r="K1548" t="s">
        <v>21</v>
      </c>
      <c r="L1548" t="s">
        <v>1708</v>
      </c>
      <c r="M1548" t="s">
        <v>1709</v>
      </c>
      <c r="N1548" s="1">
        <f>Table1[[#This Row],[Consideration Weight]]</f>
        <v>4.1090639125030311E-2</v>
      </c>
      <c r="O1548" t="s">
        <v>4</v>
      </c>
      <c r="P1548" s="1">
        <v>4.1090639125030311E-2</v>
      </c>
      <c r="Q1548" s="1" t="s">
        <v>1636</v>
      </c>
      <c r="R1548" t="s">
        <v>24</v>
      </c>
      <c r="S1548" t="s">
        <v>851</v>
      </c>
      <c r="T1548" t="s">
        <v>166</v>
      </c>
      <c r="U1548" s="1">
        <f>5/12</f>
        <v>0.41666666666666669</v>
      </c>
    </row>
    <row r="1549" spans="1:22" x14ac:dyDescent="0.3">
      <c r="A1549" t="s">
        <v>914</v>
      </c>
      <c r="B1549" t="str">
        <f ca="1">OFFSET(Industries!C$1,MATCH(Table1[[#This Row],[Ticker]],Industries!$A$2:$A$150,0),0)</f>
        <v>Consumer Staples</v>
      </c>
      <c r="C1549" t="str">
        <f ca="1">OFFSET(Industries!D$1,MATCH(Table1[[#This Row],[Ticker]],Industries!$A$2:$A$150,0),0)</f>
        <v>Consumer Staples Distribution and Retail</v>
      </c>
      <c r="D1549" t="str">
        <f ca="1">OFFSET(Industries!E$1,MATCH(Table1[[#This Row],[Ticker]],Industries!$A$2:$A$150,0),0)</f>
        <v>Consumer Staples Distribution and Retail</v>
      </c>
      <c r="E1549" t="s">
        <v>915</v>
      </c>
      <c r="F1549" t="str">
        <f ca="1">OFFSET(Industries!B$1,MATCH(Table1[[#This Row],[Ticker]],Industries!$A$2:$A$140,0),0)</f>
        <v>Mega-Cap</v>
      </c>
      <c r="G1549" t="str">
        <f ca="1">OFFSET(Industries!F$1,MATCH(Table1[[#This Row],[Ticker]],Industries!$A$2:$A$140,0),0)</f>
        <v>A+</v>
      </c>
      <c r="H1549" t="s">
        <v>1434</v>
      </c>
      <c r="I1549" t="s">
        <v>1434</v>
      </c>
      <c r="J1549" s="2">
        <v>45267</v>
      </c>
      <c r="K1549" t="s">
        <v>21</v>
      </c>
      <c r="L1549" t="s">
        <v>1708</v>
      </c>
      <c r="M1549" t="s">
        <v>1709</v>
      </c>
      <c r="N1549" s="1"/>
      <c r="O1549" t="s">
        <v>4</v>
      </c>
      <c r="P1549" s="1">
        <v>4.1090639125030311E-2</v>
      </c>
      <c r="Q1549" s="1" t="s">
        <v>1636</v>
      </c>
      <c r="R1549" t="s">
        <v>23</v>
      </c>
      <c r="S1549" t="s">
        <v>1083</v>
      </c>
      <c r="T1549" t="s">
        <v>489</v>
      </c>
      <c r="U1549" s="1">
        <f>5/12</f>
        <v>0.41666666666666669</v>
      </c>
    </row>
    <row r="1550" spans="1:22" x14ac:dyDescent="0.3">
      <c r="A1550" t="s">
        <v>914</v>
      </c>
      <c r="B1550" t="str">
        <f ca="1">OFFSET(Industries!C$1,MATCH(Table1[[#This Row],[Ticker]],Industries!$A$2:$A$150,0),0)</f>
        <v>Consumer Staples</v>
      </c>
      <c r="C1550" t="str">
        <f ca="1">OFFSET(Industries!D$1,MATCH(Table1[[#This Row],[Ticker]],Industries!$A$2:$A$150,0),0)</f>
        <v>Consumer Staples Distribution and Retail</v>
      </c>
      <c r="D1550" t="str">
        <f ca="1">OFFSET(Industries!E$1,MATCH(Table1[[#This Row],[Ticker]],Industries!$A$2:$A$150,0),0)</f>
        <v>Consumer Staples Distribution and Retail</v>
      </c>
      <c r="E1550" t="s">
        <v>915</v>
      </c>
      <c r="F1550" t="str">
        <f ca="1">OFFSET(Industries!B$1,MATCH(Table1[[#This Row],[Ticker]],Industries!$A$2:$A$140,0),0)</f>
        <v>Mega-Cap</v>
      </c>
      <c r="G1550" t="str">
        <f ca="1">OFFSET(Industries!F$1,MATCH(Table1[[#This Row],[Ticker]],Industries!$A$2:$A$140,0),0)</f>
        <v>A+</v>
      </c>
      <c r="H1550" t="s">
        <v>1434</v>
      </c>
      <c r="I1550" t="s">
        <v>1434</v>
      </c>
      <c r="J1550" s="2">
        <v>45267</v>
      </c>
      <c r="K1550" t="s">
        <v>21</v>
      </c>
      <c r="L1550" t="s">
        <v>1708</v>
      </c>
      <c r="M1550" t="s">
        <v>1709</v>
      </c>
      <c r="N1550" s="1"/>
      <c r="O1550" t="s">
        <v>4</v>
      </c>
      <c r="P1550" s="1">
        <v>4.1090639125030311E-2</v>
      </c>
      <c r="Q1550" s="1" t="s">
        <v>1637</v>
      </c>
      <c r="R1550" t="s">
        <v>26</v>
      </c>
      <c r="S1550" t="s">
        <v>26</v>
      </c>
      <c r="T1550" t="s">
        <v>26</v>
      </c>
      <c r="U1550" s="1">
        <f>1/6</f>
        <v>0.16666666666666666</v>
      </c>
    </row>
    <row r="1551" spans="1:22" x14ac:dyDescent="0.3">
      <c r="A1551" t="s">
        <v>914</v>
      </c>
      <c r="B1551" t="str">
        <f ca="1">OFFSET(Industries!C$1,MATCH(Table1[[#This Row],[Ticker]],Industries!$A$2:$A$150,0),0)</f>
        <v>Consumer Staples</v>
      </c>
      <c r="C1551" t="str">
        <f ca="1">OFFSET(Industries!D$1,MATCH(Table1[[#This Row],[Ticker]],Industries!$A$2:$A$150,0),0)</f>
        <v>Consumer Staples Distribution and Retail</v>
      </c>
      <c r="D1551" t="str">
        <f ca="1">OFFSET(Industries!E$1,MATCH(Table1[[#This Row],[Ticker]],Industries!$A$2:$A$150,0),0)</f>
        <v>Consumer Staples Distribution and Retail</v>
      </c>
      <c r="E1551" t="s">
        <v>915</v>
      </c>
      <c r="F1551" t="str">
        <f ca="1">OFFSET(Industries!B$1,MATCH(Table1[[#This Row],[Ticker]],Industries!$A$2:$A$140,0),0)</f>
        <v>Mega-Cap</v>
      </c>
      <c r="G1551" t="str">
        <f ca="1">OFFSET(Industries!F$1,MATCH(Table1[[#This Row],[Ticker]],Industries!$A$2:$A$140,0),0)</f>
        <v>A+</v>
      </c>
      <c r="H1551" t="s">
        <v>1434</v>
      </c>
      <c r="I1551" t="s">
        <v>1434</v>
      </c>
      <c r="J1551" s="2">
        <v>45267</v>
      </c>
      <c r="K1551" t="s">
        <v>21</v>
      </c>
      <c r="L1551" t="s">
        <v>1710</v>
      </c>
      <c r="M1551" t="s">
        <v>1709</v>
      </c>
      <c r="N1551" s="1">
        <f>Table1[[#This Row],[Consideration Weight]]</f>
        <v>0.82141271410548933</v>
      </c>
      <c r="O1551" t="s">
        <v>476</v>
      </c>
      <c r="P1551" s="1">
        <v>0.82141271410548933</v>
      </c>
      <c r="R1551" t="s">
        <v>28</v>
      </c>
      <c r="S1551" t="s">
        <v>1167</v>
      </c>
      <c r="T1551" t="s">
        <v>226</v>
      </c>
      <c r="U1551" s="1">
        <v>0.5</v>
      </c>
    </row>
    <row r="1552" spans="1:22" x14ac:dyDescent="0.3">
      <c r="A1552" t="s">
        <v>914</v>
      </c>
      <c r="B1552" t="str">
        <f ca="1">OFFSET(Industries!C$1,MATCH(Table1[[#This Row],[Ticker]],Industries!$A$2:$A$150,0),0)</f>
        <v>Consumer Staples</v>
      </c>
      <c r="C1552" t="str">
        <f ca="1">OFFSET(Industries!D$1,MATCH(Table1[[#This Row],[Ticker]],Industries!$A$2:$A$150,0),0)</f>
        <v>Consumer Staples Distribution and Retail</v>
      </c>
      <c r="D1552" t="str">
        <f ca="1">OFFSET(Industries!E$1,MATCH(Table1[[#This Row],[Ticker]],Industries!$A$2:$A$150,0),0)</f>
        <v>Consumer Staples Distribution and Retail</v>
      </c>
      <c r="E1552" t="s">
        <v>915</v>
      </c>
      <c r="F1552" t="str">
        <f ca="1">OFFSET(Industries!B$1,MATCH(Table1[[#This Row],[Ticker]],Industries!$A$2:$A$140,0),0)</f>
        <v>Mega-Cap</v>
      </c>
      <c r="G1552" t="str">
        <f ca="1">OFFSET(Industries!F$1,MATCH(Table1[[#This Row],[Ticker]],Industries!$A$2:$A$140,0),0)</f>
        <v>A+</v>
      </c>
      <c r="H1552" t="s">
        <v>1434</v>
      </c>
      <c r="I1552" t="s">
        <v>1434</v>
      </c>
      <c r="J1552" s="2">
        <v>45267</v>
      </c>
      <c r="K1552" t="s">
        <v>21</v>
      </c>
      <c r="L1552" t="s">
        <v>1710</v>
      </c>
      <c r="M1552" t="s">
        <v>1709</v>
      </c>
      <c r="N1552" s="1"/>
      <c r="O1552" t="s">
        <v>476</v>
      </c>
      <c r="P1552" s="1">
        <v>0.82141271410548933</v>
      </c>
      <c r="R1552" t="s">
        <v>28</v>
      </c>
      <c r="S1552" t="s">
        <v>1168</v>
      </c>
      <c r="T1552" t="s">
        <v>916</v>
      </c>
      <c r="U1552" s="1">
        <v>0.5</v>
      </c>
    </row>
    <row r="1553" spans="1:22" x14ac:dyDescent="0.3">
      <c r="A1553" t="s">
        <v>921</v>
      </c>
      <c r="B1553" t="str">
        <f ca="1">OFFSET(Industries!C$1,MATCH(Table1[[#This Row],[Ticker]],Industries!$A$2:$A$150,0),0)</f>
        <v>Information Technology</v>
      </c>
      <c r="C1553" t="str">
        <f ca="1">OFFSET(Industries!D$1,MATCH(Table1[[#This Row],[Ticker]],Industries!$A$2:$A$150,0),0)</f>
        <v>Semiconductors</v>
      </c>
      <c r="D1553" t="str">
        <f ca="1">OFFSET(Industries!E$1,MATCH(Table1[[#This Row],[Ticker]],Industries!$A$2:$A$150,0),0)</f>
        <v>Semiconductors</v>
      </c>
      <c r="E1553" t="s">
        <v>34</v>
      </c>
      <c r="F1553" t="str">
        <f ca="1">OFFSET(Industries!B$1,MATCH(Table1[[#This Row],[Ticker]],Industries!$A$2:$A$140,0),0)</f>
        <v>Mega-Cap</v>
      </c>
      <c r="G1553" t="str">
        <f ca="1">OFFSET(Industries!F$1,MATCH(Table1[[#This Row],[Ticker]],Industries!$A$2:$A$140,0),0)</f>
        <v>A-</v>
      </c>
      <c r="H1553" t="s">
        <v>1434</v>
      </c>
      <c r="I1553" t="s">
        <v>1434</v>
      </c>
      <c r="J1553" s="2">
        <v>45190</v>
      </c>
      <c r="K1553" t="s">
        <v>2</v>
      </c>
      <c r="L1553" t="s">
        <v>3</v>
      </c>
      <c r="M1553" t="s">
        <v>1711</v>
      </c>
      <c r="N1553" s="1">
        <f>Table1[[#This Row],[Consideration Weight]]</f>
        <v>0.06</v>
      </c>
      <c r="O1553" t="s">
        <v>3</v>
      </c>
      <c r="P1553" s="1">
        <v>0.06</v>
      </c>
      <c r="V1553" t="s">
        <v>1651</v>
      </c>
    </row>
    <row r="1554" spans="1:22" x14ac:dyDescent="0.3">
      <c r="A1554" t="s">
        <v>921</v>
      </c>
      <c r="B1554" t="str">
        <f ca="1">OFFSET(Industries!C$1,MATCH(Table1[[#This Row],[Ticker]],Industries!$A$2:$A$150,0),0)</f>
        <v>Information Technology</v>
      </c>
      <c r="C1554" t="str">
        <f ca="1">OFFSET(Industries!D$1,MATCH(Table1[[#This Row],[Ticker]],Industries!$A$2:$A$150,0),0)</f>
        <v>Semiconductors</v>
      </c>
      <c r="D1554" t="str">
        <f ca="1">OFFSET(Industries!E$1,MATCH(Table1[[#This Row],[Ticker]],Industries!$A$2:$A$150,0),0)</f>
        <v>Semiconductors</v>
      </c>
      <c r="E1554" t="s">
        <v>34</v>
      </c>
      <c r="F1554" t="str">
        <f ca="1">OFFSET(Industries!B$1,MATCH(Table1[[#This Row],[Ticker]],Industries!$A$2:$A$140,0),0)</f>
        <v>Mega-Cap</v>
      </c>
      <c r="G1554" t="str">
        <f ca="1">OFFSET(Industries!F$1,MATCH(Table1[[#This Row],[Ticker]],Industries!$A$2:$A$140,0),0)</f>
        <v>A-</v>
      </c>
      <c r="H1554" t="s">
        <v>1434</v>
      </c>
      <c r="I1554" t="s">
        <v>1434</v>
      </c>
      <c r="J1554" s="2">
        <v>45190</v>
      </c>
      <c r="K1554" t="s">
        <v>2</v>
      </c>
      <c r="L1554" t="s">
        <v>1708</v>
      </c>
      <c r="M1554" t="s">
        <v>1709</v>
      </c>
      <c r="N1554" s="1">
        <f>Table1[[#This Row],[Consideration Weight]]</f>
        <v>0.09</v>
      </c>
      <c r="O1554" t="s">
        <v>4</v>
      </c>
      <c r="P1554" s="1">
        <v>0.09</v>
      </c>
      <c r="Q1554" s="1" t="s">
        <v>1636</v>
      </c>
      <c r="R1554" t="s">
        <v>24</v>
      </c>
      <c r="S1554" t="s">
        <v>90</v>
      </c>
      <c r="T1554" t="s">
        <v>8</v>
      </c>
      <c r="U1554" s="1">
        <v>0.5</v>
      </c>
      <c r="V1554" t="s">
        <v>1684</v>
      </c>
    </row>
    <row r="1555" spans="1:22" x14ac:dyDescent="0.3">
      <c r="A1555" t="s">
        <v>921</v>
      </c>
      <c r="B1555" t="str">
        <f ca="1">OFFSET(Industries!C$1,MATCH(Table1[[#This Row],[Ticker]],Industries!$A$2:$A$150,0),0)</f>
        <v>Information Technology</v>
      </c>
      <c r="C1555" t="str">
        <f ca="1">OFFSET(Industries!D$1,MATCH(Table1[[#This Row],[Ticker]],Industries!$A$2:$A$150,0),0)</f>
        <v>Semiconductors</v>
      </c>
      <c r="D1555" t="str">
        <f ca="1">OFFSET(Industries!E$1,MATCH(Table1[[#This Row],[Ticker]],Industries!$A$2:$A$150,0),0)</f>
        <v>Semiconductors</v>
      </c>
      <c r="E1555" t="s">
        <v>34</v>
      </c>
      <c r="F1555" t="str">
        <f ca="1">OFFSET(Industries!B$1,MATCH(Table1[[#This Row],[Ticker]],Industries!$A$2:$A$140,0),0)</f>
        <v>Mega-Cap</v>
      </c>
      <c r="G1555" t="str">
        <f ca="1">OFFSET(Industries!F$1,MATCH(Table1[[#This Row],[Ticker]],Industries!$A$2:$A$140,0),0)</f>
        <v>A-</v>
      </c>
      <c r="H1555" t="s">
        <v>1434</v>
      </c>
      <c r="I1555" t="s">
        <v>1434</v>
      </c>
      <c r="J1555" s="2">
        <v>45190</v>
      </c>
      <c r="K1555" t="s">
        <v>2</v>
      </c>
      <c r="L1555" t="s">
        <v>1708</v>
      </c>
      <c r="M1555" t="s">
        <v>1709</v>
      </c>
      <c r="N1555" s="1"/>
      <c r="O1555" t="s">
        <v>4</v>
      </c>
      <c r="P1555" s="1">
        <v>0.09</v>
      </c>
      <c r="Q1555" s="1" t="s">
        <v>1637</v>
      </c>
      <c r="R1555" t="s">
        <v>25</v>
      </c>
      <c r="S1555" t="s">
        <v>1086</v>
      </c>
      <c r="T1555" t="s">
        <v>922</v>
      </c>
      <c r="U1555" s="1">
        <v>0.5</v>
      </c>
      <c r="V1555" t="s">
        <v>923</v>
      </c>
    </row>
    <row r="1556" spans="1:22" x14ac:dyDescent="0.3">
      <c r="A1556" t="s">
        <v>921</v>
      </c>
      <c r="B1556" t="str">
        <f ca="1">OFFSET(Industries!C$1,MATCH(Table1[[#This Row],[Ticker]],Industries!$A$2:$A$150,0),0)</f>
        <v>Information Technology</v>
      </c>
      <c r="C1556" t="str">
        <f ca="1">OFFSET(Industries!D$1,MATCH(Table1[[#This Row],[Ticker]],Industries!$A$2:$A$150,0),0)</f>
        <v>Semiconductors</v>
      </c>
      <c r="D1556" t="str">
        <f ca="1">OFFSET(Industries!E$1,MATCH(Table1[[#This Row],[Ticker]],Industries!$A$2:$A$150,0),0)</f>
        <v>Semiconductors</v>
      </c>
      <c r="E1556" t="s">
        <v>34</v>
      </c>
      <c r="F1556" t="str">
        <f ca="1">OFFSET(Industries!B$1,MATCH(Table1[[#This Row],[Ticker]],Industries!$A$2:$A$140,0),0)</f>
        <v>Mega-Cap</v>
      </c>
      <c r="G1556" t="str">
        <f ca="1">OFFSET(Industries!F$1,MATCH(Table1[[#This Row],[Ticker]],Industries!$A$2:$A$140,0),0)</f>
        <v>A-</v>
      </c>
      <c r="H1556" t="s">
        <v>1434</v>
      </c>
      <c r="I1556" t="s">
        <v>1434</v>
      </c>
      <c r="J1556" s="2">
        <v>45190</v>
      </c>
      <c r="K1556" t="s">
        <v>2</v>
      </c>
      <c r="L1556" t="s">
        <v>1708</v>
      </c>
      <c r="M1556" t="s">
        <v>1709</v>
      </c>
      <c r="N1556" s="1"/>
      <c r="O1556" t="s">
        <v>4</v>
      </c>
      <c r="P1556" s="1">
        <v>0.09</v>
      </c>
      <c r="R1556" t="s">
        <v>28</v>
      </c>
      <c r="S1556" t="s">
        <v>1087</v>
      </c>
      <c r="T1556" t="s">
        <v>40</v>
      </c>
      <c r="V1556" t="s">
        <v>924</v>
      </c>
    </row>
    <row r="1557" spans="1:22" x14ac:dyDescent="0.3">
      <c r="A1557" t="s">
        <v>921</v>
      </c>
      <c r="B1557" t="str">
        <f ca="1">OFFSET(Industries!C$1,MATCH(Table1[[#This Row],[Ticker]],Industries!$A$2:$A$150,0),0)</f>
        <v>Information Technology</v>
      </c>
      <c r="C1557" t="str">
        <f ca="1">OFFSET(Industries!D$1,MATCH(Table1[[#This Row],[Ticker]],Industries!$A$2:$A$150,0),0)</f>
        <v>Semiconductors</v>
      </c>
      <c r="D1557" t="str">
        <f ca="1">OFFSET(Industries!E$1,MATCH(Table1[[#This Row],[Ticker]],Industries!$A$2:$A$150,0),0)</f>
        <v>Semiconductors</v>
      </c>
      <c r="E1557" t="s">
        <v>34</v>
      </c>
      <c r="F1557" t="str">
        <f ca="1">OFFSET(Industries!B$1,MATCH(Table1[[#This Row],[Ticker]],Industries!$A$2:$A$140,0),0)</f>
        <v>Mega-Cap</v>
      </c>
      <c r="G1557" t="str">
        <f ca="1">OFFSET(Industries!F$1,MATCH(Table1[[#This Row],[Ticker]],Industries!$A$2:$A$140,0),0)</f>
        <v>A-</v>
      </c>
      <c r="H1557" t="s">
        <v>1434</v>
      </c>
      <c r="I1557" t="s">
        <v>1434</v>
      </c>
      <c r="J1557" s="2">
        <v>45190</v>
      </c>
      <c r="K1557" t="s">
        <v>2</v>
      </c>
      <c r="L1557" t="s">
        <v>1710</v>
      </c>
      <c r="M1557" t="s">
        <v>1709</v>
      </c>
      <c r="N1557" s="1">
        <f>Table1[[#This Row],[Consideration Weight]]</f>
        <v>0.51</v>
      </c>
      <c r="O1557" t="s">
        <v>476</v>
      </c>
      <c r="P1557" s="1">
        <v>0.51</v>
      </c>
      <c r="Q1557" s="1" t="s">
        <v>1636</v>
      </c>
      <c r="R1557" t="s">
        <v>62</v>
      </c>
      <c r="S1557" t="s">
        <v>129</v>
      </c>
      <c r="T1557" t="s">
        <v>925</v>
      </c>
      <c r="U1557" s="1">
        <v>1</v>
      </c>
    </row>
    <row r="1558" spans="1:22" x14ac:dyDescent="0.3">
      <c r="A1558" t="s">
        <v>921</v>
      </c>
      <c r="B1558" t="str">
        <f ca="1">OFFSET(Industries!C$1,MATCH(Table1[[#This Row],[Ticker]],Industries!$A$2:$A$150,0),0)</f>
        <v>Information Technology</v>
      </c>
      <c r="C1558" t="str">
        <f ca="1">OFFSET(Industries!D$1,MATCH(Table1[[#This Row],[Ticker]],Industries!$A$2:$A$150,0),0)</f>
        <v>Semiconductors</v>
      </c>
      <c r="D1558" t="str">
        <f ca="1">OFFSET(Industries!E$1,MATCH(Table1[[#This Row],[Ticker]],Industries!$A$2:$A$150,0),0)</f>
        <v>Semiconductors</v>
      </c>
      <c r="E1558" t="s">
        <v>34</v>
      </c>
      <c r="F1558" t="str">
        <f ca="1">OFFSET(Industries!B$1,MATCH(Table1[[#This Row],[Ticker]],Industries!$A$2:$A$140,0),0)</f>
        <v>Mega-Cap</v>
      </c>
      <c r="G1558" t="str">
        <f ca="1">OFFSET(Industries!F$1,MATCH(Table1[[#This Row],[Ticker]],Industries!$A$2:$A$140,0),0)</f>
        <v>A-</v>
      </c>
      <c r="H1558" t="s">
        <v>1434</v>
      </c>
      <c r="I1558" t="s">
        <v>1434</v>
      </c>
      <c r="J1558" s="2">
        <v>45190</v>
      </c>
      <c r="K1558" t="s">
        <v>2</v>
      </c>
      <c r="L1558" t="s">
        <v>1710</v>
      </c>
      <c r="M1558" t="s">
        <v>1711</v>
      </c>
      <c r="N1558" s="1">
        <f>Table1[[#This Row],[Consideration Weight]]</f>
        <v>0.34</v>
      </c>
      <c r="O1558" t="s">
        <v>194</v>
      </c>
      <c r="P1558" s="1">
        <v>0.34</v>
      </c>
    </row>
    <row r="1559" spans="1:22" x14ac:dyDescent="0.3">
      <c r="A1559" t="s">
        <v>921</v>
      </c>
      <c r="B1559" t="str">
        <f ca="1">OFFSET(Industries!C$1,MATCH(Table1[[#This Row],[Ticker]],Industries!$A$2:$A$150,0),0)</f>
        <v>Information Technology</v>
      </c>
      <c r="C1559" t="str">
        <f ca="1">OFFSET(Industries!D$1,MATCH(Table1[[#This Row],[Ticker]],Industries!$A$2:$A$150,0),0)</f>
        <v>Semiconductors</v>
      </c>
      <c r="D1559" t="str">
        <f ca="1">OFFSET(Industries!E$1,MATCH(Table1[[#This Row],[Ticker]],Industries!$A$2:$A$150,0),0)</f>
        <v>Semiconductors</v>
      </c>
      <c r="E1559" t="s">
        <v>34</v>
      </c>
      <c r="F1559" t="str">
        <f ca="1">OFFSET(Industries!B$1,MATCH(Table1[[#This Row],[Ticker]],Industries!$A$2:$A$140,0),0)</f>
        <v>Mega-Cap</v>
      </c>
      <c r="G1559" t="str">
        <f ca="1">OFFSET(Industries!F$1,MATCH(Table1[[#This Row],[Ticker]],Industries!$A$2:$A$140,0),0)</f>
        <v>A-</v>
      </c>
      <c r="H1559" t="s">
        <v>1434</v>
      </c>
      <c r="I1559" t="s">
        <v>1434</v>
      </c>
      <c r="J1559" s="2">
        <v>45190</v>
      </c>
      <c r="K1559" t="s">
        <v>21</v>
      </c>
      <c r="L1559" t="s">
        <v>3</v>
      </c>
      <c r="M1559" t="s">
        <v>1711</v>
      </c>
      <c r="N1559" s="1">
        <f>Table1[[#This Row],[Consideration Weight]]</f>
        <v>0.15</v>
      </c>
      <c r="O1559" t="s">
        <v>3</v>
      </c>
      <c r="P1559" s="1">
        <v>0.15</v>
      </c>
    </row>
    <row r="1560" spans="1:22" x14ac:dyDescent="0.3">
      <c r="A1560" t="s">
        <v>921</v>
      </c>
      <c r="B1560" t="str">
        <f ca="1">OFFSET(Industries!C$1,MATCH(Table1[[#This Row],[Ticker]],Industries!$A$2:$A$150,0),0)</f>
        <v>Information Technology</v>
      </c>
      <c r="C1560" t="str">
        <f ca="1">OFFSET(Industries!D$1,MATCH(Table1[[#This Row],[Ticker]],Industries!$A$2:$A$150,0),0)</f>
        <v>Semiconductors</v>
      </c>
      <c r="D1560" t="str">
        <f ca="1">OFFSET(Industries!E$1,MATCH(Table1[[#This Row],[Ticker]],Industries!$A$2:$A$150,0),0)</f>
        <v>Semiconductors</v>
      </c>
      <c r="E1560" t="s">
        <v>34</v>
      </c>
      <c r="F1560" t="str">
        <f ca="1">OFFSET(Industries!B$1,MATCH(Table1[[#This Row],[Ticker]],Industries!$A$2:$A$140,0),0)</f>
        <v>Mega-Cap</v>
      </c>
      <c r="G1560" t="str">
        <f ca="1">OFFSET(Industries!F$1,MATCH(Table1[[#This Row],[Ticker]],Industries!$A$2:$A$140,0),0)</f>
        <v>A-</v>
      </c>
      <c r="H1560" t="s">
        <v>1434</v>
      </c>
      <c r="I1560" t="s">
        <v>1434</v>
      </c>
      <c r="J1560" s="2">
        <v>45190</v>
      </c>
      <c r="K1560" t="s">
        <v>21</v>
      </c>
      <c r="L1560" t="s">
        <v>1708</v>
      </c>
      <c r="M1560" t="s">
        <v>1709</v>
      </c>
      <c r="N1560" s="1">
        <f>Table1[[#This Row],[Consideration Weight]]</f>
        <v>0.13</v>
      </c>
      <c r="O1560" t="s">
        <v>4</v>
      </c>
      <c r="P1560" s="1">
        <v>0.13</v>
      </c>
      <c r="Q1560" s="1" t="s">
        <v>1636</v>
      </c>
      <c r="R1560" t="s">
        <v>24</v>
      </c>
      <c r="S1560" t="s">
        <v>90</v>
      </c>
      <c r="T1560" t="s">
        <v>8</v>
      </c>
      <c r="U1560" s="1">
        <v>0.5</v>
      </c>
    </row>
    <row r="1561" spans="1:22" x14ac:dyDescent="0.3">
      <c r="A1561" t="s">
        <v>921</v>
      </c>
      <c r="B1561" t="str">
        <f ca="1">OFFSET(Industries!C$1,MATCH(Table1[[#This Row],[Ticker]],Industries!$A$2:$A$150,0),0)</f>
        <v>Information Technology</v>
      </c>
      <c r="C1561" t="str">
        <f ca="1">OFFSET(Industries!D$1,MATCH(Table1[[#This Row],[Ticker]],Industries!$A$2:$A$150,0),0)</f>
        <v>Semiconductors</v>
      </c>
      <c r="D1561" t="str">
        <f ca="1">OFFSET(Industries!E$1,MATCH(Table1[[#This Row],[Ticker]],Industries!$A$2:$A$150,0),0)</f>
        <v>Semiconductors</v>
      </c>
      <c r="E1561" t="s">
        <v>34</v>
      </c>
      <c r="F1561" t="str">
        <f ca="1">OFFSET(Industries!B$1,MATCH(Table1[[#This Row],[Ticker]],Industries!$A$2:$A$140,0),0)</f>
        <v>Mega-Cap</v>
      </c>
      <c r="G1561" t="str">
        <f ca="1">OFFSET(Industries!F$1,MATCH(Table1[[#This Row],[Ticker]],Industries!$A$2:$A$140,0),0)</f>
        <v>A-</v>
      </c>
      <c r="H1561" t="s">
        <v>1434</v>
      </c>
      <c r="I1561" t="s">
        <v>1434</v>
      </c>
      <c r="J1561" s="2">
        <v>45190</v>
      </c>
      <c r="K1561" t="s">
        <v>21</v>
      </c>
      <c r="L1561" t="s">
        <v>1708</v>
      </c>
      <c r="M1561" t="s">
        <v>1709</v>
      </c>
      <c r="N1561" s="1"/>
      <c r="O1561" t="s">
        <v>4</v>
      </c>
      <c r="P1561" s="1">
        <v>0.13</v>
      </c>
      <c r="Q1561" s="1" t="s">
        <v>1637</v>
      </c>
      <c r="R1561" t="s">
        <v>25</v>
      </c>
      <c r="S1561" t="s">
        <v>1086</v>
      </c>
      <c r="T1561" t="s">
        <v>922</v>
      </c>
      <c r="U1561" s="1">
        <v>0.5</v>
      </c>
    </row>
    <row r="1562" spans="1:22" x14ac:dyDescent="0.3">
      <c r="A1562" t="s">
        <v>921</v>
      </c>
      <c r="B1562" t="str">
        <f ca="1">OFFSET(Industries!C$1,MATCH(Table1[[#This Row],[Ticker]],Industries!$A$2:$A$150,0),0)</f>
        <v>Information Technology</v>
      </c>
      <c r="C1562" t="str">
        <f ca="1">OFFSET(Industries!D$1,MATCH(Table1[[#This Row],[Ticker]],Industries!$A$2:$A$150,0),0)</f>
        <v>Semiconductors</v>
      </c>
      <c r="D1562" t="str">
        <f ca="1">OFFSET(Industries!E$1,MATCH(Table1[[#This Row],[Ticker]],Industries!$A$2:$A$150,0),0)</f>
        <v>Semiconductors</v>
      </c>
      <c r="E1562" t="s">
        <v>34</v>
      </c>
      <c r="F1562" t="str">
        <f ca="1">OFFSET(Industries!B$1,MATCH(Table1[[#This Row],[Ticker]],Industries!$A$2:$A$140,0),0)</f>
        <v>Mega-Cap</v>
      </c>
      <c r="G1562" t="str">
        <f ca="1">OFFSET(Industries!F$1,MATCH(Table1[[#This Row],[Ticker]],Industries!$A$2:$A$140,0),0)</f>
        <v>A-</v>
      </c>
      <c r="H1562" t="s">
        <v>1434</v>
      </c>
      <c r="I1562" t="s">
        <v>1434</v>
      </c>
      <c r="J1562" s="2">
        <v>45190</v>
      </c>
      <c r="K1562" t="s">
        <v>21</v>
      </c>
      <c r="L1562" t="s">
        <v>1708</v>
      </c>
      <c r="M1562" t="s">
        <v>1709</v>
      </c>
      <c r="N1562" s="1"/>
      <c r="O1562" t="s">
        <v>4</v>
      </c>
      <c r="P1562" s="1">
        <v>0.13</v>
      </c>
      <c r="R1562" t="s">
        <v>28</v>
      </c>
      <c r="S1562" t="s">
        <v>1087</v>
      </c>
      <c r="T1562" t="s">
        <v>40</v>
      </c>
    </row>
    <row r="1563" spans="1:22" x14ac:dyDescent="0.3">
      <c r="A1563" t="s">
        <v>921</v>
      </c>
      <c r="B1563" t="str">
        <f ca="1">OFFSET(Industries!C$1,MATCH(Table1[[#This Row],[Ticker]],Industries!$A$2:$A$150,0),0)</f>
        <v>Information Technology</v>
      </c>
      <c r="C1563" t="str">
        <f ca="1">OFFSET(Industries!D$1,MATCH(Table1[[#This Row],[Ticker]],Industries!$A$2:$A$150,0),0)</f>
        <v>Semiconductors</v>
      </c>
      <c r="D1563" t="str">
        <f ca="1">OFFSET(Industries!E$1,MATCH(Table1[[#This Row],[Ticker]],Industries!$A$2:$A$150,0),0)</f>
        <v>Semiconductors</v>
      </c>
      <c r="E1563" t="s">
        <v>34</v>
      </c>
      <c r="F1563" t="str">
        <f ca="1">OFFSET(Industries!B$1,MATCH(Table1[[#This Row],[Ticker]],Industries!$A$2:$A$140,0),0)</f>
        <v>Mega-Cap</v>
      </c>
      <c r="G1563" t="str">
        <f ca="1">OFFSET(Industries!F$1,MATCH(Table1[[#This Row],[Ticker]],Industries!$A$2:$A$140,0),0)</f>
        <v>A-</v>
      </c>
      <c r="H1563" t="s">
        <v>1434</v>
      </c>
      <c r="I1563" t="s">
        <v>1434</v>
      </c>
      <c r="J1563" s="2">
        <v>45190</v>
      </c>
      <c r="K1563" t="s">
        <v>21</v>
      </c>
      <c r="L1563" t="s">
        <v>1710</v>
      </c>
      <c r="M1563" t="s">
        <v>1709</v>
      </c>
      <c r="N1563" s="1">
        <f>Table1[[#This Row],[Consideration Weight]]</f>
        <v>0.36</v>
      </c>
      <c r="O1563" t="s">
        <v>476</v>
      </c>
      <c r="P1563" s="1">
        <v>0.36</v>
      </c>
      <c r="Q1563" s="1" t="s">
        <v>1636</v>
      </c>
      <c r="R1563" t="s">
        <v>62</v>
      </c>
      <c r="S1563" t="s">
        <v>129</v>
      </c>
      <c r="T1563" t="s">
        <v>925</v>
      </c>
      <c r="U1563" s="1">
        <v>1</v>
      </c>
    </row>
    <row r="1564" spans="1:22" x14ac:dyDescent="0.3">
      <c r="A1564" t="s">
        <v>921</v>
      </c>
      <c r="B1564" t="str">
        <f ca="1">OFFSET(Industries!C$1,MATCH(Table1[[#This Row],[Ticker]],Industries!$A$2:$A$150,0),0)</f>
        <v>Information Technology</v>
      </c>
      <c r="C1564" t="str">
        <f ca="1">OFFSET(Industries!D$1,MATCH(Table1[[#This Row],[Ticker]],Industries!$A$2:$A$150,0),0)</f>
        <v>Semiconductors</v>
      </c>
      <c r="D1564" t="str">
        <f ca="1">OFFSET(Industries!E$1,MATCH(Table1[[#This Row],[Ticker]],Industries!$A$2:$A$150,0),0)</f>
        <v>Semiconductors</v>
      </c>
      <c r="E1564" t="s">
        <v>34</v>
      </c>
      <c r="F1564" t="str">
        <f ca="1">OFFSET(Industries!B$1,MATCH(Table1[[#This Row],[Ticker]],Industries!$A$2:$A$140,0),0)</f>
        <v>Mega-Cap</v>
      </c>
      <c r="G1564" t="str">
        <f ca="1">OFFSET(Industries!F$1,MATCH(Table1[[#This Row],[Ticker]],Industries!$A$2:$A$140,0),0)</f>
        <v>A-</v>
      </c>
      <c r="H1564" t="s">
        <v>1434</v>
      </c>
      <c r="I1564" t="s">
        <v>1434</v>
      </c>
      <c r="J1564" s="2">
        <v>45190</v>
      </c>
      <c r="K1564" t="s">
        <v>21</v>
      </c>
      <c r="L1564" t="s">
        <v>1710</v>
      </c>
      <c r="M1564" t="s">
        <v>1711</v>
      </c>
      <c r="N1564" s="1">
        <f>Table1[[#This Row],[Consideration Weight]]</f>
        <v>0.36</v>
      </c>
      <c r="O1564" t="s">
        <v>194</v>
      </c>
      <c r="P1564" s="1">
        <v>0.36</v>
      </c>
    </row>
    <row r="1565" spans="1:22" x14ac:dyDescent="0.3">
      <c r="A1565" t="s">
        <v>926</v>
      </c>
      <c r="B1565" t="str">
        <f ca="1">OFFSET(Industries!C$1,MATCH(Table1[[#This Row],[Ticker]],Industries!$A$2:$A$150,0),0)</f>
        <v>Information Technology</v>
      </c>
      <c r="C1565" t="str">
        <f ca="1">OFFSET(Industries!D$1,MATCH(Table1[[#This Row],[Ticker]],Industries!$A$2:$A$150,0),0)</f>
        <v>Technology Hardware and Equipment</v>
      </c>
      <c r="D1565" t="str">
        <f ca="1">OFFSET(Industries!E$1,MATCH(Table1[[#This Row],[Ticker]],Industries!$A$2:$A$150,0),0)</f>
        <v>Communications Equipment</v>
      </c>
      <c r="E1565" t="s">
        <v>927</v>
      </c>
      <c r="F1565" t="str">
        <f ca="1">OFFSET(Industries!B$1,MATCH(Table1[[#This Row],[Ticker]],Industries!$A$2:$A$140,0),0)</f>
        <v>Mega-Cap</v>
      </c>
      <c r="H1565" t="s">
        <v>1434</v>
      </c>
      <c r="I1565" t="s">
        <v>1434</v>
      </c>
      <c r="J1565" s="2">
        <v>45454</v>
      </c>
      <c r="K1565" t="s">
        <v>2</v>
      </c>
      <c r="L1565" t="s">
        <v>3</v>
      </c>
      <c r="M1565" t="s">
        <v>1711</v>
      </c>
      <c r="N1565" s="1">
        <f>Table1[[#This Row],[Consideration Weight]]</f>
        <v>2.3E-2</v>
      </c>
      <c r="O1565" t="s">
        <v>3</v>
      </c>
      <c r="P1565" s="1">
        <v>2.3E-2</v>
      </c>
      <c r="V1565" t="s">
        <v>1652</v>
      </c>
    </row>
    <row r="1566" spans="1:22" x14ac:dyDescent="0.3">
      <c r="A1566" t="s">
        <v>926</v>
      </c>
      <c r="B1566" t="str">
        <f ca="1">OFFSET(Industries!C$1,MATCH(Table1[[#This Row],[Ticker]],Industries!$A$2:$A$150,0),0)</f>
        <v>Information Technology</v>
      </c>
      <c r="C1566" t="str">
        <f ca="1">OFFSET(Industries!D$1,MATCH(Table1[[#This Row],[Ticker]],Industries!$A$2:$A$150,0),0)</f>
        <v>Technology Hardware and Equipment</v>
      </c>
      <c r="D1566" t="str">
        <f ca="1">OFFSET(Industries!E$1,MATCH(Table1[[#This Row],[Ticker]],Industries!$A$2:$A$150,0),0)</f>
        <v>Communications Equipment</v>
      </c>
      <c r="E1566" t="s">
        <v>927</v>
      </c>
      <c r="F1566" t="str">
        <f ca="1">OFFSET(Industries!B$1,MATCH(Table1[[#This Row],[Ticker]],Industries!$A$2:$A$140,0),0)</f>
        <v>Mega-Cap</v>
      </c>
      <c r="H1566" t="s">
        <v>1434</v>
      </c>
      <c r="I1566" t="s">
        <v>1434</v>
      </c>
      <c r="J1566" s="2">
        <v>45454</v>
      </c>
      <c r="K1566" t="s">
        <v>2</v>
      </c>
      <c r="L1566" t="s">
        <v>1708</v>
      </c>
      <c r="M1566" t="s">
        <v>1709</v>
      </c>
      <c r="N1566" s="1">
        <f>Table1[[#This Row],[Consideration Weight]]</f>
        <v>2.3E-2</v>
      </c>
      <c r="O1566" t="s">
        <v>4</v>
      </c>
      <c r="P1566" s="1">
        <v>2.3E-2</v>
      </c>
      <c r="Q1566" s="1" t="s">
        <v>1636</v>
      </c>
      <c r="R1566" t="s">
        <v>23</v>
      </c>
      <c r="S1566" t="s">
        <v>1083</v>
      </c>
      <c r="T1566" t="s">
        <v>37</v>
      </c>
      <c r="U1566" s="1">
        <v>0.5</v>
      </c>
      <c r="V1566" t="s">
        <v>928</v>
      </c>
    </row>
    <row r="1567" spans="1:22" x14ac:dyDescent="0.3">
      <c r="A1567" t="s">
        <v>926</v>
      </c>
      <c r="B1567" t="str">
        <f ca="1">OFFSET(Industries!C$1,MATCH(Table1[[#This Row],[Ticker]],Industries!$A$2:$A$150,0),0)</f>
        <v>Information Technology</v>
      </c>
      <c r="C1567" t="str">
        <f ca="1">OFFSET(Industries!D$1,MATCH(Table1[[#This Row],[Ticker]],Industries!$A$2:$A$150,0),0)</f>
        <v>Technology Hardware and Equipment</v>
      </c>
      <c r="D1567" t="str">
        <f ca="1">OFFSET(Industries!E$1,MATCH(Table1[[#This Row],[Ticker]],Industries!$A$2:$A$150,0),0)</f>
        <v>Communications Equipment</v>
      </c>
      <c r="E1567" t="s">
        <v>927</v>
      </c>
      <c r="F1567" t="str">
        <f ca="1">OFFSET(Industries!B$1,MATCH(Table1[[#This Row],[Ticker]],Industries!$A$2:$A$140,0),0)</f>
        <v>Mega-Cap</v>
      </c>
      <c r="H1567" t="s">
        <v>1434</v>
      </c>
      <c r="I1567" t="s">
        <v>1434</v>
      </c>
      <c r="J1567" s="2">
        <v>45454</v>
      </c>
      <c r="K1567" t="s">
        <v>2</v>
      </c>
      <c r="L1567" t="s">
        <v>1708</v>
      </c>
      <c r="M1567" t="s">
        <v>1709</v>
      </c>
      <c r="N1567" s="1"/>
      <c r="O1567" t="s">
        <v>4</v>
      </c>
      <c r="P1567" s="1">
        <v>2.3E-2</v>
      </c>
      <c r="Q1567" s="1" t="s">
        <v>1636</v>
      </c>
      <c r="R1567" t="s">
        <v>24</v>
      </c>
      <c r="S1567" t="s">
        <v>90</v>
      </c>
      <c r="T1567" t="s">
        <v>8</v>
      </c>
      <c r="U1567" s="1">
        <v>0.5</v>
      </c>
      <c r="V1567" t="s">
        <v>929</v>
      </c>
    </row>
    <row r="1568" spans="1:22" x14ac:dyDescent="0.3">
      <c r="A1568" t="s">
        <v>926</v>
      </c>
      <c r="B1568" t="str">
        <f ca="1">OFFSET(Industries!C$1,MATCH(Table1[[#This Row],[Ticker]],Industries!$A$2:$A$150,0),0)</f>
        <v>Information Technology</v>
      </c>
      <c r="C1568" t="str">
        <f ca="1">OFFSET(Industries!D$1,MATCH(Table1[[#This Row],[Ticker]],Industries!$A$2:$A$150,0),0)</f>
        <v>Technology Hardware and Equipment</v>
      </c>
      <c r="D1568" t="str">
        <f ca="1">OFFSET(Industries!E$1,MATCH(Table1[[#This Row],[Ticker]],Industries!$A$2:$A$150,0),0)</f>
        <v>Communications Equipment</v>
      </c>
      <c r="E1568" t="s">
        <v>927</v>
      </c>
      <c r="F1568" t="str">
        <f ca="1">OFFSET(Industries!B$1,MATCH(Table1[[#This Row],[Ticker]],Industries!$A$2:$A$140,0),0)</f>
        <v>Mega-Cap</v>
      </c>
      <c r="H1568" t="s">
        <v>1434</v>
      </c>
      <c r="I1568" t="s">
        <v>1434</v>
      </c>
      <c r="J1568" s="2">
        <v>45454</v>
      </c>
      <c r="K1568" t="s">
        <v>2</v>
      </c>
      <c r="L1568" t="s">
        <v>1708</v>
      </c>
      <c r="M1568" t="s">
        <v>1709</v>
      </c>
      <c r="N1568" s="1"/>
      <c r="O1568" t="s">
        <v>4</v>
      </c>
      <c r="P1568" s="1">
        <v>2.3E-2</v>
      </c>
      <c r="R1568" t="s">
        <v>28</v>
      </c>
      <c r="S1568" t="s">
        <v>1087</v>
      </c>
      <c r="T1568" t="s">
        <v>40</v>
      </c>
      <c r="V1568" t="s">
        <v>935</v>
      </c>
    </row>
    <row r="1569" spans="1:22" x14ac:dyDescent="0.3">
      <c r="A1569" t="s">
        <v>926</v>
      </c>
      <c r="B1569" t="str">
        <f ca="1">OFFSET(Industries!C$1,MATCH(Table1[[#This Row],[Ticker]],Industries!$A$2:$A$150,0),0)</f>
        <v>Information Technology</v>
      </c>
      <c r="C1569" t="str">
        <f ca="1">OFFSET(Industries!D$1,MATCH(Table1[[#This Row],[Ticker]],Industries!$A$2:$A$150,0),0)</f>
        <v>Technology Hardware and Equipment</v>
      </c>
      <c r="D1569" t="str">
        <f ca="1">OFFSET(Industries!E$1,MATCH(Table1[[#This Row],[Ticker]],Industries!$A$2:$A$150,0),0)</f>
        <v>Communications Equipment</v>
      </c>
      <c r="E1569" t="s">
        <v>927</v>
      </c>
      <c r="F1569" t="str">
        <f ca="1">OFFSET(Industries!B$1,MATCH(Table1[[#This Row],[Ticker]],Industries!$A$2:$A$140,0),0)</f>
        <v>Mega-Cap</v>
      </c>
      <c r="H1569" t="s">
        <v>1434</v>
      </c>
      <c r="I1569" t="s">
        <v>1434</v>
      </c>
      <c r="J1569" s="2">
        <v>45454</v>
      </c>
      <c r="K1569" t="s">
        <v>2</v>
      </c>
      <c r="L1569" t="s">
        <v>1708</v>
      </c>
      <c r="M1569" t="s">
        <v>1709</v>
      </c>
      <c r="N1569" s="1"/>
      <c r="O1569" t="s">
        <v>4</v>
      </c>
      <c r="P1569" s="1">
        <v>2.3E-2</v>
      </c>
      <c r="R1569" t="s">
        <v>28</v>
      </c>
      <c r="S1569" t="s">
        <v>1167</v>
      </c>
      <c r="T1569" t="s">
        <v>37</v>
      </c>
      <c r="V1569" t="s">
        <v>931</v>
      </c>
    </row>
    <row r="1570" spans="1:22" x14ac:dyDescent="0.3">
      <c r="A1570" t="s">
        <v>926</v>
      </c>
      <c r="B1570" t="str">
        <f ca="1">OFFSET(Industries!C$1,MATCH(Table1[[#This Row],[Ticker]],Industries!$A$2:$A$150,0),0)</f>
        <v>Information Technology</v>
      </c>
      <c r="C1570" t="str">
        <f ca="1">OFFSET(Industries!D$1,MATCH(Table1[[#This Row],[Ticker]],Industries!$A$2:$A$150,0),0)</f>
        <v>Technology Hardware and Equipment</v>
      </c>
      <c r="D1570" t="str">
        <f ca="1">OFFSET(Industries!E$1,MATCH(Table1[[#This Row],[Ticker]],Industries!$A$2:$A$150,0),0)</f>
        <v>Communications Equipment</v>
      </c>
      <c r="E1570" t="s">
        <v>927</v>
      </c>
      <c r="F1570" t="str">
        <f ca="1">OFFSET(Industries!B$1,MATCH(Table1[[#This Row],[Ticker]],Industries!$A$2:$A$140,0),0)</f>
        <v>Mega-Cap</v>
      </c>
      <c r="H1570" t="s">
        <v>1434</v>
      </c>
      <c r="I1570" t="s">
        <v>1434</v>
      </c>
      <c r="J1570" s="2">
        <v>45454</v>
      </c>
      <c r="K1570" t="s">
        <v>2</v>
      </c>
      <c r="L1570" t="s">
        <v>1710</v>
      </c>
      <c r="M1570" t="s">
        <v>1709</v>
      </c>
      <c r="N1570" s="1">
        <f>Table1[[#This Row],[Consideration Weight]]</f>
        <v>0.95399999999999996</v>
      </c>
      <c r="O1570" t="s">
        <v>476</v>
      </c>
      <c r="P1570" s="1">
        <v>0.95399999999999996</v>
      </c>
      <c r="Q1570" s="1" t="s">
        <v>1636</v>
      </c>
      <c r="R1570" t="s">
        <v>23</v>
      </c>
      <c r="S1570" t="s">
        <v>1083</v>
      </c>
      <c r="T1570" t="s">
        <v>37</v>
      </c>
      <c r="U1570" s="1">
        <v>0.4</v>
      </c>
      <c r="V1570" t="s">
        <v>932</v>
      </c>
    </row>
    <row r="1571" spans="1:22" x14ac:dyDescent="0.3">
      <c r="A1571" t="s">
        <v>926</v>
      </c>
      <c r="B1571" t="str">
        <f ca="1">OFFSET(Industries!C$1,MATCH(Table1[[#This Row],[Ticker]],Industries!$A$2:$A$150,0),0)</f>
        <v>Information Technology</v>
      </c>
      <c r="C1571" t="str">
        <f ca="1">OFFSET(Industries!D$1,MATCH(Table1[[#This Row],[Ticker]],Industries!$A$2:$A$150,0),0)</f>
        <v>Technology Hardware and Equipment</v>
      </c>
      <c r="D1571" t="str">
        <f ca="1">OFFSET(Industries!E$1,MATCH(Table1[[#This Row],[Ticker]],Industries!$A$2:$A$150,0),0)</f>
        <v>Communications Equipment</v>
      </c>
      <c r="E1571" t="s">
        <v>927</v>
      </c>
      <c r="F1571" t="str">
        <f ca="1">OFFSET(Industries!B$1,MATCH(Table1[[#This Row],[Ticker]],Industries!$A$2:$A$140,0),0)</f>
        <v>Mega-Cap</v>
      </c>
      <c r="H1571" t="s">
        <v>1434</v>
      </c>
      <c r="I1571" t="s">
        <v>1434</v>
      </c>
      <c r="J1571" s="2">
        <v>45454</v>
      </c>
      <c r="K1571" t="s">
        <v>2</v>
      </c>
      <c r="L1571" t="s">
        <v>1710</v>
      </c>
      <c r="M1571" t="s">
        <v>1709</v>
      </c>
      <c r="N1571" s="1"/>
      <c r="O1571" t="s">
        <v>476</v>
      </c>
      <c r="P1571" s="1">
        <v>0.95399999999999996</v>
      </c>
      <c r="Q1571" s="1" t="s">
        <v>1636</v>
      </c>
      <c r="R1571" t="s">
        <v>24</v>
      </c>
      <c r="S1571" t="s">
        <v>90</v>
      </c>
      <c r="T1571" t="s">
        <v>8</v>
      </c>
      <c r="U1571" s="1">
        <v>0.4</v>
      </c>
      <c r="V1571" t="s">
        <v>933</v>
      </c>
    </row>
    <row r="1572" spans="1:22" x14ac:dyDescent="0.3">
      <c r="A1572" t="s">
        <v>926</v>
      </c>
      <c r="B1572" t="str">
        <f ca="1">OFFSET(Industries!C$1,MATCH(Table1[[#This Row],[Ticker]],Industries!$A$2:$A$150,0),0)</f>
        <v>Information Technology</v>
      </c>
      <c r="C1572" t="str">
        <f ca="1">OFFSET(Industries!D$1,MATCH(Table1[[#This Row],[Ticker]],Industries!$A$2:$A$150,0),0)</f>
        <v>Technology Hardware and Equipment</v>
      </c>
      <c r="D1572" t="str">
        <f ca="1">OFFSET(Industries!E$1,MATCH(Table1[[#This Row],[Ticker]],Industries!$A$2:$A$150,0),0)</f>
        <v>Communications Equipment</v>
      </c>
      <c r="E1572" t="s">
        <v>927</v>
      </c>
      <c r="F1572" t="str">
        <f ca="1">OFFSET(Industries!B$1,MATCH(Table1[[#This Row],[Ticker]],Industries!$A$2:$A$140,0),0)</f>
        <v>Mega-Cap</v>
      </c>
      <c r="H1572" t="s">
        <v>1434</v>
      </c>
      <c r="I1572" t="s">
        <v>1434</v>
      </c>
      <c r="J1572" s="2">
        <v>45454</v>
      </c>
      <c r="K1572" t="s">
        <v>2</v>
      </c>
      <c r="L1572" t="s">
        <v>1710</v>
      </c>
      <c r="M1572" t="s">
        <v>1709</v>
      </c>
      <c r="N1572" s="1"/>
      <c r="O1572" t="s">
        <v>476</v>
      </c>
      <c r="P1572" s="1">
        <v>0.95399999999999996</v>
      </c>
      <c r="Q1572" s="1" t="s">
        <v>1636</v>
      </c>
      <c r="R1572" t="s">
        <v>24</v>
      </c>
      <c r="S1572" t="s">
        <v>1105</v>
      </c>
      <c r="T1572" t="s">
        <v>930</v>
      </c>
      <c r="U1572" s="1">
        <v>0.2</v>
      </c>
    </row>
    <row r="1573" spans="1:22" x14ac:dyDescent="0.3">
      <c r="A1573" t="s">
        <v>926</v>
      </c>
      <c r="B1573" t="str">
        <f ca="1">OFFSET(Industries!C$1,MATCH(Table1[[#This Row],[Ticker]],Industries!$A$2:$A$150,0),0)</f>
        <v>Information Technology</v>
      </c>
      <c r="C1573" t="str">
        <f ca="1">OFFSET(Industries!D$1,MATCH(Table1[[#This Row],[Ticker]],Industries!$A$2:$A$150,0),0)</f>
        <v>Technology Hardware and Equipment</v>
      </c>
      <c r="D1573" t="str">
        <f ca="1">OFFSET(Industries!E$1,MATCH(Table1[[#This Row],[Ticker]],Industries!$A$2:$A$150,0),0)</f>
        <v>Communications Equipment</v>
      </c>
      <c r="E1573" t="s">
        <v>927</v>
      </c>
      <c r="F1573" t="str">
        <f ca="1">OFFSET(Industries!B$1,MATCH(Table1[[#This Row],[Ticker]],Industries!$A$2:$A$140,0),0)</f>
        <v>Mega-Cap</v>
      </c>
      <c r="H1573" t="s">
        <v>1434</v>
      </c>
      <c r="I1573" t="s">
        <v>1434</v>
      </c>
      <c r="J1573" s="2">
        <v>45454</v>
      </c>
      <c r="K1573" t="s">
        <v>21</v>
      </c>
      <c r="L1573" t="s">
        <v>3</v>
      </c>
      <c r="M1573" t="s">
        <v>1711</v>
      </c>
      <c r="N1573" s="1">
        <f>Table1[[#This Row],[Consideration Weight]]</f>
        <v>6.6726582724304068E-2</v>
      </c>
      <c r="O1573" t="s">
        <v>3</v>
      </c>
      <c r="P1573" s="1">
        <v>6.6726582724304068E-2</v>
      </c>
    </row>
    <row r="1574" spans="1:22" x14ac:dyDescent="0.3">
      <c r="A1574" t="s">
        <v>926</v>
      </c>
      <c r="B1574" t="str">
        <f ca="1">OFFSET(Industries!C$1,MATCH(Table1[[#This Row],[Ticker]],Industries!$A$2:$A$150,0),0)</f>
        <v>Information Technology</v>
      </c>
      <c r="C1574" t="str">
        <f ca="1">OFFSET(Industries!D$1,MATCH(Table1[[#This Row],[Ticker]],Industries!$A$2:$A$150,0),0)</f>
        <v>Technology Hardware and Equipment</v>
      </c>
      <c r="D1574" t="str">
        <f ca="1">OFFSET(Industries!E$1,MATCH(Table1[[#This Row],[Ticker]],Industries!$A$2:$A$150,0),0)</f>
        <v>Communications Equipment</v>
      </c>
      <c r="E1574" t="s">
        <v>927</v>
      </c>
      <c r="F1574" t="str">
        <f ca="1">OFFSET(Industries!B$1,MATCH(Table1[[#This Row],[Ticker]],Industries!$A$2:$A$140,0),0)</f>
        <v>Mega-Cap</v>
      </c>
      <c r="H1574" t="s">
        <v>1434</v>
      </c>
      <c r="I1574" t="s">
        <v>1434</v>
      </c>
      <c r="J1574" s="2">
        <v>45454</v>
      </c>
      <c r="K1574" t="s">
        <v>21</v>
      </c>
      <c r="L1574" t="s">
        <v>1708</v>
      </c>
      <c r="M1574" t="s">
        <v>1709</v>
      </c>
      <c r="N1574" s="1">
        <f>Table1[[#This Row],[Consideration Weight]]</f>
        <v>4.0035949634582436E-2</v>
      </c>
      <c r="O1574" t="s">
        <v>4</v>
      </c>
      <c r="P1574" s="1">
        <v>4.0035949634582436E-2</v>
      </c>
      <c r="Q1574" s="1" t="s">
        <v>1636</v>
      </c>
      <c r="R1574" t="s">
        <v>23</v>
      </c>
      <c r="S1574" t="s">
        <v>1083</v>
      </c>
      <c r="T1574" t="s">
        <v>37</v>
      </c>
      <c r="U1574" s="1">
        <v>0.5</v>
      </c>
    </row>
    <row r="1575" spans="1:22" x14ac:dyDescent="0.3">
      <c r="A1575" t="s">
        <v>926</v>
      </c>
      <c r="B1575" t="str">
        <f ca="1">OFFSET(Industries!C$1,MATCH(Table1[[#This Row],[Ticker]],Industries!$A$2:$A$150,0),0)</f>
        <v>Information Technology</v>
      </c>
      <c r="C1575" t="str">
        <f ca="1">OFFSET(Industries!D$1,MATCH(Table1[[#This Row],[Ticker]],Industries!$A$2:$A$150,0),0)</f>
        <v>Technology Hardware and Equipment</v>
      </c>
      <c r="D1575" t="str">
        <f ca="1">OFFSET(Industries!E$1,MATCH(Table1[[#This Row],[Ticker]],Industries!$A$2:$A$150,0),0)</f>
        <v>Communications Equipment</v>
      </c>
      <c r="E1575" t="s">
        <v>927</v>
      </c>
      <c r="F1575" t="str">
        <f ca="1">OFFSET(Industries!B$1,MATCH(Table1[[#This Row],[Ticker]],Industries!$A$2:$A$140,0),0)</f>
        <v>Mega-Cap</v>
      </c>
      <c r="H1575" t="s">
        <v>1434</v>
      </c>
      <c r="I1575" t="s">
        <v>1434</v>
      </c>
      <c r="J1575" s="2">
        <v>45454</v>
      </c>
      <c r="K1575" t="s">
        <v>21</v>
      </c>
      <c r="L1575" t="s">
        <v>1708</v>
      </c>
      <c r="M1575" t="s">
        <v>1709</v>
      </c>
      <c r="N1575" s="1"/>
      <c r="O1575" t="s">
        <v>4</v>
      </c>
      <c r="P1575" s="1">
        <v>4.0035949634582436E-2</v>
      </c>
      <c r="Q1575" s="1" t="s">
        <v>1636</v>
      </c>
      <c r="R1575" t="s">
        <v>24</v>
      </c>
      <c r="S1575" t="s">
        <v>90</v>
      </c>
      <c r="T1575" t="s">
        <v>8</v>
      </c>
      <c r="U1575" s="1">
        <v>0.5</v>
      </c>
    </row>
    <row r="1576" spans="1:22" x14ac:dyDescent="0.3">
      <c r="A1576" t="s">
        <v>926</v>
      </c>
      <c r="B1576" t="str">
        <f ca="1">OFFSET(Industries!C$1,MATCH(Table1[[#This Row],[Ticker]],Industries!$A$2:$A$150,0),0)</f>
        <v>Information Technology</v>
      </c>
      <c r="C1576" t="str">
        <f ca="1">OFFSET(Industries!D$1,MATCH(Table1[[#This Row],[Ticker]],Industries!$A$2:$A$150,0),0)</f>
        <v>Technology Hardware and Equipment</v>
      </c>
      <c r="D1576" t="str">
        <f ca="1">OFFSET(Industries!E$1,MATCH(Table1[[#This Row],[Ticker]],Industries!$A$2:$A$150,0),0)</f>
        <v>Communications Equipment</v>
      </c>
      <c r="E1576" t="s">
        <v>927</v>
      </c>
      <c r="F1576" t="str">
        <f ca="1">OFFSET(Industries!B$1,MATCH(Table1[[#This Row],[Ticker]],Industries!$A$2:$A$140,0),0)</f>
        <v>Mega-Cap</v>
      </c>
      <c r="H1576" t="s">
        <v>1434</v>
      </c>
      <c r="I1576" t="s">
        <v>1434</v>
      </c>
      <c r="J1576" s="2">
        <v>45454</v>
      </c>
      <c r="K1576" t="s">
        <v>21</v>
      </c>
      <c r="L1576" t="s">
        <v>1708</v>
      </c>
      <c r="M1576" t="s">
        <v>1709</v>
      </c>
      <c r="N1576" s="1"/>
      <c r="O1576" t="s">
        <v>4</v>
      </c>
      <c r="P1576" s="1">
        <v>4.0035949634582436E-2</v>
      </c>
      <c r="R1576" t="s">
        <v>28</v>
      </c>
      <c r="S1576" t="s">
        <v>1087</v>
      </c>
      <c r="T1576" t="s">
        <v>40</v>
      </c>
    </row>
    <row r="1577" spans="1:22" x14ac:dyDescent="0.3">
      <c r="A1577" t="s">
        <v>926</v>
      </c>
      <c r="B1577" t="str">
        <f ca="1">OFFSET(Industries!C$1,MATCH(Table1[[#This Row],[Ticker]],Industries!$A$2:$A$150,0),0)</f>
        <v>Information Technology</v>
      </c>
      <c r="C1577" t="str">
        <f ca="1">OFFSET(Industries!D$1,MATCH(Table1[[#This Row],[Ticker]],Industries!$A$2:$A$150,0),0)</f>
        <v>Technology Hardware and Equipment</v>
      </c>
      <c r="D1577" t="str">
        <f ca="1">OFFSET(Industries!E$1,MATCH(Table1[[#This Row],[Ticker]],Industries!$A$2:$A$150,0),0)</f>
        <v>Communications Equipment</v>
      </c>
      <c r="E1577" t="s">
        <v>927</v>
      </c>
      <c r="F1577" t="str">
        <f ca="1">OFFSET(Industries!B$1,MATCH(Table1[[#This Row],[Ticker]],Industries!$A$2:$A$140,0),0)</f>
        <v>Mega-Cap</v>
      </c>
      <c r="H1577" t="s">
        <v>1434</v>
      </c>
      <c r="I1577" t="s">
        <v>1434</v>
      </c>
      <c r="J1577" s="2">
        <v>45454</v>
      </c>
      <c r="K1577" t="s">
        <v>21</v>
      </c>
      <c r="L1577" t="s">
        <v>1708</v>
      </c>
      <c r="M1577" t="s">
        <v>1709</v>
      </c>
      <c r="N1577" s="1"/>
      <c r="O1577" t="s">
        <v>4</v>
      </c>
      <c r="P1577" s="1">
        <v>4.0035949634582436E-2</v>
      </c>
      <c r="R1577" t="s">
        <v>28</v>
      </c>
      <c r="S1577" t="s">
        <v>1167</v>
      </c>
      <c r="T1577" t="s">
        <v>37</v>
      </c>
      <c r="V1577" t="s">
        <v>934</v>
      </c>
    </row>
    <row r="1578" spans="1:22" x14ac:dyDescent="0.3">
      <c r="A1578" t="s">
        <v>926</v>
      </c>
      <c r="B1578" t="str">
        <f ca="1">OFFSET(Industries!C$1,MATCH(Table1[[#This Row],[Ticker]],Industries!$A$2:$A$150,0),0)</f>
        <v>Information Technology</v>
      </c>
      <c r="C1578" t="str">
        <f ca="1">OFFSET(Industries!D$1,MATCH(Table1[[#This Row],[Ticker]],Industries!$A$2:$A$150,0),0)</f>
        <v>Technology Hardware and Equipment</v>
      </c>
      <c r="D1578" t="str">
        <f ca="1">OFFSET(Industries!E$1,MATCH(Table1[[#This Row],[Ticker]],Industries!$A$2:$A$150,0),0)</f>
        <v>Communications Equipment</v>
      </c>
      <c r="E1578" t="s">
        <v>927</v>
      </c>
      <c r="F1578" t="str">
        <f ca="1">OFFSET(Industries!B$1,MATCH(Table1[[#This Row],[Ticker]],Industries!$A$2:$A$140,0),0)</f>
        <v>Mega-Cap</v>
      </c>
      <c r="H1578" t="s">
        <v>1434</v>
      </c>
      <c r="I1578" t="s">
        <v>1434</v>
      </c>
      <c r="J1578" s="2">
        <v>45454</v>
      </c>
      <c r="K1578" t="s">
        <v>21</v>
      </c>
      <c r="L1578" t="s">
        <v>1710</v>
      </c>
      <c r="M1578" t="s">
        <v>1709</v>
      </c>
      <c r="N1578" s="1">
        <f>Table1[[#This Row],[Consideration Weight]]</f>
        <v>0.44661873382055678</v>
      </c>
      <c r="O1578" t="s">
        <v>476</v>
      </c>
      <c r="P1578" s="1">
        <v>0.44661873382055678</v>
      </c>
      <c r="Q1578" s="1" t="s">
        <v>1636</v>
      </c>
      <c r="R1578" t="s">
        <v>23</v>
      </c>
      <c r="S1578" t="s">
        <v>1083</v>
      </c>
      <c r="T1578" t="s">
        <v>37</v>
      </c>
      <c r="U1578" s="1">
        <v>0.5</v>
      </c>
      <c r="V1578" t="s">
        <v>934</v>
      </c>
    </row>
    <row r="1579" spans="1:22" x14ac:dyDescent="0.3">
      <c r="A1579" t="s">
        <v>926</v>
      </c>
      <c r="B1579" t="str">
        <f ca="1">OFFSET(Industries!C$1,MATCH(Table1[[#This Row],[Ticker]],Industries!$A$2:$A$150,0),0)</f>
        <v>Information Technology</v>
      </c>
      <c r="C1579" t="str">
        <f ca="1">OFFSET(Industries!D$1,MATCH(Table1[[#This Row],[Ticker]],Industries!$A$2:$A$150,0),0)</f>
        <v>Technology Hardware and Equipment</v>
      </c>
      <c r="D1579" t="str">
        <f ca="1">OFFSET(Industries!E$1,MATCH(Table1[[#This Row],[Ticker]],Industries!$A$2:$A$150,0),0)</f>
        <v>Communications Equipment</v>
      </c>
      <c r="E1579" t="s">
        <v>927</v>
      </c>
      <c r="F1579" t="str">
        <f ca="1">OFFSET(Industries!B$1,MATCH(Table1[[#This Row],[Ticker]],Industries!$A$2:$A$140,0),0)</f>
        <v>Mega-Cap</v>
      </c>
      <c r="H1579" t="s">
        <v>1434</v>
      </c>
      <c r="I1579" t="s">
        <v>1434</v>
      </c>
      <c r="J1579" s="2">
        <v>45454</v>
      </c>
      <c r="K1579" t="s">
        <v>21</v>
      </c>
      <c r="L1579" t="s">
        <v>1710</v>
      </c>
      <c r="M1579" t="s">
        <v>1709</v>
      </c>
      <c r="N1579" s="1"/>
      <c r="O1579" t="s">
        <v>476</v>
      </c>
      <c r="P1579" s="1">
        <v>0.44661873382055678</v>
      </c>
      <c r="Q1579" s="1" t="s">
        <v>1636</v>
      </c>
      <c r="R1579" t="s">
        <v>24</v>
      </c>
      <c r="S1579" t="s">
        <v>90</v>
      </c>
      <c r="T1579" t="s">
        <v>8</v>
      </c>
      <c r="U1579" s="1">
        <v>0.5</v>
      </c>
    </row>
    <row r="1580" spans="1:22" x14ac:dyDescent="0.3">
      <c r="A1580" t="s">
        <v>926</v>
      </c>
      <c r="B1580" t="str">
        <f ca="1">OFFSET(Industries!C$1,MATCH(Table1[[#This Row],[Ticker]],Industries!$A$2:$A$150,0),0)</f>
        <v>Information Technology</v>
      </c>
      <c r="C1580" t="str">
        <f ca="1">OFFSET(Industries!D$1,MATCH(Table1[[#This Row],[Ticker]],Industries!$A$2:$A$150,0),0)</f>
        <v>Technology Hardware and Equipment</v>
      </c>
      <c r="D1580" t="str">
        <f ca="1">OFFSET(Industries!E$1,MATCH(Table1[[#This Row],[Ticker]],Industries!$A$2:$A$150,0),0)</f>
        <v>Communications Equipment</v>
      </c>
      <c r="E1580" t="s">
        <v>927</v>
      </c>
      <c r="F1580" t="str">
        <f ca="1">OFFSET(Industries!B$1,MATCH(Table1[[#This Row],[Ticker]],Industries!$A$2:$A$140,0),0)</f>
        <v>Mega-Cap</v>
      </c>
      <c r="H1580" t="s">
        <v>1434</v>
      </c>
      <c r="I1580" t="s">
        <v>1434</v>
      </c>
      <c r="J1580" s="2">
        <v>45454</v>
      </c>
      <c r="K1580" t="s">
        <v>21</v>
      </c>
      <c r="L1580" t="s">
        <v>1710</v>
      </c>
      <c r="M1580" t="s">
        <v>1711</v>
      </c>
      <c r="N1580" s="1">
        <f>Table1[[#This Row],[Consideration Weight]]</f>
        <v>0.44661873382055678</v>
      </c>
      <c r="O1580" t="s">
        <v>194</v>
      </c>
      <c r="P1580" s="1">
        <v>0.44661873382055678</v>
      </c>
    </row>
    <row r="1581" spans="1:22" x14ac:dyDescent="0.3">
      <c r="A1581" t="s">
        <v>936</v>
      </c>
      <c r="B1581" t="str">
        <f ca="1">OFFSET(Industries!C$1,MATCH(Table1[[#This Row],[Ticker]],Industries!$A$2:$A$150,0),0)</f>
        <v>Health Care</v>
      </c>
      <c r="C1581" t="str">
        <f ca="1">OFFSET(Industries!D$1,MATCH(Table1[[#This Row],[Ticker]],Industries!$A$2:$A$150,0),0)</f>
        <v>Pharmaceuticals, Biotechnology and Life Sciences</v>
      </c>
      <c r="D1581" t="str">
        <f ca="1">OFFSET(Industries!E$1,MATCH(Table1[[#This Row],[Ticker]],Industries!$A$2:$A$150,0),0)</f>
        <v>Pharmaceuticals</v>
      </c>
      <c r="E1581" t="s">
        <v>49</v>
      </c>
      <c r="F1581" t="str">
        <f ca="1">OFFSET(Industries!B$1,MATCH(Table1[[#This Row],[Ticker]],Industries!$A$2:$A$140,0),0)</f>
        <v>Ultra-Cap</v>
      </c>
      <c r="G1581" t="str">
        <f ca="1">OFFSET(Industries!F$1,MATCH(Table1[[#This Row],[Ticker]],Industries!$A$2:$A$140,0),0)</f>
        <v>A</v>
      </c>
      <c r="H1581" t="s">
        <v>1434</v>
      </c>
      <c r="I1581" t="s">
        <v>1434</v>
      </c>
      <c r="J1581" s="2">
        <v>45379</v>
      </c>
      <c r="K1581" t="s">
        <v>2</v>
      </c>
      <c r="L1581" t="s">
        <v>3</v>
      </c>
      <c r="M1581" t="s">
        <v>1711</v>
      </c>
      <c r="N1581" s="1">
        <f>Table1[[#This Row],[Consideration Weight]]</f>
        <v>0.16</v>
      </c>
      <c r="O1581" t="s">
        <v>3</v>
      </c>
      <c r="P1581" s="1">
        <v>0.16</v>
      </c>
      <c r="V1581" t="s">
        <v>938</v>
      </c>
    </row>
    <row r="1582" spans="1:22" x14ac:dyDescent="0.3">
      <c r="A1582" t="s">
        <v>936</v>
      </c>
      <c r="B1582" t="str">
        <f ca="1">OFFSET(Industries!C$1,MATCH(Table1[[#This Row],[Ticker]],Industries!$A$2:$A$150,0),0)</f>
        <v>Health Care</v>
      </c>
      <c r="C1582" t="str">
        <f ca="1">OFFSET(Industries!D$1,MATCH(Table1[[#This Row],[Ticker]],Industries!$A$2:$A$150,0),0)</f>
        <v>Pharmaceuticals, Biotechnology and Life Sciences</v>
      </c>
      <c r="D1582" t="str">
        <f ca="1">OFFSET(Industries!E$1,MATCH(Table1[[#This Row],[Ticker]],Industries!$A$2:$A$150,0),0)</f>
        <v>Pharmaceuticals</v>
      </c>
      <c r="E1582" t="s">
        <v>49</v>
      </c>
      <c r="F1582" t="str">
        <f ca="1">OFFSET(Industries!B$1,MATCH(Table1[[#This Row],[Ticker]],Industries!$A$2:$A$140,0),0)</f>
        <v>Ultra-Cap</v>
      </c>
      <c r="G1582" t="str">
        <f ca="1">OFFSET(Industries!F$1,MATCH(Table1[[#This Row],[Ticker]],Industries!$A$2:$A$140,0),0)</f>
        <v>A</v>
      </c>
      <c r="H1582" t="s">
        <v>1434</v>
      </c>
      <c r="I1582" t="s">
        <v>1434</v>
      </c>
      <c r="J1582" s="2">
        <v>45379</v>
      </c>
      <c r="K1582" t="s">
        <v>2</v>
      </c>
      <c r="L1582" t="s">
        <v>1708</v>
      </c>
      <c r="M1582" t="s">
        <v>1709</v>
      </c>
      <c r="N1582" s="1">
        <f>Table1[[#This Row],[Consideration Weight]]</f>
        <v>0.19</v>
      </c>
      <c r="O1582" t="s">
        <v>4</v>
      </c>
      <c r="P1582" s="1">
        <v>0.19</v>
      </c>
      <c r="Q1582" s="1" t="s">
        <v>1636</v>
      </c>
      <c r="R1582" t="s">
        <v>23</v>
      </c>
      <c r="S1582" t="s">
        <v>1083</v>
      </c>
      <c r="T1582" t="s">
        <v>937</v>
      </c>
      <c r="U1582" s="1">
        <v>0.35</v>
      </c>
      <c r="V1582" t="s">
        <v>939</v>
      </c>
    </row>
    <row r="1583" spans="1:22" x14ac:dyDescent="0.3">
      <c r="A1583" t="s">
        <v>936</v>
      </c>
      <c r="B1583" t="str">
        <f ca="1">OFFSET(Industries!C$1,MATCH(Table1[[#This Row],[Ticker]],Industries!$A$2:$A$150,0),0)</f>
        <v>Health Care</v>
      </c>
      <c r="C1583" t="str">
        <f ca="1">OFFSET(Industries!D$1,MATCH(Table1[[#This Row],[Ticker]],Industries!$A$2:$A$150,0),0)</f>
        <v>Pharmaceuticals, Biotechnology and Life Sciences</v>
      </c>
      <c r="D1583" t="str">
        <f ca="1">OFFSET(Industries!E$1,MATCH(Table1[[#This Row],[Ticker]],Industries!$A$2:$A$150,0),0)</f>
        <v>Pharmaceuticals</v>
      </c>
      <c r="E1583" t="s">
        <v>49</v>
      </c>
      <c r="F1583" t="str">
        <f ca="1">OFFSET(Industries!B$1,MATCH(Table1[[#This Row],[Ticker]],Industries!$A$2:$A$140,0),0)</f>
        <v>Ultra-Cap</v>
      </c>
      <c r="G1583" t="str">
        <f ca="1">OFFSET(Industries!F$1,MATCH(Table1[[#This Row],[Ticker]],Industries!$A$2:$A$140,0),0)</f>
        <v>A</v>
      </c>
      <c r="H1583" t="s">
        <v>1434</v>
      </c>
      <c r="I1583" t="s">
        <v>1434</v>
      </c>
      <c r="J1583" s="2">
        <v>45379</v>
      </c>
      <c r="K1583" t="s">
        <v>2</v>
      </c>
      <c r="L1583" t="s">
        <v>1708</v>
      </c>
      <c r="M1583" t="s">
        <v>1709</v>
      </c>
      <c r="N1583" s="1"/>
      <c r="O1583" t="s">
        <v>4</v>
      </c>
      <c r="P1583" s="1">
        <v>0.19</v>
      </c>
      <c r="Q1583" s="1" t="s">
        <v>1636</v>
      </c>
      <c r="R1583" t="s">
        <v>24</v>
      </c>
      <c r="S1583" t="s">
        <v>90</v>
      </c>
      <c r="T1583" t="s">
        <v>90</v>
      </c>
      <c r="U1583" s="1">
        <v>0.3</v>
      </c>
      <c r="V1583" t="s">
        <v>940</v>
      </c>
    </row>
    <row r="1584" spans="1:22" x14ac:dyDescent="0.3">
      <c r="A1584" t="s">
        <v>936</v>
      </c>
      <c r="B1584" t="str">
        <f ca="1">OFFSET(Industries!C$1,MATCH(Table1[[#This Row],[Ticker]],Industries!$A$2:$A$150,0),0)</f>
        <v>Health Care</v>
      </c>
      <c r="C1584" t="str">
        <f ca="1">OFFSET(Industries!D$1,MATCH(Table1[[#This Row],[Ticker]],Industries!$A$2:$A$150,0),0)</f>
        <v>Pharmaceuticals, Biotechnology and Life Sciences</v>
      </c>
      <c r="D1584" t="str">
        <f ca="1">OFFSET(Industries!E$1,MATCH(Table1[[#This Row],[Ticker]],Industries!$A$2:$A$150,0),0)</f>
        <v>Pharmaceuticals</v>
      </c>
      <c r="E1584" t="s">
        <v>49</v>
      </c>
      <c r="F1584" t="str">
        <f ca="1">OFFSET(Industries!B$1,MATCH(Table1[[#This Row],[Ticker]],Industries!$A$2:$A$140,0),0)</f>
        <v>Ultra-Cap</v>
      </c>
      <c r="G1584" t="str">
        <f ca="1">OFFSET(Industries!F$1,MATCH(Table1[[#This Row],[Ticker]],Industries!$A$2:$A$140,0),0)</f>
        <v>A</v>
      </c>
      <c r="H1584" t="s">
        <v>1434</v>
      </c>
      <c r="I1584" t="s">
        <v>1434</v>
      </c>
      <c r="J1584" s="2">
        <v>45379</v>
      </c>
      <c r="K1584" t="s">
        <v>2</v>
      </c>
      <c r="L1584" t="s">
        <v>1708</v>
      </c>
      <c r="M1584" t="s">
        <v>1709</v>
      </c>
      <c r="N1584" s="1"/>
      <c r="O1584" t="s">
        <v>4</v>
      </c>
      <c r="P1584" s="1">
        <v>0.19</v>
      </c>
      <c r="Q1584" s="1" t="s">
        <v>1637</v>
      </c>
      <c r="R1584" t="s">
        <v>25</v>
      </c>
      <c r="S1584" t="s">
        <v>344</v>
      </c>
      <c r="T1584" t="s">
        <v>344</v>
      </c>
      <c r="U1584" s="1">
        <v>0.25</v>
      </c>
      <c r="V1584" t="s">
        <v>944</v>
      </c>
    </row>
    <row r="1585" spans="1:22" x14ac:dyDescent="0.3">
      <c r="A1585" t="s">
        <v>936</v>
      </c>
      <c r="B1585" t="str">
        <f ca="1">OFFSET(Industries!C$1,MATCH(Table1[[#This Row],[Ticker]],Industries!$A$2:$A$150,0),0)</f>
        <v>Health Care</v>
      </c>
      <c r="C1585" t="str">
        <f ca="1">OFFSET(Industries!D$1,MATCH(Table1[[#This Row],[Ticker]],Industries!$A$2:$A$150,0),0)</f>
        <v>Pharmaceuticals, Biotechnology and Life Sciences</v>
      </c>
      <c r="D1585" t="str">
        <f ca="1">OFFSET(Industries!E$1,MATCH(Table1[[#This Row],[Ticker]],Industries!$A$2:$A$150,0),0)</f>
        <v>Pharmaceuticals</v>
      </c>
      <c r="E1585" t="s">
        <v>49</v>
      </c>
      <c r="F1585" t="str">
        <f ca="1">OFFSET(Industries!B$1,MATCH(Table1[[#This Row],[Ticker]],Industries!$A$2:$A$140,0),0)</f>
        <v>Ultra-Cap</v>
      </c>
      <c r="G1585" t="str">
        <f ca="1">OFFSET(Industries!F$1,MATCH(Table1[[#This Row],[Ticker]],Industries!$A$2:$A$140,0),0)</f>
        <v>A</v>
      </c>
      <c r="H1585" t="s">
        <v>1434</v>
      </c>
      <c r="I1585" t="s">
        <v>1434</v>
      </c>
      <c r="J1585" s="2">
        <v>45379</v>
      </c>
      <c r="K1585" t="s">
        <v>2</v>
      </c>
      <c r="L1585" t="s">
        <v>1708</v>
      </c>
      <c r="M1585" t="s">
        <v>1709</v>
      </c>
      <c r="N1585" s="1"/>
      <c r="O1585" t="s">
        <v>4</v>
      </c>
      <c r="P1585" s="1">
        <v>0.19</v>
      </c>
      <c r="Q1585" s="1" t="s">
        <v>1637</v>
      </c>
      <c r="R1585" t="s">
        <v>26</v>
      </c>
      <c r="S1585" t="s">
        <v>26</v>
      </c>
      <c r="T1585" t="s">
        <v>941</v>
      </c>
      <c r="U1585" s="1">
        <v>0.1</v>
      </c>
      <c r="V1585" t="s">
        <v>584</v>
      </c>
    </row>
    <row r="1586" spans="1:22" x14ac:dyDescent="0.3">
      <c r="A1586" t="s">
        <v>936</v>
      </c>
      <c r="B1586" t="str">
        <f ca="1">OFFSET(Industries!C$1,MATCH(Table1[[#This Row],[Ticker]],Industries!$A$2:$A$150,0),0)</f>
        <v>Health Care</v>
      </c>
      <c r="C1586" t="str">
        <f ca="1">OFFSET(Industries!D$1,MATCH(Table1[[#This Row],[Ticker]],Industries!$A$2:$A$150,0),0)</f>
        <v>Pharmaceuticals, Biotechnology and Life Sciences</v>
      </c>
      <c r="D1586" t="str">
        <f ca="1">OFFSET(Industries!E$1,MATCH(Table1[[#This Row],[Ticker]],Industries!$A$2:$A$150,0),0)</f>
        <v>Pharmaceuticals</v>
      </c>
      <c r="E1586" t="s">
        <v>49</v>
      </c>
      <c r="F1586" t="str">
        <f ca="1">OFFSET(Industries!B$1,MATCH(Table1[[#This Row],[Ticker]],Industries!$A$2:$A$140,0),0)</f>
        <v>Ultra-Cap</v>
      </c>
      <c r="G1586" t="str">
        <f ca="1">OFFSET(Industries!F$1,MATCH(Table1[[#This Row],[Ticker]],Industries!$A$2:$A$140,0),0)</f>
        <v>A</v>
      </c>
      <c r="H1586" t="s">
        <v>1434</v>
      </c>
      <c r="I1586" t="s">
        <v>1434</v>
      </c>
      <c r="J1586" s="2">
        <v>45379</v>
      </c>
      <c r="K1586" t="s">
        <v>2</v>
      </c>
      <c r="L1586" t="s">
        <v>1710</v>
      </c>
      <c r="M1586" t="s">
        <v>1709</v>
      </c>
      <c r="N1586" s="1">
        <f>Table1[[#This Row],[Consideration Weight]]</f>
        <v>0.4</v>
      </c>
      <c r="O1586" t="s">
        <v>476</v>
      </c>
      <c r="P1586" s="1">
        <v>0.4</v>
      </c>
      <c r="Q1586" s="1" t="s">
        <v>1636</v>
      </c>
      <c r="R1586" t="s">
        <v>23</v>
      </c>
      <c r="S1586" t="s">
        <v>1083</v>
      </c>
      <c r="T1586" t="s">
        <v>942</v>
      </c>
      <c r="U1586" s="1">
        <v>0.4</v>
      </c>
      <c r="V1586" t="s">
        <v>506</v>
      </c>
    </row>
    <row r="1587" spans="1:22" x14ac:dyDescent="0.3">
      <c r="A1587" t="s">
        <v>936</v>
      </c>
      <c r="B1587" t="str">
        <f ca="1">OFFSET(Industries!C$1,MATCH(Table1[[#This Row],[Ticker]],Industries!$A$2:$A$150,0),0)</f>
        <v>Health Care</v>
      </c>
      <c r="C1587" t="str">
        <f ca="1">OFFSET(Industries!D$1,MATCH(Table1[[#This Row],[Ticker]],Industries!$A$2:$A$150,0),0)</f>
        <v>Pharmaceuticals, Biotechnology and Life Sciences</v>
      </c>
      <c r="D1587" t="str">
        <f ca="1">OFFSET(Industries!E$1,MATCH(Table1[[#This Row],[Ticker]],Industries!$A$2:$A$150,0),0)</f>
        <v>Pharmaceuticals</v>
      </c>
      <c r="E1587" t="s">
        <v>49</v>
      </c>
      <c r="F1587" t="str">
        <f ca="1">OFFSET(Industries!B$1,MATCH(Table1[[#This Row],[Ticker]],Industries!$A$2:$A$140,0),0)</f>
        <v>Ultra-Cap</v>
      </c>
      <c r="G1587" t="str">
        <f ca="1">OFFSET(Industries!F$1,MATCH(Table1[[#This Row],[Ticker]],Industries!$A$2:$A$140,0),0)</f>
        <v>A</v>
      </c>
      <c r="H1587" t="s">
        <v>1434</v>
      </c>
      <c r="I1587" t="s">
        <v>1434</v>
      </c>
      <c r="J1587" s="2">
        <v>45379</v>
      </c>
      <c r="K1587" t="s">
        <v>2</v>
      </c>
      <c r="L1587" t="s">
        <v>1710</v>
      </c>
      <c r="M1587" t="s">
        <v>1709</v>
      </c>
      <c r="N1587" s="1"/>
      <c r="O1587" t="s">
        <v>476</v>
      </c>
      <c r="P1587" s="1">
        <v>0.4</v>
      </c>
      <c r="Q1587" s="1" t="s">
        <v>1646</v>
      </c>
      <c r="R1587" t="s">
        <v>35</v>
      </c>
      <c r="S1587" t="s">
        <v>29</v>
      </c>
      <c r="T1587" t="s">
        <v>391</v>
      </c>
      <c r="U1587" s="1">
        <v>0.35</v>
      </c>
      <c r="V1587" t="s">
        <v>945</v>
      </c>
    </row>
    <row r="1588" spans="1:22" x14ac:dyDescent="0.3">
      <c r="A1588" t="s">
        <v>936</v>
      </c>
      <c r="B1588" t="str">
        <f ca="1">OFFSET(Industries!C$1,MATCH(Table1[[#This Row],[Ticker]],Industries!$A$2:$A$150,0),0)</f>
        <v>Health Care</v>
      </c>
      <c r="C1588" t="str">
        <f ca="1">OFFSET(Industries!D$1,MATCH(Table1[[#This Row],[Ticker]],Industries!$A$2:$A$150,0),0)</f>
        <v>Pharmaceuticals, Biotechnology and Life Sciences</v>
      </c>
      <c r="D1588" t="str">
        <f ca="1">OFFSET(Industries!E$1,MATCH(Table1[[#This Row],[Ticker]],Industries!$A$2:$A$150,0),0)</f>
        <v>Pharmaceuticals</v>
      </c>
      <c r="E1588" t="s">
        <v>49</v>
      </c>
      <c r="F1588" t="str">
        <f ca="1">OFFSET(Industries!B$1,MATCH(Table1[[#This Row],[Ticker]],Industries!$A$2:$A$140,0),0)</f>
        <v>Ultra-Cap</v>
      </c>
      <c r="G1588" t="str">
        <f ca="1">OFFSET(Industries!F$1,MATCH(Table1[[#This Row],[Ticker]],Industries!$A$2:$A$140,0),0)</f>
        <v>A</v>
      </c>
      <c r="H1588" t="s">
        <v>1434</v>
      </c>
      <c r="I1588" t="s">
        <v>1434</v>
      </c>
      <c r="J1588" s="2">
        <v>45379</v>
      </c>
      <c r="K1588" t="s">
        <v>2</v>
      </c>
      <c r="L1588" t="s">
        <v>1710</v>
      </c>
      <c r="M1588" t="s">
        <v>1709</v>
      </c>
      <c r="N1588" s="1"/>
      <c r="O1588" t="s">
        <v>476</v>
      </c>
      <c r="P1588" s="1">
        <v>0.4</v>
      </c>
      <c r="Q1588" s="1" t="s">
        <v>1636</v>
      </c>
      <c r="R1588" t="s">
        <v>24</v>
      </c>
      <c r="S1588" t="s">
        <v>509</v>
      </c>
      <c r="T1588" t="s">
        <v>943</v>
      </c>
      <c r="U1588" s="1">
        <v>0.25</v>
      </c>
      <c r="V1588" t="s">
        <v>947</v>
      </c>
    </row>
    <row r="1589" spans="1:22" x14ac:dyDescent="0.3">
      <c r="A1589" t="s">
        <v>936</v>
      </c>
      <c r="B1589" t="str">
        <f ca="1">OFFSET(Industries!C$1,MATCH(Table1[[#This Row],[Ticker]],Industries!$A$2:$A$150,0),0)</f>
        <v>Health Care</v>
      </c>
      <c r="C1589" t="str">
        <f ca="1">OFFSET(Industries!D$1,MATCH(Table1[[#This Row],[Ticker]],Industries!$A$2:$A$150,0),0)</f>
        <v>Pharmaceuticals, Biotechnology and Life Sciences</v>
      </c>
      <c r="D1589" t="str">
        <f ca="1">OFFSET(Industries!E$1,MATCH(Table1[[#This Row],[Ticker]],Industries!$A$2:$A$150,0),0)</f>
        <v>Pharmaceuticals</v>
      </c>
      <c r="E1589" t="s">
        <v>49</v>
      </c>
      <c r="F1589" t="str">
        <f ca="1">OFFSET(Industries!B$1,MATCH(Table1[[#This Row],[Ticker]],Industries!$A$2:$A$140,0),0)</f>
        <v>Ultra-Cap</v>
      </c>
      <c r="G1589" t="str">
        <f ca="1">OFFSET(Industries!F$1,MATCH(Table1[[#This Row],[Ticker]],Industries!$A$2:$A$140,0),0)</f>
        <v>A</v>
      </c>
      <c r="H1589" t="s">
        <v>1434</v>
      </c>
      <c r="I1589" t="s">
        <v>1434</v>
      </c>
      <c r="J1589" s="2">
        <v>45379</v>
      </c>
      <c r="K1589" t="s">
        <v>2</v>
      </c>
      <c r="L1589" t="s">
        <v>1710</v>
      </c>
      <c r="M1589" t="s">
        <v>1709</v>
      </c>
      <c r="N1589" s="1">
        <f>Table1[[#This Row],[Consideration Weight]]</f>
        <v>0.25</v>
      </c>
      <c r="O1589" t="s">
        <v>840</v>
      </c>
      <c r="P1589" s="1">
        <v>0.25</v>
      </c>
      <c r="V1589" t="s">
        <v>946</v>
      </c>
    </row>
    <row r="1590" spans="1:22" x14ac:dyDescent="0.3">
      <c r="A1590" t="s">
        <v>936</v>
      </c>
      <c r="B1590" t="str">
        <f ca="1">OFFSET(Industries!C$1,MATCH(Table1[[#This Row],[Ticker]],Industries!$A$2:$A$150,0),0)</f>
        <v>Health Care</v>
      </c>
      <c r="C1590" t="str">
        <f ca="1">OFFSET(Industries!D$1,MATCH(Table1[[#This Row],[Ticker]],Industries!$A$2:$A$150,0),0)</f>
        <v>Pharmaceuticals, Biotechnology and Life Sciences</v>
      </c>
      <c r="D1590" t="str">
        <f ca="1">OFFSET(Industries!E$1,MATCH(Table1[[#This Row],[Ticker]],Industries!$A$2:$A$150,0),0)</f>
        <v>Pharmaceuticals</v>
      </c>
      <c r="E1590" t="s">
        <v>49</v>
      </c>
      <c r="F1590" t="str">
        <f ca="1">OFFSET(Industries!B$1,MATCH(Table1[[#This Row],[Ticker]],Industries!$A$2:$A$140,0),0)</f>
        <v>Ultra-Cap</v>
      </c>
      <c r="G1590" t="str">
        <f ca="1">OFFSET(Industries!F$1,MATCH(Table1[[#This Row],[Ticker]],Industries!$A$2:$A$140,0),0)</f>
        <v>A</v>
      </c>
      <c r="H1590" t="s">
        <v>1434</v>
      </c>
      <c r="I1590" t="s">
        <v>1434</v>
      </c>
      <c r="J1590" s="2">
        <v>45379</v>
      </c>
      <c r="K1590" t="s">
        <v>2</v>
      </c>
      <c r="L1590" t="s">
        <v>1710</v>
      </c>
      <c r="M1590" t="s">
        <v>1709</v>
      </c>
      <c r="N1590" s="1"/>
      <c r="O1590" t="s">
        <v>840</v>
      </c>
      <c r="P1590" s="1">
        <v>0.25</v>
      </c>
      <c r="R1590" t="s">
        <v>28</v>
      </c>
      <c r="S1590" t="s">
        <v>1094</v>
      </c>
      <c r="T1590" t="s">
        <v>36</v>
      </c>
    </row>
    <row r="1591" spans="1:22" x14ac:dyDescent="0.3">
      <c r="A1591" t="s">
        <v>936</v>
      </c>
      <c r="B1591" t="str">
        <f ca="1">OFFSET(Industries!C$1,MATCH(Table1[[#This Row],[Ticker]],Industries!$A$2:$A$150,0),0)</f>
        <v>Health Care</v>
      </c>
      <c r="C1591" t="str">
        <f ca="1">OFFSET(Industries!D$1,MATCH(Table1[[#This Row],[Ticker]],Industries!$A$2:$A$150,0),0)</f>
        <v>Pharmaceuticals, Biotechnology and Life Sciences</v>
      </c>
      <c r="D1591" t="str">
        <f ca="1">OFFSET(Industries!E$1,MATCH(Table1[[#This Row],[Ticker]],Industries!$A$2:$A$150,0),0)</f>
        <v>Pharmaceuticals</v>
      </c>
      <c r="E1591" t="s">
        <v>49</v>
      </c>
      <c r="F1591" t="str">
        <f ca="1">OFFSET(Industries!B$1,MATCH(Table1[[#This Row],[Ticker]],Industries!$A$2:$A$140,0),0)</f>
        <v>Ultra-Cap</v>
      </c>
      <c r="G1591" t="str">
        <f ca="1">OFFSET(Industries!F$1,MATCH(Table1[[#This Row],[Ticker]],Industries!$A$2:$A$140,0),0)</f>
        <v>A</v>
      </c>
      <c r="H1591" t="s">
        <v>1434</v>
      </c>
      <c r="I1591" t="s">
        <v>1434</v>
      </c>
      <c r="J1591" s="2">
        <v>45379</v>
      </c>
      <c r="K1591" t="s">
        <v>21</v>
      </c>
      <c r="L1591" t="s">
        <v>3</v>
      </c>
      <c r="M1591" t="s">
        <v>1711</v>
      </c>
      <c r="N1591" s="1">
        <f>Table1[[#This Row],[Consideration Weight]]</f>
        <v>0.2</v>
      </c>
      <c r="O1591" t="s">
        <v>3</v>
      </c>
      <c r="P1591" s="1">
        <v>0.2</v>
      </c>
    </row>
    <row r="1592" spans="1:22" x14ac:dyDescent="0.3">
      <c r="A1592" t="s">
        <v>936</v>
      </c>
      <c r="B1592" t="str">
        <f ca="1">OFFSET(Industries!C$1,MATCH(Table1[[#This Row],[Ticker]],Industries!$A$2:$A$150,0),0)</f>
        <v>Health Care</v>
      </c>
      <c r="C1592" t="str">
        <f ca="1">OFFSET(Industries!D$1,MATCH(Table1[[#This Row],[Ticker]],Industries!$A$2:$A$150,0),0)</f>
        <v>Pharmaceuticals, Biotechnology and Life Sciences</v>
      </c>
      <c r="D1592" t="str">
        <f ca="1">OFFSET(Industries!E$1,MATCH(Table1[[#This Row],[Ticker]],Industries!$A$2:$A$150,0),0)</f>
        <v>Pharmaceuticals</v>
      </c>
      <c r="E1592" t="s">
        <v>49</v>
      </c>
      <c r="F1592" t="str">
        <f ca="1">OFFSET(Industries!B$1,MATCH(Table1[[#This Row],[Ticker]],Industries!$A$2:$A$140,0),0)</f>
        <v>Ultra-Cap</v>
      </c>
      <c r="G1592" t="str">
        <f ca="1">OFFSET(Industries!F$1,MATCH(Table1[[#This Row],[Ticker]],Industries!$A$2:$A$140,0),0)</f>
        <v>A</v>
      </c>
      <c r="H1592" t="s">
        <v>1434</v>
      </c>
      <c r="I1592" t="s">
        <v>1434</v>
      </c>
      <c r="J1592" s="2">
        <v>45379</v>
      </c>
      <c r="K1592" t="s">
        <v>21</v>
      </c>
      <c r="L1592" t="s">
        <v>1708</v>
      </c>
      <c r="M1592" t="s">
        <v>1709</v>
      </c>
      <c r="N1592" s="1">
        <f>Table1[[#This Row],[Consideration Weight]]</f>
        <v>0.19</v>
      </c>
      <c r="O1592" t="s">
        <v>4</v>
      </c>
      <c r="P1592" s="1">
        <v>0.19</v>
      </c>
      <c r="Q1592" s="1" t="s">
        <v>1636</v>
      </c>
      <c r="R1592" t="s">
        <v>23</v>
      </c>
      <c r="S1592" t="s">
        <v>37</v>
      </c>
      <c r="T1592" t="s">
        <v>937</v>
      </c>
      <c r="U1592" s="1">
        <v>0.35</v>
      </c>
    </row>
    <row r="1593" spans="1:22" x14ac:dyDescent="0.3">
      <c r="A1593" t="s">
        <v>936</v>
      </c>
      <c r="B1593" t="str">
        <f ca="1">OFFSET(Industries!C$1,MATCH(Table1[[#This Row],[Ticker]],Industries!$A$2:$A$150,0),0)</f>
        <v>Health Care</v>
      </c>
      <c r="C1593" t="str">
        <f ca="1">OFFSET(Industries!D$1,MATCH(Table1[[#This Row],[Ticker]],Industries!$A$2:$A$150,0),0)</f>
        <v>Pharmaceuticals, Biotechnology and Life Sciences</v>
      </c>
      <c r="D1593" t="str">
        <f ca="1">OFFSET(Industries!E$1,MATCH(Table1[[#This Row],[Ticker]],Industries!$A$2:$A$150,0),0)</f>
        <v>Pharmaceuticals</v>
      </c>
      <c r="E1593" t="s">
        <v>49</v>
      </c>
      <c r="F1593" t="str">
        <f ca="1">OFFSET(Industries!B$1,MATCH(Table1[[#This Row],[Ticker]],Industries!$A$2:$A$140,0),0)</f>
        <v>Ultra-Cap</v>
      </c>
      <c r="G1593" t="str">
        <f ca="1">OFFSET(Industries!F$1,MATCH(Table1[[#This Row],[Ticker]],Industries!$A$2:$A$140,0),0)</f>
        <v>A</v>
      </c>
      <c r="H1593" t="s">
        <v>1434</v>
      </c>
      <c r="I1593" t="s">
        <v>1434</v>
      </c>
      <c r="J1593" s="2">
        <v>45379</v>
      </c>
      <c r="K1593" t="s">
        <v>21</v>
      </c>
      <c r="L1593" t="s">
        <v>1708</v>
      </c>
      <c r="M1593" t="s">
        <v>1709</v>
      </c>
      <c r="N1593" s="1"/>
      <c r="O1593" t="s">
        <v>4</v>
      </c>
      <c r="P1593" s="1">
        <v>0.19</v>
      </c>
      <c r="Q1593" s="1" t="s">
        <v>1636</v>
      </c>
      <c r="R1593" t="s">
        <v>24</v>
      </c>
      <c r="S1593" t="s">
        <v>90</v>
      </c>
      <c r="T1593" t="s">
        <v>90</v>
      </c>
      <c r="U1593" s="1">
        <v>0.3</v>
      </c>
    </row>
    <row r="1594" spans="1:22" x14ac:dyDescent="0.3">
      <c r="A1594" t="s">
        <v>936</v>
      </c>
      <c r="B1594" t="str">
        <f ca="1">OFFSET(Industries!C$1,MATCH(Table1[[#This Row],[Ticker]],Industries!$A$2:$A$150,0),0)</f>
        <v>Health Care</v>
      </c>
      <c r="C1594" t="str">
        <f ca="1">OFFSET(Industries!D$1,MATCH(Table1[[#This Row],[Ticker]],Industries!$A$2:$A$150,0),0)</f>
        <v>Pharmaceuticals, Biotechnology and Life Sciences</v>
      </c>
      <c r="D1594" t="str">
        <f ca="1">OFFSET(Industries!E$1,MATCH(Table1[[#This Row],[Ticker]],Industries!$A$2:$A$150,0),0)</f>
        <v>Pharmaceuticals</v>
      </c>
      <c r="E1594" t="s">
        <v>49</v>
      </c>
      <c r="F1594" t="str">
        <f ca="1">OFFSET(Industries!B$1,MATCH(Table1[[#This Row],[Ticker]],Industries!$A$2:$A$140,0),0)</f>
        <v>Ultra-Cap</v>
      </c>
      <c r="G1594" t="str">
        <f ca="1">OFFSET(Industries!F$1,MATCH(Table1[[#This Row],[Ticker]],Industries!$A$2:$A$140,0),0)</f>
        <v>A</v>
      </c>
      <c r="H1594" t="s">
        <v>1434</v>
      </c>
      <c r="I1594" t="s">
        <v>1434</v>
      </c>
      <c r="J1594" s="2">
        <v>45379</v>
      </c>
      <c r="K1594" t="s">
        <v>21</v>
      </c>
      <c r="L1594" t="s">
        <v>1708</v>
      </c>
      <c r="M1594" t="s">
        <v>1709</v>
      </c>
      <c r="N1594" s="1"/>
      <c r="O1594" t="s">
        <v>4</v>
      </c>
      <c r="P1594" s="1">
        <v>0.19</v>
      </c>
      <c r="Q1594" s="1" t="s">
        <v>1637</v>
      </c>
      <c r="R1594" t="s">
        <v>25</v>
      </c>
      <c r="S1594" t="s">
        <v>344</v>
      </c>
      <c r="T1594" t="s">
        <v>344</v>
      </c>
      <c r="U1594" s="1">
        <v>0.25</v>
      </c>
    </row>
    <row r="1595" spans="1:22" x14ac:dyDescent="0.3">
      <c r="A1595" t="s">
        <v>936</v>
      </c>
      <c r="B1595" t="str">
        <f ca="1">OFFSET(Industries!C$1,MATCH(Table1[[#This Row],[Ticker]],Industries!$A$2:$A$150,0),0)</f>
        <v>Health Care</v>
      </c>
      <c r="C1595" t="str">
        <f ca="1">OFFSET(Industries!D$1,MATCH(Table1[[#This Row],[Ticker]],Industries!$A$2:$A$150,0),0)</f>
        <v>Pharmaceuticals, Biotechnology and Life Sciences</v>
      </c>
      <c r="D1595" t="str">
        <f ca="1">OFFSET(Industries!E$1,MATCH(Table1[[#This Row],[Ticker]],Industries!$A$2:$A$150,0),0)</f>
        <v>Pharmaceuticals</v>
      </c>
      <c r="E1595" t="s">
        <v>49</v>
      </c>
      <c r="F1595" t="str">
        <f ca="1">OFFSET(Industries!B$1,MATCH(Table1[[#This Row],[Ticker]],Industries!$A$2:$A$140,0),0)</f>
        <v>Ultra-Cap</v>
      </c>
      <c r="G1595" t="str">
        <f ca="1">OFFSET(Industries!F$1,MATCH(Table1[[#This Row],[Ticker]],Industries!$A$2:$A$140,0),0)</f>
        <v>A</v>
      </c>
      <c r="H1595" t="s">
        <v>1434</v>
      </c>
      <c r="I1595" t="s">
        <v>1434</v>
      </c>
      <c r="J1595" s="2">
        <v>45379</v>
      </c>
      <c r="K1595" t="s">
        <v>21</v>
      </c>
      <c r="L1595" t="s">
        <v>1708</v>
      </c>
      <c r="M1595" t="s">
        <v>1709</v>
      </c>
      <c r="N1595" s="1"/>
      <c r="O1595" t="s">
        <v>4</v>
      </c>
      <c r="P1595" s="1">
        <v>0.19</v>
      </c>
      <c r="Q1595" s="1" t="s">
        <v>1637</v>
      </c>
      <c r="R1595" t="s">
        <v>26</v>
      </c>
      <c r="S1595" t="s">
        <v>26</v>
      </c>
      <c r="T1595" t="s">
        <v>941</v>
      </c>
      <c r="U1595" s="1">
        <v>0.1</v>
      </c>
    </row>
    <row r="1596" spans="1:22" x14ac:dyDescent="0.3">
      <c r="A1596" t="s">
        <v>936</v>
      </c>
      <c r="B1596" t="str">
        <f ca="1">OFFSET(Industries!C$1,MATCH(Table1[[#This Row],[Ticker]],Industries!$A$2:$A$150,0),0)</f>
        <v>Health Care</v>
      </c>
      <c r="C1596" t="str">
        <f ca="1">OFFSET(Industries!D$1,MATCH(Table1[[#This Row],[Ticker]],Industries!$A$2:$A$150,0),0)</f>
        <v>Pharmaceuticals, Biotechnology and Life Sciences</v>
      </c>
      <c r="D1596" t="str">
        <f ca="1">OFFSET(Industries!E$1,MATCH(Table1[[#This Row],[Ticker]],Industries!$A$2:$A$150,0),0)</f>
        <v>Pharmaceuticals</v>
      </c>
      <c r="E1596" t="s">
        <v>49</v>
      </c>
      <c r="F1596" t="str">
        <f ca="1">OFFSET(Industries!B$1,MATCH(Table1[[#This Row],[Ticker]],Industries!$A$2:$A$140,0),0)</f>
        <v>Ultra-Cap</v>
      </c>
      <c r="G1596" t="str">
        <f ca="1">OFFSET(Industries!F$1,MATCH(Table1[[#This Row],[Ticker]],Industries!$A$2:$A$140,0),0)</f>
        <v>A</v>
      </c>
      <c r="H1596" t="s">
        <v>1434</v>
      </c>
      <c r="I1596" t="s">
        <v>1434</v>
      </c>
      <c r="J1596" s="2">
        <v>45379</v>
      </c>
      <c r="K1596" t="s">
        <v>21</v>
      </c>
      <c r="L1596" t="s">
        <v>1710</v>
      </c>
      <c r="M1596" t="s">
        <v>1709</v>
      </c>
      <c r="N1596" s="1">
        <f>Table1[[#This Row],[Consideration Weight]]</f>
        <v>0.38</v>
      </c>
      <c r="O1596" t="s">
        <v>476</v>
      </c>
      <c r="P1596" s="1">
        <v>0.38</v>
      </c>
      <c r="Q1596" s="1" t="s">
        <v>1636</v>
      </c>
      <c r="R1596" t="s">
        <v>23</v>
      </c>
      <c r="S1596" t="s">
        <v>1083</v>
      </c>
      <c r="T1596" t="s">
        <v>942</v>
      </c>
      <c r="U1596" s="1">
        <v>0.4</v>
      </c>
    </row>
    <row r="1597" spans="1:22" x14ac:dyDescent="0.3">
      <c r="A1597" t="s">
        <v>936</v>
      </c>
      <c r="B1597" t="str">
        <f ca="1">OFFSET(Industries!C$1,MATCH(Table1[[#This Row],[Ticker]],Industries!$A$2:$A$150,0),0)</f>
        <v>Health Care</v>
      </c>
      <c r="C1597" t="str">
        <f ca="1">OFFSET(Industries!D$1,MATCH(Table1[[#This Row],[Ticker]],Industries!$A$2:$A$150,0),0)</f>
        <v>Pharmaceuticals, Biotechnology and Life Sciences</v>
      </c>
      <c r="D1597" t="str">
        <f ca="1">OFFSET(Industries!E$1,MATCH(Table1[[#This Row],[Ticker]],Industries!$A$2:$A$150,0),0)</f>
        <v>Pharmaceuticals</v>
      </c>
      <c r="E1597" t="s">
        <v>49</v>
      </c>
      <c r="F1597" t="str">
        <f ca="1">OFFSET(Industries!B$1,MATCH(Table1[[#This Row],[Ticker]],Industries!$A$2:$A$140,0),0)</f>
        <v>Ultra-Cap</v>
      </c>
      <c r="G1597" t="str">
        <f ca="1">OFFSET(Industries!F$1,MATCH(Table1[[#This Row],[Ticker]],Industries!$A$2:$A$140,0),0)</f>
        <v>A</v>
      </c>
      <c r="H1597" t="s">
        <v>1434</v>
      </c>
      <c r="I1597" t="s">
        <v>1434</v>
      </c>
      <c r="J1597" s="2">
        <v>45379</v>
      </c>
      <c r="K1597" t="s">
        <v>21</v>
      </c>
      <c r="L1597" t="s">
        <v>1710</v>
      </c>
      <c r="M1597" t="s">
        <v>1709</v>
      </c>
      <c r="N1597" s="1"/>
      <c r="O1597" t="s">
        <v>476</v>
      </c>
      <c r="P1597" s="1">
        <v>0.38</v>
      </c>
      <c r="Q1597" s="1" t="s">
        <v>1646</v>
      </c>
      <c r="R1597" t="s">
        <v>35</v>
      </c>
      <c r="S1597" t="s">
        <v>29</v>
      </c>
      <c r="T1597" t="s">
        <v>391</v>
      </c>
      <c r="U1597" s="1">
        <v>0.35</v>
      </c>
    </row>
    <row r="1598" spans="1:22" x14ac:dyDescent="0.3">
      <c r="A1598" t="s">
        <v>936</v>
      </c>
      <c r="B1598" t="str">
        <f ca="1">OFFSET(Industries!C$1,MATCH(Table1[[#This Row],[Ticker]],Industries!$A$2:$A$150,0),0)</f>
        <v>Health Care</v>
      </c>
      <c r="C1598" t="str">
        <f ca="1">OFFSET(Industries!D$1,MATCH(Table1[[#This Row],[Ticker]],Industries!$A$2:$A$150,0),0)</f>
        <v>Pharmaceuticals, Biotechnology and Life Sciences</v>
      </c>
      <c r="D1598" t="str">
        <f ca="1">OFFSET(Industries!E$1,MATCH(Table1[[#This Row],[Ticker]],Industries!$A$2:$A$150,0),0)</f>
        <v>Pharmaceuticals</v>
      </c>
      <c r="E1598" t="s">
        <v>49</v>
      </c>
      <c r="F1598" t="str">
        <f ca="1">OFFSET(Industries!B$1,MATCH(Table1[[#This Row],[Ticker]],Industries!$A$2:$A$140,0),0)</f>
        <v>Ultra-Cap</v>
      </c>
      <c r="G1598" t="str">
        <f ca="1">OFFSET(Industries!F$1,MATCH(Table1[[#This Row],[Ticker]],Industries!$A$2:$A$140,0),0)</f>
        <v>A</v>
      </c>
      <c r="H1598" t="s">
        <v>1434</v>
      </c>
      <c r="I1598" t="s">
        <v>1434</v>
      </c>
      <c r="J1598" s="2">
        <v>45379</v>
      </c>
      <c r="K1598" t="s">
        <v>21</v>
      </c>
      <c r="L1598" t="s">
        <v>1710</v>
      </c>
      <c r="M1598" t="s">
        <v>1709</v>
      </c>
      <c r="N1598" s="1"/>
      <c r="O1598" t="s">
        <v>476</v>
      </c>
      <c r="P1598" s="1">
        <v>0.38</v>
      </c>
      <c r="Q1598" s="1" t="s">
        <v>1636</v>
      </c>
      <c r="R1598" t="s">
        <v>24</v>
      </c>
      <c r="S1598" t="s">
        <v>509</v>
      </c>
      <c r="T1598" t="s">
        <v>943</v>
      </c>
      <c r="U1598" s="1">
        <v>0.25</v>
      </c>
      <c r="V1598" t="s">
        <v>948</v>
      </c>
    </row>
    <row r="1599" spans="1:22" x14ac:dyDescent="0.3">
      <c r="A1599" t="s">
        <v>936</v>
      </c>
      <c r="B1599" t="str">
        <f ca="1">OFFSET(Industries!C$1,MATCH(Table1[[#This Row],[Ticker]],Industries!$A$2:$A$150,0),0)</f>
        <v>Health Care</v>
      </c>
      <c r="C1599" t="str">
        <f ca="1">OFFSET(Industries!D$1,MATCH(Table1[[#This Row],[Ticker]],Industries!$A$2:$A$150,0),0)</f>
        <v>Pharmaceuticals, Biotechnology and Life Sciences</v>
      </c>
      <c r="D1599" t="str">
        <f ca="1">OFFSET(Industries!E$1,MATCH(Table1[[#This Row],[Ticker]],Industries!$A$2:$A$150,0),0)</f>
        <v>Pharmaceuticals</v>
      </c>
      <c r="E1599" t="s">
        <v>49</v>
      </c>
      <c r="F1599" t="str">
        <f ca="1">OFFSET(Industries!B$1,MATCH(Table1[[#This Row],[Ticker]],Industries!$A$2:$A$140,0),0)</f>
        <v>Ultra-Cap</v>
      </c>
      <c r="G1599" t="str">
        <f ca="1">OFFSET(Industries!F$1,MATCH(Table1[[#This Row],[Ticker]],Industries!$A$2:$A$140,0),0)</f>
        <v>A</v>
      </c>
      <c r="H1599" t="s">
        <v>1434</v>
      </c>
      <c r="I1599" t="s">
        <v>1434</v>
      </c>
      <c r="J1599" s="2">
        <v>45379</v>
      </c>
      <c r="K1599" t="s">
        <v>21</v>
      </c>
      <c r="L1599" t="s">
        <v>1710</v>
      </c>
      <c r="M1599" t="s">
        <v>1709</v>
      </c>
      <c r="N1599" s="1"/>
      <c r="O1599" t="s">
        <v>476</v>
      </c>
      <c r="P1599" s="1">
        <v>0.38</v>
      </c>
      <c r="R1599" t="s">
        <v>28</v>
      </c>
      <c r="S1599" t="s">
        <v>1087</v>
      </c>
      <c r="T1599" t="s">
        <v>40</v>
      </c>
      <c r="V1599" t="s">
        <v>947</v>
      </c>
    </row>
    <row r="1600" spans="1:22" x14ac:dyDescent="0.3">
      <c r="A1600" t="s">
        <v>936</v>
      </c>
      <c r="B1600" t="str">
        <f ca="1">OFFSET(Industries!C$1,MATCH(Table1[[#This Row],[Ticker]],Industries!$A$2:$A$150,0),0)</f>
        <v>Health Care</v>
      </c>
      <c r="C1600" t="str">
        <f ca="1">OFFSET(Industries!D$1,MATCH(Table1[[#This Row],[Ticker]],Industries!$A$2:$A$150,0),0)</f>
        <v>Pharmaceuticals, Biotechnology and Life Sciences</v>
      </c>
      <c r="D1600" t="str">
        <f ca="1">OFFSET(Industries!E$1,MATCH(Table1[[#This Row],[Ticker]],Industries!$A$2:$A$150,0),0)</f>
        <v>Pharmaceuticals</v>
      </c>
      <c r="E1600" t="s">
        <v>49</v>
      </c>
      <c r="F1600" t="str">
        <f ca="1">OFFSET(Industries!B$1,MATCH(Table1[[#This Row],[Ticker]],Industries!$A$2:$A$140,0),0)</f>
        <v>Ultra-Cap</v>
      </c>
      <c r="G1600" t="str">
        <f ca="1">OFFSET(Industries!F$1,MATCH(Table1[[#This Row],[Ticker]],Industries!$A$2:$A$140,0),0)</f>
        <v>A</v>
      </c>
      <c r="H1600" t="s">
        <v>1434</v>
      </c>
      <c r="I1600" t="s">
        <v>1434</v>
      </c>
      <c r="J1600" s="2">
        <v>45379</v>
      </c>
      <c r="K1600" t="s">
        <v>21</v>
      </c>
      <c r="L1600" t="s">
        <v>1710</v>
      </c>
      <c r="M1600" t="s">
        <v>1709</v>
      </c>
      <c r="N1600" s="1">
        <f>Table1[[#This Row],[Consideration Weight]]</f>
        <v>0.23</v>
      </c>
      <c r="O1600" t="s">
        <v>840</v>
      </c>
      <c r="P1600" s="1">
        <v>0.23</v>
      </c>
    </row>
    <row r="1601" spans="1:22" x14ac:dyDescent="0.3">
      <c r="A1601" t="s">
        <v>936</v>
      </c>
      <c r="B1601" t="str">
        <f ca="1">OFFSET(Industries!C$1,MATCH(Table1[[#This Row],[Ticker]],Industries!$A$2:$A$150,0),0)</f>
        <v>Health Care</v>
      </c>
      <c r="C1601" t="str">
        <f ca="1">OFFSET(Industries!D$1,MATCH(Table1[[#This Row],[Ticker]],Industries!$A$2:$A$150,0),0)</f>
        <v>Pharmaceuticals, Biotechnology and Life Sciences</v>
      </c>
      <c r="D1601" t="str">
        <f ca="1">OFFSET(Industries!E$1,MATCH(Table1[[#This Row],[Ticker]],Industries!$A$2:$A$150,0),0)</f>
        <v>Pharmaceuticals</v>
      </c>
      <c r="E1601" t="s">
        <v>49</v>
      </c>
      <c r="F1601" t="str">
        <f ca="1">OFFSET(Industries!B$1,MATCH(Table1[[#This Row],[Ticker]],Industries!$A$2:$A$140,0),0)</f>
        <v>Ultra-Cap</v>
      </c>
      <c r="G1601" t="str">
        <f ca="1">OFFSET(Industries!F$1,MATCH(Table1[[#This Row],[Ticker]],Industries!$A$2:$A$140,0),0)</f>
        <v>A</v>
      </c>
      <c r="H1601" t="s">
        <v>1434</v>
      </c>
      <c r="I1601" t="s">
        <v>1434</v>
      </c>
      <c r="J1601" s="2">
        <v>45379</v>
      </c>
      <c r="K1601" t="s">
        <v>21</v>
      </c>
      <c r="L1601" t="s">
        <v>1710</v>
      </c>
      <c r="M1601" t="s">
        <v>1709</v>
      </c>
      <c r="N1601" s="1"/>
      <c r="O1601" t="s">
        <v>840</v>
      </c>
      <c r="P1601" s="1">
        <v>0.23</v>
      </c>
      <c r="R1601" t="s">
        <v>28</v>
      </c>
      <c r="S1601" t="s">
        <v>1094</v>
      </c>
      <c r="T1601" t="s">
        <v>36</v>
      </c>
      <c r="V1601" t="s">
        <v>948</v>
      </c>
    </row>
    <row r="1602" spans="1:22" x14ac:dyDescent="0.3">
      <c r="A1602" t="s">
        <v>936</v>
      </c>
      <c r="B1602" t="str">
        <f ca="1">OFFSET(Industries!C$1,MATCH(Table1[[#This Row],[Ticker]],Industries!$A$2:$A$150,0),0)</f>
        <v>Health Care</v>
      </c>
      <c r="C1602" t="str">
        <f ca="1">OFFSET(Industries!D$1,MATCH(Table1[[#This Row],[Ticker]],Industries!$A$2:$A$150,0),0)</f>
        <v>Pharmaceuticals, Biotechnology and Life Sciences</v>
      </c>
      <c r="D1602" t="str">
        <f ca="1">OFFSET(Industries!E$1,MATCH(Table1[[#This Row],[Ticker]],Industries!$A$2:$A$150,0),0)</f>
        <v>Pharmaceuticals</v>
      </c>
      <c r="E1602" t="s">
        <v>49</v>
      </c>
      <c r="F1602" t="str">
        <f ca="1">OFFSET(Industries!B$1,MATCH(Table1[[#This Row],[Ticker]],Industries!$A$2:$A$140,0),0)</f>
        <v>Ultra-Cap</v>
      </c>
      <c r="G1602" t="str">
        <f ca="1">OFFSET(Industries!F$1,MATCH(Table1[[#This Row],[Ticker]],Industries!$A$2:$A$140,0),0)</f>
        <v>A</v>
      </c>
      <c r="H1602" t="s">
        <v>1434</v>
      </c>
      <c r="I1602" t="s">
        <v>1434</v>
      </c>
      <c r="J1602" s="2">
        <v>45379</v>
      </c>
      <c r="K1602" t="s">
        <v>21</v>
      </c>
      <c r="L1602" t="s">
        <v>1710</v>
      </c>
      <c r="M1602" t="s">
        <v>1709</v>
      </c>
      <c r="N1602" s="1"/>
      <c r="O1602" t="s">
        <v>840</v>
      </c>
      <c r="P1602" s="1">
        <v>0.23</v>
      </c>
      <c r="R1602" t="s">
        <v>28</v>
      </c>
      <c r="S1602" t="s">
        <v>1087</v>
      </c>
      <c r="T1602" t="s">
        <v>40</v>
      </c>
    </row>
    <row r="1603" spans="1:22" x14ac:dyDescent="0.3">
      <c r="A1603" t="s">
        <v>949</v>
      </c>
      <c r="B1603" t="str">
        <f ca="1">OFFSET(Industries!C$1,MATCH(Table1[[#This Row],[Ticker]],Industries!$A$2:$A$150,0),0)</f>
        <v>Industrials</v>
      </c>
      <c r="C1603" t="str">
        <f ca="1">OFFSET(Industries!D$1,MATCH(Table1[[#This Row],[Ticker]],Industries!$A$2:$A$150,0),0)</f>
        <v>Commercial and Professional Services</v>
      </c>
      <c r="D1603" t="str">
        <f ca="1">OFFSET(Industries!E$1,MATCH(Table1[[#This Row],[Ticker]],Industries!$A$2:$A$150,0),0)</f>
        <v>Professional Services</v>
      </c>
      <c r="E1603" t="s">
        <v>950</v>
      </c>
      <c r="F1603" t="str">
        <f ca="1">OFFSET(Industries!B$1,MATCH(Table1[[#This Row],[Ticker]],Industries!$A$2:$A$140,0),0)</f>
        <v>Large-Cap</v>
      </c>
      <c r="G1603" t="str">
        <f ca="1">OFFSET(Industries!F$1,MATCH(Table1[[#This Row],[Ticker]],Industries!$A$2:$A$140,0),0)</f>
        <v>BBB</v>
      </c>
      <c r="H1603" t="s">
        <v>1434</v>
      </c>
      <c r="I1603" t="s">
        <v>1434</v>
      </c>
      <c r="J1603" s="2">
        <v>45373</v>
      </c>
      <c r="K1603" t="s">
        <v>2</v>
      </c>
      <c r="L1603" t="s">
        <v>3</v>
      </c>
      <c r="M1603" t="s">
        <v>1711</v>
      </c>
      <c r="N1603" s="1">
        <f>Table1[[#This Row],[Consideration Weight]]</f>
        <v>0.112</v>
      </c>
      <c r="O1603" t="s">
        <v>3</v>
      </c>
      <c r="P1603" s="1">
        <v>0.112</v>
      </c>
      <c r="V1603" t="s">
        <v>952</v>
      </c>
    </row>
    <row r="1604" spans="1:22" x14ac:dyDescent="0.3">
      <c r="A1604" t="s">
        <v>949</v>
      </c>
      <c r="B1604" t="str">
        <f ca="1">OFFSET(Industries!C$1,MATCH(Table1[[#This Row],[Ticker]],Industries!$A$2:$A$150,0),0)</f>
        <v>Industrials</v>
      </c>
      <c r="C1604" t="str">
        <f ca="1">OFFSET(Industries!D$1,MATCH(Table1[[#This Row],[Ticker]],Industries!$A$2:$A$150,0),0)</f>
        <v>Commercial and Professional Services</v>
      </c>
      <c r="D1604" t="str">
        <f ca="1">OFFSET(Industries!E$1,MATCH(Table1[[#This Row],[Ticker]],Industries!$A$2:$A$150,0),0)</f>
        <v>Professional Services</v>
      </c>
      <c r="E1604" t="s">
        <v>950</v>
      </c>
      <c r="F1604" t="str">
        <f ca="1">OFFSET(Industries!B$1,MATCH(Table1[[#This Row],[Ticker]],Industries!$A$2:$A$140,0),0)</f>
        <v>Large-Cap</v>
      </c>
      <c r="G1604" t="str">
        <f ca="1">OFFSET(Industries!F$1,MATCH(Table1[[#This Row],[Ticker]],Industries!$A$2:$A$140,0),0)</f>
        <v>BBB</v>
      </c>
      <c r="H1604" t="s">
        <v>1434</v>
      </c>
      <c r="I1604" t="s">
        <v>1434</v>
      </c>
      <c r="J1604" s="2">
        <v>45373</v>
      </c>
      <c r="K1604" t="s">
        <v>2</v>
      </c>
      <c r="L1604" t="s">
        <v>1708</v>
      </c>
      <c r="M1604" t="s">
        <v>1709</v>
      </c>
      <c r="N1604" s="1">
        <f>Table1[[#This Row],[Consideration Weight]]</f>
        <v>0.13400000000000001</v>
      </c>
      <c r="O1604" t="s">
        <v>4</v>
      </c>
      <c r="P1604" s="1">
        <v>0.13400000000000001</v>
      </c>
      <c r="Q1604" s="1" t="s">
        <v>1636</v>
      </c>
      <c r="R1604" t="s">
        <v>24</v>
      </c>
      <c r="S1604" t="s">
        <v>1089</v>
      </c>
      <c r="T1604" t="s">
        <v>50</v>
      </c>
      <c r="U1604" s="1">
        <v>0.81</v>
      </c>
      <c r="V1604" t="s">
        <v>951</v>
      </c>
    </row>
    <row r="1605" spans="1:22" x14ac:dyDescent="0.3">
      <c r="A1605" t="s">
        <v>949</v>
      </c>
      <c r="B1605" t="str">
        <f ca="1">OFFSET(Industries!C$1,MATCH(Table1[[#This Row],[Ticker]],Industries!$A$2:$A$150,0),0)</f>
        <v>Industrials</v>
      </c>
      <c r="C1605" t="str">
        <f ca="1">OFFSET(Industries!D$1,MATCH(Table1[[#This Row],[Ticker]],Industries!$A$2:$A$150,0),0)</f>
        <v>Commercial and Professional Services</v>
      </c>
      <c r="D1605" t="str">
        <f ca="1">OFFSET(Industries!E$1,MATCH(Table1[[#This Row],[Ticker]],Industries!$A$2:$A$150,0),0)</f>
        <v>Professional Services</v>
      </c>
      <c r="E1605" t="s">
        <v>950</v>
      </c>
      <c r="F1605" t="str">
        <f ca="1">OFFSET(Industries!B$1,MATCH(Table1[[#This Row],[Ticker]],Industries!$A$2:$A$140,0),0)</f>
        <v>Large-Cap</v>
      </c>
      <c r="G1605" t="str">
        <f ca="1">OFFSET(Industries!F$1,MATCH(Table1[[#This Row],[Ticker]],Industries!$A$2:$A$140,0),0)</f>
        <v>BBB</v>
      </c>
      <c r="H1605" t="s">
        <v>1434</v>
      </c>
      <c r="I1605" t="s">
        <v>1434</v>
      </c>
      <c r="J1605" s="2">
        <v>45373</v>
      </c>
      <c r="K1605" t="s">
        <v>2</v>
      </c>
      <c r="L1605" t="s">
        <v>1708</v>
      </c>
      <c r="M1605" t="s">
        <v>1709</v>
      </c>
      <c r="N1605" s="1"/>
      <c r="O1605" t="s">
        <v>4</v>
      </c>
      <c r="P1605" s="1">
        <v>0.13400000000000001</v>
      </c>
      <c r="Q1605" s="1" t="s">
        <v>1636</v>
      </c>
      <c r="R1605" t="s">
        <v>23</v>
      </c>
      <c r="S1605" t="s">
        <v>1083</v>
      </c>
      <c r="T1605" t="s">
        <v>489</v>
      </c>
      <c r="U1605" s="1">
        <v>0.19</v>
      </c>
      <c r="V1605" t="s">
        <v>959</v>
      </c>
    </row>
    <row r="1606" spans="1:22" x14ac:dyDescent="0.3">
      <c r="A1606" t="s">
        <v>949</v>
      </c>
      <c r="B1606" t="str">
        <f ca="1">OFFSET(Industries!C$1,MATCH(Table1[[#This Row],[Ticker]],Industries!$A$2:$A$150,0),0)</f>
        <v>Industrials</v>
      </c>
      <c r="C1606" t="str">
        <f ca="1">OFFSET(Industries!D$1,MATCH(Table1[[#This Row],[Ticker]],Industries!$A$2:$A$150,0),0)</f>
        <v>Commercial and Professional Services</v>
      </c>
      <c r="D1606" t="str">
        <f ca="1">OFFSET(Industries!E$1,MATCH(Table1[[#This Row],[Ticker]],Industries!$A$2:$A$150,0),0)</f>
        <v>Professional Services</v>
      </c>
      <c r="E1606" t="s">
        <v>950</v>
      </c>
      <c r="F1606" t="str">
        <f ca="1">OFFSET(Industries!B$1,MATCH(Table1[[#This Row],[Ticker]],Industries!$A$2:$A$140,0),0)</f>
        <v>Large-Cap</v>
      </c>
      <c r="G1606" t="str">
        <f ca="1">OFFSET(Industries!F$1,MATCH(Table1[[#This Row],[Ticker]],Industries!$A$2:$A$140,0),0)</f>
        <v>BBB</v>
      </c>
      <c r="H1606" t="s">
        <v>1434</v>
      </c>
      <c r="I1606" t="s">
        <v>1434</v>
      </c>
      <c r="J1606" s="2">
        <v>45373</v>
      </c>
      <c r="K1606" t="s">
        <v>2</v>
      </c>
      <c r="L1606" t="s">
        <v>1708</v>
      </c>
      <c r="M1606" t="s">
        <v>1709</v>
      </c>
      <c r="N1606" s="1"/>
      <c r="O1606" t="s">
        <v>4</v>
      </c>
      <c r="P1606" s="1">
        <v>0.13400000000000001</v>
      </c>
      <c r="R1606" t="s">
        <v>28</v>
      </c>
      <c r="S1606" t="s">
        <v>1110</v>
      </c>
      <c r="T1606" t="s">
        <v>172</v>
      </c>
      <c r="V1606" t="s">
        <v>367</v>
      </c>
    </row>
    <row r="1607" spans="1:22" x14ac:dyDescent="0.3">
      <c r="A1607" t="s">
        <v>949</v>
      </c>
      <c r="B1607" t="str">
        <f ca="1">OFFSET(Industries!C$1,MATCH(Table1[[#This Row],[Ticker]],Industries!$A$2:$A$150,0),0)</f>
        <v>Industrials</v>
      </c>
      <c r="C1607" t="str">
        <f ca="1">OFFSET(Industries!D$1,MATCH(Table1[[#This Row],[Ticker]],Industries!$A$2:$A$150,0),0)</f>
        <v>Commercial and Professional Services</v>
      </c>
      <c r="D1607" t="str">
        <f ca="1">OFFSET(Industries!E$1,MATCH(Table1[[#This Row],[Ticker]],Industries!$A$2:$A$150,0),0)</f>
        <v>Professional Services</v>
      </c>
      <c r="E1607" t="s">
        <v>950</v>
      </c>
      <c r="F1607" t="str">
        <f ca="1">OFFSET(Industries!B$1,MATCH(Table1[[#This Row],[Ticker]],Industries!$A$2:$A$140,0),0)</f>
        <v>Large-Cap</v>
      </c>
      <c r="G1607" t="str">
        <f ca="1">OFFSET(Industries!F$1,MATCH(Table1[[#This Row],[Ticker]],Industries!$A$2:$A$140,0),0)</f>
        <v>BBB</v>
      </c>
      <c r="H1607" t="s">
        <v>1434</v>
      </c>
      <c r="I1607" t="s">
        <v>1434</v>
      </c>
      <c r="J1607" s="2">
        <v>45373</v>
      </c>
      <c r="K1607" t="s">
        <v>2</v>
      </c>
      <c r="L1607" t="s">
        <v>1710</v>
      </c>
      <c r="M1607" t="s">
        <v>1709</v>
      </c>
      <c r="N1607" s="1">
        <f>Table1[[#This Row],[Consideration Weight]]</f>
        <v>0.45200000000000001</v>
      </c>
      <c r="O1607" t="s">
        <v>476</v>
      </c>
      <c r="P1607" s="1">
        <v>0.45200000000000001</v>
      </c>
      <c r="Q1607" s="1" t="s">
        <v>1646</v>
      </c>
      <c r="R1607" t="s">
        <v>35</v>
      </c>
      <c r="S1607" t="s">
        <v>29</v>
      </c>
      <c r="T1607" t="s">
        <v>30</v>
      </c>
      <c r="U1607" s="1">
        <v>0.5</v>
      </c>
      <c r="V1607" t="s">
        <v>953</v>
      </c>
    </row>
    <row r="1608" spans="1:22" x14ac:dyDescent="0.3">
      <c r="A1608" t="s">
        <v>949</v>
      </c>
      <c r="B1608" t="str">
        <f ca="1">OFFSET(Industries!C$1,MATCH(Table1[[#This Row],[Ticker]],Industries!$A$2:$A$150,0),0)</f>
        <v>Industrials</v>
      </c>
      <c r="C1608" t="str">
        <f ca="1">OFFSET(Industries!D$1,MATCH(Table1[[#This Row],[Ticker]],Industries!$A$2:$A$150,0),0)</f>
        <v>Commercial and Professional Services</v>
      </c>
      <c r="D1608" t="str">
        <f ca="1">OFFSET(Industries!E$1,MATCH(Table1[[#This Row],[Ticker]],Industries!$A$2:$A$150,0),0)</f>
        <v>Professional Services</v>
      </c>
      <c r="E1608" t="s">
        <v>950</v>
      </c>
      <c r="F1608" t="str">
        <f ca="1">OFFSET(Industries!B$1,MATCH(Table1[[#This Row],[Ticker]],Industries!$A$2:$A$140,0),0)</f>
        <v>Large-Cap</v>
      </c>
      <c r="G1608" t="str">
        <f ca="1">OFFSET(Industries!F$1,MATCH(Table1[[#This Row],[Ticker]],Industries!$A$2:$A$140,0),0)</f>
        <v>BBB</v>
      </c>
      <c r="H1608" t="s">
        <v>1434</v>
      </c>
      <c r="I1608" t="s">
        <v>1434</v>
      </c>
      <c r="J1608" s="2">
        <v>45373</v>
      </c>
      <c r="K1608" t="s">
        <v>2</v>
      </c>
      <c r="L1608" t="s">
        <v>1710</v>
      </c>
      <c r="M1608" t="s">
        <v>1709</v>
      </c>
      <c r="N1608" s="1"/>
      <c r="O1608" t="s">
        <v>476</v>
      </c>
      <c r="P1608" s="1">
        <v>0.45200000000000001</v>
      </c>
      <c r="Q1608" s="1" t="s">
        <v>1636</v>
      </c>
      <c r="R1608" t="s">
        <v>24</v>
      </c>
      <c r="S1608" t="s">
        <v>1104</v>
      </c>
      <c r="T1608" t="s">
        <v>153</v>
      </c>
      <c r="U1608" s="1">
        <v>0.5</v>
      </c>
      <c r="V1608" t="s">
        <v>1770</v>
      </c>
    </row>
    <row r="1609" spans="1:22" x14ac:dyDescent="0.3">
      <c r="A1609" t="s">
        <v>949</v>
      </c>
      <c r="B1609" t="str">
        <f ca="1">OFFSET(Industries!C$1,MATCH(Table1[[#This Row],[Ticker]],Industries!$A$2:$A$150,0),0)</f>
        <v>Industrials</v>
      </c>
      <c r="C1609" t="str">
        <f ca="1">OFFSET(Industries!D$1,MATCH(Table1[[#This Row],[Ticker]],Industries!$A$2:$A$150,0),0)</f>
        <v>Commercial and Professional Services</v>
      </c>
      <c r="D1609" t="str">
        <f ca="1">OFFSET(Industries!E$1,MATCH(Table1[[#This Row],[Ticker]],Industries!$A$2:$A$150,0),0)</f>
        <v>Professional Services</v>
      </c>
      <c r="E1609" t="s">
        <v>950</v>
      </c>
      <c r="F1609" t="str">
        <f ca="1">OFFSET(Industries!B$1,MATCH(Table1[[#This Row],[Ticker]],Industries!$A$2:$A$140,0),0)</f>
        <v>Large-Cap</v>
      </c>
      <c r="G1609" t="str">
        <f ca="1">OFFSET(Industries!F$1,MATCH(Table1[[#This Row],[Ticker]],Industries!$A$2:$A$140,0),0)</f>
        <v>BBB</v>
      </c>
      <c r="H1609" t="s">
        <v>1434</v>
      </c>
      <c r="I1609" t="s">
        <v>1434</v>
      </c>
      <c r="J1609" s="2">
        <v>45373</v>
      </c>
      <c r="K1609" t="s">
        <v>2</v>
      </c>
      <c r="L1609" t="s">
        <v>1710</v>
      </c>
      <c r="M1609" t="s">
        <v>1709</v>
      </c>
      <c r="N1609" s="1"/>
      <c r="O1609" t="s">
        <v>476</v>
      </c>
      <c r="P1609" s="1">
        <v>0.45200000000000001</v>
      </c>
      <c r="R1609" t="s">
        <v>28</v>
      </c>
      <c r="S1609" t="s">
        <v>1095</v>
      </c>
      <c r="T1609" t="s">
        <v>55</v>
      </c>
      <c r="V1609" t="s">
        <v>954</v>
      </c>
    </row>
    <row r="1610" spans="1:22" x14ac:dyDescent="0.3">
      <c r="A1610" t="s">
        <v>949</v>
      </c>
      <c r="B1610" t="str">
        <f ca="1">OFFSET(Industries!C$1,MATCH(Table1[[#This Row],[Ticker]],Industries!$A$2:$A$150,0),0)</f>
        <v>Industrials</v>
      </c>
      <c r="C1610" t="str">
        <f ca="1">OFFSET(Industries!D$1,MATCH(Table1[[#This Row],[Ticker]],Industries!$A$2:$A$150,0),0)</f>
        <v>Commercial and Professional Services</v>
      </c>
      <c r="D1610" t="str">
        <f ca="1">OFFSET(Industries!E$1,MATCH(Table1[[#This Row],[Ticker]],Industries!$A$2:$A$150,0),0)</f>
        <v>Professional Services</v>
      </c>
      <c r="E1610" t="s">
        <v>950</v>
      </c>
      <c r="F1610" t="str">
        <f ca="1">OFFSET(Industries!B$1,MATCH(Table1[[#This Row],[Ticker]],Industries!$A$2:$A$140,0),0)</f>
        <v>Large-Cap</v>
      </c>
      <c r="G1610" t="str">
        <f ca="1">OFFSET(Industries!F$1,MATCH(Table1[[#This Row],[Ticker]],Industries!$A$2:$A$140,0),0)</f>
        <v>BBB</v>
      </c>
      <c r="H1610" t="s">
        <v>1434</v>
      </c>
      <c r="I1610" t="s">
        <v>1434</v>
      </c>
      <c r="J1610" s="2">
        <v>45373</v>
      </c>
      <c r="K1610" t="s">
        <v>2</v>
      </c>
      <c r="L1610" t="s">
        <v>1710</v>
      </c>
      <c r="M1610" t="s">
        <v>1709</v>
      </c>
      <c r="N1610" s="1">
        <f>Table1[[#This Row],[Consideration Weight]]</f>
        <v>0.151</v>
      </c>
      <c r="O1610" t="s">
        <v>87</v>
      </c>
      <c r="P1610" s="1">
        <v>0.151</v>
      </c>
    </row>
    <row r="1611" spans="1:22" x14ac:dyDescent="0.3">
      <c r="A1611" t="s">
        <v>949</v>
      </c>
      <c r="B1611" t="str">
        <f ca="1">OFFSET(Industries!C$1,MATCH(Table1[[#This Row],[Ticker]],Industries!$A$2:$A$150,0),0)</f>
        <v>Industrials</v>
      </c>
      <c r="C1611" t="str">
        <f ca="1">OFFSET(Industries!D$1,MATCH(Table1[[#This Row],[Ticker]],Industries!$A$2:$A$150,0),0)</f>
        <v>Commercial and Professional Services</v>
      </c>
      <c r="D1611" t="str">
        <f ca="1">OFFSET(Industries!E$1,MATCH(Table1[[#This Row],[Ticker]],Industries!$A$2:$A$150,0),0)</f>
        <v>Professional Services</v>
      </c>
      <c r="E1611" t="s">
        <v>950</v>
      </c>
      <c r="F1611" t="str">
        <f ca="1">OFFSET(Industries!B$1,MATCH(Table1[[#This Row],[Ticker]],Industries!$A$2:$A$140,0),0)</f>
        <v>Large-Cap</v>
      </c>
      <c r="G1611" t="str">
        <f ca="1">OFFSET(Industries!F$1,MATCH(Table1[[#This Row],[Ticker]],Industries!$A$2:$A$140,0),0)</f>
        <v>BBB</v>
      </c>
      <c r="H1611" t="s">
        <v>1434</v>
      </c>
      <c r="I1611" t="s">
        <v>1434</v>
      </c>
      <c r="J1611" s="2">
        <v>45373</v>
      </c>
      <c r="K1611" t="s">
        <v>2</v>
      </c>
      <c r="L1611" t="s">
        <v>1710</v>
      </c>
      <c r="M1611" t="s">
        <v>1711</v>
      </c>
      <c r="N1611" s="1">
        <f>Table1[[#This Row],[Consideration Weight]]</f>
        <v>0.151</v>
      </c>
      <c r="O1611" t="s">
        <v>194</v>
      </c>
      <c r="P1611" s="1">
        <v>0.151</v>
      </c>
    </row>
    <row r="1612" spans="1:22" x14ac:dyDescent="0.3">
      <c r="A1612" t="s">
        <v>949</v>
      </c>
      <c r="B1612" t="str">
        <f ca="1">OFFSET(Industries!C$1,MATCH(Table1[[#This Row],[Ticker]],Industries!$A$2:$A$150,0),0)</f>
        <v>Industrials</v>
      </c>
      <c r="C1612" t="str">
        <f ca="1">OFFSET(Industries!D$1,MATCH(Table1[[#This Row],[Ticker]],Industries!$A$2:$A$150,0),0)</f>
        <v>Commercial and Professional Services</v>
      </c>
      <c r="D1612" t="str">
        <f ca="1">OFFSET(Industries!E$1,MATCH(Table1[[#This Row],[Ticker]],Industries!$A$2:$A$150,0),0)</f>
        <v>Professional Services</v>
      </c>
      <c r="E1612" t="s">
        <v>950</v>
      </c>
      <c r="F1612" t="str">
        <f ca="1">OFFSET(Industries!B$1,MATCH(Table1[[#This Row],[Ticker]],Industries!$A$2:$A$140,0),0)</f>
        <v>Large-Cap</v>
      </c>
      <c r="G1612" t="str">
        <f ca="1">OFFSET(Industries!F$1,MATCH(Table1[[#This Row],[Ticker]],Industries!$A$2:$A$140,0),0)</f>
        <v>BBB</v>
      </c>
      <c r="H1612" t="s">
        <v>1434</v>
      </c>
      <c r="I1612" t="s">
        <v>1434</v>
      </c>
      <c r="J1612" s="2">
        <v>45373</v>
      </c>
      <c r="K1612" t="s">
        <v>21</v>
      </c>
      <c r="L1612" t="s">
        <v>3</v>
      </c>
      <c r="M1612" t="s">
        <v>1711</v>
      </c>
      <c r="N1612" s="1">
        <f>Table1[[#This Row],[Consideration Weight]]</f>
        <v>0.14480000000000001</v>
      </c>
      <c r="O1612" t="s">
        <v>3</v>
      </c>
      <c r="P1612" s="1">
        <v>0.14480000000000001</v>
      </c>
      <c r="V1612" t="s">
        <v>955</v>
      </c>
    </row>
    <row r="1613" spans="1:22" x14ac:dyDescent="0.3">
      <c r="A1613" t="s">
        <v>949</v>
      </c>
      <c r="B1613" t="str">
        <f ca="1">OFFSET(Industries!C$1,MATCH(Table1[[#This Row],[Ticker]],Industries!$A$2:$A$150,0),0)</f>
        <v>Industrials</v>
      </c>
      <c r="C1613" t="str">
        <f ca="1">OFFSET(Industries!D$1,MATCH(Table1[[#This Row],[Ticker]],Industries!$A$2:$A$150,0),0)</f>
        <v>Commercial and Professional Services</v>
      </c>
      <c r="D1613" t="str">
        <f ca="1">OFFSET(Industries!E$1,MATCH(Table1[[#This Row],[Ticker]],Industries!$A$2:$A$150,0),0)</f>
        <v>Professional Services</v>
      </c>
      <c r="E1613" t="s">
        <v>950</v>
      </c>
      <c r="F1613" t="str">
        <f ca="1">OFFSET(Industries!B$1,MATCH(Table1[[#This Row],[Ticker]],Industries!$A$2:$A$140,0),0)</f>
        <v>Large-Cap</v>
      </c>
      <c r="G1613" t="str">
        <f ca="1">OFFSET(Industries!F$1,MATCH(Table1[[#This Row],[Ticker]],Industries!$A$2:$A$140,0),0)</f>
        <v>BBB</v>
      </c>
      <c r="H1613" t="s">
        <v>1434</v>
      </c>
      <c r="I1613" t="s">
        <v>1434</v>
      </c>
      <c r="J1613" s="2">
        <v>45373</v>
      </c>
      <c r="K1613" t="s">
        <v>21</v>
      </c>
      <c r="L1613" t="s">
        <v>1708</v>
      </c>
      <c r="M1613" t="s">
        <v>1709</v>
      </c>
      <c r="N1613" s="1">
        <f>Table1[[#This Row],[Consideration Weight]]</f>
        <v>0.14480000000000001</v>
      </c>
      <c r="O1613" t="s">
        <v>4</v>
      </c>
      <c r="P1613" s="1">
        <v>0.14480000000000001</v>
      </c>
      <c r="Q1613" s="1" t="s">
        <v>1636</v>
      </c>
      <c r="R1613" t="s">
        <v>24</v>
      </c>
      <c r="S1613" t="s">
        <v>1089</v>
      </c>
      <c r="T1613" t="s">
        <v>50</v>
      </c>
      <c r="U1613" s="1">
        <v>0.48</v>
      </c>
      <c r="V1613" t="s">
        <v>956</v>
      </c>
    </row>
    <row r="1614" spans="1:22" x14ac:dyDescent="0.3">
      <c r="A1614" t="s">
        <v>949</v>
      </c>
      <c r="B1614" t="str">
        <f ca="1">OFFSET(Industries!C$1,MATCH(Table1[[#This Row],[Ticker]],Industries!$A$2:$A$150,0),0)</f>
        <v>Industrials</v>
      </c>
      <c r="C1614" t="str">
        <f ca="1">OFFSET(Industries!D$1,MATCH(Table1[[#This Row],[Ticker]],Industries!$A$2:$A$150,0),0)</f>
        <v>Commercial and Professional Services</v>
      </c>
      <c r="D1614" t="str">
        <f ca="1">OFFSET(Industries!E$1,MATCH(Table1[[#This Row],[Ticker]],Industries!$A$2:$A$150,0),0)</f>
        <v>Professional Services</v>
      </c>
      <c r="E1614" t="s">
        <v>950</v>
      </c>
      <c r="F1614" t="str">
        <f ca="1">OFFSET(Industries!B$1,MATCH(Table1[[#This Row],[Ticker]],Industries!$A$2:$A$140,0),0)</f>
        <v>Large-Cap</v>
      </c>
      <c r="G1614" t="str">
        <f ca="1">OFFSET(Industries!F$1,MATCH(Table1[[#This Row],[Ticker]],Industries!$A$2:$A$140,0),0)</f>
        <v>BBB</v>
      </c>
      <c r="H1614" t="s">
        <v>1434</v>
      </c>
      <c r="I1614" t="s">
        <v>1434</v>
      </c>
      <c r="J1614" s="2">
        <v>45373</v>
      </c>
      <c r="K1614" t="s">
        <v>21</v>
      </c>
      <c r="L1614" t="s">
        <v>1708</v>
      </c>
      <c r="M1614" t="s">
        <v>1709</v>
      </c>
      <c r="N1614" s="1"/>
      <c r="O1614" t="s">
        <v>4</v>
      </c>
      <c r="P1614" s="1">
        <v>0.14480000000000001</v>
      </c>
      <c r="Q1614" s="1" t="s">
        <v>1636</v>
      </c>
      <c r="R1614" t="s">
        <v>23</v>
      </c>
      <c r="S1614" t="s">
        <v>1083</v>
      </c>
      <c r="T1614" t="s">
        <v>489</v>
      </c>
      <c r="U1614" s="1">
        <v>0.23</v>
      </c>
    </row>
    <row r="1615" spans="1:22" x14ac:dyDescent="0.3">
      <c r="A1615" t="s">
        <v>949</v>
      </c>
      <c r="B1615" t="str">
        <f ca="1">OFFSET(Industries!C$1,MATCH(Table1[[#This Row],[Ticker]],Industries!$A$2:$A$150,0),0)</f>
        <v>Industrials</v>
      </c>
      <c r="C1615" t="str">
        <f ca="1">OFFSET(Industries!D$1,MATCH(Table1[[#This Row],[Ticker]],Industries!$A$2:$A$150,0),0)</f>
        <v>Commercial and Professional Services</v>
      </c>
      <c r="D1615" t="str">
        <f ca="1">OFFSET(Industries!E$1,MATCH(Table1[[#This Row],[Ticker]],Industries!$A$2:$A$150,0),0)</f>
        <v>Professional Services</v>
      </c>
      <c r="E1615" t="s">
        <v>950</v>
      </c>
      <c r="F1615" t="str">
        <f ca="1">OFFSET(Industries!B$1,MATCH(Table1[[#This Row],[Ticker]],Industries!$A$2:$A$140,0),0)</f>
        <v>Large-Cap</v>
      </c>
      <c r="G1615" t="str">
        <f ca="1">OFFSET(Industries!F$1,MATCH(Table1[[#This Row],[Ticker]],Industries!$A$2:$A$140,0),0)</f>
        <v>BBB</v>
      </c>
      <c r="H1615" t="s">
        <v>1434</v>
      </c>
      <c r="I1615" t="s">
        <v>1434</v>
      </c>
      <c r="J1615" s="2">
        <v>45373</v>
      </c>
      <c r="K1615" t="s">
        <v>21</v>
      </c>
      <c r="L1615" t="s">
        <v>1708</v>
      </c>
      <c r="M1615" t="s">
        <v>1709</v>
      </c>
      <c r="N1615" s="1"/>
      <c r="O1615" t="s">
        <v>4</v>
      </c>
      <c r="P1615" s="1">
        <v>0.14480000000000001</v>
      </c>
      <c r="Q1615" s="1" t="s">
        <v>1636</v>
      </c>
      <c r="R1615" t="s">
        <v>24</v>
      </c>
      <c r="S1615" t="s">
        <v>90</v>
      </c>
      <c r="T1615" t="s">
        <v>601</v>
      </c>
      <c r="U1615" s="1">
        <v>0.1</v>
      </c>
      <c r="V1615" t="s">
        <v>957</v>
      </c>
    </row>
    <row r="1616" spans="1:22" x14ac:dyDescent="0.3">
      <c r="A1616" t="s">
        <v>949</v>
      </c>
      <c r="B1616" t="str">
        <f ca="1">OFFSET(Industries!C$1,MATCH(Table1[[#This Row],[Ticker]],Industries!$A$2:$A$150,0),0)</f>
        <v>Industrials</v>
      </c>
      <c r="C1616" t="str">
        <f ca="1">OFFSET(Industries!D$1,MATCH(Table1[[#This Row],[Ticker]],Industries!$A$2:$A$150,0),0)</f>
        <v>Commercial and Professional Services</v>
      </c>
      <c r="D1616" t="str">
        <f ca="1">OFFSET(Industries!E$1,MATCH(Table1[[#This Row],[Ticker]],Industries!$A$2:$A$150,0),0)</f>
        <v>Professional Services</v>
      </c>
      <c r="E1616" t="s">
        <v>950</v>
      </c>
      <c r="F1616" t="str">
        <f ca="1">OFFSET(Industries!B$1,MATCH(Table1[[#This Row],[Ticker]],Industries!$A$2:$A$140,0),0)</f>
        <v>Large-Cap</v>
      </c>
      <c r="G1616" t="str">
        <f ca="1">OFFSET(Industries!F$1,MATCH(Table1[[#This Row],[Ticker]],Industries!$A$2:$A$140,0),0)</f>
        <v>BBB</v>
      </c>
      <c r="H1616" t="s">
        <v>1434</v>
      </c>
      <c r="I1616" t="s">
        <v>1434</v>
      </c>
      <c r="J1616" s="2">
        <v>45373</v>
      </c>
      <c r="K1616" t="s">
        <v>21</v>
      </c>
      <c r="L1616" t="s">
        <v>1708</v>
      </c>
      <c r="M1616" t="s">
        <v>1709</v>
      </c>
      <c r="N1616" s="1"/>
      <c r="O1616" t="s">
        <v>4</v>
      </c>
      <c r="P1616" s="1">
        <v>0.14480000000000001</v>
      </c>
      <c r="Q1616" s="1" t="s">
        <v>1637</v>
      </c>
      <c r="R1616" t="s">
        <v>332</v>
      </c>
      <c r="S1616" t="s">
        <v>380</v>
      </c>
      <c r="T1616" t="s">
        <v>380</v>
      </c>
      <c r="U1616" s="1">
        <v>0.2</v>
      </c>
      <c r="V1616" t="s">
        <v>959</v>
      </c>
    </row>
    <row r="1617" spans="1:22" x14ac:dyDescent="0.3">
      <c r="A1617" t="s">
        <v>949</v>
      </c>
      <c r="B1617" t="str">
        <f ca="1">OFFSET(Industries!C$1,MATCH(Table1[[#This Row],[Ticker]],Industries!$A$2:$A$150,0),0)</f>
        <v>Industrials</v>
      </c>
      <c r="C1617" t="str">
        <f ca="1">OFFSET(Industries!D$1,MATCH(Table1[[#This Row],[Ticker]],Industries!$A$2:$A$150,0),0)</f>
        <v>Commercial and Professional Services</v>
      </c>
      <c r="D1617" t="str">
        <f ca="1">OFFSET(Industries!E$1,MATCH(Table1[[#This Row],[Ticker]],Industries!$A$2:$A$150,0),0)</f>
        <v>Professional Services</v>
      </c>
      <c r="E1617" t="s">
        <v>950</v>
      </c>
      <c r="F1617" t="str">
        <f ca="1">OFFSET(Industries!B$1,MATCH(Table1[[#This Row],[Ticker]],Industries!$A$2:$A$140,0),0)</f>
        <v>Large-Cap</v>
      </c>
      <c r="G1617" t="str">
        <f ca="1">OFFSET(Industries!F$1,MATCH(Table1[[#This Row],[Ticker]],Industries!$A$2:$A$140,0),0)</f>
        <v>BBB</v>
      </c>
      <c r="H1617" t="s">
        <v>1434</v>
      </c>
      <c r="I1617" t="s">
        <v>1434</v>
      </c>
      <c r="J1617" s="2">
        <v>45373</v>
      </c>
      <c r="K1617" t="s">
        <v>21</v>
      </c>
      <c r="L1617" t="s">
        <v>1708</v>
      </c>
      <c r="M1617" t="s">
        <v>1709</v>
      </c>
      <c r="N1617" s="1"/>
      <c r="O1617" t="s">
        <v>4</v>
      </c>
      <c r="P1617" s="1">
        <v>0.14480000000000001</v>
      </c>
      <c r="R1617" t="s">
        <v>28</v>
      </c>
      <c r="S1617" t="s">
        <v>1110</v>
      </c>
      <c r="T1617" t="s">
        <v>172</v>
      </c>
    </row>
    <row r="1618" spans="1:22" x14ac:dyDescent="0.3">
      <c r="A1618" t="s">
        <v>949</v>
      </c>
      <c r="B1618" t="str">
        <f ca="1">OFFSET(Industries!C$1,MATCH(Table1[[#This Row],[Ticker]],Industries!$A$2:$A$150,0),0)</f>
        <v>Industrials</v>
      </c>
      <c r="C1618" t="str">
        <f ca="1">OFFSET(Industries!D$1,MATCH(Table1[[#This Row],[Ticker]],Industries!$A$2:$A$150,0),0)</f>
        <v>Commercial and Professional Services</v>
      </c>
      <c r="D1618" t="str">
        <f ca="1">OFFSET(Industries!E$1,MATCH(Table1[[#This Row],[Ticker]],Industries!$A$2:$A$150,0),0)</f>
        <v>Professional Services</v>
      </c>
      <c r="E1618" t="s">
        <v>950</v>
      </c>
      <c r="F1618" t="str">
        <f ca="1">OFFSET(Industries!B$1,MATCH(Table1[[#This Row],[Ticker]],Industries!$A$2:$A$140,0),0)</f>
        <v>Large-Cap</v>
      </c>
      <c r="G1618" t="str">
        <f ca="1">OFFSET(Industries!F$1,MATCH(Table1[[#This Row],[Ticker]],Industries!$A$2:$A$140,0),0)</f>
        <v>BBB</v>
      </c>
      <c r="H1618" t="s">
        <v>1434</v>
      </c>
      <c r="I1618" t="s">
        <v>1434</v>
      </c>
      <c r="J1618" s="2">
        <v>45373</v>
      </c>
      <c r="K1618" t="s">
        <v>21</v>
      </c>
      <c r="L1618" t="s">
        <v>1710</v>
      </c>
      <c r="M1618" t="s">
        <v>1709</v>
      </c>
      <c r="N1618" s="1">
        <f>Table1[[#This Row],[Consideration Weight]]</f>
        <v>0.35520000000000002</v>
      </c>
      <c r="O1618" t="s">
        <v>476</v>
      </c>
      <c r="P1618" s="1">
        <v>0.35520000000000002</v>
      </c>
      <c r="Q1618" s="1" t="s">
        <v>1646</v>
      </c>
      <c r="R1618" t="s">
        <v>35</v>
      </c>
      <c r="S1618" t="s">
        <v>29</v>
      </c>
      <c r="T1618" t="s">
        <v>30</v>
      </c>
      <c r="U1618" s="1">
        <v>0.5</v>
      </c>
    </row>
    <row r="1619" spans="1:22" x14ac:dyDescent="0.3">
      <c r="A1619" t="s">
        <v>949</v>
      </c>
      <c r="B1619" t="str">
        <f ca="1">OFFSET(Industries!C$1,MATCH(Table1[[#This Row],[Ticker]],Industries!$A$2:$A$150,0),0)</f>
        <v>Industrials</v>
      </c>
      <c r="C1619" t="str">
        <f ca="1">OFFSET(Industries!D$1,MATCH(Table1[[#This Row],[Ticker]],Industries!$A$2:$A$150,0),0)</f>
        <v>Commercial and Professional Services</v>
      </c>
      <c r="D1619" t="str">
        <f ca="1">OFFSET(Industries!E$1,MATCH(Table1[[#This Row],[Ticker]],Industries!$A$2:$A$150,0),0)</f>
        <v>Professional Services</v>
      </c>
      <c r="E1619" t="s">
        <v>950</v>
      </c>
      <c r="F1619" t="str">
        <f ca="1">OFFSET(Industries!B$1,MATCH(Table1[[#This Row],[Ticker]],Industries!$A$2:$A$140,0),0)</f>
        <v>Large-Cap</v>
      </c>
      <c r="G1619" t="str">
        <f ca="1">OFFSET(Industries!F$1,MATCH(Table1[[#This Row],[Ticker]],Industries!$A$2:$A$140,0),0)</f>
        <v>BBB</v>
      </c>
      <c r="H1619" t="s">
        <v>1434</v>
      </c>
      <c r="I1619" t="s">
        <v>1434</v>
      </c>
      <c r="J1619" s="2">
        <v>45373</v>
      </c>
      <c r="K1619" t="s">
        <v>21</v>
      </c>
      <c r="L1619" t="s">
        <v>1710</v>
      </c>
      <c r="M1619" t="s">
        <v>1709</v>
      </c>
      <c r="N1619" s="1"/>
      <c r="O1619" t="s">
        <v>476</v>
      </c>
      <c r="P1619" s="1">
        <v>0.35520000000000002</v>
      </c>
      <c r="Q1619" s="1" t="s">
        <v>1636</v>
      </c>
      <c r="R1619" t="s">
        <v>24</v>
      </c>
      <c r="S1619" t="s">
        <v>1104</v>
      </c>
      <c r="T1619" t="s">
        <v>153</v>
      </c>
      <c r="U1619" s="1">
        <v>0.5</v>
      </c>
    </row>
    <row r="1620" spans="1:22" x14ac:dyDescent="0.3">
      <c r="A1620" t="s">
        <v>949</v>
      </c>
      <c r="B1620" t="str">
        <f ca="1">OFFSET(Industries!C$1,MATCH(Table1[[#This Row],[Ticker]],Industries!$A$2:$A$150,0),0)</f>
        <v>Industrials</v>
      </c>
      <c r="C1620" t="str">
        <f ca="1">OFFSET(Industries!D$1,MATCH(Table1[[#This Row],[Ticker]],Industries!$A$2:$A$150,0),0)</f>
        <v>Commercial and Professional Services</v>
      </c>
      <c r="D1620" t="str">
        <f ca="1">OFFSET(Industries!E$1,MATCH(Table1[[#This Row],[Ticker]],Industries!$A$2:$A$150,0),0)</f>
        <v>Professional Services</v>
      </c>
      <c r="E1620" t="s">
        <v>950</v>
      </c>
      <c r="F1620" t="str">
        <f ca="1">OFFSET(Industries!B$1,MATCH(Table1[[#This Row],[Ticker]],Industries!$A$2:$A$140,0),0)</f>
        <v>Large-Cap</v>
      </c>
      <c r="G1620" t="str">
        <f ca="1">OFFSET(Industries!F$1,MATCH(Table1[[#This Row],[Ticker]],Industries!$A$2:$A$140,0),0)</f>
        <v>BBB</v>
      </c>
      <c r="H1620" t="s">
        <v>1434</v>
      </c>
      <c r="I1620" t="s">
        <v>1434</v>
      </c>
      <c r="J1620" s="2">
        <v>45373</v>
      </c>
      <c r="K1620" t="s">
        <v>21</v>
      </c>
      <c r="L1620" t="s">
        <v>1710</v>
      </c>
      <c r="M1620" t="s">
        <v>1709</v>
      </c>
      <c r="N1620" s="1"/>
      <c r="O1620" t="s">
        <v>476</v>
      </c>
      <c r="P1620" s="1">
        <v>0.35520000000000002</v>
      </c>
      <c r="R1620" t="s">
        <v>28</v>
      </c>
      <c r="S1620" t="s">
        <v>1095</v>
      </c>
      <c r="T1620" t="s">
        <v>55</v>
      </c>
      <c r="V1620" t="s">
        <v>958</v>
      </c>
    </row>
    <row r="1621" spans="1:22" x14ac:dyDescent="0.3">
      <c r="A1621" t="s">
        <v>949</v>
      </c>
      <c r="B1621" t="str">
        <f ca="1">OFFSET(Industries!C$1,MATCH(Table1[[#This Row],[Ticker]],Industries!$A$2:$A$150,0),0)</f>
        <v>Industrials</v>
      </c>
      <c r="C1621" t="str">
        <f ca="1">OFFSET(Industries!D$1,MATCH(Table1[[#This Row],[Ticker]],Industries!$A$2:$A$150,0),0)</f>
        <v>Commercial and Professional Services</v>
      </c>
      <c r="D1621" t="str">
        <f ca="1">OFFSET(Industries!E$1,MATCH(Table1[[#This Row],[Ticker]],Industries!$A$2:$A$150,0),0)</f>
        <v>Professional Services</v>
      </c>
      <c r="E1621" t="s">
        <v>950</v>
      </c>
      <c r="F1621" t="str">
        <f ca="1">OFFSET(Industries!B$1,MATCH(Table1[[#This Row],[Ticker]],Industries!$A$2:$A$140,0),0)</f>
        <v>Large-Cap</v>
      </c>
      <c r="G1621" t="str">
        <f ca="1">OFFSET(Industries!F$1,MATCH(Table1[[#This Row],[Ticker]],Industries!$A$2:$A$140,0),0)</f>
        <v>BBB</v>
      </c>
      <c r="H1621" t="s">
        <v>1434</v>
      </c>
      <c r="I1621" t="s">
        <v>1434</v>
      </c>
      <c r="J1621" s="2">
        <v>45373</v>
      </c>
      <c r="K1621" t="s">
        <v>21</v>
      </c>
      <c r="L1621" t="s">
        <v>1710</v>
      </c>
      <c r="M1621" t="s">
        <v>1711</v>
      </c>
      <c r="N1621" s="1">
        <f>Table1[[#This Row],[Consideration Weight]]</f>
        <v>0.17760000000000001</v>
      </c>
      <c r="O1621" t="s">
        <v>87</v>
      </c>
      <c r="P1621" s="1">
        <v>0.17760000000000001</v>
      </c>
    </row>
    <row r="1622" spans="1:22" x14ac:dyDescent="0.3">
      <c r="A1622" t="s">
        <v>949</v>
      </c>
      <c r="B1622" t="str">
        <f ca="1">OFFSET(Industries!C$1,MATCH(Table1[[#This Row],[Ticker]],Industries!$A$2:$A$150,0),0)</f>
        <v>Industrials</v>
      </c>
      <c r="C1622" t="str">
        <f ca="1">OFFSET(Industries!D$1,MATCH(Table1[[#This Row],[Ticker]],Industries!$A$2:$A$150,0),0)</f>
        <v>Commercial and Professional Services</v>
      </c>
      <c r="D1622" t="str">
        <f ca="1">OFFSET(Industries!E$1,MATCH(Table1[[#This Row],[Ticker]],Industries!$A$2:$A$150,0),0)</f>
        <v>Professional Services</v>
      </c>
      <c r="E1622" t="s">
        <v>950</v>
      </c>
      <c r="F1622" t="str">
        <f ca="1">OFFSET(Industries!B$1,MATCH(Table1[[#This Row],[Ticker]],Industries!$A$2:$A$140,0),0)</f>
        <v>Large-Cap</v>
      </c>
      <c r="G1622" t="str">
        <f ca="1">OFFSET(Industries!F$1,MATCH(Table1[[#This Row],[Ticker]],Industries!$A$2:$A$140,0),0)</f>
        <v>BBB</v>
      </c>
      <c r="H1622" t="s">
        <v>1434</v>
      </c>
      <c r="I1622" t="s">
        <v>1434</v>
      </c>
      <c r="J1622" s="2">
        <v>45373</v>
      </c>
      <c r="K1622" t="s">
        <v>21</v>
      </c>
      <c r="L1622" t="s">
        <v>1710</v>
      </c>
      <c r="M1622" t="s">
        <v>1711</v>
      </c>
      <c r="N1622" s="1">
        <f>Table1[[#This Row],[Consideration Weight]]</f>
        <v>0.17760000000000001</v>
      </c>
      <c r="O1622" t="s">
        <v>194</v>
      </c>
      <c r="P1622" s="1">
        <v>0.17760000000000001</v>
      </c>
    </row>
    <row r="1623" spans="1:22" x14ac:dyDescent="0.3">
      <c r="A1623" t="s">
        <v>960</v>
      </c>
      <c r="B1623" t="str">
        <f ca="1">OFFSET(Industries!C$1,MATCH(Table1[[#This Row],[Ticker]],Industries!$A$2:$A$150,0),0)</f>
        <v>Financials</v>
      </c>
      <c r="C1623" t="str">
        <f ca="1">OFFSET(Industries!D$1,MATCH(Table1[[#This Row],[Ticker]],Industries!$A$2:$A$150,0),0)</f>
        <v>Banks</v>
      </c>
      <c r="D1623" t="str">
        <f ca="1">OFFSET(Industries!E$1,MATCH(Table1[[#This Row],[Ticker]],Industries!$A$2:$A$150,0),0)</f>
        <v>Banks</v>
      </c>
      <c r="E1623" t="s">
        <v>93</v>
      </c>
      <c r="F1623" t="str">
        <f ca="1">OFFSET(Industries!B$1,MATCH(Table1[[#This Row],[Ticker]],Industries!$A$2:$A$140,0),0)</f>
        <v>Large-Cap</v>
      </c>
      <c r="G1623" t="str">
        <f ca="1">OFFSET(Industries!F$1,MATCH(Table1[[#This Row],[Ticker]],Industries!$A$2:$A$140,0),0)</f>
        <v>A-</v>
      </c>
      <c r="H1623" t="s">
        <v>1434</v>
      </c>
      <c r="I1623" t="s">
        <v>1434</v>
      </c>
      <c r="J1623" s="2">
        <v>45364</v>
      </c>
      <c r="K1623" t="s">
        <v>2</v>
      </c>
      <c r="L1623" t="s">
        <v>3</v>
      </c>
      <c r="M1623" t="s">
        <v>1711</v>
      </c>
      <c r="N1623" s="1">
        <f>Table1[[#This Row],[Consideration Weight]]</f>
        <v>7.0000000000000007E-2</v>
      </c>
      <c r="O1623" t="s">
        <v>3</v>
      </c>
      <c r="P1623" s="1">
        <v>7.0000000000000007E-2</v>
      </c>
      <c r="V1623" t="s">
        <v>1686</v>
      </c>
    </row>
    <row r="1624" spans="1:22" x14ac:dyDescent="0.3">
      <c r="A1624" t="s">
        <v>960</v>
      </c>
      <c r="B1624" t="str">
        <f ca="1">OFFSET(Industries!C$1,MATCH(Table1[[#This Row],[Ticker]],Industries!$A$2:$A$150,0),0)</f>
        <v>Financials</v>
      </c>
      <c r="C1624" t="str">
        <f ca="1">OFFSET(Industries!D$1,MATCH(Table1[[#This Row],[Ticker]],Industries!$A$2:$A$150,0),0)</f>
        <v>Banks</v>
      </c>
      <c r="D1624" t="str">
        <f ca="1">OFFSET(Industries!E$1,MATCH(Table1[[#This Row],[Ticker]],Industries!$A$2:$A$150,0),0)</f>
        <v>Banks</v>
      </c>
      <c r="E1624" t="s">
        <v>93</v>
      </c>
      <c r="F1624" t="str">
        <f ca="1">OFFSET(Industries!B$1,MATCH(Table1[[#This Row],[Ticker]],Industries!$A$2:$A$140,0),0)</f>
        <v>Large-Cap</v>
      </c>
      <c r="G1624" t="str">
        <f ca="1">OFFSET(Industries!F$1,MATCH(Table1[[#This Row],[Ticker]],Industries!$A$2:$A$140,0),0)</f>
        <v>A-</v>
      </c>
      <c r="H1624" t="s">
        <v>1434</v>
      </c>
      <c r="I1624" t="s">
        <v>1434</v>
      </c>
      <c r="J1624" s="2">
        <v>45364</v>
      </c>
      <c r="K1624" t="s">
        <v>2</v>
      </c>
      <c r="L1624" t="s">
        <v>1708</v>
      </c>
      <c r="M1624" t="s">
        <v>1709</v>
      </c>
      <c r="N1624" s="1">
        <f>Table1[[#This Row],[Consideration Weight]]</f>
        <v>0.23</v>
      </c>
      <c r="O1624" t="s">
        <v>4</v>
      </c>
      <c r="P1624" s="1">
        <v>0.23</v>
      </c>
      <c r="Q1624" s="1" t="s">
        <v>1637</v>
      </c>
      <c r="R1624" t="s">
        <v>25</v>
      </c>
      <c r="S1624" t="s">
        <v>1086</v>
      </c>
      <c r="T1624" t="s">
        <v>1685</v>
      </c>
      <c r="U1624" s="1">
        <v>1</v>
      </c>
      <c r="V1624" t="s">
        <v>1687</v>
      </c>
    </row>
    <row r="1625" spans="1:22" x14ac:dyDescent="0.3">
      <c r="A1625" t="s">
        <v>960</v>
      </c>
      <c r="B1625" t="str">
        <f ca="1">OFFSET(Industries!C$1,MATCH(Table1[[#This Row],[Ticker]],Industries!$A$2:$A$150,0),0)</f>
        <v>Financials</v>
      </c>
      <c r="C1625" t="str">
        <f ca="1">OFFSET(Industries!D$1,MATCH(Table1[[#This Row],[Ticker]],Industries!$A$2:$A$150,0),0)</f>
        <v>Banks</v>
      </c>
      <c r="D1625" t="str">
        <f ca="1">OFFSET(Industries!E$1,MATCH(Table1[[#This Row],[Ticker]],Industries!$A$2:$A$150,0),0)</f>
        <v>Banks</v>
      </c>
      <c r="E1625" t="s">
        <v>93</v>
      </c>
      <c r="F1625" t="str">
        <f ca="1">OFFSET(Industries!B$1,MATCH(Table1[[#This Row],[Ticker]],Industries!$A$2:$A$140,0),0)</f>
        <v>Large-Cap</v>
      </c>
      <c r="G1625" t="str">
        <f ca="1">OFFSET(Industries!F$1,MATCH(Table1[[#This Row],[Ticker]],Industries!$A$2:$A$140,0),0)</f>
        <v>A-</v>
      </c>
      <c r="H1625" t="s">
        <v>1434</v>
      </c>
      <c r="I1625" t="s">
        <v>1434</v>
      </c>
      <c r="J1625" s="2">
        <v>45364</v>
      </c>
      <c r="K1625" t="s">
        <v>2</v>
      </c>
      <c r="L1625" t="s">
        <v>1708</v>
      </c>
      <c r="M1625" t="s">
        <v>1709</v>
      </c>
      <c r="N1625" s="1"/>
      <c r="O1625" t="s">
        <v>4</v>
      </c>
      <c r="P1625" s="1">
        <v>0.23</v>
      </c>
      <c r="R1625" t="s">
        <v>28</v>
      </c>
      <c r="S1625" t="s">
        <v>1087</v>
      </c>
      <c r="T1625" t="s">
        <v>40</v>
      </c>
      <c r="V1625" t="s">
        <v>962</v>
      </c>
    </row>
    <row r="1626" spans="1:22" x14ac:dyDescent="0.3">
      <c r="A1626" t="s">
        <v>960</v>
      </c>
      <c r="B1626" t="str">
        <f ca="1">OFFSET(Industries!C$1,MATCH(Table1[[#This Row],[Ticker]],Industries!$A$2:$A$150,0),0)</f>
        <v>Financials</v>
      </c>
      <c r="C1626" t="str">
        <f ca="1">OFFSET(Industries!D$1,MATCH(Table1[[#This Row],[Ticker]],Industries!$A$2:$A$150,0),0)</f>
        <v>Banks</v>
      </c>
      <c r="D1626" t="str">
        <f ca="1">OFFSET(Industries!E$1,MATCH(Table1[[#This Row],[Ticker]],Industries!$A$2:$A$150,0),0)</f>
        <v>Banks</v>
      </c>
      <c r="E1626" t="s">
        <v>93</v>
      </c>
      <c r="F1626" t="str">
        <f ca="1">OFFSET(Industries!B$1,MATCH(Table1[[#This Row],[Ticker]],Industries!$A$2:$A$140,0),0)</f>
        <v>Large-Cap</v>
      </c>
      <c r="G1626" t="str">
        <f ca="1">OFFSET(Industries!F$1,MATCH(Table1[[#This Row],[Ticker]],Industries!$A$2:$A$140,0),0)</f>
        <v>A-</v>
      </c>
      <c r="H1626" t="s">
        <v>1434</v>
      </c>
      <c r="I1626" t="s">
        <v>1434</v>
      </c>
      <c r="J1626" s="2">
        <v>45364</v>
      </c>
      <c r="K1626" t="s">
        <v>2</v>
      </c>
      <c r="L1626" t="s">
        <v>1708</v>
      </c>
      <c r="M1626" t="s">
        <v>1709</v>
      </c>
      <c r="N1626" s="1"/>
      <c r="O1626" t="s">
        <v>4</v>
      </c>
      <c r="P1626" s="1">
        <v>0.23</v>
      </c>
      <c r="R1626" t="s">
        <v>28</v>
      </c>
      <c r="S1626" t="s">
        <v>1110</v>
      </c>
      <c r="T1626" t="s">
        <v>172</v>
      </c>
      <c r="V1626" t="s">
        <v>1727</v>
      </c>
    </row>
    <row r="1627" spans="1:22" x14ac:dyDescent="0.3">
      <c r="A1627" t="s">
        <v>960</v>
      </c>
      <c r="B1627" t="str">
        <f ca="1">OFFSET(Industries!C$1,MATCH(Table1[[#This Row],[Ticker]],Industries!$A$2:$A$150,0),0)</f>
        <v>Financials</v>
      </c>
      <c r="C1627" t="str">
        <f ca="1">OFFSET(Industries!D$1,MATCH(Table1[[#This Row],[Ticker]],Industries!$A$2:$A$150,0),0)</f>
        <v>Banks</v>
      </c>
      <c r="D1627" t="str">
        <f ca="1">OFFSET(Industries!E$1,MATCH(Table1[[#This Row],[Ticker]],Industries!$A$2:$A$150,0),0)</f>
        <v>Banks</v>
      </c>
      <c r="E1627" t="s">
        <v>93</v>
      </c>
      <c r="F1627" t="str">
        <f ca="1">OFFSET(Industries!B$1,MATCH(Table1[[#This Row],[Ticker]],Industries!$A$2:$A$140,0),0)</f>
        <v>Large-Cap</v>
      </c>
      <c r="G1627" t="str">
        <f ca="1">OFFSET(Industries!F$1,MATCH(Table1[[#This Row],[Ticker]],Industries!$A$2:$A$140,0),0)</f>
        <v>A-</v>
      </c>
      <c r="H1627" t="s">
        <v>1434</v>
      </c>
      <c r="I1627" t="s">
        <v>1434</v>
      </c>
      <c r="J1627" s="2">
        <v>45364</v>
      </c>
      <c r="K1627" t="s">
        <v>2</v>
      </c>
      <c r="L1627" t="s">
        <v>1710</v>
      </c>
      <c r="M1627" t="s">
        <v>1709</v>
      </c>
      <c r="N1627" s="1">
        <f>Table1[[#This Row],[Consideration Weight]]</f>
        <v>0.42</v>
      </c>
      <c r="O1627" t="s">
        <v>476</v>
      </c>
      <c r="P1627" s="1">
        <v>0.42</v>
      </c>
      <c r="Q1627" s="1" t="s">
        <v>1636</v>
      </c>
      <c r="R1627" t="s">
        <v>24</v>
      </c>
      <c r="S1627" t="s">
        <v>1165</v>
      </c>
      <c r="T1627" t="s">
        <v>961</v>
      </c>
      <c r="U1627" s="1">
        <v>0.5</v>
      </c>
      <c r="V1627" t="s">
        <v>163</v>
      </c>
    </row>
    <row r="1628" spans="1:22" x14ac:dyDescent="0.3">
      <c r="A1628" t="s">
        <v>960</v>
      </c>
      <c r="B1628" t="str">
        <f ca="1">OFFSET(Industries!C$1,MATCH(Table1[[#This Row],[Ticker]],Industries!$A$2:$A$150,0),0)</f>
        <v>Financials</v>
      </c>
      <c r="C1628" t="str">
        <f ca="1">OFFSET(Industries!D$1,MATCH(Table1[[#This Row],[Ticker]],Industries!$A$2:$A$150,0),0)</f>
        <v>Banks</v>
      </c>
      <c r="D1628" t="str">
        <f ca="1">OFFSET(Industries!E$1,MATCH(Table1[[#This Row],[Ticker]],Industries!$A$2:$A$150,0),0)</f>
        <v>Banks</v>
      </c>
      <c r="E1628" t="s">
        <v>93</v>
      </c>
      <c r="F1628" t="str">
        <f ca="1">OFFSET(Industries!B$1,MATCH(Table1[[#This Row],[Ticker]],Industries!$A$2:$A$140,0),0)</f>
        <v>Large-Cap</v>
      </c>
      <c r="G1628" t="str">
        <f ca="1">OFFSET(Industries!F$1,MATCH(Table1[[#This Row],[Ticker]],Industries!$A$2:$A$140,0),0)</f>
        <v>A-</v>
      </c>
      <c r="H1628" t="s">
        <v>1434</v>
      </c>
      <c r="I1628" t="s">
        <v>1434</v>
      </c>
      <c r="J1628" s="2">
        <v>45364</v>
      </c>
      <c r="K1628" t="s">
        <v>2</v>
      </c>
      <c r="L1628" t="s">
        <v>1710</v>
      </c>
      <c r="M1628" t="s">
        <v>1709</v>
      </c>
      <c r="N1628" s="1"/>
      <c r="O1628" t="s">
        <v>476</v>
      </c>
      <c r="P1628" s="1">
        <v>0.42</v>
      </c>
      <c r="Q1628" s="1" t="s">
        <v>1636</v>
      </c>
      <c r="R1628" t="s">
        <v>1059</v>
      </c>
      <c r="S1628" t="s">
        <v>1092</v>
      </c>
      <c r="T1628" t="s">
        <v>250</v>
      </c>
      <c r="U1628" s="1">
        <v>0.5</v>
      </c>
      <c r="V1628" t="s">
        <v>963</v>
      </c>
    </row>
    <row r="1629" spans="1:22" x14ac:dyDescent="0.3">
      <c r="A1629" t="s">
        <v>960</v>
      </c>
      <c r="B1629" t="str">
        <f ca="1">OFFSET(Industries!C$1,MATCH(Table1[[#This Row],[Ticker]],Industries!$A$2:$A$150,0),0)</f>
        <v>Financials</v>
      </c>
      <c r="C1629" t="str">
        <f ca="1">OFFSET(Industries!D$1,MATCH(Table1[[#This Row],[Ticker]],Industries!$A$2:$A$150,0),0)</f>
        <v>Banks</v>
      </c>
      <c r="D1629" t="str">
        <f ca="1">OFFSET(Industries!E$1,MATCH(Table1[[#This Row],[Ticker]],Industries!$A$2:$A$150,0),0)</f>
        <v>Banks</v>
      </c>
      <c r="E1629" t="s">
        <v>93</v>
      </c>
      <c r="F1629" t="str">
        <f ca="1">OFFSET(Industries!B$1,MATCH(Table1[[#This Row],[Ticker]],Industries!$A$2:$A$140,0),0)</f>
        <v>Large-Cap</v>
      </c>
      <c r="G1629" t="str">
        <f ca="1">OFFSET(Industries!F$1,MATCH(Table1[[#This Row],[Ticker]],Industries!$A$2:$A$140,0),0)</f>
        <v>A-</v>
      </c>
      <c r="H1629" t="s">
        <v>1434</v>
      </c>
      <c r="I1629" t="s">
        <v>1434</v>
      </c>
      <c r="J1629" s="2">
        <v>45364</v>
      </c>
      <c r="K1629" t="s">
        <v>2</v>
      </c>
      <c r="L1629" t="s">
        <v>1710</v>
      </c>
      <c r="M1629" t="s">
        <v>1709</v>
      </c>
      <c r="N1629" s="1"/>
      <c r="O1629" t="s">
        <v>476</v>
      </c>
      <c r="P1629" s="1">
        <v>0.42</v>
      </c>
      <c r="R1629" t="s">
        <v>28</v>
      </c>
      <c r="S1629" t="s">
        <v>1110</v>
      </c>
      <c r="T1629" t="s">
        <v>172</v>
      </c>
    </row>
    <row r="1630" spans="1:22" x14ac:dyDescent="0.3">
      <c r="A1630" t="s">
        <v>960</v>
      </c>
      <c r="B1630" t="str">
        <f ca="1">OFFSET(Industries!C$1,MATCH(Table1[[#This Row],[Ticker]],Industries!$A$2:$A$150,0),0)</f>
        <v>Financials</v>
      </c>
      <c r="C1630" t="str">
        <f ca="1">OFFSET(Industries!D$1,MATCH(Table1[[#This Row],[Ticker]],Industries!$A$2:$A$150,0),0)</f>
        <v>Banks</v>
      </c>
      <c r="D1630" t="str">
        <f ca="1">OFFSET(Industries!E$1,MATCH(Table1[[#This Row],[Ticker]],Industries!$A$2:$A$150,0),0)</f>
        <v>Banks</v>
      </c>
      <c r="E1630" t="s">
        <v>93</v>
      </c>
      <c r="F1630" t="str">
        <f ca="1">OFFSET(Industries!B$1,MATCH(Table1[[#This Row],[Ticker]],Industries!$A$2:$A$140,0),0)</f>
        <v>Large-Cap</v>
      </c>
      <c r="G1630" t="str">
        <f ca="1">OFFSET(Industries!F$1,MATCH(Table1[[#This Row],[Ticker]],Industries!$A$2:$A$140,0),0)</f>
        <v>A-</v>
      </c>
      <c r="H1630" t="s">
        <v>1434</v>
      </c>
      <c r="I1630" t="s">
        <v>1434</v>
      </c>
      <c r="J1630" s="2">
        <v>45364</v>
      </c>
      <c r="K1630" t="s">
        <v>2</v>
      </c>
      <c r="L1630" t="s">
        <v>1710</v>
      </c>
      <c r="M1630" t="s">
        <v>1709</v>
      </c>
      <c r="N1630" s="1"/>
      <c r="O1630" t="s">
        <v>476</v>
      </c>
      <c r="P1630" s="1">
        <v>0.42</v>
      </c>
      <c r="R1630" t="s">
        <v>28</v>
      </c>
      <c r="S1630" t="s">
        <v>1100</v>
      </c>
      <c r="T1630" t="s">
        <v>964</v>
      </c>
      <c r="V1630" t="s">
        <v>965</v>
      </c>
    </row>
    <row r="1631" spans="1:22" x14ac:dyDescent="0.3">
      <c r="A1631" t="s">
        <v>960</v>
      </c>
      <c r="B1631" t="str">
        <f ca="1">OFFSET(Industries!C$1,MATCH(Table1[[#This Row],[Ticker]],Industries!$A$2:$A$150,0),0)</f>
        <v>Financials</v>
      </c>
      <c r="C1631" t="str">
        <f ca="1">OFFSET(Industries!D$1,MATCH(Table1[[#This Row],[Ticker]],Industries!$A$2:$A$150,0),0)</f>
        <v>Banks</v>
      </c>
      <c r="D1631" t="str">
        <f ca="1">OFFSET(Industries!E$1,MATCH(Table1[[#This Row],[Ticker]],Industries!$A$2:$A$150,0),0)</f>
        <v>Banks</v>
      </c>
      <c r="E1631" t="s">
        <v>93</v>
      </c>
      <c r="F1631" t="str">
        <f ca="1">OFFSET(Industries!B$1,MATCH(Table1[[#This Row],[Ticker]],Industries!$A$2:$A$140,0),0)</f>
        <v>Large-Cap</v>
      </c>
      <c r="G1631" t="str">
        <f ca="1">OFFSET(Industries!F$1,MATCH(Table1[[#This Row],[Ticker]],Industries!$A$2:$A$140,0),0)</f>
        <v>A-</v>
      </c>
      <c r="H1631" t="s">
        <v>1434</v>
      </c>
      <c r="I1631" t="s">
        <v>1434</v>
      </c>
      <c r="J1631" s="2">
        <v>45364</v>
      </c>
      <c r="K1631" t="s">
        <v>2</v>
      </c>
      <c r="L1631" t="s">
        <v>1710</v>
      </c>
      <c r="M1631" t="s">
        <v>1709</v>
      </c>
      <c r="N1631" s="1">
        <f>Table1[[#This Row],[Consideration Weight]]</f>
        <v>0.28000000000000003</v>
      </c>
      <c r="O1631" t="s">
        <v>194</v>
      </c>
      <c r="P1631" s="1">
        <v>0.28000000000000003</v>
      </c>
      <c r="R1631" t="s">
        <v>28</v>
      </c>
      <c r="S1631" t="s">
        <v>1100</v>
      </c>
      <c r="T1631" t="s">
        <v>964</v>
      </c>
      <c r="V1631" t="s">
        <v>1728</v>
      </c>
    </row>
    <row r="1632" spans="1:22" x14ac:dyDescent="0.3">
      <c r="A1632" t="s">
        <v>960</v>
      </c>
      <c r="B1632" t="str">
        <f ca="1">OFFSET(Industries!C$1,MATCH(Table1[[#This Row],[Ticker]],Industries!$A$2:$A$150,0),0)</f>
        <v>Financials</v>
      </c>
      <c r="C1632" t="str">
        <f ca="1">OFFSET(Industries!D$1,MATCH(Table1[[#This Row],[Ticker]],Industries!$A$2:$A$150,0),0)</f>
        <v>Banks</v>
      </c>
      <c r="D1632" t="str">
        <f ca="1">OFFSET(Industries!E$1,MATCH(Table1[[#This Row],[Ticker]],Industries!$A$2:$A$150,0),0)</f>
        <v>Banks</v>
      </c>
      <c r="E1632" t="s">
        <v>93</v>
      </c>
      <c r="F1632" t="str">
        <f ca="1">OFFSET(Industries!B$1,MATCH(Table1[[#This Row],[Ticker]],Industries!$A$2:$A$140,0),0)</f>
        <v>Large-Cap</v>
      </c>
      <c r="G1632" t="str">
        <f ca="1">OFFSET(Industries!F$1,MATCH(Table1[[#This Row],[Ticker]],Industries!$A$2:$A$140,0),0)</f>
        <v>A-</v>
      </c>
      <c r="H1632" t="s">
        <v>1434</v>
      </c>
      <c r="I1632" t="s">
        <v>1434</v>
      </c>
      <c r="J1632" s="2">
        <v>45364</v>
      </c>
      <c r="K1632" t="s">
        <v>21</v>
      </c>
      <c r="L1632" t="s">
        <v>3</v>
      </c>
      <c r="M1632" t="s">
        <v>1711</v>
      </c>
      <c r="N1632" s="1">
        <f>Table1[[#This Row],[Consideration Weight]]</f>
        <v>0.11</v>
      </c>
      <c r="O1632" t="s">
        <v>3</v>
      </c>
      <c r="P1632" s="1">
        <v>0.11</v>
      </c>
    </row>
    <row r="1633" spans="1:22" x14ac:dyDescent="0.3">
      <c r="A1633" t="s">
        <v>960</v>
      </c>
      <c r="B1633" t="str">
        <f ca="1">OFFSET(Industries!C$1,MATCH(Table1[[#This Row],[Ticker]],Industries!$A$2:$A$150,0),0)</f>
        <v>Financials</v>
      </c>
      <c r="C1633" t="str">
        <f ca="1">OFFSET(Industries!D$1,MATCH(Table1[[#This Row],[Ticker]],Industries!$A$2:$A$150,0),0)</f>
        <v>Banks</v>
      </c>
      <c r="D1633" t="str">
        <f ca="1">OFFSET(Industries!E$1,MATCH(Table1[[#This Row],[Ticker]],Industries!$A$2:$A$150,0),0)</f>
        <v>Banks</v>
      </c>
      <c r="E1633" t="s">
        <v>93</v>
      </c>
      <c r="F1633" t="str">
        <f ca="1">OFFSET(Industries!B$1,MATCH(Table1[[#This Row],[Ticker]],Industries!$A$2:$A$140,0),0)</f>
        <v>Large-Cap</v>
      </c>
      <c r="G1633" t="str">
        <f ca="1">OFFSET(Industries!F$1,MATCH(Table1[[#This Row],[Ticker]],Industries!$A$2:$A$140,0),0)</f>
        <v>A-</v>
      </c>
      <c r="H1633" t="s">
        <v>1434</v>
      </c>
      <c r="I1633" t="s">
        <v>1434</v>
      </c>
      <c r="J1633" s="2">
        <v>45364</v>
      </c>
      <c r="K1633" t="s">
        <v>21</v>
      </c>
      <c r="L1633" t="s">
        <v>1708</v>
      </c>
      <c r="M1633" t="s">
        <v>1709</v>
      </c>
      <c r="N1633" s="1">
        <f>Table1[[#This Row],[Consideration Weight]]</f>
        <v>0.34</v>
      </c>
      <c r="O1633" t="s">
        <v>4</v>
      </c>
      <c r="P1633" s="1">
        <v>0.34</v>
      </c>
      <c r="Q1633" s="1" t="s">
        <v>1637</v>
      </c>
      <c r="R1633" t="s">
        <v>25</v>
      </c>
      <c r="S1633" t="s">
        <v>1086</v>
      </c>
      <c r="T1633" t="s">
        <v>1685</v>
      </c>
      <c r="U1633" s="1">
        <v>1</v>
      </c>
    </row>
    <row r="1634" spans="1:22" x14ac:dyDescent="0.3">
      <c r="A1634" t="s">
        <v>960</v>
      </c>
      <c r="B1634" t="str">
        <f ca="1">OFFSET(Industries!C$1,MATCH(Table1[[#This Row],[Ticker]],Industries!$A$2:$A$150,0),0)</f>
        <v>Financials</v>
      </c>
      <c r="C1634" t="str">
        <f ca="1">OFFSET(Industries!D$1,MATCH(Table1[[#This Row],[Ticker]],Industries!$A$2:$A$150,0),0)</f>
        <v>Banks</v>
      </c>
      <c r="D1634" t="str">
        <f ca="1">OFFSET(Industries!E$1,MATCH(Table1[[#This Row],[Ticker]],Industries!$A$2:$A$150,0),0)</f>
        <v>Banks</v>
      </c>
      <c r="E1634" t="s">
        <v>93</v>
      </c>
      <c r="F1634" t="str">
        <f ca="1">OFFSET(Industries!B$1,MATCH(Table1[[#This Row],[Ticker]],Industries!$A$2:$A$140,0),0)</f>
        <v>Large-Cap</v>
      </c>
      <c r="G1634" t="str">
        <f ca="1">OFFSET(Industries!F$1,MATCH(Table1[[#This Row],[Ticker]],Industries!$A$2:$A$140,0),0)</f>
        <v>A-</v>
      </c>
      <c r="H1634" t="s">
        <v>1434</v>
      </c>
      <c r="I1634" t="s">
        <v>1434</v>
      </c>
      <c r="J1634" s="2">
        <v>45364</v>
      </c>
      <c r="K1634" t="s">
        <v>21</v>
      </c>
      <c r="L1634" t="s">
        <v>1708</v>
      </c>
      <c r="M1634" t="s">
        <v>1709</v>
      </c>
      <c r="N1634" s="1"/>
      <c r="O1634" t="s">
        <v>4</v>
      </c>
      <c r="P1634" s="1">
        <v>0.34</v>
      </c>
      <c r="R1634" t="s">
        <v>28</v>
      </c>
      <c r="S1634" t="s">
        <v>1087</v>
      </c>
      <c r="T1634" t="s">
        <v>40</v>
      </c>
    </row>
    <row r="1635" spans="1:22" x14ac:dyDescent="0.3">
      <c r="A1635" t="s">
        <v>960</v>
      </c>
      <c r="B1635" t="str">
        <f ca="1">OFFSET(Industries!C$1,MATCH(Table1[[#This Row],[Ticker]],Industries!$A$2:$A$150,0),0)</f>
        <v>Financials</v>
      </c>
      <c r="C1635" t="str">
        <f ca="1">OFFSET(Industries!D$1,MATCH(Table1[[#This Row],[Ticker]],Industries!$A$2:$A$150,0),0)</f>
        <v>Banks</v>
      </c>
      <c r="D1635" t="str">
        <f ca="1">OFFSET(Industries!E$1,MATCH(Table1[[#This Row],[Ticker]],Industries!$A$2:$A$150,0),0)</f>
        <v>Banks</v>
      </c>
      <c r="E1635" t="s">
        <v>93</v>
      </c>
      <c r="F1635" t="str">
        <f ca="1">OFFSET(Industries!B$1,MATCH(Table1[[#This Row],[Ticker]],Industries!$A$2:$A$140,0),0)</f>
        <v>Large-Cap</v>
      </c>
      <c r="G1635" t="str">
        <f ca="1">OFFSET(Industries!F$1,MATCH(Table1[[#This Row],[Ticker]],Industries!$A$2:$A$140,0),0)</f>
        <v>A-</v>
      </c>
      <c r="H1635" t="s">
        <v>1434</v>
      </c>
      <c r="I1635" t="s">
        <v>1434</v>
      </c>
      <c r="J1635" s="2">
        <v>45364</v>
      </c>
      <c r="K1635" t="s">
        <v>21</v>
      </c>
      <c r="L1635" t="s">
        <v>1708</v>
      </c>
      <c r="M1635" t="s">
        <v>1709</v>
      </c>
      <c r="N1635" s="1"/>
      <c r="O1635" t="s">
        <v>4</v>
      </c>
      <c r="P1635" s="1">
        <v>0.34</v>
      </c>
      <c r="R1635" t="s">
        <v>28</v>
      </c>
      <c r="S1635" t="s">
        <v>1110</v>
      </c>
      <c r="T1635" t="s">
        <v>172</v>
      </c>
      <c r="V1635" t="s">
        <v>1729</v>
      </c>
    </row>
    <row r="1636" spans="1:22" x14ac:dyDescent="0.3">
      <c r="A1636" t="s">
        <v>960</v>
      </c>
      <c r="B1636" t="str">
        <f ca="1">OFFSET(Industries!C$1,MATCH(Table1[[#This Row],[Ticker]],Industries!$A$2:$A$150,0),0)</f>
        <v>Financials</v>
      </c>
      <c r="C1636" t="str">
        <f ca="1">OFFSET(Industries!D$1,MATCH(Table1[[#This Row],[Ticker]],Industries!$A$2:$A$150,0),0)</f>
        <v>Banks</v>
      </c>
      <c r="D1636" t="str">
        <f ca="1">OFFSET(Industries!E$1,MATCH(Table1[[#This Row],[Ticker]],Industries!$A$2:$A$150,0),0)</f>
        <v>Banks</v>
      </c>
      <c r="E1636" t="s">
        <v>93</v>
      </c>
      <c r="F1636" t="str">
        <f ca="1">OFFSET(Industries!B$1,MATCH(Table1[[#This Row],[Ticker]],Industries!$A$2:$A$140,0),0)</f>
        <v>Large-Cap</v>
      </c>
      <c r="G1636" t="str">
        <f ca="1">OFFSET(Industries!F$1,MATCH(Table1[[#This Row],[Ticker]],Industries!$A$2:$A$140,0),0)</f>
        <v>A-</v>
      </c>
      <c r="H1636" t="s">
        <v>1434</v>
      </c>
      <c r="I1636" t="s">
        <v>1434</v>
      </c>
      <c r="J1636" s="2">
        <v>45364</v>
      </c>
      <c r="K1636" t="s">
        <v>21</v>
      </c>
      <c r="L1636" t="s">
        <v>1710</v>
      </c>
      <c r="M1636" t="s">
        <v>1709</v>
      </c>
      <c r="N1636" s="1">
        <f>Table1[[#This Row],[Consideration Weight]]</f>
        <v>0.33</v>
      </c>
      <c r="O1636" t="s">
        <v>476</v>
      </c>
      <c r="P1636" s="1">
        <v>0.33</v>
      </c>
      <c r="Q1636" s="1" t="s">
        <v>1636</v>
      </c>
      <c r="R1636" t="s">
        <v>24</v>
      </c>
      <c r="S1636" t="s">
        <v>1165</v>
      </c>
      <c r="T1636" t="s">
        <v>961</v>
      </c>
      <c r="U1636" s="1">
        <v>0.5</v>
      </c>
    </row>
    <row r="1637" spans="1:22" x14ac:dyDescent="0.3">
      <c r="A1637" t="s">
        <v>960</v>
      </c>
      <c r="B1637" t="str">
        <f ca="1">OFFSET(Industries!C$1,MATCH(Table1[[#This Row],[Ticker]],Industries!$A$2:$A$150,0),0)</f>
        <v>Financials</v>
      </c>
      <c r="C1637" t="str">
        <f ca="1">OFFSET(Industries!D$1,MATCH(Table1[[#This Row],[Ticker]],Industries!$A$2:$A$150,0),0)</f>
        <v>Banks</v>
      </c>
      <c r="D1637" t="str">
        <f ca="1">OFFSET(Industries!E$1,MATCH(Table1[[#This Row],[Ticker]],Industries!$A$2:$A$150,0),0)</f>
        <v>Banks</v>
      </c>
      <c r="E1637" t="s">
        <v>93</v>
      </c>
      <c r="F1637" t="str">
        <f ca="1">OFFSET(Industries!B$1,MATCH(Table1[[#This Row],[Ticker]],Industries!$A$2:$A$140,0),0)</f>
        <v>Large-Cap</v>
      </c>
      <c r="G1637" t="str">
        <f ca="1">OFFSET(Industries!F$1,MATCH(Table1[[#This Row],[Ticker]],Industries!$A$2:$A$140,0),0)</f>
        <v>A-</v>
      </c>
      <c r="H1637" t="s">
        <v>1434</v>
      </c>
      <c r="I1637" t="s">
        <v>1434</v>
      </c>
      <c r="J1637" s="2">
        <v>45364</v>
      </c>
      <c r="K1637" t="s">
        <v>21</v>
      </c>
      <c r="L1637" t="s">
        <v>1710</v>
      </c>
      <c r="M1637" t="s">
        <v>1709</v>
      </c>
      <c r="N1637" s="1"/>
      <c r="O1637" t="s">
        <v>476</v>
      </c>
      <c r="P1637" s="1">
        <v>0.33</v>
      </c>
      <c r="Q1637" s="1" t="s">
        <v>1636</v>
      </c>
      <c r="R1637" t="s">
        <v>1059</v>
      </c>
      <c r="S1637" t="s">
        <v>1092</v>
      </c>
      <c r="T1637" t="s">
        <v>250</v>
      </c>
      <c r="U1637" s="1">
        <v>0.5</v>
      </c>
    </row>
    <row r="1638" spans="1:22" x14ac:dyDescent="0.3">
      <c r="A1638" t="s">
        <v>960</v>
      </c>
      <c r="B1638" t="str">
        <f ca="1">OFFSET(Industries!C$1,MATCH(Table1[[#This Row],[Ticker]],Industries!$A$2:$A$150,0),0)</f>
        <v>Financials</v>
      </c>
      <c r="C1638" t="str">
        <f ca="1">OFFSET(Industries!D$1,MATCH(Table1[[#This Row],[Ticker]],Industries!$A$2:$A$150,0),0)</f>
        <v>Banks</v>
      </c>
      <c r="D1638" t="str">
        <f ca="1">OFFSET(Industries!E$1,MATCH(Table1[[#This Row],[Ticker]],Industries!$A$2:$A$150,0),0)</f>
        <v>Banks</v>
      </c>
      <c r="E1638" t="s">
        <v>93</v>
      </c>
      <c r="F1638" t="str">
        <f ca="1">OFFSET(Industries!B$1,MATCH(Table1[[#This Row],[Ticker]],Industries!$A$2:$A$140,0),0)</f>
        <v>Large-Cap</v>
      </c>
      <c r="G1638" t="str">
        <f ca="1">OFFSET(Industries!F$1,MATCH(Table1[[#This Row],[Ticker]],Industries!$A$2:$A$140,0),0)</f>
        <v>A-</v>
      </c>
      <c r="H1638" t="s">
        <v>1434</v>
      </c>
      <c r="I1638" t="s">
        <v>1434</v>
      </c>
      <c r="J1638" s="2">
        <v>45364</v>
      </c>
      <c r="K1638" t="s">
        <v>21</v>
      </c>
      <c r="L1638" t="s">
        <v>1710</v>
      </c>
      <c r="M1638" t="s">
        <v>1709</v>
      </c>
      <c r="N1638" s="1"/>
      <c r="O1638" t="s">
        <v>476</v>
      </c>
      <c r="P1638" s="1">
        <v>0.33</v>
      </c>
      <c r="R1638" t="s">
        <v>28</v>
      </c>
      <c r="S1638" t="s">
        <v>1110</v>
      </c>
      <c r="T1638" t="s">
        <v>172</v>
      </c>
    </row>
    <row r="1639" spans="1:22" x14ac:dyDescent="0.3">
      <c r="A1639" t="s">
        <v>960</v>
      </c>
      <c r="B1639" t="str">
        <f ca="1">OFFSET(Industries!C$1,MATCH(Table1[[#This Row],[Ticker]],Industries!$A$2:$A$150,0),0)</f>
        <v>Financials</v>
      </c>
      <c r="C1639" t="str">
        <f ca="1">OFFSET(Industries!D$1,MATCH(Table1[[#This Row],[Ticker]],Industries!$A$2:$A$150,0),0)</f>
        <v>Banks</v>
      </c>
      <c r="D1639" t="str">
        <f ca="1">OFFSET(Industries!E$1,MATCH(Table1[[#This Row],[Ticker]],Industries!$A$2:$A$150,0),0)</f>
        <v>Banks</v>
      </c>
      <c r="E1639" t="s">
        <v>93</v>
      </c>
      <c r="F1639" t="str">
        <f ca="1">OFFSET(Industries!B$1,MATCH(Table1[[#This Row],[Ticker]],Industries!$A$2:$A$140,0),0)</f>
        <v>Large-Cap</v>
      </c>
      <c r="G1639" t="str">
        <f ca="1">OFFSET(Industries!F$1,MATCH(Table1[[#This Row],[Ticker]],Industries!$A$2:$A$140,0),0)</f>
        <v>A-</v>
      </c>
      <c r="H1639" t="s">
        <v>1434</v>
      </c>
      <c r="I1639" t="s">
        <v>1434</v>
      </c>
      <c r="J1639" s="2">
        <v>45364</v>
      </c>
      <c r="K1639" t="s">
        <v>21</v>
      </c>
      <c r="L1639" t="s">
        <v>1710</v>
      </c>
      <c r="M1639" t="s">
        <v>1709</v>
      </c>
      <c r="N1639" s="1"/>
      <c r="O1639" t="s">
        <v>476</v>
      </c>
      <c r="P1639" s="1">
        <v>0.33</v>
      </c>
      <c r="R1639" t="s">
        <v>28</v>
      </c>
      <c r="S1639" t="s">
        <v>1100</v>
      </c>
      <c r="T1639" t="s">
        <v>964</v>
      </c>
      <c r="V1639" t="s">
        <v>1728</v>
      </c>
    </row>
    <row r="1640" spans="1:22" x14ac:dyDescent="0.3">
      <c r="A1640" t="s">
        <v>960</v>
      </c>
      <c r="B1640" t="str">
        <f ca="1">OFFSET(Industries!C$1,MATCH(Table1[[#This Row],[Ticker]],Industries!$A$2:$A$150,0),0)</f>
        <v>Financials</v>
      </c>
      <c r="C1640" t="str">
        <f ca="1">OFFSET(Industries!D$1,MATCH(Table1[[#This Row],[Ticker]],Industries!$A$2:$A$150,0),0)</f>
        <v>Banks</v>
      </c>
      <c r="D1640" t="str">
        <f ca="1">OFFSET(Industries!E$1,MATCH(Table1[[#This Row],[Ticker]],Industries!$A$2:$A$150,0),0)</f>
        <v>Banks</v>
      </c>
      <c r="E1640" t="s">
        <v>93</v>
      </c>
      <c r="F1640" t="str">
        <f ca="1">OFFSET(Industries!B$1,MATCH(Table1[[#This Row],[Ticker]],Industries!$A$2:$A$140,0),0)</f>
        <v>Large-Cap</v>
      </c>
      <c r="G1640" t="str">
        <f ca="1">OFFSET(Industries!F$1,MATCH(Table1[[#This Row],[Ticker]],Industries!$A$2:$A$140,0),0)</f>
        <v>A-</v>
      </c>
      <c r="H1640" t="s">
        <v>1434</v>
      </c>
      <c r="I1640" t="s">
        <v>1434</v>
      </c>
      <c r="J1640" s="2">
        <v>45364</v>
      </c>
      <c r="K1640" t="s">
        <v>21</v>
      </c>
      <c r="L1640" t="s">
        <v>1710</v>
      </c>
      <c r="M1640" t="s">
        <v>1709</v>
      </c>
      <c r="N1640" s="1">
        <f>Table1[[#This Row],[Consideration Weight]]</f>
        <v>0.22</v>
      </c>
      <c r="O1640" t="s">
        <v>194</v>
      </c>
      <c r="P1640" s="1">
        <v>0.22</v>
      </c>
      <c r="R1640" t="s">
        <v>28</v>
      </c>
      <c r="S1640" t="s">
        <v>1100</v>
      </c>
      <c r="T1640" t="s">
        <v>964</v>
      </c>
    </row>
    <row r="1641" spans="1:22" x14ac:dyDescent="0.3">
      <c r="A1641" t="s">
        <v>966</v>
      </c>
      <c r="B1641" t="str">
        <f ca="1">OFFSET(Industries!C$1,MATCH(Table1[[#This Row],[Ticker]],Industries!$A$2:$A$150,0),0)</f>
        <v>Financials</v>
      </c>
      <c r="C1641" t="str">
        <f ca="1">OFFSET(Industries!D$1,MATCH(Table1[[#This Row],[Ticker]],Industries!$A$2:$A$150,0),0)</f>
        <v>Financial Services</v>
      </c>
      <c r="D1641" t="str">
        <f ca="1">OFFSET(Industries!E$1,MATCH(Table1[[#This Row],[Ticker]],Industries!$A$2:$A$150,0),0)</f>
        <v>Capital Markets</v>
      </c>
      <c r="E1641" t="s">
        <v>481</v>
      </c>
      <c r="F1641" t="str">
        <f ca="1">OFFSET(Industries!B$1,MATCH(Table1[[#This Row],[Ticker]],Industries!$A$2:$A$140,0),0)</f>
        <v>Mega-Cap</v>
      </c>
      <c r="G1641" t="s">
        <v>1389</v>
      </c>
      <c r="H1641" t="s">
        <v>1434</v>
      </c>
      <c r="I1641" t="s">
        <v>1434</v>
      </c>
      <c r="J1641" s="2">
        <v>45370</v>
      </c>
      <c r="K1641" t="s">
        <v>2</v>
      </c>
      <c r="L1641" t="s">
        <v>3</v>
      </c>
      <c r="M1641" t="s">
        <v>1711</v>
      </c>
      <c r="N1641" s="1">
        <f>Table1[[#This Row],[Consideration Weight]]</f>
        <v>7.0000000000000007E-2</v>
      </c>
      <c r="O1641" t="s">
        <v>3</v>
      </c>
      <c r="P1641" s="1">
        <v>7.0000000000000007E-2</v>
      </c>
      <c r="V1641" t="s">
        <v>978</v>
      </c>
    </row>
    <row r="1642" spans="1:22" x14ac:dyDescent="0.3">
      <c r="A1642" t="s">
        <v>966</v>
      </c>
      <c r="B1642" t="str">
        <f ca="1">OFFSET(Industries!C$1,MATCH(Table1[[#This Row],[Ticker]],Industries!$A$2:$A$150,0),0)</f>
        <v>Financials</v>
      </c>
      <c r="C1642" t="str">
        <f ca="1">OFFSET(Industries!D$1,MATCH(Table1[[#This Row],[Ticker]],Industries!$A$2:$A$150,0),0)</f>
        <v>Financial Services</v>
      </c>
      <c r="D1642" t="str">
        <f ca="1">OFFSET(Industries!E$1,MATCH(Table1[[#This Row],[Ticker]],Industries!$A$2:$A$150,0),0)</f>
        <v>Capital Markets</v>
      </c>
      <c r="E1642" t="s">
        <v>481</v>
      </c>
      <c r="F1642" t="str">
        <f ca="1">OFFSET(Industries!B$1,MATCH(Table1[[#This Row],[Ticker]],Industries!$A$2:$A$140,0),0)</f>
        <v>Mega-Cap</v>
      </c>
      <c r="G1642" t="s">
        <v>1389</v>
      </c>
      <c r="H1642" t="s">
        <v>1434</v>
      </c>
      <c r="I1642" t="s">
        <v>1434</v>
      </c>
      <c r="J1642" s="2">
        <v>45370</v>
      </c>
      <c r="K1642" t="s">
        <v>2</v>
      </c>
      <c r="L1642" t="s">
        <v>1708</v>
      </c>
      <c r="M1642" t="s">
        <v>1709</v>
      </c>
      <c r="N1642" s="1">
        <f>Table1[[#This Row],[Consideration Weight]]</f>
        <v>0.19</v>
      </c>
      <c r="O1642" t="s">
        <v>4</v>
      </c>
      <c r="P1642" s="1">
        <v>0.19</v>
      </c>
      <c r="Q1642" s="1" t="s">
        <v>1636</v>
      </c>
      <c r="R1642" t="s">
        <v>23</v>
      </c>
      <c r="S1642" t="s">
        <v>1083</v>
      </c>
      <c r="T1642" t="s">
        <v>226</v>
      </c>
      <c r="U1642" s="1">
        <f>0.35*0.7</f>
        <v>0.24499999999999997</v>
      </c>
      <c r="V1642" t="s">
        <v>977</v>
      </c>
    </row>
    <row r="1643" spans="1:22" x14ac:dyDescent="0.3">
      <c r="A1643" t="s">
        <v>966</v>
      </c>
      <c r="B1643" t="str">
        <f ca="1">OFFSET(Industries!C$1,MATCH(Table1[[#This Row],[Ticker]],Industries!$A$2:$A$150,0),0)</f>
        <v>Financials</v>
      </c>
      <c r="C1643" t="str">
        <f ca="1">OFFSET(Industries!D$1,MATCH(Table1[[#This Row],[Ticker]],Industries!$A$2:$A$150,0),0)</f>
        <v>Financial Services</v>
      </c>
      <c r="D1643" t="str">
        <f ca="1">OFFSET(Industries!E$1,MATCH(Table1[[#This Row],[Ticker]],Industries!$A$2:$A$150,0),0)</f>
        <v>Capital Markets</v>
      </c>
      <c r="E1643" t="s">
        <v>481</v>
      </c>
      <c r="F1643" t="str">
        <f ca="1">OFFSET(Industries!B$1,MATCH(Table1[[#This Row],[Ticker]],Industries!$A$2:$A$140,0),0)</f>
        <v>Mega-Cap</v>
      </c>
      <c r="G1643" t="s">
        <v>1389</v>
      </c>
      <c r="H1643" t="s">
        <v>1434</v>
      </c>
      <c r="I1643" t="s">
        <v>1434</v>
      </c>
      <c r="J1643" s="2">
        <v>45370</v>
      </c>
      <c r="K1643" t="s">
        <v>2</v>
      </c>
      <c r="L1643" t="s">
        <v>1708</v>
      </c>
      <c r="M1643" t="s">
        <v>1709</v>
      </c>
      <c r="N1643" s="1"/>
      <c r="O1643" t="s">
        <v>4</v>
      </c>
      <c r="P1643" s="1">
        <v>0.19</v>
      </c>
      <c r="Q1643" s="1" t="s">
        <v>1636</v>
      </c>
      <c r="R1643" t="s">
        <v>24</v>
      </c>
      <c r="S1643" t="s">
        <v>1148</v>
      </c>
      <c r="T1643" t="s">
        <v>967</v>
      </c>
      <c r="U1643" s="1">
        <f>0.35*0.7</f>
        <v>0.24499999999999997</v>
      </c>
      <c r="V1643" t="s">
        <v>974</v>
      </c>
    </row>
    <row r="1644" spans="1:22" x14ac:dyDescent="0.3">
      <c r="A1644" t="s">
        <v>966</v>
      </c>
      <c r="B1644" t="str">
        <f ca="1">OFFSET(Industries!C$1,MATCH(Table1[[#This Row],[Ticker]],Industries!$A$2:$A$150,0),0)</f>
        <v>Financials</v>
      </c>
      <c r="C1644" t="str">
        <f ca="1">OFFSET(Industries!D$1,MATCH(Table1[[#This Row],[Ticker]],Industries!$A$2:$A$150,0),0)</f>
        <v>Financial Services</v>
      </c>
      <c r="D1644" t="str">
        <f ca="1">OFFSET(Industries!E$1,MATCH(Table1[[#This Row],[Ticker]],Industries!$A$2:$A$150,0),0)</f>
        <v>Capital Markets</v>
      </c>
      <c r="E1644" t="s">
        <v>481</v>
      </c>
      <c r="F1644" t="str">
        <f ca="1">OFFSET(Industries!B$1,MATCH(Table1[[#This Row],[Ticker]],Industries!$A$2:$A$140,0),0)</f>
        <v>Mega-Cap</v>
      </c>
      <c r="G1644" t="s">
        <v>1389</v>
      </c>
      <c r="H1644" t="s">
        <v>1434</v>
      </c>
      <c r="I1644" t="s">
        <v>1434</v>
      </c>
      <c r="J1644" s="2">
        <v>45370</v>
      </c>
      <c r="K1644" t="s">
        <v>2</v>
      </c>
      <c r="L1644" t="s">
        <v>1708</v>
      </c>
      <c r="M1644" t="s">
        <v>1709</v>
      </c>
      <c r="N1644" s="1"/>
      <c r="O1644" t="s">
        <v>4</v>
      </c>
      <c r="P1644" s="1">
        <v>0.19</v>
      </c>
      <c r="Q1644" s="1" t="s">
        <v>1637</v>
      </c>
      <c r="R1644" t="s">
        <v>25</v>
      </c>
      <c r="S1644" t="s">
        <v>1086</v>
      </c>
      <c r="T1644" t="s">
        <v>968</v>
      </c>
      <c r="U1644" s="1">
        <f>0.06*0.7</f>
        <v>4.1999999999999996E-2</v>
      </c>
      <c r="V1644" t="s">
        <v>974</v>
      </c>
    </row>
    <row r="1645" spans="1:22" x14ac:dyDescent="0.3">
      <c r="A1645" t="s">
        <v>966</v>
      </c>
      <c r="B1645" t="str">
        <f ca="1">OFFSET(Industries!C$1,MATCH(Table1[[#This Row],[Ticker]],Industries!$A$2:$A$150,0),0)</f>
        <v>Financials</v>
      </c>
      <c r="C1645" t="str">
        <f ca="1">OFFSET(Industries!D$1,MATCH(Table1[[#This Row],[Ticker]],Industries!$A$2:$A$150,0),0)</f>
        <v>Financial Services</v>
      </c>
      <c r="D1645" t="str">
        <f ca="1">OFFSET(Industries!E$1,MATCH(Table1[[#This Row],[Ticker]],Industries!$A$2:$A$150,0),0)</f>
        <v>Capital Markets</v>
      </c>
      <c r="E1645" t="s">
        <v>481</v>
      </c>
      <c r="F1645" t="str">
        <f ca="1">OFFSET(Industries!B$1,MATCH(Table1[[#This Row],[Ticker]],Industries!$A$2:$A$140,0),0)</f>
        <v>Mega-Cap</v>
      </c>
      <c r="G1645" t="s">
        <v>1389</v>
      </c>
      <c r="H1645" t="s">
        <v>1434</v>
      </c>
      <c r="I1645" t="s">
        <v>1434</v>
      </c>
      <c r="J1645" s="2">
        <v>45370</v>
      </c>
      <c r="K1645" t="s">
        <v>2</v>
      </c>
      <c r="L1645" t="s">
        <v>1708</v>
      </c>
      <c r="M1645" t="s">
        <v>1709</v>
      </c>
      <c r="N1645" s="1"/>
      <c r="O1645" t="s">
        <v>4</v>
      </c>
      <c r="P1645" s="1">
        <v>0.19</v>
      </c>
      <c r="Q1645" s="1" t="s">
        <v>1637</v>
      </c>
      <c r="R1645" t="s">
        <v>25</v>
      </c>
      <c r="S1645" t="s">
        <v>1086</v>
      </c>
      <c r="T1645" t="s">
        <v>969</v>
      </c>
      <c r="U1645" s="1">
        <f t="shared" ref="U1645:U1648" si="32">0.06*0.7</f>
        <v>4.1999999999999996E-2</v>
      </c>
      <c r="V1645" t="s">
        <v>974</v>
      </c>
    </row>
    <row r="1646" spans="1:22" x14ac:dyDescent="0.3">
      <c r="A1646" t="s">
        <v>966</v>
      </c>
      <c r="B1646" t="str">
        <f ca="1">OFFSET(Industries!C$1,MATCH(Table1[[#This Row],[Ticker]],Industries!$A$2:$A$150,0),0)</f>
        <v>Financials</v>
      </c>
      <c r="C1646" t="str">
        <f ca="1">OFFSET(Industries!D$1,MATCH(Table1[[#This Row],[Ticker]],Industries!$A$2:$A$150,0),0)</f>
        <v>Financial Services</v>
      </c>
      <c r="D1646" t="str">
        <f ca="1">OFFSET(Industries!E$1,MATCH(Table1[[#This Row],[Ticker]],Industries!$A$2:$A$150,0),0)</f>
        <v>Capital Markets</v>
      </c>
      <c r="E1646" t="s">
        <v>481</v>
      </c>
      <c r="F1646" t="str">
        <f ca="1">OFFSET(Industries!B$1,MATCH(Table1[[#This Row],[Ticker]],Industries!$A$2:$A$140,0),0)</f>
        <v>Mega-Cap</v>
      </c>
      <c r="G1646" t="s">
        <v>1389</v>
      </c>
      <c r="H1646" t="s">
        <v>1434</v>
      </c>
      <c r="I1646" t="s">
        <v>1434</v>
      </c>
      <c r="J1646" s="2">
        <v>45370</v>
      </c>
      <c r="K1646" t="s">
        <v>2</v>
      </c>
      <c r="L1646" t="s">
        <v>1708</v>
      </c>
      <c r="M1646" t="s">
        <v>1709</v>
      </c>
      <c r="N1646" s="1"/>
      <c r="O1646" t="s">
        <v>4</v>
      </c>
      <c r="P1646" s="1">
        <v>0.19</v>
      </c>
      <c r="Q1646" s="1" t="s">
        <v>1637</v>
      </c>
      <c r="R1646" t="s">
        <v>25</v>
      </c>
      <c r="S1646" t="s">
        <v>1086</v>
      </c>
      <c r="T1646" t="s">
        <v>970</v>
      </c>
      <c r="U1646" s="1">
        <f t="shared" si="32"/>
        <v>4.1999999999999996E-2</v>
      </c>
      <c r="V1646" t="s">
        <v>974</v>
      </c>
    </row>
    <row r="1647" spans="1:22" x14ac:dyDescent="0.3">
      <c r="A1647" t="s">
        <v>966</v>
      </c>
      <c r="B1647" t="str">
        <f ca="1">OFFSET(Industries!C$1,MATCH(Table1[[#This Row],[Ticker]],Industries!$A$2:$A$150,0),0)</f>
        <v>Financials</v>
      </c>
      <c r="C1647" t="str">
        <f ca="1">OFFSET(Industries!D$1,MATCH(Table1[[#This Row],[Ticker]],Industries!$A$2:$A$150,0),0)</f>
        <v>Financial Services</v>
      </c>
      <c r="D1647" t="str">
        <f ca="1">OFFSET(Industries!E$1,MATCH(Table1[[#This Row],[Ticker]],Industries!$A$2:$A$150,0),0)</f>
        <v>Capital Markets</v>
      </c>
      <c r="E1647" t="s">
        <v>481</v>
      </c>
      <c r="F1647" t="str">
        <f ca="1">OFFSET(Industries!B$1,MATCH(Table1[[#This Row],[Ticker]],Industries!$A$2:$A$140,0),0)</f>
        <v>Mega-Cap</v>
      </c>
      <c r="G1647" t="s">
        <v>1389</v>
      </c>
      <c r="H1647" t="s">
        <v>1434</v>
      </c>
      <c r="I1647" t="s">
        <v>1434</v>
      </c>
      <c r="J1647" s="2">
        <v>45370</v>
      </c>
      <c r="K1647" t="s">
        <v>2</v>
      </c>
      <c r="L1647" t="s">
        <v>1708</v>
      </c>
      <c r="M1647" t="s">
        <v>1709</v>
      </c>
      <c r="N1647" s="1"/>
      <c r="O1647" t="s">
        <v>4</v>
      </c>
      <c r="P1647" s="1">
        <v>0.19</v>
      </c>
      <c r="Q1647" s="1" t="s">
        <v>1637</v>
      </c>
      <c r="R1647" t="s">
        <v>25</v>
      </c>
      <c r="S1647" t="s">
        <v>1086</v>
      </c>
      <c r="T1647" t="s">
        <v>971</v>
      </c>
      <c r="U1647" s="1">
        <f t="shared" si="32"/>
        <v>4.1999999999999996E-2</v>
      </c>
      <c r="V1647" t="s">
        <v>974</v>
      </c>
    </row>
    <row r="1648" spans="1:22" x14ac:dyDescent="0.3">
      <c r="A1648" t="s">
        <v>966</v>
      </c>
      <c r="B1648" t="str">
        <f ca="1">OFFSET(Industries!C$1,MATCH(Table1[[#This Row],[Ticker]],Industries!$A$2:$A$150,0),0)</f>
        <v>Financials</v>
      </c>
      <c r="C1648" t="str">
        <f ca="1">OFFSET(Industries!D$1,MATCH(Table1[[#This Row],[Ticker]],Industries!$A$2:$A$150,0),0)</f>
        <v>Financial Services</v>
      </c>
      <c r="D1648" t="str">
        <f ca="1">OFFSET(Industries!E$1,MATCH(Table1[[#This Row],[Ticker]],Industries!$A$2:$A$150,0),0)</f>
        <v>Capital Markets</v>
      </c>
      <c r="E1648" t="s">
        <v>481</v>
      </c>
      <c r="F1648" t="str">
        <f ca="1">OFFSET(Industries!B$1,MATCH(Table1[[#This Row],[Ticker]],Industries!$A$2:$A$140,0),0)</f>
        <v>Mega-Cap</v>
      </c>
      <c r="G1648" t="s">
        <v>1389</v>
      </c>
      <c r="H1648" t="s">
        <v>1434</v>
      </c>
      <c r="I1648" t="s">
        <v>1434</v>
      </c>
      <c r="J1648" s="2">
        <v>45370</v>
      </c>
      <c r="K1648" t="s">
        <v>2</v>
      </c>
      <c r="L1648" t="s">
        <v>1708</v>
      </c>
      <c r="M1648" t="s">
        <v>1709</v>
      </c>
      <c r="N1648" s="1"/>
      <c r="O1648" t="s">
        <v>4</v>
      </c>
      <c r="P1648" s="1">
        <v>0.19</v>
      </c>
      <c r="Q1648" s="1" t="s">
        <v>1637</v>
      </c>
      <c r="R1648" t="s">
        <v>25</v>
      </c>
      <c r="S1648" t="s">
        <v>1086</v>
      </c>
      <c r="T1648" t="s">
        <v>972</v>
      </c>
      <c r="U1648" s="1">
        <f t="shared" si="32"/>
        <v>4.1999999999999996E-2</v>
      </c>
    </row>
    <row r="1649" spans="1:22" x14ac:dyDescent="0.3">
      <c r="A1649" t="s">
        <v>966</v>
      </c>
      <c r="B1649" t="str">
        <f ca="1">OFFSET(Industries!C$1,MATCH(Table1[[#This Row],[Ticker]],Industries!$A$2:$A$150,0),0)</f>
        <v>Financials</v>
      </c>
      <c r="C1649" t="str">
        <f ca="1">OFFSET(Industries!D$1,MATCH(Table1[[#This Row],[Ticker]],Industries!$A$2:$A$150,0),0)</f>
        <v>Financial Services</v>
      </c>
      <c r="D1649" t="str">
        <f ca="1">OFFSET(Industries!E$1,MATCH(Table1[[#This Row],[Ticker]],Industries!$A$2:$A$150,0),0)</f>
        <v>Capital Markets</v>
      </c>
      <c r="E1649" t="s">
        <v>481</v>
      </c>
      <c r="F1649" t="str">
        <f ca="1">OFFSET(Industries!B$1,MATCH(Table1[[#This Row],[Ticker]],Industries!$A$2:$A$140,0),0)</f>
        <v>Mega-Cap</v>
      </c>
      <c r="G1649" t="s">
        <v>1389</v>
      </c>
      <c r="H1649" t="s">
        <v>1434</v>
      </c>
      <c r="I1649" t="s">
        <v>1434</v>
      </c>
      <c r="J1649" s="2">
        <v>45370</v>
      </c>
      <c r="K1649" t="s">
        <v>2</v>
      </c>
      <c r="L1649" t="s">
        <v>1708</v>
      </c>
      <c r="M1649" t="s">
        <v>1709</v>
      </c>
      <c r="N1649" s="1"/>
      <c r="O1649" t="s">
        <v>4</v>
      </c>
      <c r="P1649" s="1">
        <v>0.19</v>
      </c>
      <c r="Q1649" s="1" t="s">
        <v>1637</v>
      </c>
      <c r="R1649" t="s">
        <v>332</v>
      </c>
      <c r="S1649" t="s">
        <v>380</v>
      </c>
      <c r="T1649" t="s">
        <v>380</v>
      </c>
      <c r="U1649" s="1">
        <v>0.3</v>
      </c>
      <c r="V1649" t="s">
        <v>979</v>
      </c>
    </row>
    <row r="1650" spans="1:22" x14ac:dyDescent="0.3">
      <c r="A1650" t="s">
        <v>966</v>
      </c>
      <c r="B1650" t="str">
        <f ca="1">OFFSET(Industries!C$1,MATCH(Table1[[#This Row],[Ticker]],Industries!$A$2:$A$150,0),0)</f>
        <v>Financials</v>
      </c>
      <c r="C1650" t="str">
        <f ca="1">OFFSET(Industries!D$1,MATCH(Table1[[#This Row],[Ticker]],Industries!$A$2:$A$150,0),0)</f>
        <v>Financial Services</v>
      </c>
      <c r="D1650" t="str">
        <f ca="1">OFFSET(Industries!E$1,MATCH(Table1[[#This Row],[Ticker]],Industries!$A$2:$A$150,0),0)</f>
        <v>Capital Markets</v>
      </c>
      <c r="E1650" t="s">
        <v>481</v>
      </c>
      <c r="F1650" t="str">
        <f ca="1">OFFSET(Industries!B$1,MATCH(Table1[[#This Row],[Ticker]],Industries!$A$2:$A$140,0),0)</f>
        <v>Mega-Cap</v>
      </c>
      <c r="G1650" t="s">
        <v>1389</v>
      </c>
      <c r="H1650" t="s">
        <v>1434</v>
      </c>
      <c r="I1650" t="s">
        <v>1434</v>
      </c>
      <c r="J1650" s="2">
        <v>45370</v>
      </c>
      <c r="K1650" t="s">
        <v>2</v>
      </c>
      <c r="L1650" t="s">
        <v>1710</v>
      </c>
      <c r="M1650" t="s">
        <v>1709</v>
      </c>
      <c r="N1650" s="1">
        <f>Table1[[#This Row],[Consideration Weight]]</f>
        <v>0.51800000000000002</v>
      </c>
      <c r="O1650" t="s">
        <v>476</v>
      </c>
      <c r="P1650" s="1">
        <f>0.7*0.74</f>
        <v>0.51800000000000002</v>
      </c>
      <c r="Q1650" s="1" t="s">
        <v>1636</v>
      </c>
      <c r="R1650" t="s">
        <v>24</v>
      </c>
      <c r="S1650" t="s">
        <v>1089</v>
      </c>
      <c r="T1650" t="s">
        <v>50</v>
      </c>
      <c r="U1650" s="1">
        <v>1</v>
      </c>
    </row>
    <row r="1651" spans="1:22" x14ac:dyDescent="0.3">
      <c r="A1651" t="s">
        <v>966</v>
      </c>
      <c r="B1651" t="str">
        <f ca="1">OFFSET(Industries!C$1,MATCH(Table1[[#This Row],[Ticker]],Industries!$A$2:$A$150,0),0)</f>
        <v>Financials</v>
      </c>
      <c r="C1651" t="str">
        <f ca="1">OFFSET(Industries!D$1,MATCH(Table1[[#This Row],[Ticker]],Industries!$A$2:$A$150,0),0)</f>
        <v>Financial Services</v>
      </c>
      <c r="D1651" t="str">
        <f ca="1">OFFSET(Industries!E$1,MATCH(Table1[[#This Row],[Ticker]],Industries!$A$2:$A$150,0),0)</f>
        <v>Capital Markets</v>
      </c>
      <c r="E1651" t="s">
        <v>481</v>
      </c>
      <c r="F1651" t="str">
        <f ca="1">OFFSET(Industries!B$1,MATCH(Table1[[#This Row],[Ticker]],Industries!$A$2:$A$140,0),0)</f>
        <v>Mega-Cap</v>
      </c>
      <c r="G1651" t="s">
        <v>1389</v>
      </c>
      <c r="H1651" t="s">
        <v>1434</v>
      </c>
      <c r="I1651" t="s">
        <v>1434</v>
      </c>
      <c r="J1651" s="2">
        <v>45370</v>
      </c>
      <c r="K1651" t="s">
        <v>2</v>
      </c>
      <c r="L1651" t="s">
        <v>1710</v>
      </c>
      <c r="M1651" t="s">
        <v>1711</v>
      </c>
      <c r="N1651" s="1">
        <f>Table1[[#This Row],[Consideration Weight]]</f>
        <v>0.222</v>
      </c>
      <c r="O1651" t="s">
        <v>194</v>
      </c>
      <c r="P1651" s="1">
        <f>0.3*0.74</f>
        <v>0.222</v>
      </c>
    </row>
    <row r="1652" spans="1:22" x14ac:dyDescent="0.3">
      <c r="A1652" t="s">
        <v>966</v>
      </c>
      <c r="B1652" t="str">
        <f ca="1">OFFSET(Industries!C$1,MATCH(Table1[[#This Row],[Ticker]],Industries!$A$2:$A$150,0),0)</f>
        <v>Financials</v>
      </c>
      <c r="C1652" t="str">
        <f ca="1">OFFSET(Industries!D$1,MATCH(Table1[[#This Row],[Ticker]],Industries!$A$2:$A$150,0),0)</f>
        <v>Financial Services</v>
      </c>
      <c r="D1652" t="str">
        <f ca="1">OFFSET(Industries!E$1,MATCH(Table1[[#This Row],[Ticker]],Industries!$A$2:$A$150,0),0)</f>
        <v>Capital Markets</v>
      </c>
      <c r="E1652" t="s">
        <v>481</v>
      </c>
      <c r="F1652" t="str">
        <f ca="1">OFFSET(Industries!B$1,MATCH(Table1[[#This Row],[Ticker]],Industries!$A$2:$A$140,0),0)</f>
        <v>Mega-Cap</v>
      </c>
      <c r="G1652" t="s">
        <v>1389</v>
      </c>
      <c r="H1652" t="s">
        <v>1434</v>
      </c>
      <c r="I1652" t="s">
        <v>1434</v>
      </c>
      <c r="J1652" s="2">
        <v>45370</v>
      </c>
      <c r="K1652" t="s">
        <v>21</v>
      </c>
      <c r="L1652" t="s">
        <v>3</v>
      </c>
      <c r="M1652" t="s">
        <v>1711</v>
      </c>
      <c r="N1652" s="1">
        <f>Table1[[#This Row],[Consideration Weight]]</f>
        <v>0.14269406392694065</v>
      </c>
      <c r="O1652" t="s">
        <v>3</v>
      </c>
      <c r="P1652" s="1">
        <v>0.14269406392694065</v>
      </c>
      <c r="V1652" t="s">
        <v>973</v>
      </c>
    </row>
    <row r="1653" spans="1:22" x14ac:dyDescent="0.3">
      <c r="A1653" t="s">
        <v>966</v>
      </c>
      <c r="B1653" t="str">
        <f ca="1">OFFSET(Industries!C$1,MATCH(Table1[[#This Row],[Ticker]],Industries!$A$2:$A$150,0),0)</f>
        <v>Financials</v>
      </c>
      <c r="C1653" t="str">
        <f ca="1">OFFSET(Industries!D$1,MATCH(Table1[[#This Row],[Ticker]],Industries!$A$2:$A$150,0),0)</f>
        <v>Financial Services</v>
      </c>
      <c r="D1653" t="str">
        <f ca="1">OFFSET(Industries!E$1,MATCH(Table1[[#This Row],[Ticker]],Industries!$A$2:$A$150,0),0)</f>
        <v>Capital Markets</v>
      </c>
      <c r="E1653" t="s">
        <v>481</v>
      </c>
      <c r="F1653" t="str">
        <f ca="1">OFFSET(Industries!B$1,MATCH(Table1[[#This Row],[Ticker]],Industries!$A$2:$A$140,0),0)</f>
        <v>Mega-Cap</v>
      </c>
      <c r="G1653" t="s">
        <v>1389</v>
      </c>
      <c r="H1653" t="s">
        <v>1434</v>
      </c>
      <c r="I1653" t="s">
        <v>1434</v>
      </c>
      <c r="J1653" s="2">
        <v>45370</v>
      </c>
      <c r="K1653" t="s">
        <v>21</v>
      </c>
      <c r="L1653" t="s">
        <v>1708</v>
      </c>
      <c r="M1653" t="s">
        <v>1709</v>
      </c>
      <c r="N1653" s="1">
        <f>Table1[[#This Row],[Consideration Weight]]</f>
        <v>0.25799086757990869</v>
      </c>
      <c r="O1653" t="s">
        <v>4</v>
      </c>
      <c r="P1653" s="1">
        <v>0.25799086757990869</v>
      </c>
      <c r="Q1653" s="1" t="s">
        <v>1636</v>
      </c>
      <c r="R1653" t="s">
        <v>23</v>
      </c>
      <c r="S1653" t="s">
        <v>1083</v>
      </c>
      <c r="T1653" t="s">
        <v>226</v>
      </c>
      <c r="U1653" s="1">
        <f>0.35*0.7</f>
        <v>0.24499999999999997</v>
      </c>
      <c r="V1653" t="s">
        <v>973</v>
      </c>
    </row>
    <row r="1654" spans="1:22" x14ac:dyDescent="0.3">
      <c r="A1654" t="s">
        <v>966</v>
      </c>
      <c r="B1654" t="str">
        <f ca="1">OFFSET(Industries!C$1,MATCH(Table1[[#This Row],[Ticker]],Industries!$A$2:$A$150,0),0)</f>
        <v>Financials</v>
      </c>
      <c r="C1654" t="str">
        <f ca="1">OFFSET(Industries!D$1,MATCH(Table1[[#This Row],[Ticker]],Industries!$A$2:$A$150,0),0)</f>
        <v>Financial Services</v>
      </c>
      <c r="D1654" t="str">
        <f ca="1">OFFSET(Industries!E$1,MATCH(Table1[[#This Row],[Ticker]],Industries!$A$2:$A$150,0),0)</f>
        <v>Capital Markets</v>
      </c>
      <c r="E1654" t="s">
        <v>481</v>
      </c>
      <c r="F1654" t="str">
        <f ca="1">OFFSET(Industries!B$1,MATCH(Table1[[#This Row],[Ticker]],Industries!$A$2:$A$140,0),0)</f>
        <v>Mega-Cap</v>
      </c>
      <c r="G1654" t="s">
        <v>1389</v>
      </c>
      <c r="H1654" t="s">
        <v>1434</v>
      </c>
      <c r="I1654" t="s">
        <v>1434</v>
      </c>
      <c r="J1654" s="2">
        <v>45370</v>
      </c>
      <c r="K1654" t="s">
        <v>21</v>
      </c>
      <c r="L1654" t="s">
        <v>1708</v>
      </c>
      <c r="M1654" t="s">
        <v>1709</v>
      </c>
      <c r="N1654" s="1"/>
      <c r="O1654" t="s">
        <v>4</v>
      </c>
      <c r="P1654" s="1">
        <v>0.25799086757990869</v>
      </c>
      <c r="Q1654" s="1" t="s">
        <v>1636</v>
      </c>
      <c r="R1654" t="s">
        <v>24</v>
      </c>
      <c r="S1654" t="s">
        <v>1148</v>
      </c>
      <c r="T1654" t="s">
        <v>967</v>
      </c>
      <c r="U1654" s="1">
        <f>0.35*0.7</f>
        <v>0.24499999999999997</v>
      </c>
      <c r="V1654" t="s">
        <v>973</v>
      </c>
    </row>
    <row r="1655" spans="1:22" x14ac:dyDescent="0.3">
      <c r="A1655" t="s">
        <v>966</v>
      </c>
      <c r="B1655" t="str">
        <f ca="1">OFFSET(Industries!C$1,MATCH(Table1[[#This Row],[Ticker]],Industries!$A$2:$A$150,0),0)</f>
        <v>Financials</v>
      </c>
      <c r="C1655" t="str">
        <f ca="1">OFFSET(Industries!D$1,MATCH(Table1[[#This Row],[Ticker]],Industries!$A$2:$A$150,0),0)</f>
        <v>Financial Services</v>
      </c>
      <c r="D1655" t="str">
        <f ca="1">OFFSET(Industries!E$1,MATCH(Table1[[#This Row],[Ticker]],Industries!$A$2:$A$150,0),0)</f>
        <v>Capital Markets</v>
      </c>
      <c r="E1655" t="s">
        <v>481</v>
      </c>
      <c r="F1655" t="str">
        <f ca="1">OFFSET(Industries!B$1,MATCH(Table1[[#This Row],[Ticker]],Industries!$A$2:$A$140,0),0)</f>
        <v>Mega-Cap</v>
      </c>
      <c r="G1655" t="s">
        <v>1389</v>
      </c>
      <c r="H1655" t="s">
        <v>1434</v>
      </c>
      <c r="I1655" t="s">
        <v>1434</v>
      </c>
      <c r="J1655" s="2">
        <v>45370</v>
      </c>
      <c r="K1655" t="s">
        <v>21</v>
      </c>
      <c r="L1655" t="s">
        <v>1708</v>
      </c>
      <c r="M1655" t="s">
        <v>1709</v>
      </c>
      <c r="N1655" s="1"/>
      <c r="O1655" t="s">
        <v>4</v>
      </c>
      <c r="P1655" s="1">
        <v>0.25799086757990869</v>
      </c>
      <c r="Q1655" s="1" t="s">
        <v>1637</v>
      </c>
      <c r="R1655" t="s">
        <v>25</v>
      </c>
      <c r="S1655" t="s">
        <v>1086</v>
      </c>
      <c r="T1655" t="s">
        <v>968</v>
      </c>
      <c r="U1655" s="1">
        <f>0.06*0.7</f>
        <v>4.1999999999999996E-2</v>
      </c>
      <c r="V1655" t="s">
        <v>973</v>
      </c>
    </row>
    <row r="1656" spans="1:22" x14ac:dyDescent="0.3">
      <c r="A1656" t="s">
        <v>966</v>
      </c>
      <c r="B1656" t="str">
        <f ca="1">OFFSET(Industries!C$1,MATCH(Table1[[#This Row],[Ticker]],Industries!$A$2:$A$150,0),0)</f>
        <v>Financials</v>
      </c>
      <c r="C1656" t="str">
        <f ca="1">OFFSET(Industries!D$1,MATCH(Table1[[#This Row],[Ticker]],Industries!$A$2:$A$150,0),0)</f>
        <v>Financial Services</v>
      </c>
      <c r="D1656" t="str">
        <f ca="1">OFFSET(Industries!E$1,MATCH(Table1[[#This Row],[Ticker]],Industries!$A$2:$A$150,0),0)</f>
        <v>Capital Markets</v>
      </c>
      <c r="E1656" t="s">
        <v>481</v>
      </c>
      <c r="F1656" t="str">
        <f ca="1">OFFSET(Industries!B$1,MATCH(Table1[[#This Row],[Ticker]],Industries!$A$2:$A$140,0),0)</f>
        <v>Mega-Cap</v>
      </c>
      <c r="G1656" t="s">
        <v>1389</v>
      </c>
      <c r="H1656" t="s">
        <v>1434</v>
      </c>
      <c r="I1656" t="s">
        <v>1434</v>
      </c>
      <c r="J1656" s="2">
        <v>45370</v>
      </c>
      <c r="K1656" t="s">
        <v>21</v>
      </c>
      <c r="L1656" t="s">
        <v>1708</v>
      </c>
      <c r="M1656" t="s">
        <v>1709</v>
      </c>
      <c r="N1656" s="1"/>
      <c r="O1656" t="s">
        <v>4</v>
      </c>
      <c r="P1656" s="1">
        <v>0.25799086757990869</v>
      </c>
      <c r="Q1656" s="1" t="s">
        <v>1637</v>
      </c>
      <c r="R1656" t="s">
        <v>25</v>
      </c>
      <c r="S1656" t="s">
        <v>1086</v>
      </c>
      <c r="T1656" t="s">
        <v>969</v>
      </c>
      <c r="U1656" s="1">
        <f t="shared" ref="U1656:U1659" si="33">0.06*0.7</f>
        <v>4.1999999999999996E-2</v>
      </c>
      <c r="V1656" t="s">
        <v>973</v>
      </c>
    </row>
    <row r="1657" spans="1:22" x14ac:dyDescent="0.3">
      <c r="A1657" t="s">
        <v>966</v>
      </c>
      <c r="B1657" t="str">
        <f ca="1">OFFSET(Industries!C$1,MATCH(Table1[[#This Row],[Ticker]],Industries!$A$2:$A$150,0),0)</f>
        <v>Financials</v>
      </c>
      <c r="C1657" t="str">
        <f ca="1">OFFSET(Industries!D$1,MATCH(Table1[[#This Row],[Ticker]],Industries!$A$2:$A$150,0),0)</f>
        <v>Financial Services</v>
      </c>
      <c r="D1657" t="str">
        <f ca="1">OFFSET(Industries!E$1,MATCH(Table1[[#This Row],[Ticker]],Industries!$A$2:$A$150,0),0)</f>
        <v>Capital Markets</v>
      </c>
      <c r="E1657" t="s">
        <v>481</v>
      </c>
      <c r="F1657" t="str">
        <f ca="1">OFFSET(Industries!B$1,MATCH(Table1[[#This Row],[Ticker]],Industries!$A$2:$A$140,0),0)</f>
        <v>Mega-Cap</v>
      </c>
      <c r="G1657" t="s">
        <v>1389</v>
      </c>
      <c r="H1657" t="s">
        <v>1434</v>
      </c>
      <c r="I1657" t="s">
        <v>1434</v>
      </c>
      <c r="J1657" s="2">
        <v>45370</v>
      </c>
      <c r="K1657" t="s">
        <v>21</v>
      </c>
      <c r="L1657" t="s">
        <v>1708</v>
      </c>
      <c r="M1657" t="s">
        <v>1709</v>
      </c>
      <c r="N1657" s="1"/>
      <c r="O1657" t="s">
        <v>4</v>
      </c>
      <c r="P1657" s="1">
        <v>0.25799086757990869</v>
      </c>
      <c r="Q1657" s="1" t="s">
        <v>1637</v>
      </c>
      <c r="R1657" t="s">
        <v>25</v>
      </c>
      <c r="S1657" t="s">
        <v>1086</v>
      </c>
      <c r="T1657" t="s">
        <v>970</v>
      </c>
      <c r="U1657" s="1">
        <f t="shared" si="33"/>
        <v>4.1999999999999996E-2</v>
      </c>
      <c r="V1657" t="s">
        <v>973</v>
      </c>
    </row>
    <row r="1658" spans="1:22" x14ac:dyDescent="0.3">
      <c r="A1658" t="s">
        <v>966</v>
      </c>
      <c r="B1658" t="str">
        <f ca="1">OFFSET(Industries!C$1,MATCH(Table1[[#This Row],[Ticker]],Industries!$A$2:$A$150,0),0)</f>
        <v>Financials</v>
      </c>
      <c r="C1658" t="str">
        <f ca="1">OFFSET(Industries!D$1,MATCH(Table1[[#This Row],[Ticker]],Industries!$A$2:$A$150,0),0)</f>
        <v>Financial Services</v>
      </c>
      <c r="D1658" t="str">
        <f ca="1">OFFSET(Industries!E$1,MATCH(Table1[[#This Row],[Ticker]],Industries!$A$2:$A$150,0),0)</f>
        <v>Capital Markets</v>
      </c>
      <c r="E1658" t="s">
        <v>481</v>
      </c>
      <c r="F1658" t="str">
        <f ca="1">OFFSET(Industries!B$1,MATCH(Table1[[#This Row],[Ticker]],Industries!$A$2:$A$140,0),0)</f>
        <v>Mega-Cap</v>
      </c>
      <c r="G1658" t="s">
        <v>1389</v>
      </c>
      <c r="H1658" t="s">
        <v>1434</v>
      </c>
      <c r="I1658" t="s">
        <v>1434</v>
      </c>
      <c r="J1658" s="2">
        <v>45370</v>
      </c>
      <c r="K1658" t="s">
        <v>21</v>
      </c>
      <c r="L1658" t="s">
        <v>1708</v>
      </c>
      <c r="M1658" t="s">
        <v>1709</v>
      </c>
      <c r="N1658" s="1"/>
      <c r="O1658" t="s">
        <v>4</v>
      </c>
      <c r="P1658" s="1">
        <v>0.25799086757990869</v>
      </c>
      <c r="Q1658" s="1" t="s">
        <v>1637</v>
      </c>
      <c r="R1658" t="s">
        <v>25</v>
      </c>
      <c r="S1658" t="s">
        <v>1086</v>
      </c>
      <c r="T1658" t="s">
        <v>971</v>
      </c>
      <c r="U1658" s="1">
        <f t="shared" si="33"/>
        <v>4.1999999999999996E-2</v>
      </c>
      <c r="V1658" t="s">
        <v>973</v>
      </c>
    </row>
    <row r="1659" spans="1:22" x14ac:dyDescent="0.3">
      <c r="A1659" t="s">
        <v>966</v>
      </c>
      <c r="B1659" t="str">
        <f ca="1">OFFSET(Industries!C$1,MATCH(Table1[[#This Row],[Ticker]],Industries!$A$2:$A$150,0),0)</f>
        <v>Financials</v>
      </c>
      <c r="C1659" t="str">
        <f ca="1">OFFSET(Industries!D$1,MATCH(Table1[[#This Row],[Ticker]],Industries!$A$2:$A$150,0),0)</f>
        <v>Financial Services</v>
      </c>
      <c r="D1659" t="str">
        <f ca="1">OFFSET(Industries!E$1,MATCH(Table1[[#This Row],[Ticker]],Industries!$A$2:$A$150,0),0)</f>
        <v>Capital Markets</v>
      </c>
      <c r="E1659" t="s">
        <v>481</v>
      </c>
      <c r="F1659" t="str">
        <f ca="1">OFFSET(Industries!B$1,MATCH(Table1[[#This Row],[Ticker]],Industries!$A$2:$A$140,0),0)</f>
        <v>Mega-Cap</v>
      </c>
      <c r="G1659" t="s">
        <v>1389</v>
      </c>
      <c r="H1659" t="s">
        <v>1434</v>
      </c>
      <c r="I1659" t="s">
        <v>1434</v>
      </c>
      <c r="J1659" s="2">
        <v>45370</v>
      </c>
      <c r="K1659" t="s">
        <v>21</v>
      </c>
      <c r="L1659" t="s">
        <v>1708</v>
      </c>
      <c r="M1659" t="s">
        <v>1709</v>
      </c>
      <c r="N1659" s="1"/>
      <c r="O1659" t="s">
        <v>4</v>
      </c>
      <c r="P1659" s="1">
        <v>0.25799086757990869</v>
      </c>
      <c r="Q1659" s="1" t="s">
        <v>1637</v>
      </c>
      <c r="R1659" t="s">
        <v>25</v>
      </c>
      <c r="S1659" t="s">
        <v>1086</v>
      </c>
      <c r="T1659" t="s">
        <v>972</v>
      </c>
      <c r="U1659" s="1">
        <f t="shared" si="33"/>
        <v>4.1999999999999996E-2</v>
      </c>
    </row>
    <row r="1660" spans="1:22" x14ac:dyDescent="0.3">
      <c r="A1660" t="s">
        <v>966</v>
      </c>
      <c r="B1660" t="str">
        <f ca="1">OFFSET(Industries!C$1,MATCH(Table1[[#This Row],[Ticker]],Industries!$A$2:$A$150,0),0)</f>
        <v>Financials</v>
      </c>
      <c r="C1660" t="str">
        <f ca="1">OFFSET(Industries!D$1,MATCH(Table1[[#This Row],[Ticker]],Industries!$A$2:$A$150,0),0)</f>
        <v>Financial Services</v>
      </c>
      <c r="D1660" t="str">
        <f ca="1">OFFSET(Industries!E$1,MATCH(Table1[[#This Row],[Ticker]],Industries!$A$2:$A$150,0),0)</f>
        <v>Capital Markets</v>
      </c>
      <c r="E1660" t="s">
        <v>481</v>
      </c>
      <c r="F1660" t="str">
        <f ca="1">OFFSET(Industries!B$1,MATCH(Table1[[#This Row],[Ticker]],Industries!$A$2:$A$140,0),0)</f>
        <v>Mega-Cap</v>
      </c>
      <c r="G1660" t="s">
        <v>1389</v>
      </c>
      <c r="H1660" t="s">
        <v>1434</v>
      </c>
      <c r="I1660" t="s">
        <v>1434</v>
      </c>
      <c r="J1660" s="2">
        <v>45370</v>
      </c>
      <c r="K1660" t="s">
        <v>21</v>
      </c>
      <c r="L1660" t="s">
        <v>1708</v>
      </c>
      <c r="M1660" t="s">
        <v>1709</v>
      </c>
      <c r="N1660" s="1"/>
      <c r="O1660" t="s">
        <v>4</v>
      </c>
      <c r="P1660" s="1">
        <v>0.25799086757990869</v>
      </c>
      <c r="Q1660" s="1" t="s">
        <v>1637</v>
      </c>
      <c r="R1660" t="s">
        <v>332</v>
      </c>
      <c r="S1660" t="s">
        <v>380</v>
      </c>
      <c r="T1660" t="s">
        <v>380</v>
      </c>
      <c r="U1660" s="1">
        <v>0.3</v>
      </c>
    </row>
    <row r="1661" spans="1:22" x14ac:dyDescent="0.3">
      <c r="A1661" t="s">
        <v>966</v>
      </c>
      <c r="B1661" t="str">
        <f ca="1">OFFSET(Industries!C$1,MATCH(Table1[[#This Row],[Ticker]],Industries!$A$2:$A$150,0),0)</f>
        <v>Financials</v>
      </c>
      <c r="C1661" t="str">
        <f ca="1">OFFSET(Industries!D$1,MATCH(Table1[[#This Row],[Ticker]],Industries!$A$2:$A$150,0),0)</f>
        <v>Financial Services</v>
      </c>
      <c r="D1661" t="str">
        <f ca="1">OFFSET(Industries!E$1,MATCH(Table1[[#This Row],[Ticker]],Industries!$A$2:$A$150,0),0)</f>
        <v>Capital Markets</v>
      </c>
      <c r="E1661" t="s">
        <v>481</v>
      </c>
      <c r="F1661" t="str">
        <f ca="1">OFFSET(Industries!B$1,MATCH(Table1[[#This Row],[Ticker]],Industries!$A$2:$A$140,0),0)</f>
        <v>Mega-Cap</v>
      </c>
      <c r="G1661" t="s">
        <v>1389</v>
      </c>
      <c r="H1661" t="s">
        <v>1434</v>
      </c>
      <c r="I1661" t="s">
        <v>1434</v>
      </c>
      <c r="J1661" s="2">
        <v>45370</v>
      </c>
      <c r="K1661" t="s">
        <v>21</v>
      </c>
      <c r="L1661" t="s">
        <v>1710</v>
      </c>
      <c r="M1661" t="s">
        <v>1709</v>
      </c>
      <c r="N1661" s="1">
        <f>Table1[[#This Row],[Consideration Weight]]</f>
        <v>0.34280821917808219</v>
      </c>
      <c r="O1661" t="s">
        <v>476</v>
      </c>
      <c r="P1661" s="1">
        <v>0.34280821917808219</v>
      </c>
      <c r="Q1661" s="1" t="s">
        <v>1636</v>
      </c>
      <c r="R1661" t="s">
        <v>24</v>
      </c>
      <c r="S1661" t="s">
        <v>1089</v>
      </c>
      <c r="T1661" t="s">
        <v>50</v>
      </c>
      <c r="U1661" s="1">
        <v>1</v>
      </c>
      <c r="V1661" t="s">
        <v>976</v>
      </c>
    </row>
    <row r="1662" spans="1:22" x14ac:dyDescent="0.3">
      <c r="A1662" t="s">
        <v>966</v>
      </c>
      <c r="B1662" t="str">
        <f ca="1">OFFSET(Industries!C$1,MATCH(Table1[[#This Row],[Ticker]],Industries!$A$2:$A$150,0),0)</f>
        <v>Financials</v>
      </c>
      <c r="C1662" t="str">
        <f ca="1">OFFSET(Industries!D$1,MATCH(Table1[[#This Row],[Ticker]],Industries!$A$2:$A$150,0),0)</f>
        <v>Financial Services</v>
      </c>
      <c r="D1662" t="str">
        <f ca="1">OFFSET(Industries!E$1,MATCH(Table1[[#This Row],[Ticker]],Industries!$A$2:$A$150,0),0)</f>
        <v>Capital Markets</v>
      </c>
      <c r="E1662" t="s">
        <v>481</v>
      </c>
      <c r="F1662" t="str">
        <f ca="1">OFFSET(Industries!B$1,MATCH(Table1[[#This Row],[Ticker]],Industries!$A$2:$A$140,0),0)</f>
        <v>Mega-Cap</v>
      </c>
      <c r="G1662" t="s">
        <v>1389</v>
      </c>
      <c r="H1662" t="s">
        <v>1434</v>
      </c>
      <c r="I1662" t="s">
        <v>1434</v>
      </c>
      <c r="J1662" s="2">
        <v>45370</v>
      </c>
      <c r="K1662" t="s">
        <v>21</v>
      </c>
      <c r="L1662" t="s">
        <v>1710</v>
      </c>
      <c r="M1662" t="s">
        <v>1709</v>
      </c>
      <c r="N1662" s="1">
        <f>Table1[[#This Row],[Consideration Weight]]</f>
        <v>0.1095890410958904</v>
      </c>
      <c r="O1662" t="s">
        <v>488</v>
      </c>
      <c r="P1662" s="1">
        <v>0.1095890410958904</v>
      </c>
      <c r="Q1662" s="1" t="s">
        <v>1636</v>
      </c>
      <c r="R1662" t="s">
        <v>24</v>
      </c>
      <c r="S1662" t="s">
        <v>1162</v>
      </c>
      <c r="T1662" t="s">
        <v>975</v>
      </c>
      <c r="U1662" s="1">
        <v>1</v>
      </c>
    </row>
    <row r="1663" spans="1:22" x14ac:dyDescent="0.3">
      <c r="A1663" t="s">
        <v>966</v>
      </c>
      <c r="B1663" t="str">
        <f ca="1">OFFSET(Industries!C$1,MATCH(Table1[[#This Row],[Ticker]],Industries!$A$2:$A$150,0),0)</f>
        <v>Financials</v>
      </c>
      <c r="C1663" t="str">
        <f ca="1">OFFSET(Industries!D$1,MATCH(Table1[[#This Row],[Ticker]],Industries!$A$2:$A$150,0),0)</f>
        <v>Financial Services</v>
      </c>
      <c r="D1663" t="str">
        <f ca="1">OFFSET(Industries!E$1,MATCH(Table1[[#This Row],[Ticker]],Industries!$A$2:$A$150,0),0)</f>
        <v>Capital Markets</v>
      </c>
      <c r="E1663" t="s">
        <v>481</v>
      </c>
      <c r="F1663" t="str">
        <f ca="1">OFFSET(Industries!B$1,MATCH(Table1[[#This Row],[Ticker]],Industries!$A$2:$A$140,0),0)</f>
        <v>Mega-Cap</v>
      </c>
      <c r="G1663" t="s">
        <v>1389</v>
      </c>
      <c r="H1663" t="s">
        <v>1434</v>
      </c>
      <c r="I1663" t="s">
        <v>1434</v>
      </c>
      <c r="J1663" s="2">
        <v>45370</v>
      </c>
      <c r="K1663" t="s">
        <v>21</v>
      </c>
      <c r="L1663" t="s">
        <v>1710</v>
      </c>
      <c r="M1663" t="s">
        <v>1711</v>
      </c>
      <c r="N1663" s="1">
        <f>Table1[[#This Row],[Consideration Weight]]</f>
        <v>0.14691780821917808</v>
      </c>
      <c r="O1663" t="s">
        <v>194</v>
      </c>
      <c r="P1663" s="1">
        <v>0.14691780821917808</v>
      </c>
    </row>
    <row r="1664" spans="1:22" x14ac:dyDescent="0.3">
      <c r="A1664" t="s">
        <v>980</v>
      </c>
      <c r="B1664" t="str">
        <f ca="1">OFFSET(Industries!C$1,MATCH(Table1[[#This Row],[Ticker]],Industries!$A$2:$A$150,0),0)</f>
        <v>Real Estate</v>
      </c>
      <c r="C1664" t="str">
        <f ca="1">OFFSET(Industries!D$1,MATCH(Table1[[#This Row],[Ticker]],Industries!$A$2:$A$150,0),0)</f>
        <v>Equity Real Estate Investment Trusts (REITs)</v>
      </c>
      <c r="D1664" t="str">
        <f ca="1">OFFSET(Industries!E$1,MATCH(Table1[[#This Row],[Ticker]],Industries!$A$2:$A$150,0),0)</f>
        <v>Health Care REITs</v>
      </c>
      <c r="E1664" t="s">
        <v>910</v>
      </c>
      <c r="F1664" t="str">
        <f ca="1">OFFSET(Industries!B$1,MATCH(Table1[[#This Row],[Ticker]],Industries!$A$2:$A$140,0),0)</f>
        <v>Ultra-Cap</v>
      </c>
      <c r="G1664" t="str">
        <f ca="1">OFFSET(Industries!F$1,MATCH(Table1[[#This Row],[Ticker]],Industries!$A$2:$A$140,0),0)</f>
        <v>BBB+</v>
      </c>
      <c r="H1664" t="s">
        <v>1434</v>
      </c>
      <c r="I1664" t="s">
        <v>1434</v>
      </c>
      <c r="J1664" s="2">
        <v>45394</v>
      </c>
      <c r="K1664" t="s">
        <v>2</v>
      </c>
      <c r="L1664" t="s">
        <v>3</v>
      </c>
      <c r="M1664" t="s">
        <v>1711</v>
      </c>
      <c r="N1664" s="1">
        <f>Table1[[#This Row],[Consideration Weight]]</f>
        <v>0.09</v>
      </c>
      <c r="O1664" t="s">
        <v>3</v>
      </c>
      <c r="P1664" s="1">
        <v>0.09</v>
      </c>
      <c r="V1664" t="s">
        <v>985</v>
      </c>
    </row>
    <row r="1665" spans="1:22" x14ac:dyDescent="0.3">
      <c r="A1665" t="s">
        <v>980</v>
      </c>
      <c r="B1665" t="str">
        <f ca="1">OFFSET(Industries!C$1,MATCH(Table1[[#This Row],[Ticker]],Industries!$A$2:$A$150,0),0)</f>
        <v>Real Estate</v>
      </c>
      <c r="C1665" t="str">
        <f ca="1">OFFSET(Industries!D$1,MATCH(Table1[[#This Row],[Ticker]],Industries!$A$2:$A$150,0),0)</f>
        <v>Equity Real Estate Investment Trusts (REITs)</v>
      </c>
      <c r="D1665" t="str">
        <f ca="1">OFFSET(Industries!E$1,MATCH(Table1[[#This Row],[Ticker]],Industries!$A$2:$A$150,0),0)</f>
        <v>Health Care REITs</v>
      </c>
      <c r="E1665" t="s">
        <v>910</v>
      </c>
      <c r="F1665" t="str">
        <f ca="1">OFFSET(Industries!B$1,MATCH(Table1[[#This Row],[Ticker]],Industries!$A$2:$A$140,0),0)</f>
        <v>Ultra-Cap</v>
      </c>
      <c r="G1665" t="str">
        <f ca="1">OFFSET(Industries!F$1,MATCH(Table1[[#This Row],[Ticker]],Industries!$A$2:$A$140,0),0)</f>
        <v>BBB+</v>
      </c>
      <c r="H1665" t="s">
        <v>1434</v>
      </c>
      <c r="I1665" t="s">
        <v>1434</v>
      </c>
      <c r="J1665" s="2">
        <v>45394</v>
      </c>
      <c r="K1665" t="s">
        <v>2</v>
      </c>
      <c r="L1665" t="s">
        <v>1708</v>
      </c>
      <c r="M1665" t="s">
        <v>1709</v>
      </c>
      <c r="N1665" s="1">
        <f>Table1[[#This Row],[Consideration Weight]]</f>
        <v>0.21</v>
      </c>
      <c r="O1665" t="s">
        <v>4</v>
      </c>
      <c r="P1665" s="1">
        <v>0.21</v>
      </c>
      <c r="Q1665" s="1" t="s">
        <v>1636</v>
      </c>
      <c r="R1665" t="s">
        <v>24</v>
      </c>
      <c r="S1665" t="s">
        <v>1166</v>
      </c>
      <c r="T1665" t="s">
        <v>981</v>
      </c>
      <c r="U1665" s="1">
        <v>0.35</v>
      </c>
      <c r="V1665" t="s">
        <v>986</v>
      </c>
    </row>
    <row r="1666" spans="1:22" x14ac:dyDescent="0.3">
      <c r="A1666" t="s">
        <v>980</v>
      </c>
      <c r="B1666" t="str">
        <f ca="1">OFFSET(Industries!C$1,MATCH(Table1[[#This Row],[Ticker]],Industries!$A$2:$A$150,0),0)</f>
        <v>Real Estate</v>
      </c>
      <c r="C1666" t="str">
        <f ca="1">OFFSET(Industries!D$1,MATCH(Table1[[#This Row],[Ticker]],Industries!$A$2:$A$150,0),0)</f>
        <v>Equity Real Estate Investment Trusts (REITs)</v>
      </c>
      <c r="D1666" t="str">
        <f ca="1">OFFSET(Industries!E$1,MATCH(Table1[[#This Row],[Ticker]],Industries!$A$2:$A$150,0),0)</f>
        <v>Health Care REITs</v>
      </c>
      <c r="E1666" t="s">
        <v>910</v>
      </c>
      <c r="F1666" t="str">
        <f ca="1">OFFSET(Industries!B$1,MATCH(Table1[[#This Row],[Ticker]],Industries!$A$2:$A$140,0),0)</f>
        <v>Ultra-Cap</v>
      </c>
      <c r="G1666" t="str">
        <f ca="1">OFFSET(Industries!F$1,MATCH(Table1[[#This Row],[Ticker]],Industries!$A$2:$A$140,0),0)</f>
        <v>BBB+</v>
      </c>
      <c r="H1666" t="s">
        <v>1434</v>
      </c>
      <c r="I1666" t="s">
        <v>1434</v>
      </c>
      <c r="J1666" s="2">
        <v>45394</v>
      </c>
      <c r="K1666" t="s">
        <v>2</v>
      </c>
      <c r="L1666" t="s">
        <v>1708</v>
      </c>
      <c r="M1666" t="s">
        <v>1709</v>
      </c>
      <c r="N1666" s="1"/>
      <c r="O1666" t="s">
        <v>4</v>
      </c>
      <c r="P1666" s="1">
        <v>0.21</v>
      </c>
      <c r="Q1666" s="1" t="s">
        <v>1636</v>
      </c>
      <c r="R1666" t="s">
        <v>24</v>
      </c>
      <c r="S1666" t="s">
        <v>1086</v>
      </c>
      <c r="T1666" t="s">
        <v>982</v>
      </c>
      <c r="U1666" s="1">
        <v>0.15</v>
      </c>
    </row>
    <row r="1667" spans="1:22" x14ac:dyDescent="0.3">
      <c r="A1667" t="s">
        <v>980</v>
      </c>
      <c r="B1667" t="str">
        <f ca="1">OFFSET(Industries!C$1,MATCH(Table1[[#This Row],[Ticker]],Industries!$A$2:$A$150,0),0)</f>
        <v>Real Estate</v>
      </c>
      <c r="C1667" t="str">
        <f ca="1">OFFSET(Industries!D$1,MATCH(Table1[[#This Row],[Ticker]],Industries!$A$2:$A$150,0),0)</f>
        <v>Equity Real Estate Investment Trusts (REITs)</v>
      </c>
      <c r="D1667" t="str">
        <f ca="1">OFFSET(Industries!E$1,MATCH(Table1[[#This Row],[Ticker]],Industries!$A$2:$A$150,0),0)</f>
        <v>Health Care REITs</v>
      </c>
      <c r="E1667" t="s">
        <v>910</v>
      </c>
      <c r="F1667" t="str">
        <f ca="1">OFFSET(Industries!B$1,MATCH(Table1[[#This Row],[Ticker]],Industries!$A$2:$A$140,0),0)</f>
        <v>Ultra-Cap</v>
      </c>
      <c r="G1667" t="str">
        <f ca="1">OFFSET(Industries!F$1,MATCH(Table1[[#This Row],[Ticker]],Industries!$A$2:$A$140,0),0)</f>
        <v>BBB+</v>
      </c>
      <c r="H1667" t="s">
        <v>1434</v>
      </c>
      <c r="I1667" t="s">
        <v>1434</v>
      </c>
      <c r="J1667" s="2">
        <v>45394</v>
      </c>
      <c r="K1667" t="s">
        <v>2</v>
      </c>
      <c r="L1667" t="s">
        <v>1708</v>
      </c>
      <c r="M1667" t="s">
        <v>1709</v>
      </c>
      <c r="N1667" s="1"/>
      <c r="O1667" t="s">
        <v>4</v>
      </c>
      <c r="P1667" s="1">
        <v>0.21</v>
      </c>
      <c r="Q1667" s="1" t="s">
        <v>1636</v>
      </c>
      <c r="R1667" t="s">
        <v>24</v>
      </c>
      <c r="S1667" t="s">
        <v>1086</v>
      </c>
      <c r="T1667" t="s">
        <v>983</v>
      </c>
      <c r="U1667" s="1">
        <v>0.15</v>
      </c>
      <c r="V1667" t="s">
        <v>987</v>
      </c>
    </row>
    <row r="1668" spans="1:22" x14ac:dyDescent="0.3">
      <c r="A1668" t="s">
        <v>980</v>
      </c>
      <c r="B1668" t="str">
        <f ca="1">OFFSET(Industries!C$1,MATCH(Table1[[#This Row],[Ticker]],Industries!$A$2:$A$150,0),0)</f>
        <v>Real Estate</v>
      </c>
      <c r="C1668" t="str">
        <f ca="1">OFFSET(Industries!D$1,MATCH(Table1[[#This Row],[Ticker]],Industries!$A$2:$A$150,0),0)</f>
        <v>Equity Real Estate Investment Trusts (REITs)</v>
      </c>
      <c r="D1668" t="str">
        <f ca="1">OFFSET(Industries!E$1,MATCH(Table1[[#This Row],[Ticker]],Industries!$A$2:$A$150,0),0)</f>
        <v>Health Care REITs</v>
      </c>
      <c r="E1668" t="s">
        <v>910</v>
      </c>
      <c r="F1668" t="str">
        <f ca="1">OFFSET(Industries!B$1,MATCH(Table1[[#This Row],[Ticker]],Industries!$A$2:$A$140,0),0)</f>
        <v>Ultra-Cap</v>
      </c>
      <c r="G1668" t="str">
        <f ca="1">OFFSET(Industries!F$1,MATCH(Table1[[#This Row],[Ticker]],Industries!$A$2:$A$140,0),0)</f>
        <v>BBB+</v>
      </c>
      <c r="H1668" t="s">
        <v>1434</v>
      </c>
      <c r="I1668" t="s">
        <v>1434</v>
      </c>
      <c r="J1668" s="2">
        <v>45394</v>
      </c>
      <c r="K1668" t="s">
        <v>2</v>
      </c>
      <c r="L1668" t="s">
        <v>1708</v>
      </c>
      <c r="M1668" t="s">
        <v>1709</v>
      </c>
      <c r="N1668" s="1"/>
      <c r="O1668" t="s">
        <v>4</v>
      </c>
      <c r="P1668" s="1">
        <v>0.21</v>
      </c>
      <c r="Q1668" s="1" t="s">
        <v>1637</v>
      </c>
      <c r="R1668" t="s">
        <v>26</v>
      </c>
      <c r="S1668" t="s">
        <v>26</v>
      </c>
      <c r="T1668" t="s">
        <v>984</v>
      </c>
      <c r="U1668" s="1">
        <v>0.1</v>
      </c>
    </row>
    <row r="1669" spans="1:22" x14ac:dyDescent="0.3">
      <c r="A1669" t="s">
        <v>980</v>
      </c>
      <c r="B1669" t="str">
        <f ca="1">OFFSET(Industries!C$1,MATCH(Table1[[#This Row],[Ticker]],Industries!$A$2:$A$150,0),0)</f>
        <v>Real Estate</v>
      </c>
      <c r="C1669" t="str">
        <f ca="1">OFFSET(Industries!D$1,MATCH(Table1[[#This Row],[Ticker]],Industries!$A$2:$A$150,0),0)</f>
        <v>Equity Real Estate Investment Trusts (REITs)</v>
      </c>
      <c r="D1669" t="str">
        <f ca="1">OFFSET(Industries!E$1,MATCH(Table1[[#This Row],[Ticker]],Industries!$A$2:$A$150,0),0)</f>
        <v>Health Care REITs</v>
      </c>
      <c r="E1669" t="s">
        <v>910</v>
      </c>
      <c r="F1669" t="str">
        <f ca="1">OFFSET(Industries!B$1,MATCH(Table1[[#This Row],[Ticker]],Industries!$A$2:$A$140,0),0)</f>
        <v>Ultra-Cap</v>
      </c>
      <c r="G1669" t="str">
        <f ca="1">OFFSET(Industries!F$1,MATCH(Table1[[#This Row],[Ticker]],Industries!$A$2:$A$140,0),0)</f>
        <v>BBB+</v>
      </c>
      <c r="H1669" t="s">
        <v>1434</v>
      </c>
      <c r="I1669" t="s">
        <v>1434</v>
      </c>
      <c r="J1669" s="2">
        <v>45394</v>
      </c>
      <c r="K1669" t="s">
        <v>2</v>
      </c>
      <c r="L1669" t="s">
        <v>1708</v>
      </c>
      <c r="M1669" t="s">
        <v>1709</v>
      </c>
      <c r="N1669" s="1"/>
      <c r="O1669" t="s">
        <v>4</v>
      </c>
      <c r="P1669" s="1">
        <v>0.21</v>
      </c>
      <c r="Q1669" s="1" t="s">
        <v>1637</v>
      </c>
      <c r="R1669" t="s">
        <v>332</v>
      </c>
      <c r="S1669" t="s">
        <v>380</v>
      </c>
      <c r="T1669" t="s">
        <v>380</v>
      </c>
      <c r="U1669" s="1">
        <v>0.25</v>
      </c>
      <c r="V1669" t="s">
        <v>989</v>
      </c>
    </row>
    <row r="1670" spans="1:22" x14ac:dyDescent="0.3">
      <c r="A1670" t="s">
        <v>980</v>
      </c>
      <c r="B1670" t="str">
        <f ca="1">OFFSET(Industries!C$1,MATCH(Table1[[#This Row],[Ticker]],Industries!$A$2:$A$150,0),0)</f>
        <v>Real Estate</v>
      </c>
      <c r="C1670" t="str">
        <f ca="1">OFFSET(Industries!D$1,MATCH(Table1[[#This Row],[Ticker]],Industries!$A$2:$A$150,0),0)</f>
        <v>Equity Real Estate Investment Trusts (REITs)</v>
      </c>
      <c r="D1670" t="str">
        <f ca="1">OFFSET(Industries!E$1,MATCH(Table1[[#This Row],[Ticker]],Industries!$A$2:$A$150,0),0)</f>
        <v>Health Care REITs</v>
      </c>
      <c r="E1670" t="s">
        <v>910</v>
      </c>
      <c r="F1670" t="str">
        <f ca="1">OFFSET(Industries!B$1,MATCH(Table1[[#This Row],[Ticker]],Industries!$A$2:$A$140,0),0)</f>
        <v>Ultra-Cap</v>
      </c>
      <c r="G1670" t="str">
        <f ca="1">OFFSET(Industries!F$1,MATCH(Table1[[#This Row],[Ticker]],Industries!$A$2:$A$140,0),0)</f>
        <v>BBB+</v>
      </c>
      <c r="H1670" t="s">
        <v>1434</v>
      </c>
      <c r="I1670" t="s">
        <v>1434</v>
      </c>
      <c r="J1670" s="2">
        <v>45394</v>
      </c>
      <c r="K1670" t="s">
        <v>2</v>
      </c>
      <c r="L1670" t="s">
        <v>1710</v>
      </c>
      <c r="M1670" t="s">
        <v>1709</v>
      </c>
      <c r="N1670" s="1">
        <f>Table1[[#This Row],[Consideration Weight]]</f>
        <v>0.49</v>
      </c>
      <c r="O1670" t="s">
        <v>476</v>
      </c>
      <c r="P1670" s="1">
        <v>0.49</v>
      </c>
      <c r="Q1670" s="1" t="s">
        <v>1646</v>
      </c>
      <c r="R1670" t="s">
        <v>35</v>
      </c>
      <c r="S1670" t="s">
        <v>29</v>
      </c>
      <c r="T1670" t="s">
        <v>30</v>
      </c>
      <c r="U1670" s="1">
        <v>0.8</v>
      </c>
    </row>
    <row r="1671" spans="1:22" x14ac:dyDescent="0.3">
      <c r="A1671" t="s">
        <v>980</v>
      </c>
      <c r="B1671" t="str">
        <f ca="1">OFFSET(Industries!C$1,MATCH(Table1[[#This Row],[Ticker]],Industries!$A$2:$A$150,0),0)</f>
        <v>Real Estate</v>
      </c>
      <c r="C1671" t="str">
        <f ca="1">OFFSET(Industries!D$1,MATCH(Table1[[#This Row],[Ticker]],Industries!$A$2:$A$150,0),0)</f>
        <v>Equity Real Estate Investment Trusts (REITs)</v>
      </c>
      <c r="D1671" t="str">
        <f ca="1">OFFSET(Industries!E$1,MATCH(Table1[[#This Row],[Ticker]],Industries!$A$2:$A$150,0),0)</f>
        <v>Health Care REITs</v>
      </c>
      <c r="E1671" t="s">
        <v>910</v>
      </c>
      <c r="F1671" t="str">
        <f ca="1">OFFSET(Industries!B$1,MATCH(Table1[[#This Row],[Ticker]],Industries!$A$2:$A$140,0),0)</f>
        <v>Ultra-Cap</v>
      </c>
      <c r="G1671" t="str">
        <f ca="1">OFFSET(Industries!F$1,MATCH(Table1[[#This Row],[Ticker]],Industries!$A$2:$A$140,0),0)</f>
        <v>BBB+</v>
      </c>
      <c r="H1671" t="s">
        <v>1434</v>
      </c>
      <c r="I1671" t="s">
        <v>1434</v>
      </c>
      <c r="J1671" s="2">
        <v>45394</v>
      </c>
      <c r="K1671" t="s">
        <v>2</v>
      </c>
      <c r="L1671" t="s">
        <v>1710</v>
      </c>
      <c r="M1671" t="s">
        <v>1709</v>
      </c>
      <c r="N1671" s="1"/>
      <c r="O1671" t="s">
        <v>476</v>
      </c>
      <c r="P1671" s="1">
        <v>0.49</v>
      </c>
      <c r="Q1671" s="1" t="s">
        <v>1636</v>
      </c>
      <c r="R1671" t="s">
        <v>1081</v>
      </c>
      <c r="S1671" t="s">
        <v>1081</v>
      </c>
      <c r="T1671" t="s">
        <v>988</v>
      </c>
      <c r="U1671" s="1">
        <v>0.2</v>
      </c>
      <c r="V1671" t="s">
        <v>990</v>
      </c>
    </row>
    <row r="1672" spans="1:22" x14ac:dyDescent="0.3">
      <c r="A1672" t="s">
        <v>980</v>
      </c>
      <c r="B1672" t="str">
        <f ca="1">OFFSET(Industries!C$1,MATCH(Table1[[#This Row],[Ticker]],Industries!$A$2:$A$150,0),0)</f>
        <v>Real Estate</v>
      </c>
      <c r="C1672" t="str">
        <f ca="1">OFFSET(Industries!D$1,MATCH(Table1[[#This Row],[Ticker]],Industries!$A$2:$A$150,0),0)</f>
        <v>Equity Real Estate Investment Trusts (REITs)</v>
      </c>
      <c r="D1672" t="str">
        <f ca="1">OFFSET(Industries!E$1,MATCH(Table1[[#This Row],[Ticker]],Industries!$A$2:$A$150,0),0)</f>
        <v>Health Care REITs</v>
      </c>
      <c r="E1672" t="s">
        <v>910</v>
      </c>
      <c r="F1672" t="str">
        <f ca="1">OFFSET(Industries!B$1,MATCH(Table1[[#This Row],[Ticker]],Industries!$A$2:$A$140,0),0)</f>
        <v>Ultra-Cap</v>
      </c>
      <c r="G1672" t="str">
        <f ca="1">OFFSET(Industries!F$1,MATCH(Table1[[#This Row],[Ticker]],Industries!$A$2:$A$140,0),0)</f>
        <v>BBB+</v>
      </c>
      <c r="H1672" t="s">
        <v>1434</v>
      </c>
      <c r="I1672" t="s">
        <v>1434</v>
      </c>
      <c r="J1672" s="2">
        <v>45394</v>
      </c>
      <c r="K1672" t="s">
        <v>2</v>
      </c>
      <c r="L1672" t="s">
        <v>1710</v>
      </c>
      <c r="M1672" t="s">
        <v>1711</v>
      </c>
      <c r="N1672" s="1">
        <f>Table1[[#This Row],[Consideration Weight]]</f>
        <v>0.21</v>
      </c>
      <c r="O1672" t="s">
        <v>194</v>
      </c>
      <c r="P1672" s="1">
        <v>0.21</v>
      </c>
    </row>
    <row r="1673" spans="1:22" x14ac:dyDescent="0.3">
      <c r="A1673" t="s">
        <v>980</v>
      </c>
      <c r="B1673" t="str">
        <f ca="1">OFFSET(Industries!C$1,MATCH(Table1[[#This Row],[Ticker]],Industries!$A$2:$A$150,0),0)</f>
        <v>Real Estate</v>
      </c>
      <c r="C1673" t="str">
        <f ca="1">OFFSET(Industries!D$1,MATCH(Table1[[#This Row],[Ticker]],Industries!$A$2:$A$150,0),0)</f>
        <v>Equity Real Estate Investment Trusts (REITs)</v>
      </c>
      <c r="D1673" t="str">
        <f ca="1">OFFSET(Industries!E$1,MATCH(Table1[[#This Row],[Ticker]],Industries!$A$2:$A$150,0),0)</f>
        <v>Health Care REITs</v>
      </c>
      <c r="E1673" t="s">
        <v>910</v>
      </c>
      <c r="F1673" t="str">
        <f ca="1">OFFSET(Industries!B$1,MATCH(Table1[[#This Row],[Ticker]],Industries!$A$2:$A$140,0),0)</f>
        <v>Ultra-Cap</v>
      </c>
      <c r="G1673" t="str">
        <f ca="1">OFFSET(Industries!F$1,MATCH(Table1[[#This Row],[Ticker]],Industries!$A$2:$A$140,0),0)</f>
        <v>BBB+</v>
      </c>
      <c r="H1673" t="s">
        <v>1434</v>
      </c>
      <c r="I1673" t="s">
        <v>1434</v>
      </c>
      <c r="J1673" s="2">
        <v>45394</v>
      </c>
      <c r="K1673" t="s">
        <v>21</v>
      </c>
      <c r="L1673" t="s">
        <v>3</v>
      </c>
      <c r="M1673" t="s">
        <v>1711</v>
      </c>
      <c r="N1673" s="1">
        <f>Table1[[#This Row],[Consideration Weight]]</f>
        <v>0.16400000000000001</v>
      </c>
      <c r="O1673" t="s">
        <v>3</v>
      </c>
      <c r="P1673" s="1">
        <v>0.16400000000000001</v>
      </c>
    </row>
    <row r="1674" spans="1:22" x14ac:dyDescent="0.3">
      <c r="A1674" t="s">
        <v>980</v>
      </c>
      <c r="B1674" t="str">
        <f ca="1">OFFSET(Industries!C$1,MATCH(Table1[[#This Row],[Ticker]],Industries!$A$2:$A$150,0),0)</f>
        <v>Real Estate</v>
      </c>
      <c r="C1674" t="str">
        <f ca="1">OFFSET(Industries!D$1,MATCH(Table1[[#This Row],[Ticker]],Industries!$A$2:$A$150,0),0)</f>
        <v>Equity Real Estate Investment Trusts (REITs)</v>
      </c>
      <c r="D1674" t="str">
        <f ca="1">OFFSET(Industries!E$1,MATCH(Table1[[#This Row],[Ticker]],Industries!$A$2:$A$150,0),0)</f>
        <v>Health Care REITs</v>
      </c>
      <c r="E1674" t="s">
        <v>910</v>
      </c>
      <c r="F1674" t="str">
        <f ca="1">OFFSET(Industries!B$1,MATCH(Table1[[#This Row],[Ticker]],Industries!$A$2:$A$140,0),0)</f>
        <v>Ultra-Cap</v>
      </c>
      <c r="G1674" t="str">
        <f ca="1">OFFSET(Industries!F$1,MATCH(Table1[[#This Row],[Ticker]],Industries!$A$2:$A$140,0),0)</f>
        <v>BBB+</v>
      </c>
      <c r="H1674" t="s">
        <v>1434</v>
      </c>
      <c r="I1674" t="s">
        <v>1434</v>
      </c>
      <c r="J1674" s="2">
        <v>45394</v>
      </c>
      <c r="K1674" t="s">
        <v>21</v>
      </c>
      <c r="L1674" t="s">
        <v>1708</v>
      </c>
      <c r="M1674" t="s">
        <v>1709</v>
      </c>
      <c r="N1674" s="1">
        <f>Table1[[#This Row],[Consideration Weight]]</f>
        <v>0.218</v>
      </c>
      <c r="O1674" t="s">
        <v>4</v>
      </c>
      <c r="P1674" s="1">
        <v>0.218</v>
      </c>
      <c r="Q1674" s="1" t="s">
        <v>1636</v>
      </c>
      <c r="R1674" t="s">
        <v>24</v>
      </c>
      <c r="S1674" t="s">
        <v>1166</v>
      </c>
      <c r="T1674" t="s">
        <v>981</v>
      </c>
      <c r="U1674" s="1">
        <v>0.35</v>
      </c>
    </row>
    <row r="1675" spans="1:22" x14ac:dyDescent="0.3">
      <c r="A1675" t="s">
        <v>980</v>
      </c>
      <c r="B1675" t="str">
        <f ca="1">OFFSET(Industries!C$1,MATCH(Table1[[#This Row],[Ticker]],Industries!$A$2:$A$150,0),0)</f>
        <v>Real Estate</v>
      </c>
      <c r="C1675" t="str">
        <f ca="1">OFFSET(Industries!D$1,MATCH(Table1[[#This Row],[Ticker]],Industries!$A$2:$A$150,0),0)</f>
        <v>Equity Real Estate Investment Trusts (REITs)</v>
      </c>
      <c r="D1675" t="str">
        <f ca="1">OFFSET(Industries!E$1,MATCH(Table1[[#This Row],[Ticker]],Industries!$A$2:$A$150,0),0)</f>
        <v>Health Care REITs</v>
      </c>
      <c r="E1675" t="s">
        <v>910</v>
      </c>
      <c r="F1675" t="str">
        <f ca="1">OFFSET(Industries!B$1,MATCH(Table1[[#This Row],[Ticker]],Industries!$A$2:$A$140,0),0)</f>
        <v>Ultra-Cap</v>
      </c>
      <c r="G1675" t="str">
        <f ca="1">OFFSET(Industries!F$1,MATCH(Table1[[#This Row],[Ticker]],Industries!$A$2:$A$140,0),0)</f>
        <v>BBB+</v>
      </c>
      <c r="H1675" t="s">
        <v>1434</v>
      </c>
      <c r="I1675" t="s">
        <v>1434</v>
      </c>
      <c r="J1675" s="2">
        <v>45394</v>
      </c>
      <c r="K1675" t="s">
        <v>21</v>
      </c>
      <c r="L1675" t="s">
        <v>1708</v>
      </c>
      <c r="M1675" t="s">
        <v>1709</v>
      </c>
      <c r="N1675" s="1"/>
      <c r="O1675" t="s">
        <v>4</v>
      </c>
      <c r="P1675" s="1">
        <v>0.218</v>
      </c>
      <c r="Q1675" s="1" t="s">
        <v>1636</v>
      </c>
      <c r="R1675" t="s">
        <v>24</v>
      </c>
      <c r="S1675" t="s">
        <v>1086</v>
      </c>
      <c r="T1675" t="s">
        <v>982</v>
      </c>
      <c r="U1675" s="1">
        <v>0.15</v>
      </c>
    </row>
    <row r="1676" spans="1:22" x14ac:dyDescent="0.3">
      <c r="A1676" t="s">
        <v>980</v>
      </c>
      <c r="B1676" t="str">
        <f ca="1">OFFSET(Industries!C$1,MATCH(Table1[[#This Row],[Ticker]],Industries!$A$2:$A$150,0),0)</f>
        <v>Real Estate</v>
      </c>
      <c r="C1676" t="str">
        <f ca="1">OFFSET(Industries!D$1,MATCH(Table1[[#This Row],[Ticker]],Industries!$A$2:$A$150,0),0)</f>
        <v>Equity Real Estate Investment Trusts (REITs)</v>
      </c>
      <c r="D1676" t="str">
        <f ca="1">OFFSET(Industries!E$1,MATCH(Table1[[#This Row],[Ticker]],Industries!$A$2:$A$150,0),0)</f>
        <v>Health Care REITs</v>
      </c>
      <c r="E1676" t="s">
        <v>910</v>
      </c>
      <c r="F1676" t="str">
        <f ca="1">OFFSET(Industries!B$1,MATCH(Table1[[#This Row],[Ticker]],Industries!$A$2:$A$140,0),0)</f>
        <v>Ultra-Cap</v>
      </c>
      <c r="G1676" t="str">
        <f ca="1">OFFSET(Industries!F$1,MATCH(Table1[[#This Row],[Ticker]],Industries!$A$2:$A$140,0),0)</f>
        <v>BBB+</v>
      </c>
      <c r="H1676" t="s">
        <v>1434</v>
      </c>
      <c r="I1676" t="s">
        <v>1434</v>
      </c>
      <c r="J1676" s="2">
        <v>45394</v>
      </c>
      <c r="K1676" t="s">
        <v>21</v>
      </c>
      <c r="L1676" t="s">
        <v>1708</v>
      </c>
      <c r="M1676" t="s">
        <v>1709</v>
      </c>
      <c r="N1676" s="1"/>
      <c r="O1676" t="s">
        <v>4</v>
      </c>
      <c r="P1676" s="1">
        <v>0.218</v>
      </c>
      <c r="Q1676" s="1" t="s">
        <v>1636</v>
      </c>
      <c r="R1676" t="s">
        <v>24</v>
      </c>
      <c r="S1676" t="s">
        <v>1086</v>
      </c>
      <c r="T1676" t="s">
        <v>983</v>
      </c>
      <c r="U1676" s="1">
        <v>0.15</v>
      </c>
    </row>
    <row r="1677" spans="1:22" x14ac:dyDescent="0.3">
      <c r="A1677" t="s">
        <v>980</v>
      </c>
      <c r="B1677" t="str">
        <f ca="1">OFFSET(Industries!C$1,MATCH(Table1[[#This Row],[Ticker]],Industries!$A$2:$A$150,0),0)</f>
        <v>Real Estate</v>
      </c>
      <c r="C1677" t="str">
        <f ca="1">OFFSET(Industries!D$1,MATCH(Table1[[#This Row],[Ticker]],Industries!$A$2:$A$150,0),0)</f>
        <v>Equity Real Estate Investment Trusts (REITs)</v>
      </c>
      <c r="D1677" t="str">
        <f ca="1">OFFSET(Industries!E$1,MATCH(Table1[[#This Row],[Ticker]],Industries!$A$2:$A$150,0),0)</f>
        <v>Health Care REITs</v>
      </c>
      <c r="E1677" t="s">
        <v>910</v>
      </c>
      <c r="F1677" t="str">
        <f ca="1">OFFSET(Industries!B$1,MATCH(Table1[[#This Row],[Ticker]],Industries!$A$2:$A$140,0),0)</f>
        <v>Ultra-Cap</v>
      </c>
      <c r="G1677" t="str">
        <f ca="1">OFFSET(Industries!F$1,MATCH(Table1[[#This Row],[Ticker]],Industries!$A$2:$A$140,0),0)</f>
        <v>BBB+</v>
      </c>
      <c r="H1677" t="s">
        <v>1434</v>
      </c>
      <c r="I1677" t="s">
        <v>1434</v>
      </c>
      <c r="J1677" s="2">
        <v>45394</v>
      </c>
      <c r="K1677" t="s">
        <v>21</v>
      </c>
      <c r="L1677" t="s">
        <v>1708</v>
      </c>
      <c r="M1677" t="s">
        <v>1709</v>
      </c>
      <c r="N1677" s="1"/>
      <c r="O1677" t="s">
        <v>4</v>
      </c>
      <c r="P1677" s="1">
        <v>0.218</v>
      </c>
      <c r="Q1677" s="1" t="s">
        <v>1637</v>
      </c>
      <c r="R1677" t="s">
        <v>26</v>
      </c>
      <c r="S1677" t="s">
        <v>26</v>
      </c>
      <c r="T1677" t="s">
        <v>984</v>
      </c>
      <c r="U1677" s="1">
        <v>0.1</v>
      </c>
    </row>
    <row r="1678" spans="1:22" x14ac:dyDescent="0.3">
      <c r="A1678" t="s">
        <v>980</v>
      </c>
      <c r="B1678" t="str">
        <f ca="1">OFFSET(Industries!C$1,MATCH(Table1[[#This Row],[Ticker]],Industries!$A$2:$A$150,0),0)</f>
        <v>Real Estate</v>
      </c>
      <c r="C1678" t="str">
        <f ca="1">OFFSET(Industries!D$1,MATCH(Table1[[#This Row],[Ticker]],Industries!$A$2:$A$150,0),0)</f>
        <v>Equity Real Estate Investment Trusts (REITs)</v>
      </c>
      <c r="D1678" t="str">
        <f ca="1">OFFSET(Industries!E$1,MATCH(Table1[[#This Row],[Ticker]],Industries!$A$2:$A$150,0),0)</f>
        <v>Health Care REITs</v>
      </c>
      <c r="E1678" t="s">
        <v>910</v>
      </c>
      <c r="F1678" t="str">
        <f ca="1">OFFSET(Industries!B$1,MATCH(Table1[[#This Row],[Ticker]],Industries!$A$2:$A$140,0),0)</f>
        <v>Ultra-Cap</v>
      </c>
      <c r="G1678" t="str">
        <f ca="1">OFFSET(Industries!F$1,MATCH(Table1[[#This Row],[Ticker]],Industries!$A$2:$A$140,0),0)</f>
        <v>BBB+</v>
      </c>
      <c r="H1678" t="s">
        <v>1434</v>
      </c>
      <c r="I1678" t="s">
        <v>1434</v>
      </c>
      <c r="J1678" s="2">
        <v>45394</v>
      </c>
      <c r="K1678" t="s">
        <v>21</v>
      </c>
      <c r="L1678" t="s">
        <v>1708</v>
      </c>
      <c r="M1678" t="s">
        <v>1709</v>
      </c>
      <c r="N1678" s="1"/>
      <c r="O1678" t="s">
        <v>4</v>
      </c>
      <c r="P1678" s="1">
        <v>0.218</v>
      </c>
      <c r="Q1678" s="1" t="s">
        <v>1637</v>
      </c>
      <c r="R1678" t="s">
        <v>332</v>
      </c>
      <c r="S1678" t="s">
        <v>380</v>
      </c>
      <c r="T1678" t="s">
        <v>380</v>
      </c>
      <c r="U1678" s="1">
        <v>0.25</v>
      </c>
    </row>
    <row r="1679" spans="1:22" x14ac:dyDescent="0.3">
      <c r="A1679" t="s">
        <v>980</v>
      </c>
      <c r="B1679" t="str">
        <f ca="1">OFFSET(Industries!C$1,MATCH(Table1[[#This Row],[Ticker]],Industries!$A$2:$A$150,0),0)</f>
        <v>Real Estate</v>
      </c>
      <c r="C1679" t="str">
        <f ca="1">OFFSET(Industries!D$1,MATCH(Table1[[#This Row],[Ticker]],Industries!$A$2:$A$150,0),0)</f>
        <v>Equity Real Estate Investment Trusts (REITs)</v>
      </c>
      <c r="D1679" t="str">
        <f ca="1">OFFSET(Industries!E$1,MATCH(Table1[[#This Row],[Ticker]],Industries!$A$2:$A$150,0),0)</f>
        <v>Health Care REITs</v>
      </c>
      <c r="E1679" t="s">
        <v>910</v>
      </c>
      <c r="F1679" t="str">
        <f ca="1">OFFSET(Industries!B$1,MATCH(Table1[[#This Row],[Ticker]],Industries!$A$2:$A$140,0),0)</f>
        <v>Ultra-Cap</v>
      </c>
      <c r="G1679" t="str">
        <f ca="1">OFFSET(Industries!F$1,MATCH(Table1[[#This Row],[Ticker]],Industries!$A$2:$A$140,0),0)</f>
        <v>BBB+</v>
      </c>
      <c r="H1679" t="s">
        <v>1434</v>
      </c>
      <c r="I1679" t="s">
        <v>1434</v>
      </c>
      <c r="J1679" s="2">
        <v>45394</v>
      </c>
      <c r="K1679" t="s">
        <v>21</v>
      </c>
      <c r="L1679" t="s">
        <v>1710</v>
      </c>
      <c r="M1679" t="s">
        <v>1709</v>
      </c>
      <c r="N1679" s="1">
        <f>Table1[[#This Row],[Consideration Weight]]</f>
        <v>0.433</v>
      </c>
      <c r="O1679" t="s">
        <v>476</v>
      </c>
      <c r="P1679" s="1">
        <v>0.433</v>
      </c>
      <c r="Q1679" s="1" t="s">
        <v>1646</v>
      </c>
      <c r="R1679" t="s">
        <v>35</v>
      </c>
      <c r="S1679" t="s">
        <v>29</v>
      </c>
      <c r="T1679" t="s">
        <v>30</v>
      </c>
      <c r="U1679" s="1">
        <v>0.8</v>
      </c>
    </row>
    <row r="1680" spans="1:22" x14ac:dyDescent="0.3">
      <c r="A1680" t="s">
        <v>980</v>
      </c>
      <c r="B1680" t="str">
        <f ca="1">OFFSET(Industries!C$1,MATCH(Table1[[#This Row],[Ticker]],Industries!$A$2:$A$150,0),0)</f>
        <v>Real Estate</v>
      </c>
      <c r="C1680" t="str">
        <f ca="1">OFFSET(Industries!D$1,MATCH(Table1[[#This Row],[Ticker]],Industries!$A$2:$A$150,0),0)</f>
        <v>Equity Real Estate Investment Trusts (REITs)</v>
      </c>
      <c r="D1680" t="str">
        <f ca="1">OFFSET(Industries!E$1,MATCH(Table1[[#This Row],[Ticker]],Industries!$A$2:$A$150,0),0)</f>
        <v>Health Care REITs</v>
      </c>
      <c r="E1680" t="s">
        <v>910</v>
      </c>
      <c r="F1680" t="str">
        <f ca="1">OFFSET(Industries!B$1,MATCH(Table1[[#This Row],[Ticker]],Industries!$A$2:$A$140,0),0)</f>
        <v>Ultra-Cap</v>
      </c>
      <c r="G1680" t="str">
        <f ca="1">OFFSET(Industries!F$1,MATCH(Table1[[#This Row],[Ticker]],Industries!$A$2:$A$140,0),0)</f>
        <v>BBB+</v>
      </c>
      <c r="H1680" t="s">
        <v>1434</v>
      </c>
      <c r="I1680" t="s">
        <v>1434</v>
      </c>
      <c r="J1680" s="2">
        <v>45394</v>
      </c>
      <c r="K1680" t="s">
        <v>21</v>
      </c>
      <c r="L1680" t="s">
        <v>1710</v>
      </c>
      <c r="M1680" t="s">
        <v>1709</v>
      </c>
      <c r="N1680" s="1"/>
      <c r="O1680" t="s">
        <v>476</v>
      </c>
      <c r="P1680" s="1">
        <v>0.433</v>
      </c>
      <c r="Q1680" s="1" t="s">
        <v>1636</v>
      </c>
      <c r="R1680" t="s">
        <v>1081</v>
      </c>
      <c r="S1680" t="s">
        <v>1081</v>
      </c>
      <c r="T1680" t="s">
        <v>988</v>
      </c>
      <c r="U1680" s="1">
        <v>0.2</v>
      </c>
    </row>
    <row r="1681" spans="1:22" x14ac:dyDescent="0.3">
      <c r="A1681" t="s">
        <v>980</v>
      </c>
      <c r="B1681" t="str">
        <f ca="1">OFFSET(Industries!C$1,MATCH(Table1[[#This Row],[Ticker]],Industries!$A$2:$A$150,0),0)</f>
        <v>Real Estate</v>
      </c>
      <c r="C1681" t="str">
        <f ca="1">OFFSET(Industries!D$1,MATCH(Table1[[#This Row],[Ticker]],Industries!$A$2:$A$150,0),0)</f>
        <v>Equity Real Estate Investment Trusts (REITs)</v>
      </c>
      <c r="D1681" t="str">
        <f ca="1">OFFSET(Industries!E$1,MATCH(Table1[[#This Row],[Ticker]],Industries!$A$2:$A$150,0),0)</f>
        <v>Health Care REITs</v>
      </c>
      <c r="E1681" t="s">
        <v>910</v>
      </c>
      <c r="F1681" t="str">
        <f ca="1">OFFSET(Industries!B$1,MATCH(Table1[[#This Row],[Ticker]],Industries!$A$2:$A$140,0),0)</f>
        <v>Ultra-Cap</v>
      </c>
      <c r="G1681" t="str">
        <f ca="1">OFFSET(Industries!F$1,MATCH(Table1[[#This Row],[Ticker]],Industries!$A$2:$A$140,0),0)</f>
        <v>BBB+</v>
      </c>
      <c r="H1681" t="s">
        <v>1434</v>
      </c>
      <c r="I1681" t="s">
        <v>1434</v>
      </c>
      <c r="J1681" s="2">
        <v>45394</v>
      </c>
      <c r="K1681" t="s">
        <v>21</v>
      </c>
      <c r="L1681" t="s">
        <v>1710</v>
      </c>
      <c r="M1681" t="s">
        <v>1711</v>
      </c>
      <c r="N1681" s="1">
        <f>Table1[[#This Row],[Consideration Weight]]</f>
        <v>0.154</v>
      </c>
      <c r="O1681" t="s">
        <v>194</v>
      </c>
      <c r="P1681" s="1">
        <v>0.154</v>
      </c>
      <c r="V1681" t="s">
        <v>991</v>
      </c>
    </row>
    <row r="1682" spans="1:22" x14ac:dyDescent="0.3">
      <c r="A1682" t="s">
        <v>980</v>
      </c>
      <c r="B1682" t="str">
        <f ca="1">OFFSET(Industries!C$1,MATCH(Table1[[#This Row],[Ticker]],Industries!$A$2:$A$150,0),0)</f>
        <v>Real Estate</v>
      </c>
      <c r="C1682" t="str">
        <f ca="1">OFFSET(Industries!D$1,MATCH(Table1[[#This Row],[Ticker]],Industries!$A$2:$A$150,0),0)</f>
        <v>Equity Real Estate Investment Trusts (REITs)</v>
      </c>
      <c r="D1682" t="str">
        <f ca="1">OFFSET(Industries!E$1,MATCH(Table1[[#This Row],[Ticker]],Industries!$A$2:$A$150,0),0)</f>
        <v>Health Care REITs</v>
      </c>
      <c r="E1682" t="s">
        <v>910</v>
      </c>
      <c r="F1682" t="str">
        <f ca="1">OFFSET(Industries!B$1,MATCH(Table1[[#This Row],[Ticker]],Industries!$A$2:$A$140,0),0)</f>
        <v>Ultra-Cap</v>
      </c>
      <c r="G1682" t="str">
        <f ca="1">OFFSET(Industries!F$1,MATCH(Table1[[#This Row],[Ticker]],Industries!$A$2:$A$140,0),0)</f>
        <v>BBB+</v>
      </c>
      <c r="H1682" t="s">
        <v>1434</v>
      </c>
      <c r="I1682" t="s">
        <v>1434</v>
      </c>
      <c r="J1682" s="2">
        <v>45394</v>
      </c>
      <c r="K1682" t="s">
        <v>21</v>
      </c>
      <c r="L1682" t="s">
        <v>1710</v>
      </c>
      <c r="M1682" t="s">
        <v>1711</v>
      </c>
      <c r="N1682" s="1">
        <f>Table1[[#This Row],[Consideration Weight]]</f>
        <v>3.1E-2</v>
      </c>
      <c r="O1682" t="s">
        <v>87</v>
      </c>
      <c r="P1682" s="1">
        <v>3.1E-2</v>
      </c>
    </row>
    <row r="1683" spans="1:22" x14ac:dyDescent="0.3">
      <c r="A1683" t="s">
        <v>992</v>
      </c>
      <c r="B1683" t="str">
        <f ca="1">OFFSET(Industries!C$1,MATCH(Table1[[#This Row],[Ticker]],Industries!$A$2:$A$150,0),0)</f>
        <v>Industrials</v>
      </c>
      <c r="C1683" t="str">
        <f ca="1">OFFSET(Industries!D$1,MATCH(Table1[[#This Row],[Ticker]],Industries!$A$2:$A$150,0),0)</f>
        <v>Commercial and Professional Services</v>
      </c>
      <c r="D1683" t="str">
        <f ca="1">OFFSET(Industries!E$1,MATCH(Table1[[#This Row],[Ticker]],Industries!$A$2:$A$150,0),0)</f>
        <v>Professional Services</v>
      </c>
      <c r="E1683" t="s">
        <v>993</v>
      </c>
      <c r="F1683" t="str">
        <f ca="1">OFFSET(Industries!B$1,MATCH(Table1[[#This Row],[Ticker]],Industries!$A$2:$A$140,0),0)</f>
        <v>Large-Cap</v>
      </c>
      <c r="H1683" t="s">
        <v>1434</v>
      </c>
      <c r="I1683" t="s">
        <v>1434</v>
      </c>
      <c r="J1683" s="2">
        <v>45170</v>
      </c>
      <c r="K1683" t="s">
        <v>2</v>
      </c>
      <c r="L1683" t="s">
        <v>3</v>
      </c>
      <c r="M1683" t="s">
        <v>1711</v>
      </c>
      <c r="N1683" s="1">
        <f>Table1[[#This Row],[Consideration Weight]]</f>
        <v>0.13</v>
      </c>
      <c r="O1683" t="s">
        <v>3</v>
      </c>
      <c r="P1683" s="1">
        <v>0.13</v>
      </c>
      <c r="V1683" t="s">
        <v>995</v>
      </c>
    </row>
    <row r="1684" spans="1:22" x14ac:dyDescent="0.3">
      <c r="A1684" t="s">
        <v>992</v>
      </c>
      <c r="B1684" t="str">
        <f ca="1">OFFSET(Industries!C$1,MATCH(Table1[[#This Row],[Ticker]],Industries!$A$2:$A$150,0),0)</f>
        <v>Industrials</v>
      </c>
      <c r="C1684" t="str">
        <f ca="1">OFFSET(Industries!D$1,MATCH(Table1[[#This Row],[Ticker]],Industries!$A$2:$A$150,0),0)</f>
        <v>Commercial and Professional Services</v>
      </c>
      <c r="D1684" t="str">
        <f ca="1">OFFSET(Industries!E$1,MATCH(Table1[[#This Row],[Ticker]],Industries!$A$2:$A$150,0),0)</f>
        <v>Professional Services</v>
      </c>
      <c r="E1684" t="s">
        <v>993</v>
      </c>
      <c r="F1684" t="str">
        <f ca="1">OFFSET(Industries!B$1,MATCH(Table1[[#This Row],[Ticker]],Industries!$A$2:$A$140,0),0)</f>
        <v>Large-Cap</v>
      </c>
      <c r="H1684" t="s">
        <v>1434</v>
      </c>
      <c r="I1684" t="s">
        <v>1434</v>
      </c>
      <c r="J1684" s="2">
        <v>45170</v>
      </c>
      <c r="K1684" t="s">
        <v>2</v>
      </c>
      <c r="L1684" t="s">
        <v>1708</v>
      </c>
      <c r="M1684" t="s">
        <v>1709</v>
      </c>
      <c r="N1684" s="1">
        <f>Table1[[#This Row],[Consideration Weight]]</f>
        <v>0.13</v>
      </c>
      <c r="O1684" t="s">
        <v>4</v>
      </c>
      <c r="P1684" s="1">
        <v>0.13</v>
      </c>
      <c r="Q1684" s="1" t="s">
        <v>1636</v>
      </c>
      <c r="R1684" t="s">
        <v>23</v>
      </c>
      <c r="S1684" t="s">
        <v>1083</v>
      </c>
      <c r="T1684" t="s">
        <v>994</v>
      </c>
      <c r="U1684" s="1">
        <v>0.36499999999999999</v>
      </c>
      <c r="V1684" t="s">
        <v>999</v>
      </c>
    </row>
    <row r="1685" spans="1:22" x14ac:dyDescent="0.3">
      <c r="A1685" t="s">
        <v>992</v>
      </c>
      <c r="B1685" t="str">
        <f ca="1">OFFSET(Industries!C$1,MATCH(Table1[[#This Row],[Ticker]],Industries!$A$2:$A$150,0),0)</f>
        <v>Industrials</v>
      </c>
      <c r="C1685" t="str">
        <f ca="1">OFFSET(Industries!D$1,MATCH(Table1[[#This Row],[Ticker]],Industries!$A$2:$A$150,0),0)</f>
        <v>Commercial and Professional Services</v>
      </c>
      <c r="D1685" t="str">
        <f ca="1">OFFSET(Industries!E$1,MATCH(Table1[[#This Row],[Ticker]],Industries!$A$2:$A$150,0),0)</f>
        <v>Professional Services</v>
      </c>
      <c r="E1685" t="s">
        <v>993</v>
      </c>
      <c r="F1685" t="str">
        <f ca="1">OFFSET(Industries!B$1,MATCH(Table1[[#This Row],[Ticker]],Industries!$A$2:$A$140,0),0)</f>
        <v>Large-Cap</v>
      </c>
      <c r="H1685" t="s">
        <v>1434</v>
      </c>
      <c r="I1685" t="s">
        <v>1434</v>
      </c>
      <c r="J1685" s="2">
        <v>45170</v>
      </c>
      <c r="K1685" t="s">
        <v>2</v>
      </c>
      <c r="L1685" t="s">
        <v>1708</v>
      </c>
      <c r="M1685" t="s">
        <v>1709</v>
      </c>
      <c r="N1685" s="1"/>
      <c r="O1685" t="s">
        <v>4</v>
      </c>
      <c r="P1685" s="1">
        <v>0.13</v>
      </c>
      <c r="Q1685" s="1" t="s">
        <v>1636</v>
      </c>
      <c r="R1685" t="s">
        <v>24</v>
      </c>
      <c r="S1685" t="s">
        <v>90</v>
      </c>
      <c r="T1685" t="s">
        <v>8</v>
      </c>
      <c r="U1685" s="1">
        <v>0.253</v>
      </c>
    </row>
    <row r="1686" spans="1:22" x14ac:dyDescent="0.3">
      <c r="A1686" t="s">
        <v>992</v>
      </c>
      <c r="B1686" t="str">
        <f ca="1">OFFSET(Industries!C$1,MATCH(Table1[[#This Row],[Ticker]],Industries!$A$2:$A$150,0),0)</f>
        <v>Industrials</v>
      </c>
      <c r="C1686" t="str">
        <f ca="1">OFFSET(Industries!D$1,MATCH(Table1[[#This Row],[Ticker]],Industries!$A$2:$A$150,0),0)</f>
        <v>Commercial and Professional Services</v>
      </c>
      <c r="D1686" t="str">
        <f ca="1">OFFSET(Industries!E$1,MATCH(Table1[[#This Row],[Ticker]],Industries!$A$2:$A$150,0),0)</f>
        <v>Professional Services</v>
      </c>
      <c r="E1686" t="s">
        <v>993</v>
      </c>
      <c r="F1686" t="str">
        <f ca="1">OFFSET(Industries!B$1,MATCH(Table1[[#This Row],[Ticker]],Industries!$A$2:$A$140,0),0)</f>
        <v>Large-Cap</v>
      </c>
      <c r="H1686" t="s">
        <v>1434</v>
      </c>
      <c r="I1686" t="s">
        <v>1434</v>
      </c>
      <c r="J1686" s="2">
        <v>45170</v>
      </c>
      <c r="K1686" t="s">
        <v>2</v>
      </c>
      <c r="L1686" t="s">
        <v>1708</v>
      </c>
      <c r="M1686" t="s">
        <v>1709</v>
      </c>
      <c r="N1686" s="1"/>
      <c r="O1686" t="s">
        <v>4</v>
      </c>
      <c r="P1686" s="1">
        <v>0.13</v>
      </c>
      <c r="Q1686" s="1" t="s">
        <v>1636</v>
      </c>
      <c r="R1686" t="s">
        <v>23</v>
      </c>
      <c r="S1686" t="s">
        <v>1083</v>
      </c>
      <c r="T1686" t="s">
        <v>996</v>
      </c>
      <c r="U1686" s="1">
        <v>0.253</v>
      </c>
    </row>
    <row r="1687" spans="1:22" x14ac:dyDescent="0.3">
      <c r="A1687" t="s">
        <v>992</v>
      </c>
      <c r="B1687" t="str">
        <f ca="1">OFFSET(Industries!C$1,MATCH(Table1[[#This Row],[Ticker]],Industries!$A$2:$A$150,0),0)</f>
        <v>Industrials</v>
      </c>
      <c r="C1687" t="str">
        <f ca="1">OFFSET(Industries!D$1,MATCH(Table1[[#This Row],[Ticker]],Industries!$A$2:$A$150,0),0)</f>
        <v>Commercial and Professional Services</v>
      </c>
      <c r="D1687" t="str">
        <f ca="1">OFFSET(Industries!E$1,MATCH(Table1[[#This Row],[Ticker]],Industries!$A$2:$A$150,0),0)</f>
        <v>Professional Services</v>
      </c>
      <c r="E1687" t="s">
        <v>993</v>
      </c>
      <c r="F1687" t="str">
        <f ca="1">OFFSET(Industries!B$1,MATCH(Table1[[#This Row],[Ticker]],Industries!$A$2:$A$140,0),0)</f>
        <v>Large-Cap</v>
      </c>
      <c r="H1687" t="s">
        <v>1434</v>
      </c>
      <c r="I1687" t="s">
        <v>1434</v>
      </c>
      <c r="J1687" s="2">
        <v>45170</v>
      </c>
      <c r="K1687" t="s">
        <v>2</v>
      </c>
      <c r="L1687" t="s">
        <v>1708</v>
      </c>
      <c r="M1687" t="s">
        <v>1709</v>
      </c>
      <c r="N1687" s="1"/>
      <c r="O1687" t="s">
        <v>4</v>
      </c>
      <c r="P1687" s="1">
        <v>0.13</v>
      </c>
      <c r="Q1687" s="1" t="s">
        <v>1637</v>
      </c>
      <c r="R1687" t="s">
        <v>332</v>
      </c>
      <c r="S1687" t="s">
        <v>380</v>
      </c>
      <c r="T1687" t="s">
        <v>380</v>
      </c>
      <c r="U1687" s="1">
        <v>0.129</v>
      </c>
      <c r="V1687" t="s">
        <v>998</v>
      </c>
    </row>
    <row r="1688" spans="1:22" x14ac:dyDescent="0.3">
      <c r="A1688" t="s">
        <v>992</v>
      </c>
      <c r="B1688" t="str">
        <f ca="1">OFFSET(Industries!C$1,MATCH(Table1[[#This Row],[Ticker]],Industries!$A$2:$A$150,0),0)</f>
        <v>Industrials</v>
      </c>
      <c r="C1688" t="str">
        <f ca="1">OFFSET(Industries!D$1,MATCH(Table1[[#This Row],[Ticker]],Industries!$A$2:$A$150,0),0)</f>
        <v>Commercial and Professional Services</v>
      </c>
      <c r="D1688" t="str">
        <f ca="1">OFFSET(Industries!E$1,MATCH(Table1[[#This Row],[Ticker]],Industries!$A$2:$A$150,0),0)</f>
        <v>Professional Services</v>
      </c>
      <c r="E1688" t="s">
        <v>993</v>
      </c>
      <c r="F1688" t="str">
        <f ca="1">OFFSET(Industries!B$1,MATCH(Table1[[#This Row],[Ticker]],Industries!$A$2:$A$140,0),0)</f>
        <v>Large-Cap</v>
      </c>
      <c r="H1688" t="s">
        <v>1434</v>
      </c>
      <c r="I1688" t="s">
        <v>1434</v>
      </c>
      <c r="J1688" s="2">
        <v>45170</v>
      </c>
      <c r="K1688" t="s">
        <v>2</v>
      </c>
      <c r="L1688" t="s">
        <v>1708</v>
      </c>
      <c r="M1688" t="s">
        <v>1709</v>
      </c>
      <c r="N1688" s="1"/>
      <c r="O1688" t="s">
        <v>4</v>
      </c>
      <c r="P1688" s="1">
        <v>0.13</v>
      </c>
      <c r="R1688" t="s">
        <v>28</v>
      </c>
      <c r="S1688" t="s">
        <v>1110</v>
      </c>
      <c r="T1688" t="s">
        <v>172</v>
      </c>
      <c r="V1688" t="s">
        <v>1000</v>
      </c>
    </row>
    <row r="1689" spans="1:22" x14ac:dyDescent="0.3">
      <c r="A1689" t="s">
        <v>992</v>
      </c>
      <c r="B1689" t="str">
        <f ca="1">OFFSET(Industries!C$1,MATCH(Table1[[#This Row],[Ticker]],Industries!$A$2:$A$150,0),0)</f>
        <v>Industrials</v>
      </c>
      <c r="C1689" t="str">
        <f ca="1">OFFSET(Industries!D$1,MATCH(Table1[[#This Row],[Ticker]],Industries!$A$2:$A$150,0),0)</f>
        <v>Commercial and Professional Services</v>
      </c>
      <c r="D1689" t="str">
        <f ca="1">OFFSET(Industries!E$1,MATCH(Table1[[#This Row],[Ticker]],Industries!$A$2:$A$150,0),0)</f>
        <v>Professional Services</v>
      </c>
      <c r="E1689" t="s">
        <v>993</v>
      </c>
      <c r="F1689" t="str">
        <f ca="1">OFFSET(Industries!B$1,MATCH(Table1[[#This Row],[Ticker]],Industries!$A$2:$A$140,0),0)</f>
        <v>Large-Cap</v>
      </c>
      <c r="H1689" t="s">
        <v>1434</v>
      </c>
      <c r="I1689" t="s">
        <v>1434</v>
      </c>
      <c r="J1689" s="2">
        <v>45170</v>
      </c>
      <c r="K1689" t="s">
        <v>2</v>
      </c>
      <c r="L1689" t="s">
        <v>1710</v>
      </c>
      <c r="M1689" t="s">
        <v>1709</v>
      </c>
      <c r="N1689" s="1">
        <f>Table1[[#This Row],[Consideration Weight]]</f>
        <v>0.37</v>
      </c>
      <c r="O1689" t="s">
        <v>476</v>
      </c>
      <c r="P1689" s="1">
        <f>0.5*0.74</f>
        <v>0.37</v>
      </c>
      <c r="Q1689" s="1" t="s">
        <v>1636</v>
      </c>
      <c r="R1689" t="s">
        <v>23</v>
      </c>
      <c r="S1689" t="s">
        <v>1083</v>
      </c>
      <c r="T1689" t="s">
        <v>997</v>
      </c>
      <c r="U1689" s="1">
        <v>0.5</v>
      </c>
      <c r="V1689" t="s">
        <v>231</v>
      </c>
    </row>
    <row r="1690" spans="1:22" x14ac:dyDescent="0.3">
      <c r="A1690" t="s">
        <v>992</v>
      </c>
      <c r="B1690" t="str">
        <f ca="1">OFFSET(Industries!C$1,MATCH(Table1[[#This Row],[Ticker]],Industries!$A$2:$A$150,0),0)</f>
        <v>Industrials</v>
      </c>
      <c r="C1690" t="str">
        <f ca="1">OFFSET(Industries!D$1,MATCH(Table1[[#This Row],[Ticker]],Industries!$A$2:$A$150,0),0)</f>
        <v>Commercial and Professional Services</v>
      </c>
      <c r="D1690" t="str">
        <f ca="1">OFFSET(Industries!E$1,MATCH(Table1[[#This Row],[Ticker]],Industries!$A$2:$A$150,0),0)</f>
        <v>Professional Services</v>
      </c>
      <c r="E1690" t="s">
        <v>993</v>
      </c>
      <c r="F1690" t="str">
        <f ca="1">OFFSET(Industries!B$1,MATCH(Table1[[#This Row],[Ticker]],Industries!$A$2:$A$140,0),0)</f>
        <v>Large-Cap</v>
      </c>
      <c r="H1690" t="s">
        <v>1434</v>
      </c>
      <c r="I1690" t="s">
        <v>1434</v>
      </c>
      <c r="J1690" s="2">
        <v>45170</v>
      </c>
      <c r="K1690" t="s">
        <v>2</v>
      </c>
      <c r="L1690" t="s">
        <v>1710</v>
      </c>
      <c r="M1690" t="s">
        <v>1709</v>
      </c>
      <c r="N1690" s="1"/>
      <c r="O1690" t="s">
        <v>476</v>
      </c>
      <c r="P1690" s="1">
        <f>0.5*0.74</f>
        <v>0.37</v>
      </c>
      <c r="Q1690" s="1" t="s">
        <v>1636</v>
      </c>
      <c r="R1690" t="s">
        <v>23</v>
      </c>
      <c r="S1690" t="s">
        <v>90</v>
      </c>
      <c r="T1690" t="s">
        <v>1079</v>
      </c>
      <c r="U1690" s="1">
        <v>0.5</v>
      </c>
    </row>
    <row r="1691" spans="1:22" x14ac:dyDescent="0.3">
      <c r="A1691" t="s">
        <v>992</v>
      </c>
      <c r="B1691" t="str">
        <f ca="1">OFFSET(Industries!C$1,MATCH(Table1[[#This Row],[Ticker]],Industries!$A$2:$A$150,0),0)</f>
        <v>Industrials</v>
      </c>
      <c r="C1691" t="str">
        <f ca="1">OFFSET(Industries!D$1,MATCH(Table1[[#This Row],[Ticker]],Industries!$A$2:$A$150,0),0)</f>
        <v>Commercial and Professional Services</v>
      </c>
      <c r="D1691" t="str">
        <f ca="1">OFFSET(Industries!E$1,MATCH(Table1[[#This Row],[Ticker]],Industries!$A$2:$A$150,0),0)</f>
        <v>Professional Services</v>
      </c>
      <c r="E1691" t="s">
        <v>993</v>
      </c>
      <c r="F1691" t="str">
        <f ca="1">OFFSET(Industries!B$1,MATCH(Table1[[#This Row],[Ticker]],Industries!$A$2:$A$140,0),0)</f>
        <v>Large-Cap</v>
      </c>
      <c r="H1691" t="s">
        <v>1434</v>
      </c>
      <c r="I1691" t="s">
        <v>1434</v>
      </c>
      <c r="J1691" s="2">
        <v>45170</v>
      </c>
      <c r="K1691" t="s">
        <v>2</v>
      </c>
      <c r="L1691" t="s">
        <v>1710</v>
      </c>
      <c r="M1691" t="s">
        <v>1711</v>
      </c>
      <c r="N1691" s="1">
        <f>Table1[[#This Row],[Consideration Weight]]</f>
        <v>0.222</v>
      </c>
      <c r="O1691" t="s">
        <v>87</v>
      </c>
      <c r="P1691" s="1">
        <f>0.3*0.74</f>
        <v>0.222</v>
      </c>
    </row>
    <row r="1692" spans="1:22" x14ac:dyDescent="0.3">
      <c r="A1692" t="s">
        <v>992</v>
      </c>
      <c r="B1692" t="str">
        <f ca="1">OFFSET(Industries!C$1,MATCH(Table1[[#This Row],[Ticker]],Industries!$A$2:$A$150,0),0)</f>
        <v>Industrials</v>
      </c>
      <c r="C1692" t="str">
        <f ca="1">OFFSET(Industries!D$1,MATCH(Table1[[#This Row],[Ticker]],Industries!$A$2:$A$150,0),0)</f>
        <v>Commercial and Professional Services</v>
      </c>
      <c r="D1692" t="str">
        <f ca="1">OFFSET(Industries!E$1,MATCH(Table1[[#This Row],[Ticker]],Industries!$A$2:$A$150,0),0)</f>
        <v>Professional Services</v>
      </c>
      <c r="E1692" t="s">
        <v>993</v>
      </c>
      <c r="F1692" t="str">
        <f ca="1">OFFSET(Industries!B$1,MATCH(Table1[[#This Row],[Ticker]],Industries!$A$2:$A$140,0),0)</f>
        <v>Large-Cap</v>
      </c>
      <c r="H1692" t="s">
        <v>1434</v>
      </c>
      <c r="I1692" t="s">
        <v>1434</v>
      </c>
      <c r="J1692" s="2">
        <v>45170</v>
      </c>
      <c r="K1692" t="s">
        <v>2</v>
      </c>
      <c r="L1692" t="s">
        <v>1710</v>
      </c>
      <c r="M1692" t="s">
        <v>1711</v>
      </c>
      <c r="N1692" s="1">
        <f>Table1[[#This Row],[Consideration Weight]]</f>
        <v>0.14799999999999999</v>
      </c>
      <c r="O1692" t="s">
        <v>194</v>
      </c>
      <c r="P1692" s="1">
        <f>0.2*0.74</f>
        <v>0.14799999999999999</v>
      </c>
    </row>
    <row r="1693" spans="1:22" x14ac:dyDescent="0.3">
      <c r="A1693" t="s">
        <v>992</v>
      </c>
      <c r="B1693" t="str">
        <f ca="1">OFFSET(Industries!C$1,MATCH(Table1[[#This Row],[Ticker]],Industries!$A$2:$A$150,0),0)</f>
        <v>Industrials</v>
      </c>
      <c r="C1693" t="str">
        <f ca="1">OFFSET(Industries!D$1,MATCH(Table1[[#This Row],[Ticker]],Industries!$A$2:$A$150,0),0)</f>
        <v>Commercial and Professional Services</v>
      </c>
      <c r="D1693" t="str">
        <f ca="1">OFFSET(Industries!E$1,MATCH(Table1[[#This Row],[Ticker]],Industries!$A$2:$A$150,0),0)</f>
        <v>Professional Services</v>
      </c>
      <c r="E1693" t="s">
        <v>993</v>
      </c>
      <c r="F1693" t="str">
        <f ca="1">OFFSET(Industries!B$1,MATCH(Table1[[#This Row],[Ticker]],Industries!$A$2:$A$140,0),0)</f>
        <v>Large-Cap</v>
      </c>
      <c r="H1693" t="s">
        <v>1434</v>
      </c>
      <c r="I1693" t="s">
        <v>1434</v>
      </c>
      <c r="J1693" s="2">
        <v>45170</v>
      </c>
      <c r="K1693" t="s">
        <v>21</v>
      </c>
      <c r="L1693" t="s">
        <v>3</v>
      </c>
      <c r="M1693" t="s">
        <v>1711</v>
      </c>
      <c r="N1693" s="1">
        <f>Table1[[#This Row],[Consideration Weight]]</f>
        <v>0.2</v>
      </c>
      <c r="O1693" t="s">
        <v>3</v>
      </c>
      <c r="P1693" s="1">
        <v>0.2</v>
      </c>
    </row>
    <row r="1694" spans="1:22" x14ac:dyDescent="0.3">
      <c r="A1694" t="s">
        <v>992</v>
      </c>
      <c r="B1694" t="str">
        <f ca="1">OFFSET(Industries!C$1,MATCH(Table1[[#This Row],[Ticker]],Industries!$A$2:$A$150,0),0)</f>
        <v>Industrials</v>
      </c>
      <c r="C1694" t="str">
        <f ca="1">OFFSET(Industries!D$1,MATCH(Table1[[#This Row],[Ticker]],Industries!$A$2:$A$150,0),0)</f>
        <v>Commercial and Professional Services</v>
      </c>
      <c r="D1694" t="str">
        <f ca="1">OFFSET(Industries!E$1,MATCH(Table1[[#This Row],[Ticker]],Industries!$A$2:$A$150,0),0)</f>
        <v>Professional Services</v>
      </c>
      <c r="E1694" t="s">
        <v>993</v>
      </c>
      <c r="F1694" t="str">
        <f ca="1">OFFSET(Industries!B$1,MATCH(Table1[[#This Row],[Ticker]],Industries!$A$2:$A$140,0),0)</f>
        <v>Large-Cap</v>
      </c>
      <c r="H1694" t="s">
        <v>1434</v>
      </c>
      <c r="I1694" t="s">
        <v>1434</v>
      </c>
      <c r="J1694" s="2">
        <v>45170</v>
      </c>
      <c r="K1694" t="s">
        <v>21</v>
      </c>
      <c r="L1694" t="s">
        <v>1708</v>
      </c>
      <c r="M1694" t="s">
        <v>1709</v>
      </c>
      <c r="N1694" s="1">
        <f>Table1[[#This Row],[Consideration Weight]]</f>
        <v>0.2</v>
      </c>
      <c r="O1694" t="s">
        <v>4</v>
      </c>
      <c r="P1694" s="1">
        <v>0.2</v>
      </c>
      <c r="Q1694" s="1" t="s">
        <v>1636</v>
      </c>
      <c r="R1694" t="s">
        <v>23</v>
      </c>
      <c r="S1694" t="s">
        <v>1083</v>
      </c>
      <c r="T1694" t="s">
        <v>994</v>
      </c>
      <c r="U1694" s="1">
        <v>0.28699999999999998</v>
      </c>
    </row>
    <row r="1695" spans="1:22" x14ac:dyDescent="0.3">
      <c r="A1695" t="s">
        <v>992</v>
      </c>
      <c r="B1695" t="str">
        <f ca="1">OFFSET(Industries!C$1,MATCH(Table1[[#This Row],[Ticker]],Industries!$A$2:$A$150,0),0)</f>
        <v>Industrials</v>
      </c>
      <c r="C1695" t="str">
        <f ca="1">OFFSET(Industries!D$1,MATCH(Table1[[#This Row],[Ticker]],Industries!$A$2:$A$150,0),0)</f>
        <v>Commercial and Professional Services</v>
      </c>
      <c r="D1695" t="str">
        <f ca="1">OFFSET(Industries!E$1,MATCH(Table1[[#This Row],[Ticker]],Industries!$A$2:$A$150,0),0)</f>
        <v>Professional Services</v>
      </c>
      <c r="E1695" t="s">
        <v>993</v>
      </c>
      <c r="F1695" t="str">
        <f ca="1">OFFSET(Industries!B$1,MATCH(Table1[[#This Row],[Ticker]],Industries!$A$2:$A$140,0),0)</f>
        <v>Large-Cap</v>
      </c>
      <c r="H1695" t="s">
        <v>1434</v>
      </c>
      <c r="I1695" t="s">
        <v>1434</v>
      </c>
      <c r="J1695" s="2">
        <v>45170</v>
      </c>
      <c r="K1695" t="s">
        <v>21</v>
      </c>
      <c r="L1695" t="s">
        <v>1708</v>
      </c>
      <c r="M1695" t="s">
        <v>1709</v>
      </c>
      <c r="N1695" s="1"/>
      <c r="O1695" t="s">
        <v>4</v>
      </c>
      <c r="P1695" s="1">
        <v>0.2</v>
      </c>
      <c r="Q1695" s="1" t="s">
        <v>1636</v>
      </c>
      <c r="R1695" t="s">
        <v>24</v>
      </c>
      <c r="S1695" t="s">
        <v>90</v>
      </c>
      <c r="T1695" t="s">
        <v>8</v>
      </c>
      <c r="U1695" s="1">
        <v>0.32900000000000001</v>
      </c>
    </row>
    <row r="1696" spans="1:22" x14ac:dyDescent="0.3">
      <c r="A1696" t="s">
        <v>992</v>
      </c>
      <c r="B1696" t="str">
        <f ca="1">OFFSET(Industries!C$1,MATCH(Table1[[#This Row],[Ticker]],Industries!$A$2:$A$150,0),0)</f>
        <v>Industrials</v>
      </c>
      <c r="C1696" t="str">
        <f ca="1">OFFSET(Industries!D$1,MATCH(Table1[[#This Row],[Ticker]],Industries!$A$2:$A$150,0),0)</f>
        <v>Commercial and Professional Services</v>
      </c>
      <c r="D1696" t="str">
        <f ca="1">OFFSET(Industries!E$1,MATCH(Table1[[#This Row],[Ticker]],Industries!$A$2:$A$150,0),0)</f>
        <v>Professional Services</v>
      </c>
      <c r="E1696" t="s">
        <v>993</v>
      </c>
      <c r="F1696" t="str">
        <f ca="1">OFFSET(Industries!B$1,MATCH(Table1[[#This Row],[Ticker]],Industries!$A$2:$A$140,0),0)</f>
        <v>Large-Cap</v>
      </c>
      <c r="H1696" t="s">
        <v>1434</v>
      </c>
      <c r="I1696" t="s">
        <v>1434</v>
      </c>
      <c r="J1696" s="2">
        <v>45170</v>
      </c>
      <c r="K1696" t="s">
        <v>21</v>
      </c>
      <c r="L1696" t="s">
        <v>1708</v>
      </c>
      <c r="M1696" t="s">
        <v>1709</v>
      </c>
      <c r="N1696" s="1"/>
      <c r="O1696" t="s">
        <v>4</v>
      </c>
      <c r="P1696" s="1">
        <v>0.2</v>
      </c>
      <c r="Q1696" s="1" t="s">
        <v>1636</v>
      </c>
      <c r="R1696" t="s">
        <v>23</v>
      </c>
      <c r="S1696" t="s">
        <v>1083</v>
      </c>
      <c r="T1696" t="s">
        <v>996</v>
      </c>
      <c r="U1696" s="1">
        <v>0.27600000000000002</v>
      </c>
    </row>
    <row r="1697" spans="1:22" x14ac:dyDescent="0.3">
      <c r="A1697" t="s">
        <v>992</v>
      </c>
      <c r="B1697" t="str">
        <f ca="1">OFFSET(Industries!C$1,MATCH(Table1[[#This Row],[Ticker]],Industries!$A$2:$A$150,0),0)</f>
        <v>Industrials</v>
      </c>
      <c r="C1697" t="str">
        <f ca="1">OFFSET(Industries!D$1,MATCH(Table1[[#This Row],[Ticker]],Industries!$A$2:$A$150,0),0)</f>
        <v>Commercial and Professional Services</v>
      </c>
      <c r="D1697" t="str">
        <f ca="1">OFFSET(Industries!E$1,MATCH(Table1[[#This Row],[Ticker]],Industries!$A$2:$A$150,0),0)</f>
        <v>Professional Services</v>
      </c>
      <c r="E1697" t="s">
        <v>993</v>
      </c>
      <c r="F1697" t="str">
        <f ca="1">OFFSET(Industries!B$1,MATCH(Table1[[#This Row],[Ticker]],Industries!$A$2:$A$140,0),0)</f>
        <v>Large-Cap</v>
      </c>
      <c r="H1697" t="s">
        <v>1434</v>
      </c>
      <c r="I1697" t="s">
        <v>1434</v>
      </c>
      <c r="J1697" s="2">
        <v>45170</v>
      </c>
      <c r="K1697" t="s">
        <v>21</v>
      </c>
      <c r="L1697" t="s">
        <v>1708</v>
      </c>
      <c r="M1697" t="s">
        <v>1709</v>
      </c>
      <c r="N1697" s="1"/>
      <c r="O1697" t="s">
        <v>4</v>
      </c>
      <c r="P1697" s="1">
        <v>0.2</v>
      </c>
      <c r="Q1697" s="1" t="s">
        <v>1637</v>
      </c>
      <c r="R1697" t="s">
        <v>332</v>
      </c>
      <c r="S1697" t="s">
        <v>380</v>
      </c>
      <c r="T1697" t="s">
        <v>380</v>
      </c>
      <c r="U1697" s="1">
        <v>0.107</v>
      </c>
    </row>
    <row r="1698" spans="1:22" x14ac:dyDescent="0.3">
      <c r="A1698" t="s">
        <v>992</v>
      </c>
      <c r="B1698" t="str">
        <f ca="1">OFFSET(Industries!C$1,MATCH(Table1[[#This Row],[Ticker]],Industries!$A$2:$A$150,0),0)</f>
        <v>Industrials</v>
      </c>
      <c r="C1698" t="str">
        <f ca="1">OFFSET(Industries!D$1,MATCH(Table1[[#This Row],[Ticker]],Industries!$A$2:$A$150,0),0)</f>
        <v>Commercial and Professional Services</v>
      </c>
      <c r="D1698" t="str">
        <f ca="1">OFFSET(Industries!E$1,MATCH(Table1[[#This Row],[Ticker]],Industries!$A$2:$A$150,0),0)</f>
        <v>Professional Services</v>
      </c>
      <c r="E1698" t="s">
        <v>993</v>
      </c>
      <c r="F1698" t="str">
        <f ca="1">OFFSET(Industries!B$1,MATCH(Table1[[#This Row],[Ticker]],Industries!$A$2:$A$140,0),0)</f>
        <v>Large-Cap</v>
      </c>
      <c r="H1698" t="s">
        <v>1434</v>
      </c>
      <c r="I1698" t="s">
        <v>1434</v>
      </c>
      <c r="J1698" s="2">
        <v>45170</v>
      </c>
      <c r="K1698" t="s">
        <v>21</v>
      </c>
      <c r="L1698" t="s">
        <v>1708</v>
      </c>
      <c r="M1698" t="s">
        <v>1709</v>
      </c>
      <c r="N1698" s="1"/>
      <c r="O1698" t="s">
        <v>4</v>
      </c>
      <c r="P1698" s="1">
        <v>0.2</v>
      </c>
      <c r="R1698" t="s">
        <v>28</v>
      </c>
      <c r="S1698" t="s">
        <v>1110</v>
      </c>
      <c r="T1698" t="s">
        <v>172</v>
      </c>
    </row>
    <row r="1699" spans="1:22" x14ac:dyDescent="0.3">
      <c r="A1699" t="s">
        <v>992</v>
      </c>
      <c r="B1699" t="str">
        <f ca="1">OFFSET(Industries!C$1,MATCH(Table1[[#This Row],[Ticker]],Industries!$A$2:$A$150,0),0)</f>
        <v>Industrials</v>
      </c>
      <c r="C1699" t="str">
        <f ca="1">OFFSET(Industries!D$1,MATCH(Table1[[#This Row],[Ticker]],Industries!$A$2:$A$150,0),0)</f>
        <v>Commercial and Professional Services</v>
      </c>
      <c r="D1699" t="str">
        <f ca="1">OFFSET(Industries!E$1,MATCH(Table1[[#This Row],[Ticker]],Industries!$A$2:$A$150,0),0)</f>
        <v>Professional Services</v>
      </c>
      <c r="E1699" t="s">
        <v>993</v>
      </c>
      <c r="F1699" t="str">
        <f ca="1">OFFSET(Industries!B$1,MATCH(Table1[[#This Row],[Ticker]],Industries!$A$2:$A$140,0),0)</f>
        <v>Large-Cap</v>
      </c>
      <c r="H1699" t="s">
        <v>1434</v>
      </c>
      <c r="I1699" t="s">
        <v>1434</v>
      </c>
      <c r="J1699" s="2">
        <v>45170</v>
      </c>
      <c r="K1699" t="s">
        <v>21</v>
      </c>
      <c r="L1699" t="s">
        <v>1710</v>
      </c>
      <c r="M1699" t="s">
        <v>1709</v>
      </c>
      <c r="N1699" s="1">
        <f>Table1[[#This Row],[Consideration Weight]]</f>
        <v>0.3</v>
      </c>
      <c r="O1699" t="s">
        <v>476</v>
      </c>
      <c r="P1699" s="1">
        <v>0.3</v>
      </c>
      <c r="Q1699" s="1" t="s">
        <v>1636</v>
      </c>
      <c r="R1699" t="s">
        <v>23</v>
      </c>
      <c r="S1699" t="s">
        <v>1083</v>
      </c>
      <c r="T1699" t="s">
        <v>997</v>
      </c>
      <c r="U1699" s="1">
        <v>0.5</v>
      </c>
    </row>
    <row r="1700" spans="1:22" x14ac:dyDescent="0.3">
      <c r="A1700" t="s">
        <v>992</v>
      </c>
      <c r="B1700" t="str">
        <f ca="1">OFFSET(Industries!C$1,MATCH(Table1[[#This Row],[Ticker]],Industries!$A$2:$A$150,0),0)</f>
        <v>Industrials</v>
      </c>
      <c r="C1700" t="str">
        <f ca="1">OFFSET(Industries!D$1,MATCH(Table1[[#This Row],[Ticker]],Industries!$A$2:$A$150,0),0)</f>
        <v>Commercial and Professional Services</v>
      </c>
      <c r="D1700" t="str">
        <f ca="1">OFFSET(Industries!E$1,MATCH(Table1[[#This Row],[Ticker]],Industries!$A$2:$A$150,0),0)</f>
        <v>Professional Services</v>
      </c>
      <c r="E1700" t="s">
        <v>993</v>
      </c>
      <c r="F1700" t="str">
        <f ca="1">OFFSET(Industries!B$1,MATCH(Table1[[#This Row],[Ticker]],Industries!$A$2:$A$140,0),0)</f>
        <v>Large-Cap</v>
      </c>
      <c r="H1700" t="s">
        <v>1434</v>
      </c>
      <c r="I1700" t="s">
        <v>1434</v>
      </c>
      <c r="J1700" s="2">
        <v>45170</v>
      </c>
      <c r="K1700" t="s">
        <v>21</v>
      </c>
      <c r="L1700" t="s">
        <v>1710</v>
      </c>
      <c r="M1700" t="s">
        <v>1709</v>
      </c>
      <c r="N1700" s="1"/>
      <c r="O1700" t="s">
        <v>476</v>
      </c>
      <c r="P1700" s="1">
        <v>0.3</v>
      </c>
      <c r="Q1700" s="1" t="s">
        <v>1636</v>
      </c>
      <c r="R1700" t="s">
        <v>23</v>
      </c>
      <c r="S1700" t="s">
        <v>90</v>
      </c>
      <c r="T1700" t="s">
        <v>1079</v>
      </c>
      <c r="U1700" s="1">
        <v>0.5</v>
      </c>
    </row>
    <row r="1701" spans="1:22" x14ac:dyDescent="0.3">
      <c r="A1701" t="s">
        <v>992</v>
      </c>
      <c r="B1701" t="str">
        <f ca="1">OFFSET(Industries!C$1,MATCH(Table1[[#This Row],[Ticker]],Industries!$A$2:$A$150,0),0)</f>
        <v>Industrials</v>
      </c>
      <c r="C1701" t="str">
        <f ca="1">OFFSET(Industries!D$1,MATCH(Table1[[#This Row],[Ticker]],Industries!$A$2:$A$150,0),0)</f>
        <v>Commercial and Professional Services</v>
      </c>
      <c r="D1701" t="str">
        <f ca="1">OFFSET(Industries!E$1,MATCH(Table1[[#This Row],[Ticker]],Industries!$A$2:$A$150,0),0)</f>
        <v>Professional Services</v>
      </c>
      <c r="E1701" t="s">
        <v>993</v>
      </c>
      <c r="F1701" t="str">
        <f ca="1">OFFSET(Industries!B$1,MATCH(Table1[[#This Row],[Ticker]],Industries!$A$2:$A$140,0),0)</f>
        <v>Large-Cap</v>
      </c>
      <c r="H1701" t="s">
        <v>1434</v>
      </c>
      <c r="I1701" t="s">
        <v>1434</v>
      </c>
      <c r="J1701" s="2">
        <v>45170</v>
      </c>
      <c r="K1701" t="s">
        <v>21</v>
      </c>
      <c r="L1701" t="s">
        <v>1710</v>
      </c>
      <c r="M1701" t="s">
        <v>1711</v>
      </c>
      <c r="N1701" s="1">
        <f>Table1[[#This Row],[Consideration Weight]]</f>
        <v>0.18</v>
      </c>
      <c r="O1701" t="s">
        <v>87</v>
      </c>
      <c r="P1701" s="1">
        <v>0.18</v>
      </c>
    </row>
    <row r="1702" spans="1:22" x14ac:dyDescent="0.3">
      <c r="A1702" t="s">
        <v>992</v>
      </c>
      <c r="B1702" t="str">
        <f ca="1">OFFSET(Industries!C$1,MATCH(Table1[[#This Row],[Ticker]],Industries!$A$2:$A$150,0),0)</f>
        <v>Industrials</v>
      </c>
      <c r="C1702" t="str">
        <f ca="1">OFFSET(Industries!D$1,MATCH(Table1[[#This Row],[Ticker]],Industries!$A$2:$A$150,0),0)</f>
        <v>Commercial and Professional Services</v>
      </c>
      <c r="D1702" t="str">
        <f ca="1">OFFSET(Industries!E$1,MATCH(Table1[[#This Row],[Ticker]],Industries!$A$2:$A$150,0),0)</f>
        <v>Professional Services</v>
      </c>
      <c r="E1702" t="s">
        <v>993</v>
      </c>
      <c r="F1702" t="str">
        <f ca="1">OFFSET(Industries!B$1,MATCH(Table1[[#This Row],[Ticker]],Industries!$A$2:$A$140,0),0)</f>
        <v>Large-Cap</v>
      </c>
      <c r="H1702" t="s">
        <v>1434</v>
      </c>
      <c r="I1702" t="s">
        <v>1434</v>
      </c>
      <c r="J1702" s="2">
        <v>45170</v>
      </c>
      <c r="K1702" t="s">
        <v>21</v>
      </c>
      <c r="L1702" t="s">
        <v>1710</v>
      </c>
      <c r="M1702" t="s">
        <v>1711</v>
      </c>
      <c r="N1702" s="1">
        <f>Table1[[#This Row],[Consideration Weight]]</f>
        <v>0.12</v>
      </c>
      <c r="O1702" t="s">
        <v>194</v>
      </c>
      <c r="P1702" s="1">
        <v>0.12</v>
      </c>
    </row>
    <row r="1703" spans="1:22" x14ac:dyDescent="0.3">
      <c r="A1703" t="s">
        <v>1002</v>
      </c>
      <c r="B1703" t="str">
        <f ca="1">OFFSET(Industries!C$1,MATCH(Table1[[#This Row],[Ticker]],Industries!$A$2:$A$150,0),0)</f>
        <v>Consumer Staples</v>
      </c>
      <c r="C1703" t="str">
        <f ca="1">OFFSET(Industries!D$1,MATCH(Table1[[#This Row],[Ticker]],Industries!$A$2:$A$150,0),0)</f>
        <v>Household and Personal Products</v>
      </c>
      <c r="D1703" t="str">
        <f ca="1">OFFSET(Industries!E$1,MATCH(Table1[[#This Row],[Ticker]],Industries!$A$2:$A$150,0),0)</f>
        <v>Household Products</v>
      </c>
      <c r="E1703" t="s">
        <v>1001</v>
      </c>
      <c r="F1703" t="str">
        <f ca="1">OFFSET(Industries!B$1,MATCH(Table1[[#This Row],[Ticker]],Industries!$A$2:$A$140,0),0)</f>
        <v>Mega-Cap</v>
      </c>
      <c r="G1703" t="str">
        <f ca="1">OFFSET(Industries!F$1,MATCH(Table1[[#This Row],[Ticker]],Industries!$A$2:$A$140,0),0)</f>
        <v>AA-</v>
      </c>
      <c r="H1703" t="s">
        <v>1434</v>
      </c>
      <c r="I1703" t="s">
        <v>1434</v>
      </c>
      <c r="J1703" s="2">
        <v>45163</v>
      </c>
      <c r="K1703" t="s">
        <v>2</v>
      </c>
      <c r="L1703" t="s">
        <v>3</v>
      </c>
      <c r="M1703" t="s">
        <v>1711</v>
      </c>
      <c r="N1703" s="1">
        <f>Table1[[#This Row],[Consideration Weight]]</f>
        <v>7.8E-2</v>
      </c>
      <c r="O1703" t="s">
        <v>3</v>
      </c>
      <c r="P1703" s="1">
        <v>7.8E-2</v>
      </c>
      <c r="V1703" t="s">
        <v>1688</v>
      </c>
    </row>
    <row r="1704" spans="1:22" x14ac:dyDescent="0.3">
      <c r="A1704" t="s">
        <v>1002</v>
      </c>
      <c r="B1704" t="str">
        <f ca="1">OFFSET(Industries!C$1,MATCH(Table1[[#This Row],[Ticker]],Industries!$A$2:$A$150,0),0)</f>
        <v>Consumer Staples</v>
      </c>
      <c r="C1704" t="str">
        <f ca="1">OFFSET(Industries!D$1,MATCH(Table1[[#This Row],[Ticker]],Industries!$A$2:$A$150,0),0)</f>
        <v>Household and Personal Products</v>
      </c>
      <c r="D1704" t="str">
        <f ca="1">OFFSET(Industries!E$1,MATCH(Table1[[#This Row],[Ticker]],Industries!$A$2:$A$150,0),0)</f>
        <v>Household Products</v>
      </c>
      <c r="E1704" t="s">
        <v>1001</v>
      </c>
      <c r="F1704" t="str">
        <f ca="1">OFFSET(Industries!B$1,MATCH(Table1[[#This Row],[Ticker]],Industries!$A$2:$A$140,0),0)</f>
        <v>Mega-Cap</v>
      </c>
      <c r="G1704" t="str">
        <f ca="1">OFFSET(Industries!F$1,MATCH(Table1[[#This Row],[Ticker]],Industries!$A$2:$A$140,0),0)</f>
        <v>AA-</v>
      </c>
      <c r="H1704" t="s">
        <v>1434</v>
      </c>
      <c r="I1704" t="s">
        <v>1434</v>
      </c>
      <c r="J1704" s="2">
        <v>45163</v>
      </c>
      <c r="K1704" t="s">
        <v>2</v>
      </c>
      <c r="L1704" t="s">
        <v>1708</v>
      </c>
      <c r="M1704" t="s">
        <v>1709</v>
      </c>
      <c r="N1704" s="1">
        <f>Table1[[#This Row],[Consideration Weight]]</f>
        <v>0.22600000000000001</v>
      </c>
      <c r="O1704" t="s">
        <v>4</v>
      </c>
      <c r="P1704" s="1">
        <v>0.22600000000000001</v>
      </c>
      <c r="Q1704" s="1" t="s">
        <v>1637</v>
      </c>
      <c r="R1704" t="s">
        <v>25</v>
      </c>
      <c r="S1704" t="s">
        <v>1086</v>
      </c>
      <c r="T1704" t="s">
        <v>1003</v>
      </c>
      <c r="U1704" s="1">
        <v>0.7</v>
      </c>
      <c r="V1704" t="s">
        <v>1010</v>
      </c>
    </row>
    <row r="1705" spans="1:22" x14ac:dyDescent="0.3">
      <c r="A1705" t="s">
        <v>1002</v>
      </c>
      <c r="B1705" t="str">
        <f ca="1">OFFSET(Industries!C$1,MATCH(Table1[[#This Row],[Ticker]],Industries!$A$2:$A$150,0),0)</f>
        <v>Consumer Staples</v>
      </c>
      <c r="C1705" t="str">
        <f ca="1">OFFSET(Industries!D$1,MATCH(Table1[[#This Row],[Ticker]],Industries!$A$2:$A$150,0),0)</f>
        <v>Household and Personal Products</v>
      </c>
      <c r="D1705" t="str">
        <f ca="1">OFFSET(Industries!E$1,MATCH(Table1[[#This Row],[Ticker]],Industries!$A$2:$A$150,0),0)</f>
        <v>Household Products</v>
      </c>
      <c r="E1705" t="s">
        <v>1001</v>
      </c>
      <c r="F1705" t="str">
        <f ca="1">OFFSET(Industries!B$1,MATCH(Table1[[#This Row],[Ticker]],Industries!$A$2:$A$140,0),0)</f>
        <v>Mega-Cap</v>
      </c>
      <c r="G1705" t="str">
        <f ca="1">OFFSET(Industries!F$1,MATCH(Table1[[#This Row],[Ticker]],Industries!$A$2:$A$140,0),0)</f>
        <v>AA-</v>
      </c>
      <c r="H1705" t="s">
        <v>1434</v>
      </c>
      <c r="I1705" t="s">
        <v>1434</v>
      </c>
      <c r="J1705" s="2">
        <v>45163</v>
      </c>
      <c r="K1705" t="s">
        <v>2</v>
      </c>
      <c r="L1705" t="s">
        <v>1708</v>
      </c>
      <c r="M1705" t="s">
        <v>1709</v>
      </c>
      <c r="N1705" s="1"/>
      <c r="O1705" t="s">
        <v>4</v>
      </c>
      <c r="P1705" s="1">
        <v>0.22600000000000001</v>
      </c>
      <c r="Q1705" s="1" t="s">
        <v>1636</v>
      </c>
      <c r="R1705" t="s">
        <v>23</v>
      </c>
      <c r="S1705" t="s">
        <v>1083</v>
      </c>
      <c r="T1705" t="s">
        <v>226</v>
      </c>
      <c r="U1705" s="1">
        <v>0.15</v>
      </c>
      <c r="V1705" t="s">
        <v>1011</v>
      </c>
    </row>
    <row r="1706" spans="1:22" x14ac:dyDescent="0.3">
      <c r="A1706" t="s">
        <v>1002</v>
      </c>
      <c r="B1706" t="str">
        <f ca="1">OFFSET(Industries!C$1,MATCH(Table1[[#This Row],[Ticker]],Industries!$A$2:$A$150,0),0)</f>
        <v>Consumer Staples</v>
      </c>
      <c r="C1706" t="str">
        <f ca="1">OFFSET(Industries!D$1,MATCH(Table1[[#This Row],[Ticker]],Industries!$A$2:$A$150,0),0)</f>
        <v>Household and Personal Products</v>
      </c>
      <c r="D1706" t="str">
        <f ca="1">OFFSET(Industries!E$1,MATCH(Table1[[#This Row],[Ticker]],Industries!$A$2:$A$150,0),0)</f>
        <v>Household Products</v>
      </c>
      <c r="E1706" t="s">
        <v>1001</v>
      </c>
      <c r="F1706" t="str">
        <f ca="1">OFFSET(Industries!B$1,MATCH(Table1[[#This Row],[Ticker]],Industries!$A$2:$A$140,0),0)</f>
        <v>Mega-Cap</v>
      </c>
      <c r="G1706" t="str">
        <f ca="1">OFFSET(Industries!F$1,MATCH(Table1[[#This Row],[Ticker]],Industries!$A$2:$A$140,0),0)</f>
        <v>AA-</v>
      </c>
      <c r="H1706" t="s">
        <v>1434</v>
      </c>
      <c r="I1706" t="s">
        <v>1434</v>
      </c>
      <c r="J1706" s="2">
        <v>45163</v>
      </c>
      <c r="K1706" t="s">
        <v>2</v>
      </c>
      <c r="L1706" t="s">
        <v>1708</v>
      </c>
      <c r="M1706" t="s">
        <v>1709</v>
      </c>
      <c r="N1706" s="1"/>
      <c r="O1706" t="s">
        <v>4</v>
      </c>
      <c r="P1706" s="1">
        <v>0.22600000000000001</v>
      </c>
      <c r="Q1706" s="1" t="s">
        <v>1636</v>
      </c>
      <c r="R1706" t="s">
        <v>24</v>
      </c>
      <c r="S1706" t="s">
        <v>1089</v>
      </c>
      <c r="T1706" t="s">
        <v>403</v>
      </c>
      <c r="U1706" s="1">
        <v>0.15</v>
      </c>
      <c r="V1706" t="s">
        <v>1005</v>
      </c>
    </row>
    <row r="1707" spans="1:22" x14ac:dyDescent="0.3">
      <c r="A1707" t="s">
        <v>1002</v>
      </c>
      <c r="B1707" t="str">
        <f ca="1">OFFSET(Industries!C$1,MATCH(Table1[[#This Row],[Ticker]],Industries!$A$2:$A$150,0),0)</f>
        <v>Consumer Staples</v>
      </c>
      <c r="C1707" t="str">
        <f ca="1">OFFSET(Industries!D$1,MATCH(Table1[[#This Row],[Ticker]],Industries!$A$2:$A$150,0),0)</f>
        <v>Household and Personal Products</v>
      </c>
      <c r="D1707" t="str">
        <f ca="1">OFFSET(Industries!E$1,MATCH(Table1[[#This Row],[Ticker]],Industries!$A$2:$A$150,0),0)</f>
        <v>Household Products</v>
      </c>
      <c r="E1707" t="s">
        <v>1001</v>
      </c>
      <c r="F1707" t="str">
        <f ca="1">OFFSET(Industries!B$1,MATCH(Table1[[#This Row],[Ticker]],Industries!$A$2:$A$140,0),0)</f>
        <v>Mega-Cap</v>
      </c>
      <c r="G1707" t="str">
        <f ca="1">OFFSET(Industries!F$1,MATCH(Table1[[#This Row],[Ticker]],Industries!$A$2:$A$140,0),0)</f>
        <v>AA-</v>
      </c>
      <c r="H1707" t="s">
        <v>1434</v>
      </c>
      <c r="I1707" t="s">
        <v>1434</v>
      </c>
      <c r="J1707" s="2">
        <v>45163</v>
      </c>
      <c r="K1707" t="s">
        <v>2</v>
      </c>
      <c r="L1707" t="s">
        <v>1708</v>
      </c>
      <c r="M1707" t="s">
        <v>1709</v>
      </c>
      <c r="N1707" s="1"/>
      <c r="O1707" t="s">
        <v>4</v>
      </c>
      <c r="P1707" s="1">
        <v>0.22600000000000001</v>
      </c>
      <c r="R1707" t="s">
        <v>28</v>
      </c>
      <c r="S1707" t="s">
        <v>1093</v>
      </c>
      <c r="T1707" t="s">
        <v>1004</v>
      </c>
      <c r="V1707" t="s">
        <v>1006</v>
      </c>
    </row>
    <row r="1708" spans="1:22" x14ac:dyDescent="0.3">
      <c r="A1708" t="s">
        <v>1002</v>
      </c>
      <c r="B1708" t="str">
        <f ca="1">OFFSET(Industries!C$1,MATCH(Table1[[#This Row],[Ticker]],Industries!$A$2:$A$150,0),0)</f>
        <v>Consumer Staples</v>
      </c>
      <c r="C1708" t="str">
        <f ca="1">OFFSET(Industries!D$1,MATCH(Table1[[#This Row],[Ticker]],Industries!$A$2:$A$150,0),0)</f>
        <v>Household and Personal Products</v>
      </c>
      <c r="D1708" t="str">
        <f ca="1">OFFSET(Industries!E$1,MATCH(Table1[[#This Row],[Ticker]],Industries!$A$2:$A$150,0),0)</f>
        <v>Household Products</v>
      </c>
      <c r="E1708" t="s">
        <v>1001</v>
      </c>
      <c r="F1708" t="str">
        <f ca="1">OFFSET(Industries!B$1,MATCH(Table1[[#This Row],[Ticker]],Industries!$A$2:$A$140,0),0)</f>
        <v>Mega-Cap</v>
      </c>
      <c r="G1708" t="str">
        <f ca="1">OFFSET(Industries!F$1,MATCH(Table1[[#This Row],[Ticker]],Industries!$A$2:$A$140,0),0)</f>
        <v>AA-</v>
      </c>
      <c r="H1708" t="s">
        <v>1434</v>
      </c>
      <c r="I1708" t="s">
        <v>1434</v>
      </c>
      <c r="J1708" s="2">
        <v>45163</v>
      </c>
      <c r="K1708" t="s">
        <v>2</v>
      </c>
      <c r="L1708" t="s">
        <v>1708</v>
      </c>
      <c r="M1708" t="s">
        <v>1709</v>
      </c>
      <c r="N1708" s="1"/>
      <c r="O1708" t="s">
        <v>4</v>
      </c>
      <c r="P1708" s="1">
        <v>0.22600000000000001</v>
      </c>
      <c r="R1708" t="s">
        <v>28</v>
      </c>
      <c r="S1708" t="s">
        <v>1110</v>
      </c>
      <c r="T1708" t="s">
        <v>172</v>
      </c>
      <c r="V1708" t="s">
        <v>1169</v>
      </c>
    </row>
    <row r="1709" spans="1:22" x14ac:dyDescent="0.3">
      <c r="A1709" t="s">
        <v>1002</v>
      </c>
      <c r="B1709" t="str">
        <f ca="1">OFFSET(Industries!C$1,MATCH(Table1[[#This Row],[Ticker]],Industries!$A$2:$A$150,0),0)</f>
        <v>Consumer Staples</v>
      </c>
      <c r="C1709" t="str">
        <f ca="1">OFFSET(Industries!D$1,MATCH(Table1[[#This Row],[Ticker]],Industries!$A$2:$A$150,0),0)</f>
        <v>Household and Personal Products</v>
      </c>
      <c r="D1709" t="str">
        <f ca="1">OFFSET(Industries!E$1,MATCH(Table1[[#This Row],[Ticker]],Industries!$A$2:$A$150,0),0)</f>
        <v>Household Products</v>
      </c>
      <c r="E1709" t="s">
        <v>1001</v>
      </c>
      <c r="F1709" t="str">
        <f ca="1">OFFSET(Industries!B$1,MATCH(Table1[[#This Row],[Ticker]],Industries!$A$2:$A$140,0),0)</f>
        <v>Mega-Cap</v>
      </c>
      <c r="G1709" t="str">
        <f ca="1">OFFSET(Industries!F$1,MATCH(Table1[[#This Row],[Ticker]],Industries!$A$2:$A$140,0),0)</f>
        <v>AA-</v>
      </c>
      <c r="H1709" t="s">
        <v>1434</v>
      </c>
      <c r="I1709" t="s">
        <v>1434</v>
      </c>
      <c r="J1709" s="2">
        <v>45163</v>
      </c>
      <c r="K1709" t="s">
        <v>2</v>
      </c>
      <c r="L1709" t="s">
        <v>1710</v>
      </c>
      <c r="M1709" t="s">
        <v>1709</v>
      </c>
      <c r="N1709" s="1">
        <f>Table1[[#This Row],[Consideration Weight]]</f>
        <v>0.34799999999999998</v>
      </c>
      <c r="O1709" t="s">
        <v>476</v>
      </c>
      <c r="P1709" s="1">
        <v>0.34799999999999998</v>
      </c>
      <c r="Q1709" s="1" t="s">
        <v>1636</v>
      </c>
      <c r="R1709" t="s">
        <v>23</v>
      </c>
      <c r="S1709" t="s">
        <v>1136</v>
      </c>
      <c r="T1709" t="s">
        <v>901</v>
      </c>
      <c r="U1709" s="1">
        <v>0.3</v>
      </c>
      <c r="V1709" t="s">
        <v>231</v>
      </c>
    </row>
    <row r="1710" spans="1:22" x14ac:dyDescent="0.3">
      <c r="A1710" t="s">
        <v>1002</v>
      </c>
      <c r="B1710" t="str">
        <f ca="1">OFFSET(Industries!C$1,MATCH(Table1[[#This Row],[Ticker]],Industries!$A$2:$A$150,0),0)</f>
        <v>Consumer Staples</v>
      </c>
      <c r="C1710" t="str">
        <f ca="1">OFFSET(Industries!D$1,MATCH(Table1[[#This Row],[Ticker]],Industries!$A$2:$A$150,0),0)</f>
        <v>Household and Personal Products</v>
      </c>
      <c r="D1710" t="str">
        <f ca="1">OFFSET(Industries!E$1,MATCH(Table1[[#This Row],[Ticker]],Industries!$A$2:$A$150,0),0)</f>
        <v>Household Products</v>
      </c>
      <c r="E1710" t="s">
        <v>1001</v>
      </c>
      <c r="F1710" t="str">
        <f ca="1">OFFSET(Industries!B$1,MATCH(Table1[[#This Row],[Ticker]],Industries!$A$2:$A$140,0),0)</f>
        <v>Mega-Cap</v>
      </c>
      <c r="G1710" t="str">
        <f ca="1">OFFSET(Industries!F$1,MATCH(Table1[[#This Row],[Ticker]],Industries!$A$2:$A$140,0),0)</f>
        <v>AA-</v>
      </c>
      <c r="H1710" t="s">
        <v>1434</v>
      </c>
      <c r="I1710" t="s">
        <v>1434</v>
      </c>
      <c r="J1710" s="2">
        <v>45163</v>
      </c>
      <c r="K1710" t="s">
        <v>2</v>
      </c>
      <c r="L1710" t="s">
        <v>1710</v>
      </c>
      <c r="M1710" t="s">
        <v>1709</v>
      </c>
      <c r="N1710" s="1"/>
      <c r="O1710" t="s">
        <v>476</v>
      </c>
      <c r="P1710" s="1">
        <v>0.34799999999999998</v>
      </c>
      <c r="Q1710" s="1" t="s">
        <v>1636</v>
      </c>
      <c r="R1710" t="s">
        <v>24</v>
      </c>
      <c r="S1710" t="s">
        <v>1089</v>
      </c>
      <c r="T1710" t="s">
        <v>406</v>
      </c>
      <c r="U1710" s="1">
        <v>0.3</v>
      </c>
      <c r="V1710" t="s">
        <v>1012</v>
      </c>
    </row>
    <row r="1711" spans="1:22" x14ac:dyDescent="0.3">
      <c r="A1711" t="s">
        <v>1002</v>
      </c>
      <c r="B1711" t="str">
        <f ca="1">OFFSET(Industries!C$1,MATCH(Table1[[#This Row],[Ticker]],Industries!$A$2:$A$150,0),0)</f>
        <v>Consumer Staples</v>
      </c>
      <c r="C1711" t="str">
        <f ca="1">OFFSET(Industries!D$1,MATCH(Table1[[#This Row],[Ticker]],Industries!$A$2:$A$150,0),0)</f>
        <v>Household and Personal Products</v>
      </c>
      <c r="D1711" t="str">
        <f ca="1">OFFSET(Industries!E$1,MATCH(Table1[[#This Row],[Ticker]],Industries!$A$2:$A$150,0),0)</f>
        <v>Household Products</v>
      </c>
      <c r="E1711" t="s">
        <v>1001</v>
      </c>
      <c r="F1711" t="str">
        <f ca="1">OFFSET(Industries!B$1,MATCH(Table1[[#This Row],[Ticker]],Industries!$A$2:$A$140,0),0)</f>
        <v>Mega-Cap</v>
      </c>
      <c r="G1711" t="str">
        <f ca="1">OFFSET(Industries!F$1,MATCH(Table1[[#This Row],[Ticker]],Industries!$A$2:$A$140,0),0)</f>
        <v>AA-</v>
      </c>
      <c r="H1711" t="s">
        <v>1434</v>
      </c>
      <c r="I1711" t="s">
        <v>1434</v>
      </c>
      <c r="J1711" s="2">
        <v>45163</v>
      </c>
      <c r="K1711" t="s">
        <v>2</v>
      </c>
      <c r="L1711" t="s">
        <v>1710</v>
      </c>
      <c r="M1711" t="s">
        <v>1709</v>
      </c>
      <c r="N1711" s="1"/>
      <c r="O1711" t="s">
        <v>476</v>
      </c>
      <c r="P1711" s="1">
        <v>0.34799999999999998</v>
      </c>
      <c r="Q1711" s="1" t="s">
        <v>1636</v>
      </c>
      <c r="R1711" t="s">
        <v>24</v>
      </c>
      <c r="S1711" t="s">
        <v>90</v>
      </c>
      <c r="T1711" t="s">
        <v>632</v>
      </c>
      <c r="U1711" s="1">
        <v>0.2</v>
      </c>
      <c r="V1711" t="s">
        <v>1013</v>
      </c>
    </row>
    <row r="1712" spans="1:22" x14ac:dyDescent="0.3">
      <c r="A1712" t="s">
        <v>1002</v>
      </c>
      <c r="B1712" t="str">
        <f ca="1">OFFSET(Industries!C$1,MATCH(Table1[[#This Row],[Ticker]],Industries!$A$2:$A$150,0),0)</f>
        <v>Consumer Staples</v>
      </c>
      <c r="C1712" t="str">
        <f ca="1">OFFSET(Industries!D$1,MATCH(Table1[[#This Row],[Ticker]],Industries!$A$2:$A$150,0),0)</f>
        <v>Household and Personal Products</v>
      </c>
      <c r="D1712" t="str">
        <f ca="1">OFFSET(Industries!E$1,MATCH(Table1[[#This Row],[Ticker]],Industries!$A$2:$A$150,0),0)</f>
        <v>Household Products</v>
      </c>
      <c r="E1712" t="s">
        <v>1001</v>
      </c>
      <c r="F1712" t="str">
        <f ca="1">OFFSET(Industries!B$1,MATCH(Table1[[#This Row],[Ticker]],Industries!$A$2:$A$140,0),0)</f>
        <v>Mega-Cap</v>
      </c>
      <c r="G1712" t="str">
        <f ca="1">OFFSET(Industries!F$1,MATCH(Table1[[#This Row],[Ticker]],Industries!$A$2:$A$140,0),0)</f>
        <v>AA-</v>
      </c>
      <c r="H1712" t="s">
        <v>1434</v>
      </c>
      <c r="I1712" t="s">
        <v>1434</v>
      </c>
      <c r="J1712" s="2">
        <v>45163</v>
      </c>
      <c r="K1712" t="s">
        <v>2</v>
      </c>
      <c r="L1712" t="s">
        <v>1710</v>
      </c>
      <c r="M1712" t="s">
        <v>1709</v>
      </c>
      <c r="N1712" s="1"/>
      <c r="O1712" t="s">
        <v>476</v>
      </c>
      <c r="P1712" s="1">
        <v>0.34799999999999998</v>
      </c>
      <c r="Q1712" s="1" t="s">
        <v>1636</v>
      </c>
      <c r="R1712" t="s">
        <v>62</v>
      </c>
      <c r="S1712" t="s">
        <v>1108</v>
      </c>
      <c r="T1712" t="s">
        <v>1007</v>
      </c>
      <c r="U1712" s="1">
        <v>0.2</v>
      </c>
      <c r="V1712" t="s">
        <v>664</v>
      </c>
    </row>
    <row r="1713" spans="1:22" x14ac:dyDescent="0.3">
      <c r="A1713" t="s">
        <v>1002</v>
      </c>
      <c r="B1713" t="str">
        <f ca="1">OFFSET(Industries!C$1,MATCH(Table1[[#This Row],[Ticker]],Industries!$A$2:$A$150,0),0)</f>
        <v>Consumer Staples</v>
      </c>
      <c r="C1713" t="str">
        <f ca="1">OFFSET(Industries!D$1,MATCH(Table1[[#This Row],[Ticker]],Industries!$A$2:$A$150,0),0)</f>
        <v>Household and Personal Products</v>
      </c>
      <c r="D1713" t="str">
        <f ca="1">OFFSET(Industries!E$1,MATCH(Table1[[#This Row],[Ticker]],Industries!$A$2:$A$150,0),0)</f>
        <v>Household Products</v>
      </c>
      <c r="E1713" t="s">
        <v>1001</v>
      </c>
      <c r="F1713" t="str">
        <f ca="1">OFFSET(Industries!B$1,MATCH(Table1[[#This Row],[Ticker]],Industries!$A$2:$A$140,0),0)</f>
        <v>Mega-Cap</v>
      </c>
      <c r="G1713" t="str">
        <f ca="1">OFFSET(Industries!F$1,MATCH(Table1[[#This Row],[Ticker]],Industries!$A$2:$A$140,0),0)</f>
        <v>AA-</v>
      </c>
      <c r="H1713" t="s">
        <v>1434</v>
      </c>
      <c r="I1713" t="s">
        <v>1434</v>
      </c>
      <c r="J1713" s="2">
        <v>45163</v>
      </c>
      <c r="K1713" t="s">
        <v>2</v>
      </c>
      <c r="L1713" t="s">
        <v>1710</v>
      </c>
      <c r="M1713" t="s">
        <v>1709</v>
      </c>
      <c r="N1713" s="1"/>
      <c r="O1713" t="s">
        <v>476</v>
      </c>
      <c r="P1713" s="1">
        <v>0.34799999999999998</v>
      </c>
      <c r="R1713" t="s">
        <v>28</v>
      </c>
      <c r="S1713" t="s">
        <v>1085</v>
      </c>
      <c r="T1713" t="s">
        <v>30</v>
      </c>
      <c r="V1713" t="s">
        <v>1006</v>
      </c>
    </row>
    <row r="1714" spans="1:22" x14ac:dyDescent="0.3">
      <c r="A1714" t="s">
        <v>1002</v>
      </c>
      <c r="B1714" t="str">
        <f ca="1">OFFSET(Industries!C$1,MATCH(Table1[[#This Row],[Ticker]],Industries!$A$2:$A$150,0),0)</f>
        <v>Consumer Staples</v>
      </c>
      <c r="C1714" t="str">
        <f ca="1">OFFSET(Industries!D$1,MATCH(Table1[[#This Row],[Ticker]],Industries!$A$2:$A$150,0),0)</f>
        <v>Household and Personal Products</v>
      </c>
      <c r="D1714" t="str">
        <f ca="1">OFFSET(Industries!E$1,MATCH(Table1[[#This Row],[Ticker]],Industries!$A$2:$A$150,0),0)</f>
        <v>Household Products</v>
      </c>
      <c r="E1714" t="s">
        <v>1001</v>
      </c>
      <c r="F1714" t="str">
        <f ca="1">OFFSET(Industries!B$1,MATCH(Table1[[#This Row],[Ticker]],Industries!$A$2:$A$140,0),0)</f>
        <v>Mega-Cap</v>
      </c>
      <c r="G1714" t="str">
        <f ca="1">OFFSET(Industries!F$1,MATCH(Table1[[#This Row],[Ticker]],Industries!$A$2:$A$140,0),0)</f>
        <v>AA-</v>
      </c>
      <c r="H1714" t="s">
        <v>1434</v>
      </c>
      <c r="I1714" t="s">
        <v>1434</v>
      </c>
      <c r="J1714" s="2">
        <v>45163</v>
      </c>
      <c r="K1714" t="s">
        <v>2</v>
      </c>
      <c r="L1714" t="s">
        <v>1710</v>
      </c>
      <c r="M1714" t="s">
        <v>1709</v>
      </c>
      <c r="N1714" s="1"/>
      <c r="O1714" t="s">
        <v>476</v>
      </c>
      <c r="P1714" s="1">
        <v>0.34799999999999998</v>
      </c>
      <c r="R1714" t="s">
        <v>28</v>
      </c>
      <c r="S1714" t="s">
        <v>1110</v>
      </c>
      <c r="T1714" t="s">
        <v>172</v>
      </c>
    </row>
    <row r="1715" spans="1:22" x14ac:dyDescent="0.3">
      <c r="A1715" t="s">
        <v>1002</v>
      </c>
      <c r="B1715" t="str">
        <f ca="1">OFFSET(Industries!C$1,MATCH(Table1[[#This Row],[Ticker]],Industries!$A$2:$A$150,0),0)</f>
        <v>Consumer Staples</v>
      </c>
      <c r="C1715" t="str">
        <f ca="1">OFFSET(Industries!D$1,MATCH(Table1[[#This Row],[Ticker]],Industries!$A$2:$A$150,0),0)</f>
        <v>Household and Personal Products</v>
      </c>
      <c r="D1715" t="str">
        <f ca="1">OFFSET(Industries!E$1,MATCH(Table1[[#This Row],[Ticker]],Industries!$A$2:$A$150,0),0)</f>
        <v>Household Products</v>
      </c>
      <c r="E1715" t="s">
        <v>1001</v>
      </c>
      <c r="F1715" t="str">
        <f ca="1">OFFSET(Industries!B$1,MATCH(Table1[[#This Row],[Ticker]],Industries!$A$2:$A$140,0),0)</f>
        <v>Mega-Cap</v>
      </c>
      <c r="G1715" t="str">
        <f ca="1">OFFSET(Industries!F$1,MATCH(Table1[[#This Row],[Ticker]],Industries!$A$2:$A$140,0),0)</f>
        <v>AA-</v>
      </c>
      <c r="H1715" t="s">
        <v>1434</v>
      </c>
      <c r="I1715" t="s">
        <v>1434</v>
      </c>
      <c r="J1715" s="2">
        <v>45163</v>
      </c>
      <c r="K1715" t="s">
        <v>2</v>
      </c>
      <c r="L1715" t="s">
        <v>1710</v>
      </c>
      <c r="M1715" t="s">
        <v>1711</v>
      </c>
      <c r="N1715" s="1">
        <f>Table1[[#This Row],[Consideration Weight]]</f>
        <v>0.17399999999999999</v>
      </c>
      <c r="O1715" t="s">
        <v>87</v>
      </c>
      <c r="P1715" s="1">
        <f>0.5*0.348</f>
        <v>0.17399999999999999</v>
      </c>
    </row>
    <row r="1716" spans="1:22" x14ac:dyDescent="0.3">
      <c r="A1716" t="s">
        <v>1002</v>
      </c>
      <c r="B1716" t="str">
        <f ca="1">OFFSET(Industries!C$1,MATCH(Table1[[#This Row],[Ticker]],Industries!$A$2:$A$150,0),0)</f>
        <v>Consumer Staples</v>
      </c>
      <c r="C1716" t="str">
        <f ca="1">OFFSET(Industries!D$1,MATCH(Table1[[#This Row],[Ticker]],Industries!$A$2:$A$150,0),0)</f>
        <v>Household and Personal Products</v>
      </c>
      <c r="D1716" t="str">
        <f ca="1">OFFSET(Industries!E$1,MATCH(Table1[[#This Row],[Ticker]],Industries!$A$2:$A$150,0),0)</f>
        <v>Household Products</v>
      </c>
      <c r="E1716" t="s">
        <v>1001</v>
      </c>
      <c r="F1716" t="str">
        <f ca="1">OFFSET(Industries!B$1,MATCH(Table1[[#This Row],[Ticker]],Industries!$A$2:$A$140,0),0)</f>
        <v>Mega-Cap</v>
      </c>
      <c r="G1716" t="str">
        <f ca="1">OFFSET(Industries!F$1,MATCH(Table1[[#This Row],[Ticker]],Industries!$A$2:$A$140,0),0)</f>
        <v>AA-</v>
      </c>
      <c r="H1716" t="s">
        <v>1434</v>
      </c>
      <c r="I1716" t="s">
        <v>1434</v>
      </c>
      <c r="J1716" s="2">
        <v>45163</v>
      </c>
      <c r="K1716" t="s">
        <v>2</v>
      </c>
      <c r="L1716" t="s">
        <v>1710</v>
      </c>
      <c r="M1716" t="s">
        <v>1711</v>
      </c>
      <c r="N1716" s="1">
        <f>Table1[[#This Row],[Consideration Weight]]</f>
        <v>0.17399999999999999</v>
      </c>
      <c r="O1716" t="s">
        <v>194</v>
      </c>
      <c r="P1716" s="1">
        <f>0.5*0.348</f>
        <v>0.17399999999999999</v>
      </c>
    </row>
    <row r="1717" spans="1:22" x14ac:dyDescent="0.3">
      <c r="A1717" t="s">
        <v>1002</v>
      </c>
      <c r="B1717" t="str">
        <f ca="1">OFFSET(Industries!C$1,MATCH(Table1[[#This Row],[Ticker]],Industries!$A$2:$A$150,0),0)</f>
        <v>Consumer Staples</v>
      </c>
      <c r="C1717" t="str">
        <f ca="1">OFFSET(Industries!D$1,MATCH(Table1[[#This Row],[Ticker]],Industries!$A$2:$A$150,0),0)</f>
        <v>Household and Personal Products</v>
      </c>
      <c r="D1717" t="str">
        <f ca="1">OFFSET(Industries!E$1,MATCH(Table1[[#This Row],[Ticker]],Industries!$A$2:$A$150,0),0)</f>
        <v>Household Products</v>
      </c>
      <c r="E1717" t="s">
        <v>1001</v>
      </c>
      <c r="F1717" t="str">
        <f ca="1">OFFSET(Industries!B$1,MATCH(Table1[[#This Row],[Ticker]],Industries!$A$2:$A$140,0),0)</f>
        <v>Mega-Cap</v>
      </c>
      <c r="G1717" t="str">
        <f ca="1">OFFSET(Industries!F$1,MATCH(Table1[[#This Row],[Ticker]],Industries!$A$2:$A$140,0),0)</f>
        <v>AA-</v>
      </c>
      <c r="H1717" t="s">
        <v>1434</v>
      </c>
      <c r="I1717" t="s">
        <v>1434</v>
      </c>
      <c r="J1717" s="2">
        <v>45163</v>
      </c>
      <c r="K1717" t="s">
        <v>21</v>
      </c>
      <c r="L1717" t="s">
        <v>3</v>
      </c>
      <c r="M1717" t="s">
        <v>1711</v>
      </c>
      <c r="N1717" s="1">
        <f>Table1[[#This Row],[Consideration Weight]]</f>
        <v>0.13800000000000001</v>
      </c>
      <c r="O1717" t="s">
        <v>3</v>
      </c>
      <c r="P1717" s="1">
        <v>0.13800000000000001</v>
      </c>
      <c r="V1717" t="s">
        <v>1008</v>
      </c>
    </row>
    <row r="1718" spans="1:22" x14ac:dyDescent="0.3">
      <c r="A1718" t="s">
        <v>1002</v>
      </c>
      <c r="B1718" t="str">
        <f ca="1">OFFSET(Industries!C$1,MATCH(Table1[[#This Row],[Ticker]],Industries!$A$2:$A$150,0),0)</f>
        <v>Consumer Staples</v>
      </c>
      <c r="C1718" t="str">
        <f ca="1">OFFSET(Industries!D$1,MATCH(Table1[[#This Row],[Ticker]],Industries!$A$2:$A$150,0),0)</f>
        <v>Household and Personal Products</v>
      </c>
      <c r="D1718" t="str">
        <f ca="1">OFFSET(Industries!E$1,MATCH(Table1[[#This Row],[Ticker]],Industries!$A$2:$A$150,0),0)</f>
        <v>Household Products</v>
      </c>
      <c r="E1718" t="s">
        <v>1001</v>
      </c>
      <c r="F1718" t="str">
        <f ca="1">OFFSET(Industries!B$1,MATCH(Table1[[#This Row],[Ticker]],Industries!$A$2:$A$140,0),0)</f>
        <v>Mega-Cap</v>
      </c>
      <c r="G1718" t="str">
        <f ca="1">OFFSET(Industries!F$1,MATCH(Table1[[#This Row],[Ticker]],Industries!$A$2:$A$140,0),0)</f>
        <v>AA-</v>
      </c>
      <c r="H1718" t="s">
        <v>1434</v>
      </c>
      <c r="I1718" t="s">
        <v>1434</v>
      </c>
      <c r="J1718" s="2">
        <v>45163</v>
      </c>
      <c r="K1718" t="s">
        <v>21</v>
      </c>
      <c r="L1718" t="s">
        <v>1708</v>
      </c>
      <c r="M1718" t="s">
        <v>1709</v>
      </c>
      <c r="N1718" s="1">
        <f>Table1[[#This Row],[Consideration Weight]]</f>
        <v>0.23799999999999999</v>
      </c>
      <c r="O1718" t="s">
        <v>4</v>
      </c>
      <c r="P1718" s="1">
        <v>0.23799999999999999</v>
      </c>
      <c r="Q1718" s="1" t="s">
        <v>1637</v>
      </c>
      <c r="R1718" t="s">
        <v>25</v>
      </c>
      <c r="S1718" t="s">
        <v>1086</v>
      </c>
      <c r="T1718" t="s">
        <v>1003</v>
      </c>
      <c r="U1718" s="1">
        <v>0.7</v>
      </c>
    </row>
    <row r="1719" spans="1:22" x14ac:dyDescent="0.3">
      <c r="A1719" t="s">
        <v>1002</v>
      </c>
      <c r="B1719" t="str">
        <f ca="1">OFFSET(Industries!C$1,MATCH(Table1[[#This Row],[Ticker]],Industries!$A$2:$A$150,0),0)</f>
        <v>Consumer Staples</v>
      </c>
      <c r="C1719" t="str">
        <f ca="1">OFFSET(Industries!D$1,MATCH(Table1[[#This Row],[Ticker]],Industries!$A$2:$A$150,0),0)</f>
        <v>Household and Personal Products</v>
      </c>
      <c r="D1719" t="str">
        <f ca="1">OFFSET(Industries!E$1,MATCH(Table1[[#This Row],[Ticker]],Industries!$A$2:$A$150,0),0)</f>
        <v>Household Products</v>
      </c>
      <c r="E1719" t="s">
        <v>1001</v>
      </c>
      <c r="F1719" t="str">
        <f ca="1">OFFSET(Industries!B$1,MATCH(Table1[[#This Row],[Ticker]],Industries!$A$2:$A$140,0),0)</f>
        <v>Mega-Cap</v>
      </c>
      <c r="G1719" t="str">
        <f ca="1">OFFSET(Industries!F$1,MATCH(Table1[[#This Row],[Ticker]],Industries!$A$2:$A$140,0),0)</f>
        <v>AA-</v>
      </c>
      <c r="H1719" t="s">
        <v>1434</v>
      </c>
      <c r="I1719" t="s">
        <v>1434</v>
      </c>
      <c r="J1719" s="2">
        <v>45163</v>
      </c>
      <c r="K1719" t="s">
        <v>21</v>
      </c>
      <c r="L1719" t="s">
        <v>1708</v>
      </c>
      <c r="M1719" t="s">
        <v>1709</v>
      </c>
      <c r="N1719" s="1"/>
      <c r="O1719" t="s">
        <v>4</v>
      </c>
      <c r="P1719" s="1">
        <v>0.23799999999999999</v>
      </c>
      <c r="Q1719" s="1" t="s">
        <v>1636</v>
      </c>
      <c r="R1719" t="s">
        <v>23</v>
      </c>
      <c r="S1719" t="s">
        <v>1083</v>
      </c>
      <c r="T1719" t="s">
        <v>226</v>
      </c>
      <c r="U1719" s="1">
        <v>0.15</v>
      </c>
    </row>
    <row r="1720" spans="1:22" x14ac:dyDescent="0.3">
      <c r="A1720" t="s">
        <v>1002</v>
      </c>
      <c r="B1720" t="str">
        <f ca="1">OFFSET(Industries!C$1,MATCH(Table1[[#This Row],[Ticker]],Industries!$A$2:$A$150,0),0)</f>
        <v>Consumer Staples</v>
      </c>
      <c r="C1720" t="str">
        <f ca="1">OFFSET(Industries!D$1,MATCH(Table1[[#This Row],[Ticker]],Industries!$A$2:$A$150,0),0)</f>
        <v>Household and Personal Products</v>
      </c>
      <c r="D1720" t="str">
        <f ca="1">OFFSET(Industries!E$1,MATCH(Table1[[#This Row],[Ticker]],Industries!$A$2:$A$150,0),0)</f>
        <v>Household Products</v>
      </c>
      <c r="E1720" t="s">
        <v>1001</v>
      </c>
      <c r="F1720" t="str">
        <f ca="1">OFFSET(Industries!B$1,MATCH(Table1[[#This Row],[Ticker]],Industries!$A$2:$A$140,0),0)</f>
        <v>Mega-Cap</v>
      </c>
      <c r="G1720" t="str">
        <f ca="1">OFFSET(Industries!F$1,MATCH(Table1[[#This Row],[Ticker]],Industries!$A$2:$A$140,0),0)</f>
        <v>AA-</v>
      </c>
      <c r="H1720" t="s">
        <v>1434</v>
      </c>
      <c r="I1720" t="s">
        <v>1434</v>
      </c>
      <c r="J1720" s="2">
        <v>45163</v>
      </c>
      <c r="K1720" t="s">
        <v>21</v>
      </c>
      <c r="L1720" t="s">
        <v>1708</v>
      </c>
      <c r="M1720" t="s">
        <v>1709</v>
      </c>
      <c r="N1720" s="1"/>
      <c r="O1720" t="s">
        <v>4</v>
      </c>
      <c r="P1720" s="1">
        <v>0.23799999999999999</v>
      </c>
      <c r="Q1720" s="1" t="s">
        <v>1636</v>
      </c>
      <c r="R1720" t="s">
        <v>24</v>
      </c>
      <c r="S1720" t="s">
        <v>1089</v>
      </c>
      <c r="T1720" t="s">
        <v>403</v>
      </c>
      <c r="U1720" s="1">
        <v>0.15</v>
      </c>
    </row>
    <row r="1721" spans="1:22" x14ac:dyDescent="0.3">
      <c r="A1721" t="s">
        <v>1002</v>
      </c>
      <c r="B1721" t="str">
        <f ca="1">OFFSET(Industries!C$1,MATCH(Table1[[#This Row],[Ticker]],Industries!$A$2:$A$150,0),0)</f>
        <v>Consumer Staples</v>
      </c>
      <c r="C1721" t="str">
        <f ca="1">OFFSET(Industries!D$1,MATCH(Table1[[#This Row],[Ticker]],Industries!$A$2:$A$150,0),0)</f>
        <v>Household and Personal Products</v>
      </c>
      <c r="D1721" t="str">
        <f ca="1">OFFSET(Industries!E$1,MATCH(Table1[[#This Row],[Ticker]],Industries!$A$2:$A$150,0),0)</f>
        <v>Household Products</v>
      </c>
      <c r="E1721" t="s">
        <v>1001</v>
      </c>
      <c r="F1721" t="str">
        <f ca="1">OFFSET(Industries!B$1,MATCH(Table1[[#This Row],[Ticker]],Industries!$A$2:$A$140,0),0)</f>
        <v>Mega-Cap</v>
      </c>
      <c r="G1721" t="str">
        <f ca="1">OFFSET(Industries!F$1,MATCH(Table1[[#This Row],[Ticker]],Industries!$A$2:$A$140,0),0)</f>
        <v>AA-</v>
      </c>
      <c r="H1721" t="s">
        <v>1434</v>
      </c>
      <c r="I1721" t="s">
        <v>1434</v>
      </c>
      <c r="J1721" s="2">
        <v>45163</v>
      </c>
      <c r="K1721" t="s">
        <v>21</v>
      </c>
      <c r="L1721" t="s">
        <v>1708</v>
      </c>
      <c r="M1721" t="s">
        <v>1709</v>
      </c>
      <c r="N1721" s="1"/>
      <c r="O1721" t="s">
        <v>4</v>
      </c>
      <c r="P1721" s="1">
        <v>0.23799999999999999</v>
      </c>
      <c r="R1721" t="s">
        <v>28</v>
      </c>
      <c r="S1721" t="s">
        <v>1093</v>
      </c>
      <c r="T1721" t="s">
        <v>1004</v>
      </c>
    </row>
    <row r="1722" spans="1:22" x14ac:dyDescent="0.3">
      <c r="A1722" t="s">
        <v>1002</v>
      </c>
      <c r="B1722" t="str">
        <f ca="1">OFFSET(Industries!C$1,MATCH(Table1[[#This Row],[Ticker]],Industries!$A$2:$A$150,0),0)</f>
        <v>Consumer Staples</v>
      </c>
      <c r="C1722" t="str">
        <f ca="1">OFFSET(Industries!D$1,MATCH(Table1[[#This Row],[Ticker]],Industries!$A$2:$A$150,0),0)</f>
        <v>Household and Personal Products</v>
      </c>
      <c r="D1722" t="str">
        <f ca="1">OFFSET(Industries!E$1,MATCH(Table1[[#This Row],[Ticker]],Industries!$A$2:$A$150,0),0)</f>
        <v>Household Products</v>
      </c>
      <c r="E1722" t="s">
        <v>1001</v>
      </c>
      <c r="F1722" t="str">
        <f ca="1">OFFSET(Industries!B$1,MATCH(Table1[[#This Row],[Ticker]],Industries!$A$2:$A$140,0),0)</f>
        <v>Mega-Cap</v>
      </c>
      <c r="G1722" t="str">
        <f ca="1">OFFSET(Industries!F$1,MATCH(Table1[[#This Row],[Ticker]],Industries!$A$2:$A$140,0),0)</f>
        <v>AA-</v>
      </c>
      <c r="H1722" t="s">
        <v>1434</v>
      </c>
      <c r="I1722" t="s">
        <v>1434</v>
      </c>
      <c r="J1722" s="2">
        <v>45163</v>
      </c>
      <c r="K1722" t="s">
        <v>21</v>
      </c>
      <c r="L1722" t="s">
        <v>1708</v>
      </c>
      <c r="M1722" t="s">
        <v>1709</v>
      </c>
      <c r="N1722" s="1"/>
      <c r="O1722" t="s">
        <v>4</v>
      </c>
      <c r="P1722" s="1">
        <v>0.23799999999999999</v>
      </c>
      <c r="R1722" t="s">
        <v>28</v>
      </c>
      <c r="S1722" t="s">
        <v>1110</v>
      </c>
      <c r="T1722" t="s">
        <v>172</v>
      </c>
    </row>
    <row r="1723" spans="1:22" x14ac:dyDescent="0.3">
      <c r="A1723" t="s">
        <v>1002</v>
      </c>
      <c r="B1723" t="str">
        <f ca="1">OFFSET(Industries!C$1,MATCH(Table1[[#This Row],[Ticker]],Industries!$A$2:$A$150,0),0)</f>
        <v>Consumer Staples</v>
      </c>
      <c r="C1723" t="str">
        <f ca="1">OFFSET(Industries!D$1,MATCH(Table1[[#This Row],[Ticker]],Industries!$A$2:$A$150,0),0)</f>
        <v>Household and Personal Products</v>
      </c>
      <c r="D1723" t="str">
        <f ca="1">OFFSET(Industries!E$1,MATCH(Table1[[#This Row],[Ticker]],Industries!$A$2:$A$150,0),0)</f>
        <v>Household Products</v>
      </c>
      <c r="E1723" t="s">
        <v>1001</v>
      </c>
      <c r="F1723" t="str">
        <f ca="1">OFFSET(Industries!B$1,MATCH(Table1[[#This Row],[Ticker]],Industries!$A$2:$A$140,0),0)</f>
        <v>Mega-Cap</v>
      </c>
      <c r="G1723" t="str">
        <f ca="1">OFFSET(Industries!F$1,MATCH(Table1[[#This Row],[Ticker]],Industries!$A$2:$A$140,0),0)</f>
        <v>AA-</v>
      </c>
      <c r="H1723" t="s">
        <v>1434</v>
      </c>
      <c r="I1723" t="s">
        <v>1434</v>
      </c>
      <c r="J1723" s="2">
        <v>45163</v>
      </c>
      <c r="K1723" t="s">
        <v>21</v>
      </c>
      <c r="L1723" t="s">
        <v>1710</v>
      </c>
      <c r="M1723" t="s">
        <v>1709</v>
      </c>
      <c r="N1723" s="1">
        <f>Table1[[#This Row],[Consideration Weight]]</f>
        <v>0.312</v>
      </c>
      <c r="O1723" t="s">
        <v>476</v>
      </c>
      <c r="P1723" s="1">
        <v>0.312</v>
      </c>
      <c r="Q1723" s="1" t="s">
        <v>1636</v>
      </c>
      <c r="R1723" t="s">
        <v>23</v>
      </c>
      <c r="S1723" t="s">
        <v>1136</v>
      </c>
      <c r="T1723" t="s">
        <v>901</v>
      </c>
      <c r="U1723" s="1">
        <v>0.3</v>
      </c>
    </row>
    <row r="1724" spans="1:22" x14ac:dyDescent="0.3">
      <c r="A1724" t="s">
        <v>1002</v>
      </c>
      <c r="B1724" t="str">
        <f ca="1">OFFSET(Industries!C$1,MATCH(Table1[[#This Row],[Ticker]],Industries!$A$2:$A$150,0),0)</f>
        <v>Consumer Staples</v>
      </c>
      <c r="C1724" t="str">
        <f ca="1">OFFSET(Industries!D$1,MATCH(Table1[[#This Row],[Ticker]],Industries!$A$2:$A$150,0),0)</f>
        <v>Household and Personal Products</v>
      </c>
      <c r="D1724" t="str">
        <f ca="1">OFFSET(Industries!E$1,MATCH(Table1[[#This Row],[Ticker]],Industries!$A$2:$A$150,0),0)</f>
        <v>Household Products</v>
      </c>
      <c r="E1724" t="s">
        <v>1001</v>
      </c>
      <c r="F1724" t="str">
        <f ca="1">OFFSET(Industries!B$1,MATCH(Table1[[#This Row],[Ticker]],Industries!$A$2:$A$140,0),0)</f>
        <v>Mega-Cap</v>
      </c>
      <c r="G1724" t="str">
        <f ca="1">OFFSET(Industries!F$1,MATCH(Table1[[#This Row],[Ticker]],Industries!$A$2:$A$140,0),0)</f>
        <v>AA-</v>
      </c>
      <c r="H1724" t="s">
        <v>1434</v>
      </c>
      <c r="I1724" t="s">
        <v>1434</v>
      </c>
      <c r="J1724" s="2">
        <v>45163</v>
      </c>
      <c r="K1724" t="s">
        <v>21</v>
      </c>
      <c r="L1724" t="s">
        <v>1710</v>
      </c>
      <c r="M1724" t="s">
        <v>1709</v>
      </c>
      <c r="N1724" s="1"/>
      <c r="O1724" t="s">
        <v>476</v>
      </c>
      <c r="P1724" s="1">
        <v>0.312</v>
      </c>
      <c r="Q1724" s="1" t="s">
        <v>1636</v>
      </c>
      <c r="R1724" t="s">
        <v>24</v>
      </c>
      <c r="S1724" t="s">
        <v>1089</v>
      </c>
      <c r="T1724" t="s">
        <v>406</v>
      </c>
      <c r="U1724" s="1">
        <v>0.3</v>
      </c>
    </row>
    <row r="1725" spans="1:22" x14ac:dyDescent="0.3">
      <c r="A1725" t="s">
        <v>1002</v>
      </c>
      <c r="B1725" t="str">
        <f ca="1">OFFSET(Industries!C$1,MATCH(Table1[[#This Row],[Ticker]],Industries!$A$2:$A$150,0),0)</f>
        <v>Consumer Staples</v>
      </c>
      <c r="C1725" t="str">
        <f ca="1">OFFSET(Industries!D$1,MATCH(Table1[[#This Row],[Ticker]],Industries!$A$2:$A$150,0),0)</f>
        <v>Household and Personal Products</v>
      </c>
      <c r="D1725" t="str">
        <f ca="1">OFFSET(Industries!E$1,MATCH(Table1[[#This Row],[Ticker]],Industries!$A$2:$A$150,0),0)</f>
        <v>Household Products</v>
      </c>
      <c r="E1725" t="s">
        <v>1001</v>
      </c>
      <c r="F1725" t="str">
        <f ca="1">OFFSET(Industries!B$1,MATCH(Table1[[#This Row],[Ticker]],Industries!$A$2:$A$140,0),0)</f>
        <v>Mega-Cap</v>
      </c>
      <c r="G1725" t="str">
        <f ca="1">OFFSET(Industries!F$1,MATCH(Table1[[#This Row],[Ticker]],Industries!$A$2:$A$140,0),0)</f>
        <v>AA-</v>
      </c>
      <c r="H1725" t="s">
        <v>1434</v>
      </c>
      <c r="I1725" t="s">
        <v>1434</v>
      </c>
      <c r="J1725" s="2">
        <v>45163</v>
      </c>
      <c r="K1725" t="s">
        <v>21</v>
      </c>
      <c r="L1725" t="s">
        <v>1710</v>
      </c>
      <c r="M1725" t="s">
        <v>1709</v>
      </c>
      <c r="N1725" s="1"/>
      <c r="O1725" t="s">
        <v>476</v>
      </c>
      <c r="P1725" s="1">
        <v>0.312</v>
      </c>
      <c r="Q1725" s="1" t="s">
        <v>1636</v>
      </c>
      <c r="R1725" t="s">
        <v>24</v>
      </c>
      <c r="S1725" t="s">
        <v>90</v>
      </c>
      <c r="T1725" t="s">
        <v>632</v>
      </c>
      <c r="U1725" s="1">
        <v>0.2</v>
      </c>
    </row>
    <row r="1726" spans="1:22" x14ac:dyDescent="0.3">
      <c r="A1726" t="s">
        <v>1002</v>
      </c>
      <c r="B1726" t="str">
        <f ca="1">OFFSET(Industries!C$1,MATCH(Table1[[#This Row],[Ticker]],Industries!$A$2:$A$150,0),0)</f>
        <v>Consumer Staples</v>
      </c>
      <c r="C1726" t="str">
        <f ca="1">OFFSET(Industries!D$1,MATCH(Table1[[#This Row],[Ticker]],Industries!$A$2:$A$150,0),0)</f>
        <v>Household and Personal Products</v>
      </c>
      <c r="D1726" t="str">
        <f ca="1">OFFSET(Industries!E$1,MATCH(Table1[[#This Row],[Ticker]],Industries!$A$2:$A$150,0),0)</f>
        <v>Household Products</v>
      </c>
      <c r="E1726" t="s">
        <v>1001</v>
      </c>
      <c r="F1726" t="str">
        <f ca="1">OFFSET(Industries!B$1,MATCH(Table1[[#This Row],[Ticker]],Industries!$A$2:$A$140,0),0)</f>
        <v>Mega-Cap</v>
      </c>
      <c r="G1726" t="str">
        <f ca="1">OFFSET(Industries!F$1,MATCH(Table1[[#This Row],[Ticker]],Industries!$A$2:$A$140,0),0)</f>
        <v>AA-</v>
      </c>
      <c r="H1726" t="s">
        <v>1434</v>
      </c>
      <c r="I1726" t="s">
        <v>1434</v>
      </c>
      <c r="J1726" s="2">
        <v>45163</v>
      </c>
      <c r="K1726" t="s">
        <v>21</v>
      </c>
      <c r="L1726" t="s">
        <v>1710</v>
      </c>
      <c r="M1726" t="s">
        <v>1709</v>
      </c>
      <c r="N1726" s="1"/>
      <c r="O1726" t="s">
        <v>476</v>
      </c>
      <c r="P1726" s="1">
        <v>0.312</v>
      </c>
      <c r="Q1726" s="1" t="s">
        <v>1636</v>
      </c>
      <c r="R1726" t="s">
        <v>62</v>
      </c>
      <c r="S1726" t="s">
        <v>1108</v>
      </c>
      <c r="T1726" t="s">
        <v>1007</v>
      </c>
      <c r="U1726" s="1">
        <v>0.2</v>
      </c>
    </row>
    <row r="1727" spans="1:22" x14ac:dyDescent="0.3">
      <c r="A1727" t="s">
        <v>1002</v>
      </c>
      <c r="B1727" t="str">
        <f ca="1">OFFSET(Industries!C$1,MATCH(Table1[[#This Row],[Ticker]],Industries!$A$2:$A$150,0),0)</f>
        <v>Consumer Staples</v>
      </c>
      <c r="C1727" t="str">
        <f ca="1">OFFSET(Industries!D$1,MATCH(Table1[[#This Row],[Ticker]],Industries!$A$2:$A$150,0),0)</f>
        <v>Household and Personal Products</v>
      </c>
      <c r="D1727" t="str">
        <f ca="1">OFFSET(Industries!E$1,MATCH(Table1[[#This Row],[Ticker]],Industries!$A$2:$A$150,0),0)</f>
        <v>Household Products</v>
      </c>
      <c r="E1727" t="s">
        <v>1001</v>
      </c>
      <c r="F1727" t="str">
        <f ca="1">OFFSET(Industries!B$1,MATCH(Table1[[#This Row],[Ticker]],Industries!$A$2:$A$140,0),0)</f>
        <v>Mega-Cap</v>
      </c>
      <c r="G1727" t="str">
        <f ca="1">OFFSET(Industries!F$1,MATCH(Table1[[#This Row],[Ticker]],Industries!$A$2:$A$140,0),0)</f>
        <v>AA-</v>
      </c>
      <c r="H1727" t="s">
        <v>1434</v>
      </c>
      <c r="I1727" t="s">
        <v>1434</v>
      </c>
      <c r="J1727" s="2">
        <v>45163</v>
      </c>
      <c r="K1727" t="s">
        <v>21</v>
      </c>
      <c r="L1727" t="s">
        <v>1710</v>
      </c>
      <c r="M1727" t="s">
        <v>1709</v>
      </c>
      <c r="N1727" s="1"/>
      <c r="O1727" t="s">
        <v>476</v>
      </c>
      <c r="P1727" s="1">
        <v>0.312</v>
      </c>
      <c r="R1727" t="s">
        <v>28</v>
      </c>
      <c r="S1727" t="s">
        <v>1085</v>
      </c>
      <c r="T1727" t="s">
        <v>30</v>
      </c>
    </row>
    <row r="1728" spans="1:22" x14ac:dyDescent="0.3">
      <c r="A1728" t="s">
        <v>1002</v>
      </c>
      <c r="B1728" t="str">
        <f ca="1">OFFSET(Industries!C$1,MATCH(Table1[[#This Row],[Ticker]],Industries!$A$2:$A$150,0),0)</f>
        <v>Consumer Staples</v>
      </c>
      <c r="C1728" t="str">
        <f ca="1">OFFSET(Industries!D$1,MATCH(Table1[[#This Row],[Ticker]],Industries!$A$2:$A$150,0),0)</f>
        <v>Household and Personal Products</v>
      </c>
      <c r="D1728" t="str">
        <f ca="1">OFFSET(Industries!E$1,MATCH(Table1[[#This Row],[Ticker]],Industries!$A$2:$A$150,0),0)</f>
        <v>Household Products</v>
      </c>
      <c r="E1728" t="s">
        <v>1001</v>
      </c>
      <c r="F1728" t="str">
        <f ca="1">OFFSET(Industries!B$1,MATCH(Table1[[#This Row],[Ticker]],Industries!$A$2:$A$140,0),0)</f>
        <v>Mega-Cap</v>
      </c>
      <c r="G1728" t="str">
        <f ca="1">OFFSET(Industries!F$1,MATCH(Table1[[#This Row],[Ticker]],Industries!$A$2:$A$140,0),0)</f>
        <v>AA-</v>
      </c>
      <c r="H1728" t="s">
        <v>1434</v>
      </c>
      <c r="I1728" t="s">
        <v>1434</v>
      </c>
      <c r="J1728" s="2">
        <v>45163</v>
      </c>
      <c r="K1728" t="s">
        <v>21</v>
      </c>
      <c r="L1728" t="s">
        <v>1710</v>
      </c>
      <c r="M1728" t="s">
        <v>1709</v>
      </c>
      <c r="N1728" s="1"/>
      <c r="O1728" t="s">
        <v>476</v>
      </c>
      <c r="P1728" s="1">
        <v>0.312</v>
      </c>
      <c r="R1728" t="s">
        <v>28</v>
      </c>
      <c r="S1728" t="s">
        <v>1110</v>
      </c>
      <c r="T1728" t="s">
        <v>172</v>
      </c>
      <c r="V1728" t="s">
        <v>1009</v>
      </c>
    </row>
    <row r="1729" spans="1:22" x14ac:dyDescent="0.3">
      <c r="A1729" t="s">
        <v>1002</v>
      </c>
      <c r="B1729" t="str">
        <f ca="1">OFFSET(Industries!C$1,MATCH(Table1[[#This Row],[Ticker]],Industries!$A$2:$A$150,0),0)</f>
        <v>Consumer Staples</v>
      </c>
      <c r="C1729" t="str">
        <f ca="1">OFFSET(Industries!D$1,MATCH(Table1[[#This Row],[Ticker]],Industries!$A$2:$A$150,0),0)</f>
        <v>Household and Personal Products</v>
      </c>
      <c r="D1729" t="str">
        <f ca="1">OFFSET(Industries!E$1,MATCH(Table1[[#This Row],[Ticker]],Industries!$A$2:$A$150,0),0)</f>
        <v>Household Products</v>
      </c>
      <c r="E1729" t="s">
        <v>1001</v>
      </c>
      <c r="F1729" t="str">
        <f ca="1">OFFSET(Industries!B$1,MATCH(Table1[[#This Row],[Ticker]],Industries!$A$2:$A$140,0),0)</f>
        <v>Mega-Cap</v>
      </c>
      <c r="G1729" t="str">
        <f ca="1">OFFSET(Industries!F$1,MATCH(Table1[[#This Row],[Ticker]],Industries!$A$2:$A$140,0),0)</f>
        <v>AA-</v>
      </c>
      <c r="H1729" t="s">
        <v>1434</v>
      </c>
      <c r="I1729" t="s">
        <v>1434</v>
      </c>
      <c r="J1729" s="2">
        <v>45163</v>
      </c>
      <c r="K1729" t="s">
        <v>21</v>
      </c>
      <c r="L1729" t="s">
        <v>1710</v>
      </c>
      <c r="M1729" t="s">
        <v>1711</v>
      </c>
      <c r="N1729" s="1">
        <f>Table1[[#This Row],[Consideration Weight]]</f>
        <v>0.21527999999999997</v>
      </c>
      <c r="O1729" t="s">
        <v>87</v>
      </c>
      <c r="P1729" s="1">
        <f>0.69*0.312</f>
        <v>0.21527999999999997</v>
      </c>
    </row>
    <row r="1730" spans="1:22" x14ac:dyDescent="0.3">
      <c r="A1730" t="s">
        <v>1002</v>
      </c>
      <c r="B1730" t="str">
        <f ca="1">OFFSET(Industries!C$1,MATCH(Table1[[#This Row],[Ticker]],Industries!$A$2:$A$150,0),0)</f>
        <v>Consumer Staples</v>
      </c>
      <c r="C1730" t="str">
        <f ca="1">OFFSET(Industries!D$1,MATCH(Table1[[#This Row],[Ticker]],Industries!$A$2:$A$150,0),0)</f>
        <v>Household and Personal Products</v>
      </c>
      <c r="D1730" t="str">
        <f ca="1">OFFSET(Industries!E$1,MATCH(Table1[[#This Row],[Ticker]],Industries!$A$2:$A$150,0),0)</f>
        <v>Household Products</v>
      </c>
      <c r="E1730" t="s">
        <v>1001</v>
      </c>
      <c r="F1730" t="str">
        <f ca="1">OFFSET(Industries!B$1,MATCH(Table1[[#This Row],[Ticker]],Industries!$A$2:$A$140,0),0)</f>
        <v>Mega-Cap</v>
      </c>
      <c r="G1730" t="str">
        <f ca="1">OFFSET(Industries!F$1,MATCH(Table1[[#This Row],[Ticker]],Industries!$A$2:$A$140,0),0)</f>
        <v>AA-</v>
      </c>
      <c r="H1730" t="s">
        <v>1434</v>
      </c>
      <c r="I1730" t="s">
        <v>1434</v>
      </c>
      <c r="J1730" s="2">
        <v>45163</v>
      </c>
      <c r="K1730" t="s">
        <v>21</v>
      </c>
      <c r="L1730" t="s">
        <v>1710</v>
      </c>
      <c r="M1730" t="s">
        <v>1711</v>
      </c>
      <c r="N1730" s="1">
        <f>Table1[[#This Row],[Consideration Weight]]</f>
        <v>9.672E-2</v>
      </c>
      <c r="O1730" t="s">
        <v>194</v>
      </c>
      <c r="P1730" s="1">
        <f>0.31*0.312</f>
        <v>9.672E-2</v>
      </c>
    </row>
    <row r="1731" spans="1:22" x14ac:dyDescent="0.3">
      <c r="A1731" t="s">
        <v>1014</v>
      </c>
      <c r="B1731" t="str">
        <f ca="1">OFFSET(Industries!C$1,MATCH(Table1[[#This Row],[Ticker]],Industries!$A$2:$A$150,0),0)</f>
        <v>Financials</v>
      </c>
      <c r="C1731" t="str">
        <f ca="1">OFFSET(Industries!D$1,MATCH(Table1[[#This Row],[Ticker]],Industries!$A$2:$A$150,0),0)</f>
        <v>Insurance</v>
      </c>
      <c r="D1731" t="str">
        <f ca="1">OFFSET(Industries!E$1,MATCH(Table1[[#This Row],[Ticker]],Industries!$A$2:$A$150,0),0)</f>
        <v>Insurance</v>
      </c>
      <c r="E1731" t="s">
        <v>496</v>
      </c>
      <c r="F1731" t="str">
        <f ca="1">OFFSET(Industries!B$1,MATCH(Table1[[#This Row],[Ticker]],Industries!$A$2:$A$140,0),0)</f>
        <v>Large-Cap</v>
      </c>
      <c r="G1731" t="str">
        <f ca="1">OFFSET(Industries!F$1,MATCH(Table1[[#This Row],[Ticker]],Industries!$A$2:$A$140,0),0)</f>
        <v>BBB+</v>
      </c>
      <c r="H1731" t="s">
        <v>1434</v>
      </c>
      <c r="I1731" t="s">
        <v>1434</v>
      </c>
      <c r="J1731" s="2">
        <v>45384</v>
      </c>
      <c r="K1731" t="s">
        <v>2</v>
      </c>
      <c r="L1731" t="s">
        <v>3</v>
      </c>
      <c r="M1731" t="s">
        <v>1711</v>
      </c>
      <c r="N1731" s="1">
        <f>Table1[[#This Row],[Consideration Weight]]</f>
        <v>7.4999999999999997E-2</v>
      </c>
      <c r="O1731" t="s">
        <v>3</v>
      </c>
      <c r="P1731" s="1">
        <v>7.4999999999999997E-2</v>
      </c>
      <c r="V1731" t="s">
        <v>1017</v>
      </c>
    </row>
    <row r="1732" spans="1:22" x14ac:dyDescent="0.3">
      <c r="A1732" t="s">
        <v>1014</v>
      </c>
      <c r="B1732" t="str">
        <f ca="1">OFFSET(Industries!C$1,MATCH(Table1[[#This Row],[Ticker]],Industries!$A$2:$A$150,0),0)</f>
        <v>Financials</v>
      </c>
      <c r="C1732" t="str">
        <f ca="1">OFFSET(Industries!D$1,MATCH(Table1[[#This Row],[Ticker]],Industries!$A$2:$A$150,0),0)</f>
        <v>Insurance</v>
      </c>
      <c r="D1732" t="str">
        <f ca="1">OFFSET(Industries!E$1,MATCH(Table1[[#This Row],[Ticker]],Industries!$A$2:$A$150,0),0)</f>
        <v>Insurance</v>
      </c>
      <c r="E1732" t="s">
        <v>496</v>
      </c>
      <c r="F1732" t="str">
        <f ca="1">OFFSET(Industries!B$1,MATCH(Table1[[#This Row],[Ticker]],Industries!$A$2:$A$140,0),0)</f>
        <v>Large-Cap</v>
      </c>
      <c r="G1732" t="str">
        <f ca="1">OFFSET(Industries!F$1,MATCH(Table1[[#This Row],[Ticker]],Industries!$A$2:$A$140,0),0)</f>
        <v>BBB+</v>
      </c>
      <c r="H1732" t="s">
        <v>1434</v>
      </c>
      <c r="I1732" t="s">
        <v>1434</v>
      </c>
      <c r="J1732" s="2">
        <v>45384</v>
      </c>
      <c r="K1732" t="s">
        <v>2</v>
      </c>
      <c r="L1732" t="s">
        <v>1708</v>
      </c>
      <c r="M1732" t="s">
        <v>1709</v>
      </c>
      <c r="N1732" s="1">
        <f>Table1[[#This Row],[Consideration Weight]]</f>
        <v>0.22500000000000001</v>
      </c>
      <c r="O1732" t="s">
        <v>4</v>
      </c>
      <c r="P1732" s="1">
        <v>0.22500000000000001</v>
      </c>
      <c r="Q1732" s="1" t="s">
        <v>1636</v>
      </c>
      <c r="R1732" t="s">
        <v>25</v>
      </c>
      <c r="S1732" t="s">
        <v>1086</v>
      </c>
      <c r="T1732" t="s">
        <v>1015</v>
      </c>
      <c r="U1732" s="1">
        <v>0.25</v>
      </c>
      <c r="V1732" t="s">
        <v>1018</v>
      </c>
    </row>
    <row r="1733" spans="1:22" x14ac:dyDescent="0.3">
      <c r="A1733" t="s">
        <v>1014</v>
      </c>
      <c r="B1733" t="str">
        <f ca="1">OFFSET(Industries!C$1,MATCH(Table1[[#This Row],[Ticker]],Industries!$A$2:$A$150,0),0)</f>
        <v>Financials</v>
      </c>
      <c r="C1733" t="str">
        <f ca="1">OFFSET(Industries!D$1,MATCH(Table1[[#This Row],[Ticker]],Industries!$A$2:$A$150,0),0)</f>
        <v>Insurance</v>
      </c>
      <c r="D1733" t="str">
        <f ca="1">OFFSET(Industries!E$1,MATCH(Table1[[#This Row],[Ticker]],Industries!$A$2:$A$150,0),0)</f>
        <v>Insurance</v>
      </c>
      <c r="E1733" t="s">
        <v>496</v>
      </c>
      <c r="F1733" t="str">
        <f ca="1">OFFSET(Industries!B$1,MATCH(Table1[[#This Row],[Ticker]],Industries!$A$2:$A$140,0),0)</f>
        <v>Large-Cap</v>
      </c>
      <c r="G1733" t="str">
        <f ca="1">OFFSET(Industries!F$1,MATCH(Table1[[#This Row],[Ticker]],Industries!$A$2:$A$140,0),0)</f>
        <v>BBB+</v>
      </c>
      <c r="H1733" t="s">
        <v>1434</v>
      </c>
      <c r="I1733" t="s">
        <v>1434</v>
      </c>
      <c r="J1733" s="2">
        <v>45384</v>
      </c>
      <c r="K1733" t="s">
        <v>2</v>
      </c>
      <c r="L1733" t="s">
        <v>1708</v>
      </c>
      <c r="M1733" t="s">
        <v>1709</v>
      </c>
      <c r="N1733" s="1"/>
      <c r="O1733" t="s">
        <v>4</v>
      </c>
      <c r="P1733" s="1">
        <v>0.22500000000000001</v>
      </c>
      <c r="Q1733" s="1" t="s">
        <v>1636</v>
      </c>
      <c r="R1733" t="s">
        <v>24</v>
      </c>
      <c r="S1733" t="s">
        <v>1089</v>
      </c>
      <c r="T1733" t="s">
        <v>50</v>
      </c>
      <c r="U1733" s="1">
        <v>0.25</v>
      </c>
      <c r="V1733" t="s">
        <v>1019</v>
      </c>
    </row>
    <row r="1734" spans="1:22" x14ac:dyDescent="0.3">
      <c r="A1734" t="s">
        <v>1014</v>
      </c>
      <c r="B1734" t="str">
        <f ca="1">OFFSET(Industries!C$1,MATCH(Table1[[#This Row],[Ticker]],Industries!$A$2:$A$150,0),0)</f>
        <v>Financials</v>
      </c>
      <c r="C1734" t="str">
        <f ca="1">OFFSET(Industries!D$1,MATCH(Table1[[#This Row],[Ticker]],Industries!$A$2:$A$150,0),0)</f>
        <v>Insurance</v>
      </c>
      <c r="D1734" t="str">
        <f ca="1">OFFSET(Industries!E$1,MATCH(Table1[[#This Row],[Ticker]],Industries!$A$2:$A$150,0),0)</f>
        <v>Insurance</v>
      </c>
      <c r="E1734" t="s">
        <v>496</v>
      </c>
      <c r="F1734" t="str">
        <f ca="1">OFFSET(Industries!B$1,MATCH(Table1[[#This Row],[Ticker]],Industries!$A$2:$A$140,0),0)</f>
        <v>Large-Cap</v>
      </c>
      <c r="G1734" t="str">
        <f ca="1">OFFSET(Industries!F$1,MATCH(Table1[[#This Row],[Ticker]],Industries!$A$2:$A$140,0),0)</f>
        <v>BBB+</v>
      </c>
      <c r="H1734" t="s">
        <v>1434</v>
      </c>
      <c r="I1734" t="s">
        <v>1434</v>
      </c>
      <c r="J1734" s="2">
        <v>45384</v>
      </c>
      <c r="K1734" t="s">
        <v>2</v>
      </c>
      <c r="L1734" t="s">
        <v>1708</v>
      </c>
      <c r="M1734" t="s">
        <v>1709</v>
      </c>
      <c r="N1734" s="1"/>
      <c r="O1734" t="s">
        <v>4</v>
      </c>
      <c r="P1734" s="1">
        <v>0.22500000000000001</v>
      </c>
      <c r="Q1734" s="1" t="s">
        <v>1636</v>
      </c>
      <c r="R1734" t="s">
        <v>1059</v>
      </c>
      <c r="S1734" t="s">
        <v>1092</v>
      </c>
      <c r="T1734" t="s">
        <v>1016</v>
      </c>
      <c r="U1734" s="1">
        <v>0.25</v>
      </c>
    </row>
    <row r="1735" spans="1:22" x14ac:dyDescent="0.3">
      <c r="A1735" t="s">
        <v>1014</v>
      </c>
      <c r="B1735" t="str">
        <f ca="1">OFFSET(Industries!C$1,MATCH(Table1[[#This Row],[Ticker]],Industries!$A$2:$A$150,0),0)</f>
        <v>Financials</v>
      </c>
      <c r="C1735" t="str">
        <f ca="1">OFFSET(Industries!D$1,MATCH(Table1[[#This Row],[Ticker]],Industries!$A$2:$A$150,0),0)</f>
        <v>Insurance</v>
      </c>
      <c r="D1735" t="str">
        <f ca="1">OFFSET(Industries!E$1,MATCH(Table1[[#This Row],[Ticker]],Industries!$A$2:$A$150,0),0)</f>
        <v>Insurance</v>
      </c>
      <c r="E1735" t="s">
        <v>496</v>
      </c>
      <c r="F1735" t="str">
        <f ca="1">OFFSET(Industries!B$1,MATCH(Table1[[#This Row],[Ticker]],Industries!$A$2:$A$140,0),0)</f>
        <v>Large-Cap</v>
      </c>
      <c r="G1735" t="str">
        <f ca="1">OFFSET(Industries!F$1,MATCH(Table1[[#This Row],[Ticker]],Industries!$A$2:$A$140,0),0)</f>
        <v>BBB+</v>
      </c>
      <c r="H1735" t="s">
        <v>1434</v>
      </c>
      <c r="I1735" t="s">
        <v>1434</v>
      </c>
      <c r="J1735" s="2">
        <v>45384</v>
      </c>
      <c r="K1735" t="s">
        <v>2</v>
      </c>
      <c r="L1735" t="s">
        <v>1708</v>
      </c>
      <c r="M1735" t="s">
        <v>1709</v>
      </c>
      <c r="N1735" s="1"/>
      <c r="O1735" t="s">
        <v>4</v>
      </c>
      <c r="P1735" s="1">
        <v>0.22500000000000001</v>
      </c>
      <c r="Q1735" s="1" t="s">
        <v>1636</v>
      </c>
      <c r="R1735" t="s">
        <v>24</v>
      </c>
      <c r="S1735" t="s">
        <v>1086</v>
      </c>
      <c r="T1735" t="s">
        <v>1020</v>
      </c>
      <c r="U1735" s="1">
        <v>0.25</v>
      </c>
      <c r="V1735" t="s">
        <v>1024</v>
      </c>
    </row>
    <row r="1736" spans="1:22" x14ac:dyDescent="0.3">
      <c r="A1736" t="s">
        <v>1014</v>
      </c>
      <c r="B1736" t="str">
        <f ca="1">OFFSET(Industries!C$1,MATCH(Table1[[#This Row],[Ticker]],Industries!$A$2:$A$150,0),0)</f>
        <v>Financials</v>
      </c>
      <c r="C1736" t="str">
        <f ca="1">OFFSET(Industries!D$1,MATCH(Table1[[#This Row],[Ticker]],Industries!$A$2:$A$150,0),0)</f>
        <v>Insurance</v>
      </c>
      <c r="D1736" t="str">
        <f ca="1">OFFSET(Industries!E$1,MATCH(Table1[[#This Row],[Ticker]],Industries!$A$2:$A$150,0),0)</f>
        <v>Insurance</v>
      </c>
      <c r="E1736" t="s">
        <v>496</v>
      </c>
      <c r="F1736" t="str">
        <f ca="1">OFFSET(Industries!B$1,MATCH(Table1[[#This Row],[Ticker]],Industries!$A$2:$A$140,0),0)</f>
        <v>Large-Cap</v>
      </c>
      <c r="G1736" t="str">
        <f ca="1">OFFSET(Industries!F$1,MATCH(Table1[[#This Row],[Ticker]],Industries!$A$2:$A$140,0),0)</f>
        <v>BBB+</v>
      </c>
      <c r="H1736" t="s">
        <v>1434</v>
      </c>
      <c r="I1736" t="s">
        <v>1434</v>
      </c>
      <c r="J1736" s="2">
        <v>45384</v>
      </c>
      <c r="K1736" t="s">
        <v>2</v>
      </c>
      <c r="L1736" t="s">
        <v>1708</v>
      </c>
      <c r="M1736" t="s">
        <v>1709</v>
      </c>
      <c r="N1736" s="1"/>
      <c r="O1736" t="s">
        <v>4</v>
      </c>
      <c r="P1736" s="1">
        <v>0.22500000000000001</v>
      </c>
      <c r="R1736" t="s">
        <v>28</v>
      </c>
      <c r="S1736" t="s">
        <v>1087</v>
      </c>
      <c r="T1736" t="s">
        <v>40</v>
      </c>
      <c r="V1736" t="s">
        <v>934</v>
      </c>
    </row>
    <row r="1737" spans="1:22" x14ac:dyDescent="0.3">
      <c r="A1737" t="s">
        <v>1014</v>
      </c>
      <c r="B1737" t="str">
        <f ca="1">OFFSET(Industries!C$1,MATCH(Table1[[#This Row],[Ticker]],Industries!$A$2:$A$150,0),0)</f>
        <v>Financials</v>
      </c>
      <c r="C1737" t="str">
        <f ca="1">OFFSET(Industries!D$1,MATCH(Table1[[#This Row],[Ticker]],Industries!$A$2:$A$150,0),0)</f>
        <v>Insurance</v>
      </c>
      <c r="D1737" t="str">
        <f ca="1">OFFSET(Industries!E$1,MATCH(Table1[[#This Row],[Ticker]],Industries!$A$2:$A$150,0),0)</f>
        <v>Insurance</v>
      </c>
      <c r="E1737" t="s">
        <v>496</v>
      </c>
      <c r="F1737" t="str">
        <f ca="1">OFFSET(Industries!B$1,MATCH(Table1[[#This Row],[Ticker]],Industries!$A$2:$A$140,0),0)</f>
        <v>Large-Cap</v>
      </c>
      <c r="G1737" t="str">
        <f ca="1">OFFSET(Industries!F$1,MATCH(Table1[[#This Row],[Ticker]],Industries!$A$2:$A$140,0),0)</f>
        <v>BBB+</v>
      </c>
      <c r="H1737" t="s">
        <v>1434</v>
      </c>
      <c r="I1737" t="s">
        <v>1434</v>
      </c>
      <c r="J1737" s="2">
        <v>45384</v>
      </c>
      <c r="K1737" t="s">
        <v>2</v>
      </c>
      <c r="L1737" t="s">
        <v>1710</v>
      </c>
      <c r="M1737" t="s">
        <v>1709</v>
      </c>
      <c r="N1737" s="1">
        <f>Table1[[#This Row],[Consideration Weight]]</f>
        <v>0.52499999999999991</v>
      </c>
      <c r="O1737" t="s">
        <v>476</v>
      </c>
      <c r="P1737" s="1">
        <f>0.7*0.75</f>
        <v>0.52499999999999991</v>
      </c>
      <c r="Q1737" s="1" t="s">
        <v>1636</v>
      </c>
      <c r="R1737" t="s">
        <v>25</v>
      </c>
      <c r="S1737" t="s">
        <v>1086</v>
      </c>
      <c r="T1737" t="s">
        <v>1015</v>
      </c>
      <c r="U1737" s="1">
        <v>0.25</v>
      </c>
    </row>
    <row r="1738" spans="1:22" x14ac:dyDescent="0.3">
      <c r="A1738" t="s">
        <v>1014</v>
      </c>
      <c r="B1738" t="str">
        <f ca="1">OFFSET(Industries!C$1,MATCH(Table1[[#This Row],[Ticker]],Industries!$A$2:$A$150,0),0)</f>
        <v>Financials</v>
      </c>
      <c r="C1738" t="str">
        <f ca="1">OFFSET(Industries!D$1,MATCH(Table1[[#This Row],[Ticker]],Industries!$A$2:$A$150,0),0)</f>
        <v>Insurance</v>
      </c>
      <c r="D1738" t="str">
        <f ca="1">OFFSET(Industries!E$1,MATCH(Table1[[#This Row],[Ticker]],Industries!$A$2:$A$150,0),0)</f>
        <v>Insurance</v>
      </c>
      <c r="E1738" t="s">
        <v>496</v>
      </c>
      <c r="F1738" t="str">
        <f ca="1">OFFSET(Industries!B$1,MATCH(Table1[[#This Row],[Ticker]],Industries!$A$2:$A$140,0),0)</f>
        <v>Large-Cap</v>
      </c>
      <c r="G1738" t="str">
        <f ca="1">OFFSET(Industries!F$1,MATCH(Table1[[#This Row],[Ticker]],Industries!$A$2:$A$140,0),0)</f>
        <v>BBB+</v>
      </c>
      <c r="H1738" t="s">
        <v>1434</v>
      </c>
      <c r="I1738" t="s">
        <v>1434</v>
      </c>
      <c r="J1738" s="2">
        <v>45384</v>
      </c>
      <c r="K1738" t="s">
        <v>2</v>
      </c>
      <c r="L1738" t="s">
        <v>1710</v>
      </c>
      <c r="M1738" t="s">
        <v>1709</v>
      </c>
      <c r="N1738" s="1"/>
      <c r="O1738" t="s">
        <v>476</v>
      </c>
      <c r="P1738" s="1">
        <f>0.7*0.75</f>
        <v>0.52499999999999991</v>
      </c>
      <c r="Q1738" s="1" t="s">
        <v>1636</v>
      </c>
      <c r="R1738" t="s">
        <v>24</v>
      </c>
      <c r="S1738" t="s">
        <v>1086</v>
      </c>
      <c r="T1738" t="s">
        <v>1021</v>
      </c>
      <c r="U1738" s="1">
        <v>0.25</v>
      </c>
      <c r="V1738" t="s">
        <v>1022</v>
      </c>
    </row>
    <row r="1739" spans="1:22" x14ac:dyDescent="0.3">
      <c r="A1739" t="s">
        <v>1014</v>
      </c>
      <c r="B1739" t="str">
        <f ca="1">OFFSET(Industries!C$1,MATCH(Table1[[#This Row],[Ticker]],Industries!$A$2:$A$150,0),0)</f>
        <v>Financials</v>
      </c>
      <c r="C1739" t="str">
        <f ca="1">OFFSET(Industries!D$1,MATCH(Table1[[#This Row],[Ticker]],Industries!$A$2:$A$150,0),0)</f>
        <v>Insurance</v>
      </c>
      <c r="D1739" t="str">
        <f ca="1">OFFSET(Industries!E$1,MATCH(Table1[[#This Row],[Ticker]],Industries!$A$2:$A$150,0),0)</f>
        <v>Insurance</v>
      </c>
      <c r="E1739" t="s">
        <v>496</v>
      </c>
      <c r="F1739" t="str">
        <f ca="1">OFFSET(Industries!B$1,MATCH(Table1[[#This Row],[Ticker]],Industries!$A$2:$A$140,0),0)</f>
        <v>Large-Cap</v>
      </c>
      <c r="G1739" t="str">
        <f ca="1">OFFSET(Industries!F$1,MATCH(Table1[[#This Row],[Ticker]],Industries!$A$2:$A$140,0),0)</f>
        <v>BBB+</v>
      </c>
      <c r="H1739" t="s">
        <v>1434</v>
      </c>
      <c r="I1739" t="s">
        <v>1434</v>
      </c>
      <c r="J1739" s="2">
        <v>45384</v>
      </c>
      <c r="K1739" t="s">
        <v>2</v>
      </c>
      <c r="L1739" t="s">
        <v>1710</v>
      </c>
      <c r="M1739" t="s">
        <v>1709</v>
      </c>
      <c r="N1739" s="1"/>
      <c r="O1739" t="s">
        <v>476</v>
      </c>
      <c r="P1739" s="1">
        <f>0.7*0.75</f>
        <v>0.52499999999999991</v>
      </c>
      <c r="Q1739" s="1" t="s">
        <v>1636</v>
      </c>
      <c r="R1739" t="s">
        <v>24</v>
      </c>
      <c r="S1739" t="s">
        <v>1089</v>
      </c>
      <c r="T1739" t="s">
        <v>50</v>
      </c>
      <c r="U1739" s="1">
        <v>0.25</v>
      </c>
      <c r="V1739" t="s">
        <v>1023</v>
      </c>
    </row>
    <row r="1740" spans="1:22" x14ac:dyDescent="0.3">
      <c r="A1740" t="s">
        <v>1014</v>
      </c>
      <c r="B1740" t="str">
        <f ca="1">OFFSET(Industries!C$1,MATCH(Table1[[#This Row],[Ticker]],Industries!$A$2:$A$150,0),0)</f>
        <v>Financials</v>
      </c>
      <c r="C1740" t="str">
        <f ca="1">OFFSET(Industries!D$1,MATCH(Table1[[#This Row],[Ticker]],Industries!$A$2:$A$150,0),0)</f>
        <v>Insurance</v>
      </c>
      <c r="D1740" t="str">
        <f ca="1">OFFSET(Industries!E$1,MATCH(Table1[[#This Row],[Ticker]],Industries!$A$2:$A$150,0),0)</f>
        <v>Insurance</v>
      </c>
      <c r="E1740" t="s">
        <v>496</v>
      </c>
      <c r="F1740" t="str">
        <f ca="1">OFFSET(Industries!B$1,MATCH(Table1[[#This Row],[Ticker]],Industries!$A$2:$A$140,0),0)</f>
        <v>Large-Cap</v>
      </c>
      <c r="G1740" t="str">
        <f ca="1">OFFSET(Industries!F$1,MATCH(Table1[[#This Row],[Ticker]],Industries!$A$2:$A$140,0),0)</f>
        <v>BBB+</v>
      </c>
      <c r="H1740" t="s">
        <v>1434</v>
      </c>
      <c r="I1740" t="s">
        <v>1434</v>
      </c>
      <c r="J1740" s="2">
        <v>45384</v>
      </c>
      <c r="K1740" t="s">
        <v>2</v>
      </c>
      <c r="L1740" t="s">
        <v>1710</v>
      </c>
      <c r="M1740" t="s">
        <v>1709</v>
      </c>
      <c r="N1740" s="1"/>
      <c r="O1740" t="s">
        <v>476</v>
      </c>
      <c r="P1740" s="1">
        <f>0.7*0.75</f>
        <v>0.52499999999999991</v>
      </c>
      <c r="Q1740" s="1" t="s">
        <v>1646</v>
      </c>
      <c r="R1740" t="s">
        <v>35</v>
      </c>
      <c r="S1740" t="s">
        <v>29</v>
      </c>
      <c r="T1740" t="s">
        <v>30</v>
      </c>
      <c r="U1740" s="1">
        <v>0.25</v>
      </c>
    </row>
    <row r="1741" spans="1:22" x14ac:dyDescent="0.3">
      <c r="A1741" t="s">
        <v>1014</v>
      </c>
      <c r="B1741" t="str">
        <f ca="1">OFFSET(Industries!C$1,MATCH(Table1[[#This Row],[Ticker]],Industries!$A$2:$A$150,0),0)</f>
        <v>Financials</v>
      </c>
      <c r="C1741" t="str">
        <f ca="1">OFFSET(Industries!D$1,MATCH(Table1[[#This Row],[Ticker]],Industries!$A$2:$A$150,0),0)</f>
        <v>Insurance</v>
      </c>
      <c r="D1741" t="str">
        <f ca="1">OFFSET(Industries!E$1,MATCH(Table1[[#This Row],[Ticker]],Industries!$A$2:$A$150,0),0)</f>
        <v>Insurance</v>
      </c>
      <c r="E1741" t="s">
        <v>496</v>
      </c>
      <c r="F1741" t="str">
        <f ca="1">OFFSET(Industries!B$1,MATCH(Table1[[#This Row],[Ticker]],Industries!$A$2:$A$140,0),0)</f>
        <v>Large-Cap</v>
      </c>
      <c r="G1741" t="str">
        <f ca="1">OFFSET(Industries!F$1,MATCH(Table1[[#This Row],[Ticker]],Industries!$A$2:$A$140,0),0)</f>
        <v>BBB+</v>
      </c>
      <c r="H1741" t="s">
        <v>1434</v>
      </c>
      <c r="I1741" t="s">
        <v>1434</v>
      </c>
      <c r="J1741" s="2">
        <v>45384</v>
      </c>
      <c r="K1741" t="s">
        <v>2</v>
      </c>
      <c r="L1741" t="s">
        <v>1710</v>
      </c>
      <c r="M1741" t="s">
        <v>1711</v>
      </c>
      <c r="N1741" s="1">
        <f>Table1[[#This Row],[Consideration Weight]]</f>
        <v>0.17499999999999999</v>
      </c>
      <c r="O1741" t="s">
        <v>87</v>
      </c>
      <c r="P1741" s="1">
        <f>0.7*0.25</f>
        <v>0.17499999999999999</v>
      </c>
    </row>
    <row r="1742" spans="1:22" x14ac:dyDescent="0.3">
      <c r="A1742" t="s">
        <v>1014</v>
      </c>
      <c r="B1742" t="str">
        <f ca="1">OFFSET(Industries!C$1,MATCH(Table1[[#This Row],[Ticker]],Industries!$A$2:$A$150,0),0)</f>
        <v>Financials</v>
      </c>
      <c r="C1742" t="str">
        <f ca="1">OFFSET(Industries!D$1,MATCH(Table1[[#This Row],[Ticker]],Industries!$A$2:$A$150,0),0)</f>
        <v>Insurance</v>
      </c>
      <c r="D1742" t="str">
        <f ca="1">OFFSET(Industries!E$1,MATCH(Table1[[#This Row],[Ticker]],Industries!$A$2:$A$150,0),0)</f>
        <v>Insurance</v>
      </c>
      <c r="E1742" t="s">
        <v>496</v>
      </c>
      <c r="F1742" t="str">
        <f ca="1">OFFSET(Industries!B$1,MATCH(Table1[[#This Row],[Ticker]],Industries!$A$2:$A$140,0),0)</f>
        <v>Large-Cap</v>
      </c>
      <c r="G1742" t="str">
        <f ca="1">OFFSET(Industries!F$1,MATCH(Table1[[#This Row],[Ticker]],Industries!$A$2:$A$140,0),0)</f>
        <v>BBB+</v>
      </c>
      <c r="H1742" t="s">
        <v>1434</v>
      </c>
      <c r="I1742" t="s">
        <v>1434</v>
      </c>
      <c r="J1742" s="2">
        <v>45384</v>
      </c>
      <c r="K1742" t="s">
        <v>21</v>
      </c>
      <c r="L1742" t="s">
        <v>3</v>
      </c>
      <c r="M1742" t="s">
        <v>1711</v>
      </c>
      <c r="N1742" s="1">
        <f>Table1[[#This Row],[Consideration Weight]]</f>
        <v>0.17499999999999999</v>
      </c>
      <c r="O1742" t="s">
        <v>3</v>
      </c>
      <c r="P1742" s="1">
        <v>0.17499999999999999</v>
      </c>
    </row>
    <row r="1743" spans="1:22" x14ac:dyDescent="0.3">
      <c r="A1743" t="s">
        <v>1014</v>
      </c>
      <c r="B1743" t="str">
        <f ca="1">OFFSET(Industries!C$1,MATCH(Table1[[#This Row],[Ticker]],Industries!$A$2:$A$150,0),0)</f>
        <v>Financials</v>
      </c>
      <c r="C1743" t="str">
        <f ca="1">OFFSET(Industries!D$1,MATCH(Table1[[#This Row],[Ticker]],Industries!$A$2:$A$150,0),0)</f>
        <v>Insurance</v>
      </c>
      <c r="D1743" t="str">
        <f ca="1">OFFSET(Industries!E$1,MATCH(Table1[[#This Row],[Ticker]],Industries!$A$2:$A$150,0),0)</f>
        <v>Insurance</v>
      </c>
      <c r="E1743" t="s">
        <v>496</v>
      </c>
      <c r="F1743" t="str">
        <f ca="1">OFFSET(Industries!B$1,MATCH(Table1[[#This Row],[Ticker]],Industries!$A$2:$A$140,0),0)</f>
        <v>Large-Cap</v>
      </c>
      <c r="G1743" t="str">
        <f ca="1">OFFSET(Industries!F$1,MATCH(Table1[[#This Row],[Ticker]],Industries!$A$2:$A$140,0),0)</f>
        <v>BBB+</v>
      </c>
      <c r="H1743" t="s">
        <v>1434</v>
      </c>
      <c r="I1743" t="s">
        <v>1434</v>
      </c>
      <c r="J1743" s="2">
        <v>45384</v>
      </c>
      <c r="K1743" t="s">
        <v>21</v>
      </c>
      <c r="L1743" t="s">
        <v>1708</v>
      </c>
      <c r="M1743" t="s">
        <v>1709</v>
      </c>
      <c r="N1743" s="1">
        <f>Table1[[#This Row],[Consideration Weight]]</f>
        <v>0.34499999999999997</v>
      </c>
      <c r="O1743" t="s">
        <v>4</v>
      </c>
      <c r="P1743" s="1">
        <v>0.34499999999999997</v>
      </c>
      <c r="Q1743" s="1" t="s">
        <v>1636</v>
      </c>
      <c r="R1743" t="s">
        <v>25</v>
      </c>
      <c r="S1743" t="s">
        <v>1086</v>
      </c>
      <c r="T1743" t="s">
        <v>1015</v>
      </c>
      <c r="U1743" s="1">
        <v>0.25</v>
      </c>
    </row>
    <row r="1744" spans="1:22" x14ac:dyDescent="0.3">
      <c r="A1744" t="s">
        <v>1014</v>
      </c>
      <c r="B1744" t="str">
        <f ca="1">OFFSET(Industries!C$1,MATCH(Table1[[#This Row],[Ticker]],Industries!$A$2:$A$150,0),0)</f>
        <v>Financials</v>
      </c>
      <c r="C1744" t="str">
        <f ca="1">OFFSET(Industries!D$1,MATCH(Table1[[#This Row],[Ticker]],Industries!$A$2:$A$150,0),0)</f>
        <v>Insurance</v>
      </c>
      <c r="D1744" t="str">
        <f ca="1">OFFSET(Industries!E$1,MATCH(Table1[[#This Row],[Ticker]],Industries!$A$2:$A$150,0),0)</f>
        <v>Insurance</v>
      </c>
      <c r="E1744" t="s">
        <v>496</v>
      </c>
      <c r="F1744" t="str">
        <f ca="1">OFFSET(Industries!B$1,MATCH(Table1[[#This Row],[Ticker]],Industries!$A$2:$A$140,0),0)</f>
        <v>Large-Cap</v>
      </c>
      <c r="G1744" t="str">
        <f ca="1">OFFSET(Industries!F$1,MATCH(Table1[[#This Row],[Ticker]],Industries!$A$2:$A$140,0),0)</f>
        <v>BBB+</v>
      </c>
      <c r="H1744" t="s">
        <v>1434</v>
      </c>
      <c r="I1744" t="s">
        <v>1434</v>
      </c>
      <c r="J1744" s="2">
        <v>45384</v>
      </c>
      <c r="K1744" t="s">
        <v>21</v>
      </c>
      <c r="L1744" t="s">
        <v>1708</v>
      </c>
      <c r="M1744" t="s">
        <v>1709</v>
      </c>
      <c r="N1744" s="1"/>
      <c r="O1744" t="s">
        <v>4</v>
      </c>
      <c r="P1744" s="1">
        <v>0.34499999999999997</v>
      </c>
      <c r="Q1744" s="1" t="s">
        <v>1636</v>
      </c>
      <c r="R1744" t="s">
        <v>24</v>
      </c>
      <c r="S1744" t="s">
        <v>1089</v>
      </c>
      <c r="T1744" t="s">
        <v>50</v>
      </c>
      <c r="U1744" s="1">
        <v>0.25</v>
      </c>
    </row>
    <row r="1745" spans="1:22" x14ac:dyDescent="0.3">
      <c r="A1745" t="s">
        <v>1014</v>
      </c>
      <c r="B1745" t="str">
        <f ca="1">OFFSET(Industries!C$1,MATCH(Table1[[#This Row],[Ticker]],Industries!$A$2:$A$150,0),0)</f>
        <v>Financials</v>
      </c>
      <c r="C1745" t="str">
        <f ca="1">OFFSET(Industries!D$1,MATCH(Table1[[#This Row],[Ticker]],Industries!$A$2:$A$150,0),0)</f>
        <v>Insurance</v>
      </c>
      <c r="D1745" t="str">
        <f ca="1">OFFSET(Industries!E$1,MATCH(Table1[[#This Row],[Ticker]],Industries!$A$2:$A$150,0),0)</f>
        <v>Insurance</v>
      </c>
      <c r="E1745" t="s">
        <v>496</v>
      </c>
      <c r="F1745" t="str">
        <f ca="1">OFFSET(Industries!B$1,MATCH(Table1[[#This Row],[Ticker]],Industries!$A$2:$A$140,0),0)</f>
        <v>Large-Cap</v>
      </c>
      <c r="G1745" t="str">
        <f ca="1">OFFSET(Industries!F$1,MATCH(Table1[[#This Row],[Ticker]],Industries!$A$2:$A$140,0),0)</f>
        <v>BBB+</v>
      </c>
      <c r="H1745" t="s">
        <v>1434</v>
      </c>
      <c r="I1745" t="s">
        <v>1434</v>
      </c>
      <c r="J1745" s="2">
        <v>45384</v>
      </c>
      <c r="K1745" t="s">
        <v>21</v>
      </c>
      <c r="L1745" t="s">
        <v>1708</v>
      </c>
      <c r="M1745" t="s">
        <v>1709</v>
      </c>
      <c r="N1745" s="1"/>
      <c r="O1745" t="s">
        <v>4</v>
      </c>
      <c r="P1745" s="1">
        <v>0.34499999999999997</v>
      </c>
      <c r="Q1745" s="1" t="s">
        <v>1636</v>
      </c>
      <c r="R1745" t="s">
        <v>1059</v>
      </c>
      <c r="S1745" t="s">
        <v>1092</v>
      </c>
      <c r="T1745" t="s">
        <v>1016</v>
      </c>
      <c r="U1745" s="1">
        <v>0.25</v>
      </c>
    </row>
    <row r="1746" spans="1:22" x14ac:dyDescent="0.3">
      <c r="A1746" t="s">
        <v>1014</v>
      </c>
      <c r="B1746" t="str">
        <f ca="1">OFFSET(Industries!C$1,MATCH(Table1[[#This Row],[Ticker]],Industries!$A$2:$A$150,0),0)</f>
        <v>Financials</v>
      </c>
      <c r="C1746" t="str">
        <f ca="1">OFFSET(Industries!D$1,MATCH(Table1[[#This Row],[Ticker]],Industries!$A$2:$A$150,0),0)</f>
        <v>Insurance</v>
      </c>
      <c r="D1746" t="str">
        <f ca="1">OFFSET(Industries!E$1,MATCH(Table1[[#This Row],[Ticker]],Industries!$A$2:$A$150,0),0)</f>
        <v>Insurance</v>
      </c>
      <c r="E1746" t="s">
        <v>496</v>
      </c>
      <c r="F1746" t="str">
        <f ca="1">OFFSET(Industries!B$1,MATCH(Table1[[#This Row],[Ticker]],Industries!$A$2:$A$140,0),0)</f>
        <v>Large-Cap</v>
      </c>
      <c r="G1746" t="str">
        <f ca="1">OFFSET(Industries!F$1,MATCH(Table1[[#This Row],[Ticker]],Industries!$A$2:$A$140,0),0)</f>
        <v>BBB+</v>
      </c>
      <c r="H1746" t="s">
        <v>1434</v>
      </c>
      <c r="I1746" t="s">
        <v>1434</v>
      </c>
      <c r="J1746" s="2">
        <v>45384</v>
      </c>
      <c r="K1746" t="s">
        <v>21</v>
      </c>
      <c r="L1746" t="s">
        <v>1708</v>
      </c>
      <c r="M1746" t="s">
        <v>1709</v>
      </c>
      <c r="N1746" s="1"/>
      <c r="O1746" t="s">
        <v>4</v>
      </c>
      <c r="P1746" s="1">
        <v>0.34499999999999997</v>
      </c>
      <c r="Q1746" s="1" t="s">
        <v>1636</v>
      </c>
      <c r="R1746" t="s">
        <v>24</v>
      </c>
      <c r="S1746" t="s">
        <v>1086</v>
      </c>
      <c r="T1746" t="s">
        <v>1020</v>
      </c>
      <c r="U1746" s="1">
        <v>0.25</v>
      </c>
    </row>
    <row r="1747" spans="1:22" x14ac:dyDescent="0.3">
      <c r="A1747" t="s">
        <v>1014</v>
      </c>
      <c r="B1747" t="str">
        <f ca="1">OFFSET(Industries!C$1,MATCH(Table1[[#This Row],[Ticker]],Industries!$A$2:$A$150,0),0)</f>
        <v>Financials</v>
      </c>
      <c r="C1747" t="str">
        <f ca="1">OFFSET(Industries!D$1,MATCH(Table1[[#This Row],[Ticker]],Industries!$A$2:$A$150,0),0)</f>
        <v>Insurance</v>
      </c>
      <c r="D1747" t="str">
        <f ca="1">OFFSET(Industries!E$1,MATCH(Table1[[#This Row],[Ticker]],Industries!$A$2:$A$150,0),0)</f>
        <v>Insurance</v>
      </c>
      <c r="E1747" t="s">
        <v>496</v>
      </c>
      <c r="F1747" t="str">
        <f ca="1">OFFSET(Industries!B$1,MATCH(Table1[[#This Row],[Ticker]],Industries!$A$2:$A$140,0),0)</f>
        <v>Large-Cap</v>
      </c>
      <c r="G1747" t="str">
        <f ca="1">OFFSET(Industries!F$1,MATCH(Table1[[#This Row],[Ticker]],Industries!$A$2:$A$140,0),0)</f>
        <v>BBB+</v>
      </c>
      <c r="H1747" t="s">
        <v>1434</v>
      </c>
      <c r="I1747" t="s">
        <v>1434</v>
      </c>
      <c r="J1747" s="2">
        <v>45384</v>
      </c>
      <c r="K1747" t="s">
        <v>21</v>
      </c>
      <c r="L1747" t="s">
        <v>1708</v>
      </c>
      <c r="M1747" t="s">
        <v>1709</v>
      </c>
      <c r="N1747" s="1"/>
      <c r="O1747" t="s">
        <v>4</v>
      </c>
      <c r="P1747" s="1">
        <v>0.34499999999999997</v>
      </c>
      <c r="R1747" t="s">
        <v>28</v>
      </c>
      <c r="S1747" t="s">
        <v>1087</v>
      </c>
      <c r="T1747" t="s">
        <v>40</v>
      </c>
    </row>
    <row r="1748" spans="1:22" x14ac:dyDescent="0.3">
      <c r="A1748" t="s">
        <v>1014</v>
      </c>
      <c r="B1748" t="str">
        <f ca="1">OFFSET(Industries!C$1,MATCH(Table1[[#This Row],[Ticker]],Industries!$A$2:$A$150,0),0)</f>
        <v>Financials</v>
      </c>
      <c r="C1748" t="str">
        <f ca="1">OFFSET(Industries!D$1,MATCH(Table1[[#This Row],[Ticker]],Industries!$A$2:$A$150,0),0)</f>
        <v>Insurance</v>
      </c>
      <c r="D1748" t="str">
        <f ca="1">OFFSET(Industries!E$1,MATCH(Table1[[#This Row],[Ticker]],Industries!$A$2:$A$150,0),0)</f>
        <v>Insurance</v>
      </c>
      <c r="E1748" t="s">
        <v>496</v>
      </c>
      <c r="F1748" t="str">
        <f ca="1">OFFSET(Industries!B$1,MATCH(Table1[[#This Row],[Ticker]],Industries!$A$2:$A$140,0),0)</f>
        <v>Large-Cap</v>
      </c>
      <c r="G1748" t="str">
        <f ca="1">OFFSET(Industries!F$1,MATCH(Table1[[#This Row],[Ticker]],Industries!$A$2:$A$140,0),0)</f>
        <v>BBB+</v>
      </c>
      <c r="H1748" t="s">
        <v>1434</v>
      </c>
      <c r="I1748" t="s">
        <v>1434</v>
      </c>
      <c r="J1748" s="2">
        <v>45384</v>
      </c>
      <c r="K1748" t="s">
        <v>21</v>
      </c>
      <c r="L1748" t="s">
        <v>1710</v>
      </c>
      <c r="M1748" t="s">
        <v>1709</v>
      </c>
      <c r="N1748" s="1">
        <f>Table1[[#This Row],[Consideration Weight]]</f>
        <v>0.24</v>
      </c>
      <c r="O1748" t="s">
        <v>476</v>
      </c>
      <c r="P1748" s="1">
        <v>0.24</v>
      </c>
      <c r="Q1748" s="1" t="s">
        <v>1636</v>
      </c>
      <c r="R1748" t="s">
        <v>25</v>
      </c>
      <c r="S1748" t="s">
        <v>1086</v>
      </c>
      <c r="T1748" t="s">
        <v>1015</v>
      </c>
      <c r="U1748" s="1">
        <v>0.25</v>
      </c>
    </row>
    <row r="1749" spans="1:22" x14ac:dyDescent="0.3">
      <c r="A1749" t="s">
        <v>1014</v>
      </c>
      <c r="B1749" t="str">
        <f ca="1">OFFSET(Industries!C$1,MATCH(Table1[[#This Row],[Ticker]],Industries!$A$2:$A$150,0),0)</f>
        <v>Financials</v>
      </c>
      <c r="C1749" t="str">
        <f ca="1">OFFSET(Industries!D$1,MATCH(Table1[[#This Row],[Ticker]],Industries!$A$2:$A$150,0),0)</f>
        <v>Insurance</v>
      </c>
      <c r="D1749" t="str">
        <f ca="1">OFFSET(Industries!E$1,MATCH(Table1[[#This Row],[Ticker]],Industries!$A$2:$A$150,0),0)</f>
        <v>Insurance</v>
      </c>
      <c r="E1749" t="s">
        <v>496</v>
      </c>
      <c r="F1749" t="str">
        <f ca="1">OFFSET(Industries!B$1,MATCH(Table1[[#This Row],[Ticker]],Industries!$A$2:$A$140,0),0)</f>
        <v>Large-Cap</v>
      </c>
      <c r="G1749" t="str">
        <f ca="1">OFFSET(Industries!F$1,MATCH(Table1[[#This Row],[Ticker]],Industries!$A$2:$A$140,0),0)</f>
        <v>BBB+</v>
      </c>
      <c r="H1749" t="s">
        <v>1434</v>
      </c>
      <c r="I1749" t="s">
        <v>1434</v>
      </c>
      <c r="J1749" s="2">
        <v>45384</v>
      </c>
      <c r="K1749" t="s">
        <v>21</v>
      </c>
      <c r="L1749" t="s">
        <v>1710</v>
      </c>
      <c r="M1749" t="s">
        <v>1709</v>
      </c>
      <c r="N1749" s="1"/>
      <c r="O1749" t="s">
        <v>476</v>
      </c>
      <c r="P1749" s="1">
        <v>0.24</v>
      </c>
      <c r="Q1749" s="1" t="s">
        <v>1636</v>
      </c>
      <c r="R1749" t="s">
        <v>24</v>
      </c>
      <c r="S1749" t="s">
        <v>1086</v>
      </c>
      <c r="T1749" t="s">
        <v>1021</v>
      </c>
      <c r="U1749" s="1">
        <v>0.25</v>
      </c>
    </row>
    <row r="1750" spans="1:22" x14ac:dyDescent="0.3">
      <c r="A1750" t="s">
        <v>1014</v>
      </c>
      <c r="B1750" t="str">
        <f ca="1">OFFSET(Industries!C$1,MATCH(Table1[[#This Row],[Ticker]],Industries!$A$2:$A$150,0),0)</f>
        <v>Financials</v>
      </c>
      <c r="C1750" t="str">
        <f ca="1">OFFSET(Industries!D$1,MATCH(Table1[[#This Row],[Ticker]],Industries!$A$2:$A$150,0),0)</f>
        <v>Insurance</v>
      </c>
      <c r="D1750" t="str">
        <f ca="1">OFFSET(Industries!E$1,MATCH(Table1[[#This Row],[Ticker]],Industries!$A$2:$A$150,0),0)</f>
        <v>Insurance</v>
      </c>
      <c r="E1750" t="s">
        <v>496</v>
      </c>
      <c r="F1750" t="str">
        <f ca="1">OFFSET(Industries!B$1,MATCH(Table1[[#This Row],[Ticker]],Industries!$A$2:$A$140,0),0)</f>
        <v>Large-Cap</v>
      </c>
      <c r="G1750" t="str">
        <f ca="1">OFFSET(Industries!F$1,MATCH(Table1[[#This Row],[Ticker]],Industries!$A$2:$A$140,0),0)</f>
        <v>BBB+</v>
      </c>
      <c r="H1750" t="s">
        <v>1434</v>
      </c>
      <c r="I1750" t="s">
        <v>1434</v>
      </c>
      <c r="J1750" s="2">
        <v>45384</v>
      </c>
      <c r="K1750" t="s">
        <v>21</v>
      </c>
      <c r="L1750" t="s">
        <v>1710</v>
      </c>
      <c r="M1750" t="s">
        <v>1709</v>
      </c>
      <c r="N1750" s="1"/>
      <c r="O1750" t="s">
        <v>476</v>
      </c>
      <c r="P1750" s="1">
        <v>0.24</v>
      </c>
      <c r="Q1750" s="1" t="s">
        <v>1636</v>
      </c>
      <c r="R1750" t="s">
        <v>24</v>
      </c>
      <c r="S1750" t="s">
        <v>1089</v>
      </c>
      <c r="T1750" t="s">
        <v>50</v>
      </c>
      <c r="U1750" s="1">
        <v>0.25</v>
      </c>
    </row>
    <row r="1751" spans="1:22" x14ac:dyDescent="0.3">
      <c r="A1751" t="s">
        <v>1014</v>
      </c>
      <c r="B1751" t="str">
        <f ca="1">OFFSET(Industries!C$1,MATCH(Table1[[#This Row],[Ticker]],Industries!$A$2:$A$150,0),0)</f>
        <v>Financials</v>
      </c>
      <c r="C1751" t="str">
        <f ca="1">OFFSET(Industries!D$1,MATCH(Table1[[#This Row],[Ticker]],Industries!$A$2:$A$150,0),0)</f>
        <v>Insurance</v>
      </c>
      <c r="D1751" t="str">
        <f ca="1">OFFSET(Industries!E$1,MATCH(Table1[[#This Row],[Ticker]],Industries!$A$2:$A$150,0),0)</f>
        <v>Insurance</v>
      </c>
      <c r="E1751" t="s">
        <v>496</v>
      </c>
      <c r="F1751" t="str">
        <f ca="1">OFFSET(Industries!B$1,MATCH(Table1[[#This Row],[Ticker]],Industries!$A$2:$A$140,0),0)</f>
        <v>Large-Cap</v>
      </c>
      <c r="G1751" t="str">
        <f ca="1">OFFSET(Industries!F$1,MATCH(Table1[[#This Row],[Ticker]],Industries!$A$2:$A$140,0),0)</f>
        <v>BBB+</v>
      </c>
      <c r="H1751" t="s">
        <v>1434</v>
      </c>
      <c r="I1751" t="s">
        <v>1434</v>
      </c>
      <c r="J1751" s="2">
        <v>45384</v>
      </c>
      <c r="K1751" t="s">
        <v>21</v>
      </c>
      <c r="L1751" t="s">
        <v>1710</v>
      </c>
      <c r="M1751" t="s">
        <v>1709</v>
      </c>
      <c r="N1751" s="1"/>
      <c r="O1751" t="s">
        <v>476</v>
      </c>
      <c r="P1751" s="1">
        <v>0.24</v>
      </c>
      <c r="Q1751" s="1" t="s">
        <v>1646</v>
      </c>
      <c r="R1751" t="s">
        <v>35</v>
      </c>
      <c r="S1751" t="s">
        <v>29</v>
      </c>
      <c r="T1751" t="s">
        <v>30</v>
      </c>
      <c r="U1751" s="1">
        <v>0.25</v>
      </c>
    </row>
    <row r="1752" spans="1:22" x14ac:dyDescent="0.3">
      <c r="A1752" t="s">
        <v>1014</v>
      </c>
      <c r="B1752" t="str">
        <f ca="1">OFFSET(Industries!C$1,MATCH(Table1[[#This Row],[Ticker]],Industries!$A$2:$A$150,0),0)</f>
        <v>Financials</v>
      </c>
      <c r="C1752" t="str">
        <f ca="1">OFFSET(Industries!D$1,MATCH(Table1[[#This Row],[Ticker]],Industries!$A$2:$A$150,0),0)</f>
        <v>Insurance</v>
      </c>
      <c r="D1752" t="str">
        <f ca="1">OFFSET(Industries!E$1,MATCH(Table1[[#This Row],[Ticker]],Industries!$A$2:$A$150,0),0)</f>
        <v>Insurance</v>
      </c>
      <c r="E1752" t="s">
        <v>496</v>
      </c>
      <c r="F1752" t="str">
        <f ca="1">OFFSET(Industries!B$1,MATCH(Table1[[#This Row],[Ticker]],Industries!$A$2:$A$140,0),0)</f>
        <v>Large-Cap</v>
      </c>
      <c r="G1752" t="str">
        <f ca="1">OFFSET(Industries!F$1,MATCH(Table1[[#This Row],[Ticker]],Industries!$A$2:$A$140,0),0)</f>
        <v>BBB+</v>
      </c>
      <c r="H1752" t="s">
        <v>1434</v>
      </c>
      <c r="I1752" t="s">
        <v>1434</v>
      </c>
      <c r="J1752" s="2">
        <v>45384</v>
      </c>
      <c r="K1752" t="s">
        <v>21</v>
      </c>
      <c r="L1752" t="s">
        <v>1710</v>
      </c>
      <c r="M1752" t="s">
        <v>1711</v>
      </c>
      <c r="N1752" s="1">
        <f>Table1[[#This Row],[Consideration Weight]]</f>
        <v>0.12</v>
      </c>
      <c r="O1752" t="s">
        <v>87</v>
      </c>
      <c r="P1752" s="1">
        <f>0.48*0.25</f>
        <v>0.12</v>
      </c>
    </row>
    <row r="1753" spans="1:22" x14ac:dyDescent="0.3">
      <c r="A1753" t="s">
        <v>1014</v>
      </c>
      <c r="B1753" t="str">
        <f ca="1">OFFSET(Industries!C$1,MATCH(Table1[[#This Row],[Ticker]],Industries!$A$2:$A$150,0),0)</f>
        <v>Financials</v>
      </c>
      <c r="C1753" t="str">
        <f ca="1">OFFSET(Industries!D$1,MATCH(Table1[[#This Row],[Ticker]],Industries!$A$2:$A$150,0),0)</f>
        <v>Insurance</v>
      </c>
      <c r="D1753" t="str">
        <f ca="1">OFFSET(Industries!E$1,MATCH(Table1[[#This Row],[Ticker]],Industries!$A$2:$A$150,0),0)</f>
        <v>Insurance</v>
      </c>
      <c r="E1753" t="s">
        <v>496</v>
      </c>
      <c r="F1753" t="str">
        <f ca="1">OFFSET(Industries!B$1,MATCH(Table1[[#This Row],[Ticker]],Industries!$A$2:$A$140,0),0)</f>
        <v>Large-Cap</v>
      </c>
      <c r="G1753" t="str">
        <f ca="1">OFFSET(Industries!F$1,MATCH(Table1[[#This Row],[Ticker]],Industries!$A$2:$A$140,0),0)</f>
        <v>BBB+</v>
      </c>
      <c r="H1753" t="s">
        <v>1434</v>
      </c>
      <c r="I1753" t="s">
        <v>1434</v>
      </c>
      <c r="J1753" s="2">
        <v>45384</v>
      </c>
      <c r="K1753" t="s">
        <v>21</v>
      </c>
      <c r="L1753" t="s">
        <v>1710</v>
      </c>
      <c r="M1753" t="s">
        <v>1711</v>
      </c>
      <c r="N1753" s="1">
        <f>Table1[[#This Row],[Consideration Weight]]</f>
        <v>0.12</v>
      </c>
      <c r="O1753" t="s">
        <v>194</v>
      </c>
      <c r="P1753" s="1">
        <f>0.48*0.25</f>
        <v>0.12</v>
      </c>
    </row>
    <row r="1754" spans="1:22" x14ac:dyDescent="0.3">
      <c r="A1754" t="s">
        <v>1025</v>
      </c>
      <c r="B1754" t="str">
        <f ca="1">OFFSET(Industries!C$1,MATCH(Table1[[#This Row],[Ticker]],Industries!$A$2:$A$150,0),0)</f>
        <v>Health Care</v>
      </c>
      <c r="C1754" t="str">
        <f ca="1">OFFSET(Industries!D$1,MATCH(Table1[[#This Row],[Ticker]],Industries!$A$2:$A$150,0),0)</f>
        <v>Health Care Equipment and Services</v>
      </c>
      <c r="D1754" t="str">
        <f ca="1">OFFSET(Industries!E$1,MATCH(Table1[[#This Row],[Ticker]],Industries!$A$2:$A$150,0),0)</f>
        <v>Health Care Equipment and Supplies</v>
      </c>
      <c r="E1754" t="s">
        <v>127</v>
      </c>
      <c r="F1754" t="str">
        <f ca="1">OFFSET(Industries!B$1,MATCH(Table1[[#This Row],[Ticker]],Industries!$A$2:$A$140,0),0)</f>
        <v>Mega-Cap</v>
      </c>
      <c r="H1754" t="s">
        <v>1434</v>
      </c>
      <c r="I1754" t="s">
        <v>1434</v>
      </c>
      <c r="J1754" s="2">
        <v>45359</v>
      </c>
      <c r="K1754" t="s">
        <v>2</v>
      </c>
      <c r="L1754" t="s">
        <v>3</v>
      </c>
      <c r="M1754" t="s">
        <v>1711</v>
      </c>
      <c r="N1754" s="1">
        <f>Table1[[#This Row],[Consideration Weight]]</f>
        <v>0.08</v>
      </c>
      <c r="O1754" t="s">
        <v>3</v>
      </c>
      <c r="P1754" s="1">
        <v>0.08</v>
      </c>
      <c r="V1754" t="s">
        <v>1027</v>
      </c>
    </row>
    <row r="1755" spans="1:22" x14ac:dyDescent="0.3">
      <c r="A1755" t="s">
        <v>1025</v>
      </c>
      <c r="B1755" t="str">
        <f ca="1">OFFSET(Industries!C$1,MATCH(Table1[[#This Row],[Ticker]],Industries!$A$2:$A$150,0),0)</f>
        <v>Health Care</v>
      </c>
      <c r="C1755" t="str">
        <f ca="1">OFFSET(Industries!D$1,MATCH(Table1[[#This Row],[Ticker]],Industries!$A$2:$A$150,0),0)</f>
        <v>Health Care Equipment and Services</v>
      </c>
      <c r="D1755" t="str">
        <f ca="1">OFFSET(Industries!E$1,MATCH(Table1[[#This Row],[Ticker]],Industries!$A$2:$A$150,0),0)</f>
        <v>Health Care Equipment and Supplies</v>
      </c>
      <c r="E1755" t="s">
        <v>127</v>
      </c>
      <c r="F1755" t="str">
        <f ca="1">OFFSET(Industries!B$1,MATCH(Table1[[#This Row],[Ticker]],Industries!$A$2:$A$140,0),0)</f>
        <v>Mega-Cap</v>
      </c>
      <c r="H1755" t="s">
        <v>1434</v>
      </c>
      <c r="I1755" t="s">
        <v>1434</v>
      </c>
      <c r="J1755" s="2">
        <v>45359</v>
      </c>
      <c r="K1755" t="s">
        <v>2</v>
      </c>
      <c r="L1755" t="s">
        <v>1708</v>
      </c>
      <c r="M1755" t="s">
        <v>1709</v>
      </c>
      <c r="N1755" s="1">
        <f>Table1[[#This Row],[Consideration Weight]]</f>
        <v>0.12</v>
      </c>
      <c r="O1755" t="s">
        <v>4</v>
      </c>
      <c r="P1755" s="1">
        <v>0.12</v>
      </c>
      <c r="Q1755" s="1" t="s">
        <v>1636</v>
      </c>
      <c r="R1755" t="s">
        <v>24</v>
      </c>
      <c r="S1755" t="s">
        <v>90</v>
      </c>
      <c r="T1755" t="s">
        <v>8</v>
      </c>
      <c r="U1755" s="1">
        <v>0.5</v>
      </c>
      <c r="V1755" t="s">
        <v>1029</v>
      </c>
    </row>
    <row r="1756" spans="1:22" x14ac:dyDescent="0.3">
      <c r="A1756" t="s">
        <v>1025</v>
      </c>
      <c r="B1756" t="str">
        <f ca="1">OFFSET(Industries!C$1,MATCH(Table1[[#This Row],[Ticker]],Industries!$A$2:$A$150,0),0)</f>
        <v>Health Care</v>
      </c>
      <c r="C1756" t="str">
        <f ca="1">OFFSET(Industries!D$1,MATCH(Table1[[#This Row],[Ticker]],Industries!$A$2:$A$150,0),0)</f>
        <v>Health Care Equipment and Services</v>
      </c>
      <c r="D1756" t="str">
        <f ca="1">OFFSET(Industries!E$1,MATCH(Table1[[#This Row],[Ticker]],Industries!$A$2:$A$150,0),0)</f>
        <v>Health Care Equipment and Supplies</v>
      </c>
      <c r="E1756" t="s">
        <v>127</v>
      </c>
      <c r="F1756" t="str">
        <f ca="1">OFFSET(Industries!B$1,MATCH(Table1[[#This Row],[Ticker]],Industries!$A$2:$A$140,0),0)</f>
        <v>Mega-Cap</v>
      </c>
      <c r="H1756" t="s">
        <v>1434</v>
      </c>
      <c r="I1756" t="s">
        <v>1434</v>
      </c>
      <c r="J1756" s="2">
        <v>45359</v>
      </c>
      <c r="K1756" t="s">
        <v>2</v>
      </c>
      <c r="L1756" t="s">
        <v>1708</v>
      </c>
      <c r="M1756" t="s">
        <v>1709</v>
      </c>
      <c r="N1756" s="1"/>
      <c r="O1756" t="s">
        <v>4</v>
      </c>
      <c r="P1756" s="1">
        <v>0.12</v>
      </c>
      <c r="Q1756" s="1" t="s">
        <v>1637</v>
      </c>
      <c r="R1756" t="s">
        <v>25</v>
      </c>
      <c r="S1756" t="s">
        <v>1086</v>
      </c>
      <c r="T1756" t="s">
        <v>1026</v>
      </c>
      <c r="U1756" s="1">
        <v>0.5</v>
      </c>
      <c r="V1756" t="s">
        <v>1028</v>
      </c>
    </row>
    <row r="1757" spans="1:22" x14ac:dyDescent="0.3">
      <c r="A1757" t="s">
        <v>1025</v>
      </c>
      <c r="B1757" t="str">
        <f ca="1">OFFSET(Industries!C$1,MATCH(Table1[[#This Row],[Ticker]],Industries!$A$2:$A$150,0),0)</f>
        <v>Health Care</v>
      </c>
      <c r="C1757" t="str">
        <f ca="1">OFFSET(Industries!D$1,MATCH(Table1[[#This Row],[Ticker]],Industries!$A$2:$A$150,0),0)</f>
        <v>Health Care Equipment and Services</v>
      </c>
      <c r="D1757" t="str">
        <f ca="1">OFFSET(Industries!E$1,MATCH(Table1[[#This Row],[Ticker]],Industries!$A$2:$A$150,0),0)</f>
        <v>Health Care Equipment and Supplies</v>
      </c>
      <c r="E1757" t="s">
        <v>127</v>
      </c>
      <c r="F1757" t="str">
        <f ca="1">OFFSET(Industries!B$1,MATCH(Table1[[#This Row],[Ticker]],Industries!$A$2:$A$140,0),0)</f>
        <v>Mega-Cap</v>
      </c>
      <c r="H1757" t="s">
        <v>1434</v>
      </c>
      <c r="I1757" t="s">
        <v>1434</v>
      </c>
      <c r="J1757" s="2">
        <v>45359</v>
      </c>
      <c r="K1757" t="s">
        <v>2</v>
      </c>
      <c r="L1757" t="s">
        <v>1708</v>
      </c>
      <c r="M1757" t="s">
        <v>1709</v>
      </c>
      <c r="N1757" s="1"/>
      <c r="O1757" t="s">
        <v>4</v>
      </c>
      <c r="P1757" s="1">
        <v>0.12</v>
      </c>
      <c r="R1757" t="s">
        <v>28</v>
      </c>
      <c r="S1757" t="s">
        <v>1113</v>
      </c>
      <c r="T1757" t="s">
        <v>8</v>
      </c>
      <c r="V1757" t="s">
        <v>1030</v>
      </c>
    </row>
    <row r="1758" spans="1:22" x14ac:dyDescent="0.3">
      <c r="A1758" t="s">
        <v>1025</v>
      </c>
      <c r="B1758" t="str">
        <f ca="1">OFFSET(Industries!C$1,MATCH(Table1[[#This Row],[Ticker]],Industries!$A$2:$A$150,0),0)</f>
        <v>Health Care</v>
      </c>
      <c r="C1758" t="str">
        <f ca="1">OFFSET(Industries!D$1,MATCH(Table1[[#This Row],[Ticker]],Industries!$A$2:$A$150,0),0)</f>
        <v>Health Care Equipment and Services</v>
      </c>
      <c r="D1758" t="str">
        <f ca="1">OFFSET(Industries!E$1,MATCH(Table1[[#This Row],[Ticker]],Industries!$A$2:$A$150,0),0)</f>
        <v>Health Care Equipment and Supplies</v>
      </c>
      <c r="E1758" t="s">
        <v>127</v>
      </c>
      <c r="F1758" t="str">
        <f ca="1">OFFSET(Industries!B$1,MATCH(Table1[[#This Row],[Ticker]],Industries!$A$2:$A$140,0),0)</f>
        <v>Mega-Cap</v>
      </c>
      <c r="H1758" t="s">
        <v>1434</v>
      </c>
      <c r="I1758" t="s">
        <v>1434</v>
      </c>
      <c r="J1758" s="2">
        <v>45359</v>
      </c>
      <c r="K1758" t="s">
        <v>2</v>
      </c>
      <c r="L1758" t="s">
        <v>1710</v>
      </c>
      <c r="M1758" t="s">
        <v>1709</v>
      </c>
      <c r="N1758" s="1">
        <f>Table1[[#This Row],[Consideration Weight]]</f>
        <v>0.4</v>
      </c>
      <c r="O1758" t="s">
        <v>476</v>
      </c>
      <c r="P1758" s="1">
        <v>0.4</v>
      </c>
      <c r="Q1758" s="1" t="s">
        <v>1646</v>
      </c>
      <c r="R1758" t="s">
        <v>35</v>
      </c>
      <c r="S1758" t="s">
        <v>29</v>
      </c>
      <c r="T1758" t="s">
        <v>30</v>
      </c>
      <c r="U1758" s="1">
        <f>1/3</f>
        <v>0.33333333333333331</v>
      </c>
      <c r="V1758" t="s">
        <v>1032</v>
      </c>
    </row>
    <row r="1759" spans="1:22" x14ac:dyDescent="0.3">
      <c r="A1759" t="s">
        <v>1025</v>
      </c>
      <c r="B1759" t="str">
        <f ca="1">OFFSET(Industries!C$1,MATCH(Table1[[#This Row],[Ticker]],Industries!$A$2:$A$150,0),0)</f>
        <v>Health Care</v>
      </c>
      <c r="C1759" t="str">
        <f ca="1">OFFSET(Industries!D$1,MATCH(Table1[[#This Row],[Ticker]],Industries!$A$2:$A$150,0),0)</f>
        <v>Health Care Equipment and Services</v>
      </c>
      <c r="D1759" t="str">
        <f ca="1">OFFSET(Industries!E$1,MATCH(Table1[[#This Row],[Ticker]],Industries!$A$2:$A$150,0),0)</f>
        <v>Health Care Equipment and Supplies</v>
      </c>
      <c r="E1759" t="s">
        <v>127</v>
      </c>
      <c r="F1759" t="str">
        <f ca="1">OFFSET(Industries!B$1,MATCH(Table1[[#This Row],[Ticker]],Industries!$A$2:$A$140,0),0)</f>
        <v>Mega-Cap</v>
      </c>
      <c r="H1759" t="s">
        <v>1434</v>
      </c>
      <c r="I1759" t="s">
        <v>1434</v>
      </c>
      <c r="J1759" s="2">
        <v>45359</v>
      </c>
      <c r="K1759" t="s">
        <v>2</v>
      </c>
      <c r="L1759" t="s">
        <v>1710</v>
      </c>
      <c r="M1759" t="s">
        <v>1709</v>
      </c>
      <c r="N1759" s="1"/>
      <c r="O1759" t="s">
        <v>476</v>
      </c>
      <c r="P1759" s="1">
        <v>0.4</v>
      </c>
      <c r="Q1759" s="1" t="s">
        <v>1636</v>
      </c>
      <c r="R1759" t="s">
        <v>23</v>
      </c>
      <c r="S1759" t="s">
        <v>1090</v>
      </c>
      <c r="T1759" t="s">
        <v>1771</v>
      </c>
      <c r="U1759" s="1">
        <f t="shared" ref="U1759:U1760" si="34">1/3</f>
        <v>0.33333333333333331</v>
      </c>
      <c r="V1759" t="s">
        <v>1032</v>
      </c>
    </row>
    <row r="1760" spans="1:22" x14ac:dyDescent="0.3">
      <c r="A1760" t="s">
        <v>1025</v>
      </c>
      <c r="B1760" t="str">
        <f ca="1">OFFSET(Industries!C$1,MATCH(Table1[[#This Row],[Ticker]],Industries!$A$2:$A$150,0),0)</f>
        <v>Health Care</v>
      </c>
      <c r="C1760" t="str">
        <f ca="1">OFFSET(Industries!D$1,MATCH(Table1[[#This Row],[Ticker]],Industries!$A$2:$A$150,0),0)</f>
        <v>Health Care Equipment and Services</v>
      </c>
      <c r="D1760" t="str">
        <f ca="1">OFFSET(Industries!E$1,MATCH(Table1[[#This Row],[Ticker]],Industries!$A$2:$A$150,0),0)</f>
        <v>Health Care Equipment and Supplies</v>
      </c>
      <c r="E1760" t="s">
        <v>127</v>
      </c>
      <c r="F1760" t="str">
        <f ca="1">OFFSET(Industries!B$1,MATCH(Table1[[#This Row],[Ticker]],Industries!$A$2:$A$140,0),0)</f>
        <v>Mega-Cap</v>
      </c>
      <c r="H1760" t="s">
        <v>1434</v>
      </c>
      <c r="I1760" t="s">
        <v>1434</v>
      </c>
      <c r="J1760" s="2">
        <v>45359</v>
      </c>
      <c r="K1760" t="s">
        <v>2</v>
      </c>
      <c r="L1760" t="s">
        <v>1710</v>
      </c>
      <c r="M1760" t="s">
        <v>1709</v>
      </c>
      <c r="N1760" s="1"/>
      <c r="O1760" t="s">
        <v>476</v>
      </c>
      <c r="P1760" s="1">
        <v>0.4</v>
      </c>
      <c r="Q1760" s="1" t="s">
        <v>1636</v>
      </c>
      <c r="R1760" t="s">
        <v>23</v>
      </c>
      <c r="S1760" t="s">
        <v>1090</v>
      </c>
      <c r="T1760" t="s">
        <v>1031</v>
      </c>
      <c r="U1760" s="1">
        <f t="shared" si="34"/>
        <v>0.33333333333333331</v>
      </c>
    </row>
    <row r="1761" spans="1:22" x14ac:dyDescent="0.3">
      <c r="A1761" t="s">
        <v>1025</v>
      </c>
      <c r="B1761" t="str">
        <f ca="1">OFFSET(Industries!C$1,MATCH(Table1[[#This Row],[Ticker]],Industries!$A$2:$A$150,0),0)</f>
        <v>Health Care</v>
      </c>
      <c r="C1761" t="str">
        <f ca="1">OFFSET(Industries!D$1,MATCH(Table1[[#This Row],[Ticker]],Industries!$A$2:$A$150,0),0)</f>
        <v>Health Care Equipment and Services</v>
      </c>
      <c r="D1761" t="str">
        <f ca="1">OFFSET(Industries!E$1,MATCH(Table1[[#This Row],[Ticker]],Industries!$A$2:$A$150,0),0)</f>
        <v>Health Care Equipment and Supplies</v>
      </c>
      <c r="E1761" t="s">
        <v>127</v>
      </c>
      <c r="F1761" t="str">
        <f ca="1">OFFSET(Industries!B$1,MATCH(Table1[[#This Row],[Ticker]],Industries!$A$2:$A$140,0),0)</f>
        <v>Mega-Cap</v>
      </c>
      <c r="H1761" t="s">
        <v>1434</v>
      </c>
      <c r="I1761" t="s">
        <v>1434</v>
      </c>
      <c r="J1761" s="2">
        <v>45359</v>
      </c>
      <c r="K1761" t="s">
        <v>2</v>
      </c>
      <c r="L1761" t="s">
        <v>1710</v>
      </c>
      <c r="M1761" t="s">
        <v>1711</v>
      </c>
      <c r="N1761" s="1">
        <f>Table1[[#This Row],[Consideration Weight]]</f>
        <v>0.4</v>
      </c>
      <c r="O1761" t="s">
        <v>194</v>
      </c>
      <c r="P1761" s="1">
        <v>0.4</v>
      </c>
    </row>
    <row r="1762" spans="1:22" x14ac:dyDescent="0.3">
      <c r="A1762" t="s">
        <v>1025</v>
      </c>
      <c r="B1762" t="str">
        <f ca="1">OFFSET(Industries!C$1,MATCH(Table1[[#This Row],[Ticker]],Industries!$A$2:$A$150,0),0)</f>
        <v>Health Care</v>
      </c>
      <c r="C1762" t="str">
        <f ca="1">OFFSET(Industries!D$1,MATCH(Table1[[#This Row],[Ticker]],Industries!$A$2:$A$150,0),0)</f>
        <v>Health Care Equipment and Services</v>
      </c>
      <c r="D1762" t="str">
        <f ca="1">OFFSET(Industries!E$1,MATCH(Table1[[#This Row],[Ticker]],Industries!$A$2:$A$150,0),0)</f>
        <v>Health Care Equipment and Supplies</v>
      </c>
      <c r="E1762" t="s">
        <v>127</v>
      </c>
      <c r="F1762" t="str">
        <f ca="1">OFFSET(Industries!B$1,MATCH(Table1[[#This Row],[Ticker]],Industries!$A$2:$A$140,0),0)</f>
        <v>Mega-Cap</v>
      </c>
      <c r="H1762" t="s">
        <v>1434</v>
      </c>
      <c r="I1762" t="s">
        <v>1434</v>
      </c>
      <c r="J1762" s="2">
        <v>45359</v>
      </c>
      <c r="K1762" t="s">
        <v>21</v>
      </c>
      <c r="L1762" t="s">
        <v>3</v>
      </c>
      <c r="M1762" t="s">
        <v>1711</v>
      </c>
      <c r="N1762" s="1">
        <f>Table1[[#This Row],[Consideration Weight]]</f>
        <v>0.11</v>
      </c>
      <c r="O1762" t="s">
        <v>3</v>
      </c>
      <c r="P1762" s="1">
        <v>0.11</v>
      </c>
    </row>
    <row r="1763" spans="1:22" x14ac:dyDescent="0.3">
      <c r="A1763" t="s">
        <v>1025</v>
      </c>
      <c r="B1763" t="str">
        <f ca="1">OFFSET(Industries!C$1,MATCH(Table1[[#This Row],[Ticker]],Industries!$A$2:$A$150,0),0)</f>
        <v>Health Care</v>
      </c>
      <c r="C1763" t="str">
        <f ca="1">OFFSET(Industries!D$1,MATCH(Table1[[#This Row],[Ticker]],Industries!$A$2:$A$150,0),0)</f>
        <v>Health Care Equipment and Services</v>
      </c>
      <c r="D1763" t="str">
        <f ca="1">OFFSET(Industries!E$1,MATCH(Table1[[#This Row],[Ticker]],Industries!$A$2:$A$150,0),0)</f>
        <v>Health Care Equipment and Supplies</v>
      </c>
      <c r="E1763" t="s">
        <v>127</v>
      </c>
      <c r="F1763" t="str">
        <f ca="1">OFFSET(Industries!B$1,MATCH(Table1[[#This Row],[Ticker]],Industries!$A$2:$A$140,0),0)</f>
        <v>Mega-Cap</v>
      </c>
      <c r="H1763" t="s">
        <v>1434</v>
      </c>
      <c r="I1763" t="s">
        <v>1434</v>
      </c>
      <c r="J1763" s="2">
        <v>45359</v>
      </c>
      <c r="K1763" t="s">
        <v>21</v>
      </c>
      <c r="L1763" t="s">
        <v>1708</v>
      </c>
      <c r="M1763" t="s">
        <v>1709</v>
      </c>
      <c r="N1763" s="1">
        <f>Table1[[#This Row],[Consideration Weight]]</f>
        <v>0.09</v>
      </c>
      <c r="O1763" t="s">
        <v>4</v>
      </c>
      <c r="P1763" s="1">
        <v>0.09</v>
      </c>
      <c r="Q1763" s="1" t="s">
        <v>1636</v>
      </c>
      <c r="R1763" t="s">
        <v>24</v>
      </c>
      <c r="S1763" t="s">
        <v>90</v>
      </c>
      <c r="T1763" t="s">
        <v>8</v>
      </c>
      <c r="U1763" s="1">
        <v>0.5</v>
      </c>
    </row>
    <row r="1764" spans="1:22" x14ac:dyDescent="0.3">
      <c r="A1764" t="s">
        <v>1025</v>
      </c>
      <c r="B1764" t="str">
        <f ca="1">OFFSET(Industries!C$1,MATCH(Table1[[#This Row],[Ticker]],Industries!$A$2:$A$150,0),0)</f>
        <v>Health Care</v>
      </c>
      <c r="C1764" t="str">
        <f ca="1">OFFSET(Industries!D$1,MATCH(Table1[[#This Row],[Ticker]],Industries!$A$2:$A$150,0),0)</f>
        <v>Health Care Equipment and Services</v>
      </c>
      <c r="D1764" t="str">
        <f ca="1">OFFSET(Industries!E$1,MATCH(Table1[[#This Row],[Ticker]],Industries!$A$2:$A$150,0),0)</f>
        <v>Health Care Equipment and Supplies</v>
      </c>
      <c r="E1764" t="s">
        <v>127</v>
      </c>
      <c r="F1764" t="str">
        <f ca="1">OFFSET(Industries!B$1,MATCH(Table1[[#This Row],[Ticker]],Industries!$A$2:$A$140,0),0)</f>
        <v>Mega-Cap</v>
      </c>
      <c r="H1764" t="s">
        <v>1434</v>
      </c>
      <c r="I1764" t="s">
        <v>1434</v>
      </c>
      <c r="J1764" s="2">
        <v>45359</v>
      </c>
      <c r="K1764" t="s">
        <v>21</v>
      </c>
      <c r="L1764" t="s">
        <v>1708</v>
      </c>
      <c r="M1764" t="s">
        <v>1709</v>
      </c>
      <c r="N1764" s="1"/>
      <c r="O1764" t="s">
        <v>4</v>
      </c>
      <c r="P1764" s="1">
        <v>0.09</v>
      </c>
      <c r="Q1764" s="1" t="s">
        <v>1637</v>
      </c>
      <c r="R1764" t="s">
        <v>25</v>
      </c>
      <c r="S1764" t="s">
        <v>1086</v>
      </c>
      <c r="T1764" t="s">
        <v>1026</v>
      </c>
      <c r="U1764" s="1">
        <v>0.5</v>
      </c>
    </row>
    <row r="1765" spans="1:22" x14ac:dyDescent="0.3">
      <c r="A1765" t="s">
        <v>1025</v>
      </c>
      <c r="B1765" t="str">
        <f ca="1">OFFSET(Industries!C$1,MATCH(Table1[[#This Row],[Ticker]],Industries!$A$2:$A$150,0),0)</f>
        <v>Health Care</v>
      </c>
      <c r="C1765" t="str">
        <f ca="1">OFFSET(Industries!D$1,MATCH(Table1[[#This Row],[Ticker]],Industries!$A$2:$A$150,0),0)</f>
        <v>Health Care Equipment and Services</v>
      </c>
      <c r="D1765" t="str">
        <f ca="1">OFFSET(Industries!E$1,MATCH(Table1[[#This Row],[Ticker]],Industries!$A$2:$A$150,0),0)</f>
        <v>Health Care Equipment and Supplies</v>
      </c>
      <c r="E1765" t="s">
        <v>127</v>
      </c>
      <c r="F1765" t="str">
        <f ca="1">OFFSET(Industries!B$1,MATCH(Table1[[#This Row],[Ticker]],Industries!$A$2:$A$140,0),0)</f>
        <v>Mega-Cap</v>
      </c>
      <c r="H1765" t="s">
        <v>1434</v>
      </c>
      <c r="I1765" t="s">
        <v>1434</v>
      </c>
      <c r="J1765" s="2">
        <v>45359</v>
      </c>
      <c r="K1765" t="s">
        <v>21</v>
      </c>
      <c r="L1765" t="s">
        <v>1708</v>
      </c>
      <c r="M1765" t="s">
        <v>1709</v>
      </c>
      <c r="N1765" s="1"/>
      <c r="O1765" t="s">
        <v>4</v>
      </c>
      <c r="P1765" s="1">
        <v>0.09</v>
      </c>
      <c r="R1765" t="s">
        <v>28</v>
      </c>
      <c r="S1765" t="s">
        <v>1113</v>
      </c>
      <c r="T1765" t="s">
        <v>8</v>
      </c>
    </row>
    <row r="1766" spans="1:22" x14ac:dyDescent="0.3">
      <c r="A1766" t="s">
        <v>1025</v>
      </c>
      <c r="B1766" t="str">
        <f ca="1">OFFSET(Industries!C$1,MATCH(Table1[[#This Row],[Ticker]],Industries!$A$2:$A$150,0),0)</f>
        <v>Health Care</v>
      </c>
      <c r="C1766" t="str">
        <f ca="1">OFFSET(Industries!D$1,MATCH(Table1[[#This Row],[Ticker]],Industries!$A$2:$A$150,0),0)</f>
        <v>Health Care Equipment and Services</v>
      </c>
      <c r="D1766" t="str">
        <f ca="1">OFFSET(Industries!E$1,MATCH(Table1[[#This Row],[Ticker]],Industries!$A$2:$A$150,0),0)</f>
        <v>Health Care Equipment and Supplies</v>
      </c>
      <c r="E1766" t="s">
        <v>127</v>
      </c>
      <c r="F1766" t="str">
        <f ca="1">OFFSET(Industries!B$1,MATCH(Table1[[#This Row],[Ticker]],Industries!$A$2:$A$140,0),0)</f>
        <v>Mega-Cap</v>
      </c>
      <c r="H1766" t="s">
        <v>1434</v>
      </c>
      <c r="I1766" t="s">
        <v>1434</v>
      </c>
      <c r="J1766" s="2">
        <v>45359</v>
      </c>
      <c r="K1766" t="s">
        <v>21</v>
      </c>
      <c r="L1766" t="s">
        <v>1710</v>
      </c>
      <c r="M1766" t="s">
        <v>1709</v>
      </c>
      <c r="N1766" s="1">
        <f>Table1[[#This Row],[Consideration Weight]]</f>
        <v>0.4</v>
      </c>
      <c r="O1766" t="s">
        <v>476</v>
      </c>
      <c r="P1766" s="1">
        <v>0.4</v>
      </c>
      <c r="Q1766" s="1" t="s">
        <v>1646</v>
      </c>
      <c r="R1766" t="s">
        <v>35</v>
      </c>
      <c r="S1766" t="s">
        <v>29</v>
      </c>
      <c r="T1766" t="s">
        <v>30</v>
      </c>
      <c r="U1766" s="1">
        <f>1/3</f>
        <v>0.33333333333333331</v>
      </c>
    </row>
    <row r="1767" spans="1:22" x14ac:dyDescent="0.3">
      <c r="A1767" t="s">
        <v>1025</v>
      </c>
      <c r="B1767" t="str">
        <f ca="1">OFFSET(Industries!C$1,MATCH(Table1[[#This Row],[Ticker]],Industries!$A$2:$A$150,0),0)</f>
        <v>Health Care</v>
      </c>
      <c r="C1767" t="str">
        <f ca="1">OFFSET(Industries!D$1,MATCH(Table1[[#This Row],[Ticker]],Industries!$A$2:$A$150,0),0)</f>
        <v>Health Care Equipment and Services</v>
      </c>
      <c r="D1767" t="str">
        <f ca="1">OFFSET(Industries!E$1,MATCH(Table1[[#This Row],[Ticker]],Industries!$A$2:$A$150,0),0)</f>
        <v>Health Care Equipment and Supplies</v>
      </c>
      <c r="E1767" t="s">
        <v>127</v>
      </c>
      <c r="F1767" t="str">
        <f ca="1">OFFSET(Industries!B$1,MATCH(Table1[[#This Row],[Ticker]],Industries!$A$2:$A$140,0),0)</f>
        <v>Mega-Cap</v>
      </c>
      <c r="H1767" t="s">
        <v>1434</v>
      </c>
      <c r="I1767" t="s">
        <v>1434</v>
      </c>
      <c r="J1767" s="2">
        <v>45359</v>
      </c>
      <c r="K1767" t="s">
        <v>21</v>
      </c>
      <c r="L1767" t="s">
        <v>1710</v>
      </c>
      <c r="M1767" t="s">
        <v>1709</v>
      </c>
      <c r="N1767" s="1"/>
      <c r="O1767" t="s">
        <v>476</v>
      </c>
      <c r="P1767" s="1">
        <v>0.4</v>
      </c>
      <c r="Q1767" s="1" t="s">
        <v>1636</v>
      </c>
      <c r="R1767" t="s">
        <v>23</v>
      </c>
      <c r="S1767" t="s">
        <v>1090</v>
      </c>
      <c r="T1767" t="s">
        <v>1771</v>
      </c>
      <c r="U1767" s="1">
        <f t="shared" ref="U1767:U1768" si="35">1/3</f>
        <v>0.33333333333333331</v>
      </c>
    </row>
    <row r="1768" spans="1:22" x14ac:dyDescent="0.3">
      <c r="A1768" t="s">
        <v>1025</v>
      </c>
      <c r="B1768" t="str">
        <f ca="1">OFFSET(Industries!C$1,MATCH(Table1[[#This Row],[Ticker]],Industries!$A$2:$A$150,0),0)</f>
        <v>Health Care</v>
      </c>
      <c r="C1768" t="str">
        <f ca="1">OFFSET(Industries!D$1,MATCH(Table1[[#This Row],[Ticker]],Industries!$A$2:$A$150,0),0)</f>
        <v>Health Care Equipment and Services</v>
      </c>
      <c r="D1768" t="str">
        <f ca="1">OFFSET(Industries!E$1,MATCH(Table1[[#This Row],[Ticker]],Industries!$A$2:$A$150,0),0)</f>
        <v>Health Care Equipment and Supplies</v>
      </c>
      <c r="E1768" t="s">
        <v>127</v>
      </c>
      <c r="F1768" t="str">
        <f ca="1">OFFSET(Industries!B$1,MATCH(Table1[[#This Row],[Ticker]],Industries!$A$2:$A$140,0),0)</f>
        <v>Mega-Cap</v>
      </c>
      <c r="H1768" t="s">
        <v>1434</v>
      </c>
      <c r="I1768" t="s">
        <v>1434</v>
      </c>
      <c r="J1768" s="2">
        <v>45359</v>
      </c>
      <c r="K1768" t="s">
        <v>21</v>
      </c>
      <c r="L1768" t="s">
        <v>1710</v>
      </c>
      <c r="M1768" t="s">
        <v>1709</v>
      </c>
      <c r="N1768" s="1"/>
      <c r="O1768" t="s">
        <v>476</v>
      </c>
      <c r="P1768" s="1">
        <v>0.4</v>
      </c>
      <c r="Q1768" s="1" t="s">
        <v>1636</v>
      </c>
      <c r="R1768" t="s">
        <v>23</v>
      </c>
      <c r="S1768" t="s">
        <v>1090</v>
      </c>
      <c r="T1768" t="s">
        <v>1031</v>
      </c>
      <c r="U1768" s="1">
        <f t="shared" si="35"/>
        <v>0.33333333333333331</v>
      </c>
    </row>
    <row r="1769" spans="1:22" x14ac:dyDescent="0.3">
      <c r="A1769" t="s">
        <v>1025</v>
      </c>
      <c r="B1769" t="str">
        <f ca="1">OFFSET(Industries!C$1,MATCH(Table1[[#This Row],[Ticker]],Industries!$A$2:$A$150,0),0)</f>
        <v>Health Care</v>
      </c>
      <c r="C1769" t="str">
        <f ca="1">OFFSET(Industries!D$1,MATCH(Table1[[#This Row],[Ticker]],Industries!$A$2:$A$150,0),0)</f>
        <v>Health Care Equipment and Services</v>
      </c>
      <c r="D1769" t="str">
        <f ca="1">OFFSET(Industries!E$1,MATCH(Table1[[#This Row],[Ticker]],Industries!$A$2:$A$150,0),0)</f>
        <v>Health Care Equipment and Supplies</v>
      </c>
      <c r="E1769" t="s">
        <v>127</v>
      </c>
      <c r="F1769" t="str">
        <f ca="1">OFFSET(Industries!B$1,MATCH(Table1[[#This Row],[Ticker]],Industries!$A$2:$A$140,0),0)</f>
        <v>Mega-Cap</v>
      </c>
      <c r="H1769" t="s">
        <v>1434</v>
      </c>
      <c r="I1769" t="s">
        <v>1434</v>
      </c>
      <c r="J1769" s="2">
        <v>45359</v>
      </c>
      <c r="K1769" t="s">
        <v>21</v>
      </c>
      <c r="L1769" t="s">
        <v>1710</v>
      </c>
      <c r="M1769" t="s">
        <v>1711</v>
      </c>
      <c r="N1769" s="1">
        <f>Table1[[#This Row],[Consideration Weight]]</f>
        <v>0.4</v>
      </c>
      <c r="O1769" t="s">
        <v>194</v>
      </c>
      <c r="P1769" s="1">
        <v>0.4</v>
      </c>
    </row>
    <row r="1770" spans="1:22" x14ac:dyDescent="0.3">
      <c r="A1770" t="s">
        <v>1033</v>
      </c>
      <c r="B1770" t="str">
        <f ca="1">OFFSET(Industries!C$1,MATCH(Table1[[#This Row],[Ticker]],Industries!$A$2:$A$150,0),0)</f>
        <v>Health Care</v>
      </c>
      <c r="C1770" t="str">
        <f ca="1">OFFSET(Industries!D$1,MATCH(Table1[[#This Row],[Ticker]],Industries!$A$2:$A$150,0),0)</f>
        <v>Health Care Equipment and Services</v>
      </c>
      <c r="D1770" t="str">
        <f ca="1">OFFSET(Industries!E$1,MATCH(Table1[[#This Row],[Ticker]],Industries!$A$2:$A$150,0),0)</f>
        <v>Health Care Equipment and Supplies</v>
      </c>
      <c r="E1770" t="s">
        <v>127</v>
      </c>
      <c r="F1770" t="str">
        <f ca="1">OFFSET(Industries!B$1,MATCH(Table1[[#This Row],[Ticker]],Industries!$A$2:$A$140,0),0)</f>
        <v>Mega-Cap</v>
      </c>
      <c r="G1770" t="str">
        <f ca="1">OFFSET(Industries!F$1,MATCH(Table1[[#This Row],[Ticker]],Industries!$A$2:$A$140,0),0)</f>
        <v>BBB+</v>
      </c>
      <c r="H1770" t="s">
        <v>1434</v>
      </c>
      <c r="I1770" t="s">
        <v>1434</v>
      </c>
      <c r="J1770" s="2">
        <v>45377</v>
      </c>
      <c r="K1770" t="s">
        <v>2</v>
      </c>
      <c r="L1770" t="s">
        <v>3</v>
      </c>
      <c r="M1770" t="s">
        <v>1711</v>
      </c>
      <c r="N1770" s="1">
        <f>Table1[[#This Row],[Consideration Weight]]</f>
        <v>0.08</v>
      </c>
      <c r="O1770" t="s">
        <v>3</v>
      </c>
      <c r="P1770" s="1">
        <v>0.08</v>
      </c>
      <c r="V1770" t="s">
        <v>1043</v>
      </c>
    </row>
    <row r="1771" spans="1:22" x14ac:dyDescent="0.3">
      <c r="A1771" t="s">
        <v>1033</v>
      </c>
      <c r="B1771" t="str">
        <f ca="1">OFFSET(Industries!C$1,MATCH(Table1[[#This Row],[Ticker]],Industries!$A$2:$A$150,0),0)</f>
        <v>Health Care</v>
      </c>
      <c r="C1771" t="str">
        <f ca="1">OFFSET(Industries!D$1,MATCH(Table1[[#This Row],[Ticker]],Industries!$A$2:$A$150,0),0)</f>
        <v>Health Care Equipment and Services</v>
      </c>
      <c r="D1771" t="str">
        <f ca="1">OFFSET(Industries!E$1,MATCH(Table1[[#This Row],[Ticker]],Industries!$A$2:$A$150,0),0)</f>
        <v>Health Care Equipment and Supplies</v>
      </c>
      <c r="E1771" t="s">
        <v>127</v>
      </c>
      <c r="F1771" t="str">
        <f ca="1">OFFSET(Industries!B$1,MATCH(Table1[[#This Row],[Ticker]],Industries!$A$2:$A$140,0),0)</f>
        <v>Mega-Cap</v>
      </c>
      <c r="G1771" t="str">
        <f ca="1">OFFSET(Industries!F$1,MATCH(Table1[[#This Row],[Ticker]],Industries!$A$2:$A$140,0),0)</f>
        <v>BBB+</v>
      </c>
      <c r="H1771" t="s">
        <v>1434</v>
      </c>
      <c r="I1771" t="s">
        <v>1434</v>
      </c>
      <c r="J1771" s="2">
        <v>45377</v>
      </c>
      <c r="K1771" t="s">
        <v>2</v>
      </c>
      <c r="L1771" t="s">
        <v>1708</v>
      </c>
      <c r="M1771" t="s">
        <v>1709</v>
      </c>
      <c r="N1771" s="1">
        <f>Table1[[#This Row],[Consideration Weight]]</f>
        <v>0.11</v>
      </c>
      <c r="O1771" t="s">
        <v>4</v>
      </c>
      <c r="P1771" s="1">
        <v>0.11</v>
      </c>
      <c r="Q1771" s="1" t="s">
        <v>1636</v>
      </c>
      <c r="R1771" t="s">
        <v>23</v>
      </c>
      <c r="S1771" t="s">
        <v>1083</v>
      </c>
      <c r="T1771" t="s">
        <v>7</v>
      </c>
      <c r="U1771" s="1">
        <v>0.4</v>
      </c>
      <c r="V1771" t="s">
        <v>1039</v>
      </c>
    </row>
    <row r="1772" spans="1:22" x14ac:dyDescent="0.3">
      <c r="A1772" t="s">
        <v>1033</v>
      </c>
      <c r="B1772" t="str">
        <f ca="1">OFFSET(Industries!C$1,MATCH(Table1[[#This Row],[Ticker]],Industries!$A$2:$A$150,0),0)</f>
        <v>Health Care</v>
      </c>
      <c r="C1772" t="str">
        <f ca="1">OFFSET(Industries!D$1,MATCH(Table1[[#This Row],[Ticker]],Industries!$A$2:$A$150,0),0)</f>
        <v>Health Care Equipment and Services</v>
      </c>
      <c r="D1772" t="str">
        <f ca="1">OFFSET(Industries!E$1,MATCH(Table1[[#This Row],[Ticker]],Industries!$A$2:$A$150,0),0)</f>
        <v>Health Care Equipment and Supplies</v>
      </c>
      <c r="E1772" t="s">
        <v>127</v>
      </c>
      <c r="F1772" t="str">
        <f ca="1">OFFSET(Industries!B$1,MATCH(Table1[[#This Row],[Ticker]],Industries!$A$2:$A$140,0),0)</f>
        <v>Mega-Cap</v>
      </c>
      <c r="G1772" t="str">
        <f ca="1">OFFSET(Industries!F$1,MATCH(Table1[[#This Row],[Ticker]],Industries!$A$2:$A$140,0),0)</f>
        <v>BBB+</v>
      </c>
      <c r="H1772" t="s">
        <v>1434</v>
      </c>
      <c r="I1772" t="s">
        <v>1434</v>
      </c>
      <c r="J1772" s="2">
        <v>45377</v>
      </c>
      <c r="K1772" t="s">
        <v>2</v>
      </c>
      <c r="L1772" t="s">
        <v>1708</v>
      </c>
      <c r="M1772" t="s">
        <v>1709</v>
      </c>
      <c r="N1772" s="1"/>
      <c r="O1772" t="s">
        <v>4</v>
      </c>
      <c r="P1772" s="1">
        <v>0.11</v>
      </c>
      <c r="Q1772" s="1" t="s">
        <v>1636</v>
      </c>
      <c r="R1772" t="s">
        <v>24</v>
      </c>
      <c r="S1772" t="s">
        <v>90</v>
      </c>
      <c r="T1772" t="s">
        <v>8</v>
      </c>
      <c r="U1772" s="1">
        <v>0.2</v>
      </c>
      <c r="V1772" t="s">
        <v>1040</v>
      </c>
    </row>
    <row r="1773" spans="1:22" x14ac:dyDescent="0.3">
      <c r="A1773" t="s">
        <v>1033</v>
      </c>
      <c r="B1773" t="str">
        <f ca="1">OFFSET(Industries!C$1,MATCH(Table1[[#This Row],[Ticker]],Industries!$A$2:$A$150,0),0)</f>
        <v>Health Care</v>
      </c>
      <c r="C1773" t="str">
        <f ca="1">OFFSET(Industries!D$1,MATCH(Table1[[#This Row],[Ticker]],Industries!$A$2:$A$150,0),0)</f>
        <v>Health Care Equipment and Services</v>
      </c>
      <c r="D1773" t="str">
        <f ca="1">OFFSET(Industries!E$1,MATCH(Table1[[#This Row],[Ticker]],Industries!$A$2:$A$150,0),0)</f>
        <v>Health Care Equipment and Supplies</v>
      </c>
      <c r="E1773" t="s">
        <v>127</v>
      </c>
      <c r="F1773" t="str">
        <f ca="1">OFFSET(Industries!B$1,MATCH(Table1[[#This Row],[Ticker]],Industries!$A$2:$A$140,0),0)</f>
        <v>Mega-Cap</v>
      </c>
      <c r="G1773" t="str">
        <f ca="1">OFFSET(Industries!F$1,MATCH(Table1[[#This Row],[Ticker]],Industries!$A$2:$A$140,0),0)</f>
        <v>BBB+</v>
      </c>
      <c r="H1773" t="s">
        <v>1434</v>
      </c>
      <c r="I1773" t="s">
        <v>1434</v>
      </c>
      <c r="J1773" s="2">
        <v>45377</v>
      </c>
      <c r="K1773" t="s">
        <v>2</v>
      </c>
      <c r="L1773" t="s">
        <v>1708</v>
      </c>
      <c r="M1773" t="s">
        <v>1709</v>
      </c>
      <c r="N1773" s="1"/>
      <c r="O1773" t="s">
        <v>4</v>
      </c>
      <c r="P1773" s="1">
        <v>0.11</v>
      </c>
      <c r="Q1773" s="1" t="s">
        <v>1636</v>
      </c>
      <c r="R1773" t="s">
        <v>24</v>
      </c>
      <c r="S1773" t="s">
        <v>509</v>
      </c>
      <c r="T1773" t="s">
        <v>38</v>
      </c>
      <c r="U1773" s="1">
        <v>0.2</v>
      </c>
      <c r="V1773" t="s">
        <v>1041</v>
      </c>
    </row>
    <row r="1774" spans="1:22" x14ac:dyDescent="0.3">
      <c r="A1774" t="s">
        <v>1033</v>
      </c>
      <c r="B1774" t="str">
        <f ca="1">OFFSET(Industries!C$1,MATCH(Table1[[#This Row],[Ticker]],Industries!$A$2:$A$150,0),0)</f>
        <v>Health Care</v>
      </c>
      <c r="C1774" t="str">
        <f ca="1">OFFSET(Industries!D$1,MATCH(Table1[[#This Row],[Ticker]],Industries!$A$2:$A$150,0),0)</f>
        <v>Health Care Equipment and Services</v>
      </c>
      <c r="D1774" t="str">
        <f ca="1">OFFSET(Industries!E$1,MATCH(Table1[[#This Row],[Ticker]],Industries!$A$2:$A$150,0),0)</f>
        <v>Health Care Equipment and Supplies</v>
      </c>
      <c r="E1774" t="s">
        <v>127</v>
      </c>
      <c r="F1774" t="str">
        <f ca="1">OFFSET(Industries!B$1,MATCH(Table1[[#This Row],[Ticker]],Industries!$A$2:$A$140,0),0)</f>
        <v>Mega-Cap</v>
      </c>
      <c r="G1774" t="str">
        <f ca="1">OFFSET(Industries!F$1,MATCH(Table1[[#This Row],[Ticker]],Industries!$A$2:$A$140,0),0)</f>
        <v>BBB+</v>
      </c>
      <c r="H1774" t="s">
        <v>1434</v>
      </c>
      <c r="I1774" t="s">
        <v>1434</v>
      </c>
      <c r="J1774" s="2">
        <v>45377</v>
      </c>
      <c r="K1774" t="s">
        <v>2</v>
      </c>
      <c r="L1774" t="s">
        <v>1708</v>
      </c>
      <c r="M1774" t="s">
        <v>1709</v>
      </c>
      <c r="N1774" s="1"/>
      <c r="O1774" t="s">
        <v>4</v>
      </c>
      <c r="P1774" s="1">
        <v>0.11</v>
      </c>
      <c r="Q1774" s="1" t="s">
        <v>1636</v>
      </c>
      <c r="R1774" t="s">
        <v>62</v>
      </c>
      <c r="S1774" t="s">
        <v>129</v>
      </c>
      <c r="T1774" t="s">
        <v>117</v>
      </c>
      <c r="U1774" s="1">
        <v>0.2</v>
      </c>
      <c r="V1774" t="s">
        <v>1042</v>
      </c>
    </row>
    <row r="1775" spans="1:22" x14ac:dyDescent="0.3">
      <c r="A1775" t="s">
        <v>1033</v>
      </c>
      <c r="B1775" t="str">
        <f ca="1">OFFSET(Industries!C$1,MATCH(Table1[[#This Row],[Ticker]],Industries!$A$2:$A$150,0),0)</f>
        <v>Health Care</v>
      </c>
      <c r="C1775" t="str">
        <f ca="1">OFFSET(Industries!D$1,MATCH(Table1[[#This Row],[Ticker]],Industries!$A$2:$A$150,0),0)</f>
        <v>Health Care Equipment and Services</v>
      </c>
      <c r="D1775" t="str">
        <f ca="1">OFFSET(Industries!E$1,MATCH(Table1[[#This Row],[Ticker]],Industries!$A$2:$A$150,0),0)</f>
        <v>Health Care Equipment and Supplies</v>
      </c>
      <c r="E1775" t="s">
        <v>127</v>
      </c>
      <c r="F1775" t="str">
        <f ca="1">OFFSET(Industries!B$1,MATCH(Table1[[#This Row],[Ticker]],Industries!$A$2:$A$140,0),0)</f>
        <v>Mega-Cap</v>
      </c>
      <c r="G1775" t="str">
        <f ca="1">OFFSET(Industries!F$1,MATCH(Table1[[#This Row],[Ticker]],Industries!$A$2:$A$140,0),0)</f>
        <v>BBB+</v>
      </c>
      <c r="H1775" t="s">
        <v>1434</v>
      </c>
      <c r="I1775" t="s">
        <v>1434</v>
      </c>
      <c r="J1775" s="2">
        <v>45377</v>
      </c>
      <c r="K1775" t="s">
        <v>2</v>
      </c>
      <c r="L1775" t="s">
        <v>1708</v>
      </c>
      <c r="M1775" t="s">
        <v>1709</v>
      </c>
      <c r="N1775" s="1"/>
      <c r="O1775" t="s">
        <v>4</v>
      </c>
      <c r="P1775" s="1">
        <v>0.11</v>
      </c>
      <c r="R1775" t="s">
        <v>28</v>
      </c>
      <c r="S1775" t="s">
        <v>1127</v>
      </c>
      <c r="T1775" t="s">
        <v>50</v>
      </c>
      <c r="V1775" t="s">
        <v>477</v>
      </c>
    </row>
    <row r="1776" spans="1:22" x14ac:dyDescent="0.3">
      <c r="A1776" t="s">
        <v>1033</v>
      </c>
      <c r="B1776" t="str">
        <f ca="1">OFFSET(Industries!C$1,MATCH(Table1[[#This Row],[Ticker]],Industries!$A$2:$A$150,0),0)</f>
        <v>Health Care</v>
      </c>
      <c r="C1776" t="str">
        <f ca="1">OFFSET(Industries!D$1,MATCH(Table1[[#This Row],[Ticker]],Industries!$A$2:$A$150,0),0)</f>
        <v>Health Care Equipment and Services</v>
      </c>
      <c r="D1776" t="str">
        <f ca="1">OFFSET(Industries!E$1,MATCH(Table1[[#This Row],[Ticker]],Industries!$A$2:$A$150,0),0)</f>
        <v>Health Care Equipment and Supplies</v>
      </c>
      <c r="E1776" t="s">
        <v>127</v>
      </c>
      <c r="F1776" t="str">
        <f ca="1">OFFSET(Industries!B$1,MATCH(Table1[[#This Row],[Ticker]],Industries!$A$2:$A$140,0),0)</f>
        <v>Mega-Cap</v>
      </c>
      <c r="G1776" t="str">
        <f ca="1">OFFSET(Industries!F$1,MATCH(Table1[[#This Row],[Ticker]],Industries!$A$2:$A$140,0),0)</f>
        <v>BBB+</v>
      </c>
      <c r="H1776" t="s">
        <v>1434</v>
      </c>
      <c r="I1776" t="s">
        <v>1434</v>
      </c>
      <c r="J1776" s="2">
        <v>45377</v>
      </c>
      <c r="K1776" t="s">
        <v>2</v>
      </c>
      <c r="L1776" t="s">
        <v>1708</v>
      </c>
      <c r="M1776" t="s">
        <v>1709</v>
      </c>
      <c r="N1776" s="1"/>
      <c r="O1776" t="s">
        <v>4</v>
      </c>
      <c r="P1776" s="1">
        <v>0.11</v>
      </c>
      <c r="R1776" t="s">
        <v>28</v>
      </c>
      <c r="S1776" t="s">
        <v>1093</v>
      </c>
      <c r="T1776" t="s">
        <v>1034</v>
      </c>
      <c r="V1776" t="s">
        <v>1035</v>
      </c>
    </row>
    <row r="1777" spans="1:22" x14ac:dyDescent="0.3">
      <c r="A1777" t="s">
        <v>1033</v>
      </c>
      <c r="B1777" t="str">
        <f ca="1">OFFSET(Industries!C$1,MATCH(Table1[[#This Row],[Ticker]],Industries!$A$2:$A$150,0),0)</f>
        <v>Health Care</v>
      </c>
      <c r="C1777" t="str">
        <f ca="1">OFFSET(Industries!D$1,MATCH(Table1[[#This Row],[Ticker]],Industries!$A$2:$A$150,0),0)</f>
        <v>Health Care Equipment and Services</v>
      </c>
      <c r="D1777" t="str">
        <f ca="1">OFFSET(Industries!E$1,MATCH(Table1[[#This Row],[Ticker]],Industries!$A$2:$A$150,0),0)</f>
        <v>Health Care Equipment and Supplies</v>
      </c>
      <c r="E1777" t="s">
        <v>127</v>
      </c>
      <c r="F1777" t="str">
        <f ca="1">OFFSET(Industries!B$1,MATCH(Table1[[#This Row],[Ticker]],Industries!$A$2:$A$140,0),0)</f>
        <v>Mega-Cap</v>
      </c>
      <c r="G1777" t="str">
        <f ca="1">OFFSET(Industries!F$1,MATCH(Table1[[#This Row],[Ticker]],Industries!$A$2:$A$140,0),0)</f>
        <v>BBB+</v>
      </c>
      <c r="H1777" t="s">
        <v>1434</v>
      </c>
      <c r="I1777" t="s">
        <v>1434</v>
      </c>
      <c r="J1777" s="2">
        <v>45377</v>
      </c>
      <c r="K1777" t="s">
        <v>2</v>
      </c>
      <c r="L1777" t="s">
        <v>1708</v>
      </c>
      <c r="M1777" t="s">
        <v>1709</v>
      </c>
      <c r="N1777" s="1"/>
      <c r="O1777" t="s">
        <v>4</v>
      </c>
      <c r="P1777" s="1">
        <v>0.11</v>
      </c>
      <c r="R1777" t="s">
        <v>28</v>
      </c>
      <c r="S1777" t="s">
        <v>1113</v>
      </c>
      <c r="T1777" t="s">
        <v>8</v>
      </c>
      <c r="V1777" t="s">
        <v>1045</v>
      </c>
    </row>
    <row r="1778" spans="1:22" x14ac:dyDescent="0.3">
      <c r="A1778" t="s">
        <v>1033</v>
      </c>
      <c r="B1778" t="str">
        <f ca="1">OFFSET(Industries!C$1,MATCH(Table1[[#This Row],[Ticker]],Industries!$A$2:$A$150,0),0)</f>
        <v>Health Care</v>
      </c>
      <c r="C1778" t="str">
        <f ca="1">OFFSET(Industries!D$1,MATCH(Table1[[#This Row],[Ticker]],Industries!$A$2:$A$150,0),0)</f>
        <v>Health Care Equipment and Services</v>
      </c>
      <c r="D1778" t="str">
        <f ca="1">OFFSET(Industries!E$1,MATCH(Table1[[#This Row],[Ticker]],Industries!$A$2:$A$150,0),0)</f>
        <v>Health Care Equipment and Supplies</v>
      </c>
      <c r="E1778" t="s">
        <v>127</v>
      </c>
      <c r="F1778" t="str">
        <f ca="1">OFFSET(Industries!B$1,MATCH(Table1[[#This Row],[Ticker]],Industries!$A$2:$A$140,0),0)</f>
        <v>Mega-Cap</v>
      </c>
      <c r="G1778" t="str">
        <f ca="1">OFFSET(Industries!F$1,MATCH(Table1[[#This Row],[Ticker]],Industries!$A$2:$A$140,0),0)</f>
        <v>BBB+</v>
      </c>
      <c r="H1778" t="s">
        <v>1434</v>
      </c>
      <c r="I1778" t="s">
        <v>1434</v>
      </c>
      <c r="J1778" s="2">
        <v>45377</v>
      </c>
      <c r="K1778" t="s">
        <v>2</v>
      </c>
      <c r="L1778" t="s">
        <v>1708</v>
      </c>
      <c r="M1778" t="s">
        <v>1709</v>
      </c>
      <c r="N1778" s="1"/>
      <c r="O1778" t="s">
        <v>4</v>
      </c>
      <c r="P1778" s="1">
        <v>0.11</v>
      </c>
      <c r="R1778" t="s">
        <v>28</v>
      </c>
      <c r="S1778" t="s">
        <v>1110</v>
      </c>
      <c r="T1778" t="s">
        <v>172</v>
      </c>
    </row>
    <row r="1779" spans="1:22" x14ac:dyDescent="0.3">
      <c r="A1779" t="s">
        <v>1033</v>
      </c>
      <c r="B1779" t="str">
        <f ca="1">OFFSET(Industries!C$1,MATCH(Table1[[#This Row],[Ticker]],Industries!$A$2:$A$150,0),0)</f>
        <v>Health Care</v>
      </c>
      <c r="C1779" t="str">
        <f ca="1">OFFSET(Industries!D$1,MATCH(Table1[[#This Row],[Ticker]],Industries!$A$2:$A$150,0),0)</f>
        <v>Health Care Equipment and Services</v>
      </c>
      <c r="D1779" t="str">
        <f ca="1">OFFSET(Industries!E$1,MATCH(Table1[[#This Row],[Ticker]],Industries!$A$2:$A$150,0),0)</f>
        <v>Health Care Equipment and Supplies</v>
      </c>
      <c r="E1779" t="s">
        <v>127</v>
      </c>
      <c r="F1779" t="str">
        <f ca="1">OFFSET(Industries!B$1,MATCH(Table1[[#This Row],[Ticker]],Industries!$A$2:$A$140,0),0)</f>
        <v>Mega-Cap</v>
      </c>
      <c r="G1779" t="str">
        <f ca="1">OFFSET(Industries!F$1,MATCH(Table1[[#This Row],[Ticker]],Industries!$A$2:$A$140,0),0)</f>
        <v>BBB+</v>
      </c>
      <c r="H1779" t="s">
        <v>1434</v>
      </c>
      <c r="I1779" t="s">
        <v>1434</v>
      </c>
      <c r="J1779" s="2">
        <v>45377</v>
      </c>
      <c r="K1779" t="s">
        <v>2</v>
      </c>
      <c r="L1779" t="s">
        <v>1710</v>
      </c>
      <c r="M1779" t="s">
        <v>1709</v>
      </c>
      <c r="N1779" s="1">
        <f>Table1[[#This Row],[Consideration Weight]]</f>
        <v>0.36</v>
      </c>
      <c r="O1779" t="s">
        <v>476</v>
      </c>
      <c r="P1779" s="1">
        <v>0.36</v>
      </c>
      <c r="Q1779" s="1" t="s">
        <v>1636</v>
      </c>
      <c r="R1779" t="s">
        <v>24</v>
      </c>
      <c r="S1779" t="s">
        <v>1089</v>
      </c>
      <c r="T1779" t="s">
        <v>1036</v>
      </c>
      <c r="U1779" s="1">
        <v>0.5</v>
      </c>
      <c r="V1779" t="s">
        <v>506</v>
      </c>
    </row>
    <row r="1780" spans="1:22" x14ac:dyDescent="0.3">
      <c r="A1780" t="s">
        <v>1033</v>
      </c>
      <c r="B1780" t="str">
        <f ca="1">OFFSET(Industries!C$1,MATCH(Table1[[#This Row],[Ticker]],Industries!$A$2:$A$150,0),0)</f>
        <v>Health Care</v>
      </c>
      <c r="C1780" t="str">
        <f ca="1">OFFSET(Industries!D$1,MATCH(Table1[[#This Row],[Ticker]],Industries!$A$2:$A$150,0),0)</f>
        <v>Health Care Equipment and Services</v>
      </c>
      <c r="D1780" t="str">
        <f ca="1">OFFSET(Industries!E$1,MATCH(Table1[[#This Row],[Ticker]],Industries!$A$2:$A$150,0),0)</f>
        <v>Health Care Equipment and Supplies</v>
      </c>
      <c r="E1780" t="s">
        <v>127</v>
      </c>
      <c r="F1780" t="str">
        <f ca="1">OFFSET(Industries!B$1,MATCH(Table1[[#This Row],[Ticker]],Industries!$A$2:$A$140,0),0)</f>
        <v>Mega-Cap</v>
      </c>
      <c r="G1780" t="str">
        <f ca="1">OFFSET(Industries!F$1,MATCH(Table1[[#This Row],[Ticker]],Industries!$A$2:$A$140,0),0)</f>
        <v>BBB+</v>
      </c>
      <c r="H1780" t="s">
        <v>1434</v>
      </c>
      <c r="I1780" t="s">
        <v>1434</v>
      </c>
      <c r="J1780" s="2">
        <v>45377</v>
      </c>
      <c r="K1780" t="s">
        <v>2</v>
      </c>
      <c r="L1780" t="s">
        <v>1710</v>
      </c>
      <c r="M1780" t="s">
        <v>1709</v>
      </c>
      <c r="N1780" s="1"/>
      <c r="O1780" t="s">
        <v>476</v>
      </c>
      <c r="P1780" s="1">
        <v>0.36</v>
      </c>
      <c r="Q1780" s="1" t="s">
        <v>1636</v>
      </c>
      <c r="R1780" t="s">
        <v>24</v>
      </c>
      <c r="S1780" t="s">
        <v>1136</v>
      </c>
      <c r="T1780" t="s">
        <v>1037</v>
      </c>
      <c r="U1780" s="1">
        <v>0.5</v>
      </c>
      <c r="V1780" t="s">
        <v>1038</v>
      </c>
    </row>
    <row r="1781" spans="1:22" x14ac:dyDescent="0.3">
      <c r="A1781" t="s">
        <v>1033</v>
      </c>
      <c r="B1781" t="str">
        <f ca="1">OFFSET(Industries!C$1,MATCH(Table1[[#This Row],[Ticker]],Industries!$A$2:$A$150,0),0)</f>
        <v>Health Care</v>
      </c>
      <c r="C1781" t="str">
        <f ca="1">OFFSET(Industries!D$1,MATCH(Table1[[#This Row],[Ticker]],Industries!$A$2:$A$150,0),0)</f>
        <v>Health Care Equipment and Services</v>
      </c>
      <c r="D1781" t="str">
        <f ca="1">OFFSET(Industries!E$1,MATCH(Table1[[#This Row],[Ticker]],Industries!$A$2:$A$150,0),0)</f>
        <v>Health Care Equipment and Supplies</v>
      </c>
      <c r="E1781" t="s">
        <v>127</v>
      </c>
      <c r="F1781" t="str">
        <f ca="1">OFFSET(Industries!B$1,MATCH(Table1[[#This Row],[Ticker]],Industries!$A$2:$A$140,0),0)</f>
        <v>Mega-Cap</v>
      </c>
      <c r="G1781" t="str">
        <f ca="1">OFFSET(Industries!F$1,MATCH(Table1[[#This Row],[Ticker]],Industries!$A$2:$A$140,0),0)</f>
        <v>BBB+</v>
      </c>
      <c r="H1781" t="s">
        <v>1434</v>
      </c>
      <c r="I1781" t="s">
        <v>1434</v>
      </c>
      <c r="J1781" s="2">
        <v>45377</v>
      </c>
      <c r="K1781" t="s">
        <v>2</v>
      </c>
      <c r="L1781" t="s">
        <v>1710</v>
      </c>
      <c r="M1781" t="s">
        <v>1709</v>
      </c>
      <c r="N1781" s="1"/>
      <c r="O1781" t="s">
        <v>476</v>
      </c>
      <c r="P1781" s="1">
        <v>0.36</v>
      </c>
      <c r="R1781" t="s">
        <v>28</v>
      </c>
      <c r="S1781" t="s">
        <v>1089</v>
      </c>
      <c r="T1781" t="s">
        <v>1036</v>
      </c>
    </row>
    <row r="1782" spans="1:22" x14ac:dyDescent="0.3">
      <c r="A1782" t="s">
        <v>1033</v>
      </c>
      <c r="B1782" t="str">
        <f ca="1">OFFSET(Industries!C$1,MATCH(Table1[[#This Row],[Ticker]],Industries!$A$2:$A$150,0),0)</f>
        <v>Health Care</v>
      </c>
      <c r="C1782" t="str">
        <f ca="1">OFFSET(Industries!D$1,MATCH(Table1[[#This Row],[Ticker]],Industries!$A$2:$A$150,0),0)</f>
        <v>Health Care Equipment and Services</v>
      </c>
      <c r="D1782" t="str">
        <f ca="1">OFFSET(Industries!E$1,MATCH(Table1[[#This Row],[Ticker]],Industries!$A$2:$A$150,0),0)</f>
        <v>Health Care Equipment and Supplies</v>
      </c>
      <c r="E1782" t="s">
        <v>127</v>
      </c>
      <c r="F1782" t="str">
        <f ca="1">OFFSET(Industries!B$1,MATCH(Table1[[#This Row],[Ticker]],Industries!$A$2:$A$140,0),0)</f>
        <v>Mega-Cap</v>
      </c>
      <c r="G1782" t="str">
        <f ca="1">OFFSET(Industries!F$1,MATCH(Table1[[#This Row],[Ticker]],Industries!$A$2:$A$140,0),0)</f>
        <v>BBB+</v>
      </c>
      <c r="H1782" t="s">
        <v>1434</v>
      </c>
      <c r="I1782" t="s">
        <v>1434</v>
      </c>
      <c r="J1782" s="2">
        <v>45377</v>
      </c>
      <c r="K1782" t="s">
        <v>2</v>
      </c>
      <c r="L1782" t="s">
        <v>1710</v>
      </c>
      <c r="M1782" t="s">
        <v>1711</v>
      </c>
      <c r="N1782" s="1">
        <f>Table1[[#This Row],[Consideration Weight]]</f>
        <v>0.45</v>
      </c>
      <c r="O1782" t="s">
        <v>87</v>
      </c>
      <c r="P1782" s="1">
        <v>0.45</v>
      </c>
    </row>
    <row r="1783" spans="1:22" x14ac:dyDescent="0.3">
      <c r="A1783" t="s">
        <v>1033</v>
      </c>
      <c r="B1783" t="str">
        <f ca="1">OFFSET(Industries!C$1,MATCH(Table1[[#This Row],[Ticker]],Industries!$A$2:$A$150,0),0)</f>
        <v>Health Care</v>
      </c>
      <c r="C1783" t="str">
        <f ca="1">OFFSET(Industries!D$1,MATCH(Table1[[#This Row],[Ticker]],Industries!$A$2:$A$150,0),0)</f>
        <v>Health Care Equipment and Services</v>
      </c>
      <c r="D1783" t="str">
        <f ca="1">OFFSET(Industries!E$1,MATCH(Table1[[#This Row],[Ticker]],Industries!$A$2:$A$150,0),0)</f>
        <v>Health Care Equipment and Supplies</v>
      </c>
      <c r="E1783" t="s">
        <v>127</v>
      </c>
      <c r="F1783" t="str">
        <f ca="1">OFFSET(Industries!B$1,MATCH(Table1[[#This Row],[Ticker]],Industries!$A$2:$A$140,0),0)</f>
        <v>Mega-Cap</v>
      </c>
      <c r="G1783" t="str">
        <f ca="1">OFFSET(Industries!F$1,MATCH(Table1[[#This Row],[Ticker]],Industries!$A$2:$A$140,0),0)</f>
        <v>BBB+</v>
      </c>
      <c r="H1783" t="s">
        <v>1434</v>
      </c>
      <c r="I1783" t="s">
        <v>1434</v>
      </c>
      <c r="J1783" s="2">
        <v>45377</v>
      </c>
      <c r="K1783" t="s">
        <v>21</v>
      </c>
      <c r="L1783" t="s">
        <v>3</v>
      </c>
      <c r="M1783" t="s">
        <v>1711</v>
      </c>
      <c r="N1783" s="1">
        <f>Table1[[#This Row],[Consideration Weight]]</f>
        <v>0.12</v>
      </c>
      <c r="O1783" t="s">
        <v>3</v>
      </c>
      <c r="P1783" s="1">
        <v>0.12</v>
      </c>
      <c r="V1783" t="s">
        <v>1044</v>
      </c>
    </row>
    <row r="1784" spans="1:22" x14ac:dyDescent="0.3">
      <c r="A1784" t="s">
        <v>1033</v>
      </c>
      <c r="B1784" t="str">
        <f ca="1">OFFSET(Industries!C$1,MATCH(Table1[[#This Row],[Ticker]],Industries!$A$2:$A$150,0),0)</f>
        <v>Health Care</v>
      </c>
      <c r="C1784" t="str">
        <f ca="1">OFFSET(Industries!D$1,MATCH(Table1[[#This Row],[Ticker]],Industries!$A$2:$A$150,0),0)</f>
        <v>Health Care Equipment and Services</v>
      </c>
      <c r="D1784" t="str">
        <f ca="1">OFFSET(Industries!E$1,MATCH(Table1[[#This Row],[Ticker]],Industries!$A$2:$A$150,0),0)</f>
        <v>Health Care Equipment and Supplies</v>
      </c>
      <c r="E1784" t="s">
        <v>127</v>
      </c>
      <c r="F1784" t="str">
        <f ca="1">OFFSET(Industries!B$1,MATCH(Table1[[#This Row],[Ticker]],Industries!$A$2:$A$140,0),0)</f>
        <v>Mega-Cap</v>
      </c>
      <c r="G1784" t="str">
        <f ca="1">OFFSET(Industries!F$1,MATCH(Table1[[#This Row],[Ticker]],Industries!$A$2:$A$140,0),0)</f>
        <v>BBB+</v>
      </c>
      <c r="H1784" t="s">
        <v>1434</v>
      </c>
      <c r="I1784" t="s">
        <v>1434</v>
      </c>
      <c r="J1784" s="2">
        <v>45377</v>
      </c>
      <c r="K1784" t="s">
        <v>21</v>
      </c>
      <c r="L1784" t="s">
        <v>1708</v>
      </c>
      <c r="M1784" t="s">
        <v>1709</v>
      </c>
      <c r="N1784" s="1">
        <f>Table1[[#This Row],[Consideration Weight]]</f>
        <v>0.1</v>
      </c>
      <c r="O1784" t="s">
        <v>4</v>
      </c>
      <c r="P1784" s="1">
        <v>0.1</v>
      </c>
      <c r="Q1784" s="1" t="s">
        <v>1636</v>
      </c>
      <c r="R1784" t="s">
        <v>23</v>
      </c>
      <c r="S1784" t="s">
        <v>1083</v>
      </c>
      <c r="T1784" t="s">
        <v>7</v>
      </c>
      <c r="U1784" s="1">
        <v>0.4</v>
      </c>
      <c r="V1784" t="s">
        <v>1044</v>
      </c>
    </row>
    <row r="1785" spans="1:22" x14ac:dyDescent="0.3">
      <c r="A1785" t="s">
        <v>1033</v>
      </c>
      <c r="B1785" t="str">
        <f ca="1">OFFSET(Industries!C$1,MATCH(Table1[[#This Row],[Ticker]],Industries!$A$2:$A$150,0),0)</f>
        <v>Health Care</v>
      </c>
      <c r="C1785" t="str">
        <f ca="1">OFFSET(Industries!D$1,MATCH(Table1[[#This Row],[Ticker]],Industries!$A$2:$A$150,0),0)</f>
        <v>Health Care Equipment and Services</v>
      </c>
      <c r="D1785" t="str">
        <f ca="1">OFFSET(Industries!E$1,MATCH(Table1[[#This Row],[Ticker]],Industries!$A$2:$A$150,0),0)</f>
        <v>Health Care Equipment and Supplies</v>
      </c>
      <c r="E1785" t="s">
        <v>127</v>
      </c>
      <c r="F1785" t="str">
        <f ca="1">OFFSET(Industries!B$1,MATCH(Table1[[#This Row],[Ticker]],Industries!$A$2:$A$140,0),0)</f>
        <v>Mega-Cap</v>
      </c>
      <c r="G1785" t="str">
        <f ca="1">OFFSET(Industries!F$1,MATCH(Table1[[#This Row],[Ticker]],Industries!$A$2:$A$140,0),0)</f>
        <v>BBB+</v>
      </c>
      <c r="H1785" t="s">
        <v>1434</v>
      </c>
      <c r="I1785" t="s">
        <v>1434</v>
      </c>
      <c r="J1785" s="2">
        <v>45377</v>
      </c>
      <c r="K1785" t="s">
        <v>21</v>
      </c>
      <c r="L1785" t="s">
        <v>1708</v>
      </c>
      <c r="M1785" t="s">
        <v>1709</v>
      </c>
      <c r="N1785" s="1"/>
      <c r="O1785" t="s">
        <v>4</v>
      </c>
      <c r="P1785" s="1">
        <v>0.1</v>
      </c>
      <c r="Q1785" s="1" t="s">
        <v>1636</v>
      </c>
      <c r="R1785" t="s">
        <v>24</v>
      </c>
      <c r="S1785" t="s">
        <v>90</v>
      </c>
      <c r="T1785" t="s">
        <v>8</v>
      </c>
      <c r="U1785" s="1">
        <v>0.2</v>
      </c>
    </row>
    <row r="1786" spans="1:22" x14ac:dyDescent="0.3">
      <c r="A1786" t="s">
        <v>1033</v>
      </c>
      <c r="B1786" t="str">
        <f ca="1">OFFSET(Industries!C$1,MATCH(Table1[[#This Row],[Ticker]],Industries!$A$2:$A$150,0),0)</f>
        <v>Health Care</v>
      </c>
      <c r="C1786" t="str">
        <f ca="1">OFFSET(Industries!D$1,MATCH(Table1[[#This Row],[Ticker]],Industries!$A$2:$A$150,0),0)</f>
        <v>Health Care Equipment and Services</v>
      </c>
      <c r="D1786" t="str">
        <f ca="1">OFFSET(Industries!E$1,MATCH(Table1[[#This Row],[Ticker]],Industries!$A$2:$A$150,0),0)</f>
        <v>Health Care Equipment and Supplies</v>
      </c>
      <c r="E1786" t="s">
        <v>127</v>
      </c>
      <c r="F1786" t="str">
        <f ca="1">OFFSET(Industries!B$1,MATCH(Table1[[#This Row],[Ticker]],Industries!$A$2:$A$140,0),0)</f>
        <v>Mega-Cap</v>
      </c>
      <c r="G1786" t="str">
        <f ca="1">OFFSET(Industries!F$1,MATCH(Table1[[#This Row],[Ticker]],Industries!$A$2:$A$140,0),0)</f>
        <v>BBB+</v>
      </c>
      <c r="H1786" t="s">
        <v>1434</v>
      </c>
      <c r="I1786" t="s">
        <v>1434</v>
      </c>
      <c r="J1786" s="2">
        <v>45377</v>
      </c>
      <c r="K1786" t="s">
        <v>21</v>
      </c>
      <c r="L1786" t="s">
        <v>1708</v>
      </c>
      <c r="M1786" t="s">
        <v>1709</v>
      </c>
      <c r="N1786" s="1"/>
      <c r="O1786" t="s">
        <v>4</v>
      </c>
      <c r="P1786" s="1">
        <v>0.1</v>
      </c>
      <c r="Q1786" s="1" t="s">
        <v>1636</v>
      </c>
      <c r="R1786" t="s">
        <v>24</v>
      </c>
      <c r="S1786" t="s">
        <v>509</v>
      </c>
      <c r="T1786" t="s">
        <v>38</v>
      </c>
      <c r="U1786" s="1">
        <v>0.2</v>
      </c>
    </row>
    <row r="1787" spans="1:22" x14ac:dyDescent="0.3">
      <c r="A1787" t="s">
        <v>1033</v>
      </c>
      <c r="B1787" t="str">
        <f ca="1">OFFSET(Industries!C$1,MATCH(Table1[[#This Row],[Ticker]],Industries!$A$2:$A$150,0),0)</f>
        <v>Health Care</v>
      </c>
      <c r="C1787" t="str">
        <f ca="1">OFFSET(Industries!D$1,MATCH(Table1[[#This Row],[Ticker]],Industries!$A$2:$A$150,0),0)</f>
        <v>Health Care Equipment and Services</v>
      </c>
      <c r="D1787" t="str">
        <f ca="1">OFFSET(Industries!E$1,MATCH(Table1[[#This Row],[Ticker]],Industries!$A$2:$A$150,0),0)</f>
        <v>Health Care Equipment and Supplies</v>
      </c>
      <c r="E1787" t="s">
        <v>127</v>
      </c>
      <c r="F1787" t="str">
        <f ca="1">OFFSET(Industries!B$1,MATCH(Table1[[#This Row],[Ticker]],Industries!$A$2:$A$140,0),0)</f>
        <v>Mega-Cap</v>
      </c>
      <c r="G1787" t="str">
        <f ca="1">OFFSET(Industries!F$1,MATCH(Table1[[#This Row],[Ticker]],Industries!$A$2:$A$140,0),0)</f>
        <v>BBB+</v>
      </c>
      <c r="H1787" t="s">
        <v>1434</v>
      </c>
      <c r="I1787" t="s">
        <v>1434</v>
      </c>
      <c r="J1787" s="2">
        <v>45377</v>
      </c>
      <c r="K1787" t="s">
        <v>21</v>
      </c>
      <c r="L1787" t="s">
        <v>1708</v>
      </c>
      <c r="M1787" t="s">
        <v>1709</v>
      </c>
      <c r="N1787" s="1"/>
      <c r="O1787" t="s">
        <v>4</v>
      </c>
      <c r="P1787" s="1">
        <v>0.1</v>
      </c>
      <c r="Q1787" s="1" t="s">
        <v>1636</v>
      </c>
      <c r="R1787" t="s">
        <v>62</v>
      </c>
      <c r="S1787" t="s">
        <v>129</v>
      </c>
      <c r="T1787" t="s">
        <v>117</v>
      </c>
      <c r="U1787" s="1">
        <v>0.2</v>
      </c>
    </row>
    <row r="1788" spans="1:22" x14ac:dyDescent="0.3">
      <c r="A1788" t="s">
        <v>1033</v>
      </c>
      <c r="B1788" t="str">
        <f ca="1">OFFSET(Industries!C$1,MATCH(Table1[[#This Row],[Ticker]],Industries!$A$2:$A$150,0),0)</f>
        <v>Health Care</v>
      </c>
      <c r="C1788" t="str">
        <f ca="1">OFFSET(Industries!D$1,MATCH(Table1[[#This Row],[Ticker]],Industries!$A$2:$A$150,0),0)</f>
        <v>Health Care Equipment and Services</v>
      </c>
      <c r="D1788" t="str">
        <f ca="1">OFFSET(Industries!E$1,MATCH(Table1[[#This Row],[Ticker]],Industries!$A$2:$A$150,0),0)</f>
        <v>Health Care Equipment and Supplies</v>
      </c>
      <c r="E1788" t="s">
        <v>127</v>
      </c>
      <c r="F1788" t="str">
        <f ca="1">OFFSET(Industries!B$1,MATCH(Table1[[#This Row],[Ticker]],Industries!$A$2:$A$140,0),0)</f>
        <v>Mega-Cap</v>
      </c>
      <c r="G1788" t="str">
        <f ca="1">OFFSET(Industries!F$1,MATCH(Table1[[#This Row],[Ticker]],Industries!$A$2:$A$140,0),0)</f>
        <v>BBB+</v>
      </c>
      <c r="H1788" t="s">
        <v>1434</v>
      </c>
      <c r="I1788" t="s">
        <v>1434</v>
      </c>
      <c r="J1788" s="2">
        <v>45377</v>
      </c>
      <c r="K1788" t="s">
        <v>21</v>
      </c>
      <c r="L1788" t="s">
        <v>1708</v>
      </c>
      <c r="M1788" t="s">
        <v>1709</v>
      </c>
      <c r="N1788" s="1"/>
      <c r="O1788" t="s">
        <v>4</v>
      </c>
      <c r="P1788" s="1">
        <v>0.1</v>
      </c>
      <c r="R1788" t="s">
        <v>28</v>
      </c>
      <c r="S1788" t="s">
        <v>1127</v>
      </c>
      <c r="T1788" t="s">
        <v>50</v>
      </c>
    </row>
    <row r="1789" spans="1:22" x14ac:dyDescent="0.3">
      <c r="A1789" t="s">
        <v>1033</v>
      </c>
      <c r="B1789" t="str">
        <f ca="1">OFFSET(Industries!C$1,MATCH(Table1[[#This Row],[Ticker]],Industries!$A$2:$A$150,0),0)</f>
        <v>Health Care</v>
      </c>
      <c r="C1789" t="str">
        <f ca="1">OFFSET(Industries!D$1,MATCH(Table1[[#This Row],[Ticker]],Industries!$A$2:$A$150,0),0)</f>
        <v>Health Care Equipment and Services</v>
      </c>
      <c r="D1789" t="str">
        <f ca="1">OFFSET(Industries!E$1,MATCH(Table1[[#This Row],[Ticker]],Industries!$A$2:$A$150,0),0)</f>
        <v>Health Care Equipment and Supplies</v>
      </c>
      <c r="E1789" t="s">
        <v>127</v>
      </c>
      <c r="F1789" t="str">
        <f ca="1">OFFSET(Industries!B$1,MATCH(Table1[[#This Row],[Ticker]],Industries!$A$2:$A$140,0),0)</f>
        <v>Mega-Cap</v>
      </c>
      <c r="G1789" t="str">
        <f ca="1">OFFSET(Industries!F$1,MATCH(Table1[[#This Row],[Ticker]],Industries!$A$2:$A$140,0),0)</f>
        <v>BBB+</v>
      </c>
      <c r="H1789" t="s">
        <v>1434</v>
      </c>
      <c r="I1789" t="s">
        <v>1434</v>
      </c>
      <c r="J1789" s="2">
        <v>45377</v>
      </c>
      <c r="K1789" t="s">
        <v>21</v>
      </c>
      <c r="L1789" t="s">
        <v>1708</v>
      </c>
      <c r="M1789" t="s">
        <v>1709</v>
      </c>
      <c r="N1789" s="1"/>
      <c r="O1789" t="s">
        <v>4</v>
      </c>
      <c r="P1789" s="1">
        <v>0.1</v>
      </c>
      <c r="R1789" t="s">
        <v>28</v>
      </c>
      <c r="S1789" t="s">
        <v>1093</v>
      </c>
      <c r="T1789" t="s">
        <v>1034</v>
      </c>
    </row>
    <row r="1790" spans="1:22" x14ac:dyDescent="0.3">
      <c r="A1790" t="s">
        <v>1033</v>
      </c>
      <c r="B1790" t="str">
        <f ca="1">OFFSET(Industries!C$1,MATCH(Table1[[#This Row],[Ticker]],Industries!$A$2:$A$150,0),0)</f>
        <v>Health Care</v>
      </c>
      <c r="C1790" t="str">
        <f ca="1">OFFSET(Industries!D$1,MATCH(Table1[[#This Row],[Ticker]],Industries!$A$2:$A$150,0),0)</f>
        <v>Health Care Equipment and Services</v>
      </c>
      <c r="D1790" t="str">
        <f ca="1">OFFSET(Industries!E$1,MATCH(Table1[[#This Row],[Ticker]],Industries!$A$2:$A$150,0),0)</f>
        <v>Health Care Equipment and Supplies</v>
      </c>
      <c r="E1790" t="s">
        <v>127</v>
      </c>
      <c r="F1790" t="str">
        <f ca="1">OFFSET(Industries!B$1,MATCH(Table1[[#This Row],[Ticker]],Industries!$A$2:$A$140,0),0)</f>
        <v>Mega-Cap</v>
      </c>
      <c r="G1790" t="str">
        <f ca="1">OFFSET(Industries!F$1,MATCH(Table1[[#This Row],[Ticker]],Industries!$A$2:$A$140,0),0)</f>
        <v>BBB+</v>
      </c>
      <c r="H1790" t="s">
        <v>1434</v>
      </c>
      <c r="I1790" t="s">
        <v>1434</v>
      </c>
      <c r="J1790" s="2">
        <v>45377</v>
      </c>
      <c r="K1790" t="s">
        <v>21</v>
      </c>
      <c r="L1790" t="s">
        <v>1708</v>
      </c>
      <c r="M1790" t="s">
        <v>1709</v>
      </c>
      <c r="N1790" s="1"/>
      <c r="O1790" t="s">
        <v>4</v>
      </c>
      <c r="P1790" s="1">
        <v>0.1</v>
      </c>
      <c r="R1790" t="s">
        <v>28</v>
      </c>
      <c r="S1790" t="s">
        <v>1113</v>
      </c>
      <c r="T1790" t="s">
        <v>8</v>
      </c>
    </row>
    <row r="1791" spans="1:22" x14ac:dyDescent="0.3">
      <c r="A1791" t="s">
        <v>1033</v>
      </c>
      <c r="B1791" t="str">
        <f ca="1">OFFSET(Industries!C$1,MATCH(Table1[[#This Row],[Ticker]],Industries!$A$2:$A$150,0),0)</f>
        <v>Health Care</v>
      </c>
      <c r="C1791" t="str">
        <f ca="1">OFFSET(Industries!D$1,MATCH(Table1[[#This Row],[Ticker]],Industries!$A$2:$A$150,0),0)</f>
        <v>Health Care Equipment and Services</v>
      </c>
      <c r="D1791" t="str">
        <f ca="1">OFFSET(Industries!E$1,MATCH(Table1[[#This Row],[Ticker]],Industries!$A$2:$A$150,0),0)</f>
        <v>Health Care Equipment and Supplies</v>
      </c>
      <c r="E1791" t="s">
        <v>127</v>
      </c>
      <c r="F1791" t="str">
        <f ca="1">OFFSET(Industries!B$1,MATCH(Table1[[#This Row],[Ticker]],Industries!$A$2:$A$140,0),0)</f>
        <v>Mega-Cap</v>
      </c>
      <c r="G1791" t="str">
        <f ca="1">OFFSET(Industries!F$1,MATCH(Table1[[#This Row],[Ticker]],Industries!$A$2:$A$140,0),0)</f>
        <v>BBB+</v>
      </c>
      <c r="H1791" t="s">
        <v>1434</v>
      </c>
      <c r="I1791" t="s">
        <v>1434</v>
      </c>
      <c r="J1791" s="2">
        <v>45377</v>
      </c>
      <c r="K1791" t="s">
        <v>21</v>
      </c>
      <c r="L1791" t="s">
        <v>1708</v>
      </c>
      <c r="M1791" t="s">
        <v>1709</v>
      </c>
      <c r="N1791" s="1"/>
      <c r="O1791" t="s">
        <v>4</v>
      </c>
      <c r="P1791" s="1">
        <v>0.1</v>
      </c>
      <c r="R1791" t="s">
        <v>28</v>
      </c>
      <c r="S1791" t="s">
        <v>1110</v>
      </c>
      <c r="T1791" t="s">
        <v>172</v>
      </c>
    </row>
    <row r="1792" spans="1:22" x14ac:dyDescent="0.3">
      <c r="A1792" t="s">
        <v>1033</v>
      </c>
      <c r="B1792" t="str">
        <f ca="1">OFFSET(Industries!C$1,MATCH(Table1[[#This Row],[Ticker]],Industries!$A$2:$A$150,0),0)</f>
        <v>Health Care</v>
      </c>
      <c r="C1792" t="str">
        <f ca="1">OFFSET(Industries!D$1,MATCH(Table1[[#This Row],[Ticker]],Industries!$A$2:$A$150,0),0)</f>
        <v>Health Care Equipment and Services</v>
      </c>
      <c r="D1792" t="str">
        <f ca="1">OFFSET(Industries!E$1,MATCH(Table1[[#This Row],[Ticker]],Industries!$A$2:$A$150,0),0)</f>
        <v>Health Care Equipment and Supplies</v>
      </c>
      <c r="E1792" t="s">
        <v>127</v>
      </c>
      <c r="F1792" t="str">
        <f ca="1">OFFSET(Industries!B$1,MATCH(Table1[[#This Row],[Ticker]],Industries!$A$2:$A$140,0),0)</f>
        <v>Mega-Cap</v>
      </c>
      <c r="G1792" t="str">
        <f ca="1">OFFSET(Industries!F$1,MATCH(Table1[[#This Row],[Ticker]],Industries!$A$2:$A$140,0),0)</f>
        <v>BBB+</v>
      </c>
      <c r="H1792" t="s">
        <v>1434</v>
      </c>
      <c r="I1792" t="s">
        <v>1434</v>
      </c>
      <c r="J1792" s="2">
        <v>45377</v>
      </c>
      <c r="K1792" t="s">
        <v>21</v>
      </c>
      <c r="L1792" t="s">
        <v>1710</v>
      </c>
      <c r="M1792" t="s">
        <v>1709</v>
      </c>
      <c r="N1792" s="1">
        <f>Table1[[#This Row],[Consideration Weight]]</f>
        <v>0.35</v>
      </c>
      <c r="O1792" t="s">
        <v>476</v>
      </c>
      <c r="P1792" s="1">
        <v>0.35</v>
      </c>
      <c r="Q1792" s="1" t="s">
        <v>1636</v>
      </c>
      <c r="R1792" t="s">
        <v>24</v>
      </c>
      <c r="S1792" t="s">
        <v>1089</v>
      </c>
      <c r="T1792" t="s">
        <v>1036</v>
      </c>
      <c r="U1792" s="1">
        <v>0.5</v>
      </c>
    </row>
    <row r="1793" spans="1:22" x14ac:dyDescent="0.3">
      <c r="A1793" t="s">
        <v>1033</v>
      </c>
      <c r="B1793" t="str">
        <f ca="1">OFFSET(Industries!C$1,MATCH(Table1[[#This Row],[Ticker]],Industries!$A$2:$A$150,0),0)</f>
        <v>Health Care</v>
      </c>
      <c r="C1793" t="str">
        <f ca="1">OFFSET(Industries!D$1,MATCH(Table1[[#This Row],[Ticker]],Industries!$A$2:$A$150,0),0)</f>
        <v>Health Care Equipment and Services</v>
      </c>
      <c r="D1793" t="str">
        <f ca="1">OFFSET(Industries!E$1,MATCH(Table1[[#This Row],[Ticker]],Industries!$A$2:$A$150,0),0)</f>
        <v>Health Care Equipment and Supplies</v>
      </c>
      <c r="E1793" t="s">
        <v>127</v>
      </c>
      <c r="F1793" t="str">
        <f ca="1">OFFSET(Industries!B$1,MATCH(Table1[[#This Row],[Ticker]],Industries!$A$2:$A$140,0),0)</f>
        <v>Mega-Cap</v>
      </c>
      <c r="G1793" t="str">
        <f ca="1">OFFSET(Industries!F$1,MATCH(Table1[[#This Row],[Ticker]],Industries!$A$2:$A$140,0),0)</f>
        <v>BBB+</v>
      </c>
      <c r="H1793" t="s">
        <v>1434</v>
      </c>
      <c r="I1793" t="s">
        <v>1434</v>
      </c>
      <c r="J1793" s="2">
        <v>45377</v>
      </c>
      <c r="K1793" t="s">
        <v>21</v>
      </c>
      <c r="L1793" t="s">
        <v>1710</v>
      </c>
      <c r="M1793" t="s">
        <v>1709</v>
      </c>
      <c r="N1793" s="1"/>
      <c r="O1793" t="s">
        <v>476</v>
      </c>
      <c r="P1793" s="1">
        <v>0.35</v>
      </c>
      <c r="Q1793" s="1" t="s">
        <v>1636</v>
      </c>
      <c r="R1793" t="s">
        <v>24</v>
      </c>
      <c r="S1793" t="s">
        <v>1136</v>
      </c>
      <c r="T1793" t="s">
        <v>1037</v>
      </c>
      <c r="U1793" s="1">
        <v>0.5</v>
      </c>
    </row>
    <row r="1794" spans="1:22" x14ac:dyDescent="0.3">
      <c r="A1794" t="s">
        <v>1033</v>
      </c>
      <c r="B1794" t="str">
        <f ca="1">OFFSET(Industries!C$1,MATCH(Table1[[#This Row],[Ticker]],Industries!$A$2:$A$150,0),0)</f>
        <v>Health Care</v>
      </c>
      <c r="C1794" t="str">
        <f ca="1">OFFSET(Industries!D$1,MATCH(Table1[[#This Row],[Ticker]],Industries!$A$2:$A$150,0),0)</f>
        <v>Health Care Equipment and Services</v>
      </c>
      <c r="D1794" t="str">
        <f ca="1">OFFSET(Industries!E$1,MATCH(Table1[[#This Row],[Ticker]],Industries!$A$2:$A$150,0),0)</f>
        <v>Health Care Equipment and Supplies</v>
      </c>
      <c r="E1794" t="s">
        <v>127</v>
      </c>
      <c r="F1794" t="str">
        <f ca="1">OFFSET(Industries!B$1,MATCH(Table1[[#This Row],[Ticker]],Industries!$A$2:$A$140,0),0)</f>
        <v>Mega-Cap</v>
      </c>
      <c r="G1794" t="str">
        <f ca="1">OFFSET(Industries!F$1,MATCH(Table1[[#This Row],[Ticker]],Industries!$A$2:$A$140,0),0)</f>
        <v>BBB+</v>
      </c>
      <c r="H1794" t="s">
        <v>1434</v>
      </c>
      <c r="I1794" t="s">
        <v>1434</v>
      </c>
      <c r="J1794" s="2">
        <v>45377</v>
      </c>
      <c r="K1794" t="s">
        <v>21</v>
      </c>
      <c r="L1794" t="s">
        <v>1710</v>
      </c>
      <c r="M1794" t="s">
        <v>1709</v>
      </c>
      <c r="N1794" s="1"/>
      <c r="O1794" t="s">
        <v>476</v>
      </c>
      <c r="P1794" s="1">
        <v>0.35</v>
      </c>
      <c r="R1794" t="s">
        <v>28</v>
      </c>
      <c r="S1794" t="s">
        <v>1089</v>
      </c>
      <c r="T1794" t="s">
        <v>1036</v>
      </c>
    </row>
    <row r="1795" spans="1:22" x14ac:dyDescent="0.3">
      <c r="A1795" t="s">
        <v>1033</v>
      </c>
      <c r="B1795" t="str">
        <f ca="1">OFFSET(Industries!C$1,MATCH(Table1[[#This Row],[Ticker]],Industries!$A$2:$A$150,0),0)</f>
        <v>Health Care</v>
      </c>
      <c r="C1795" t="str">
        <f ca="1">OFFSET(Industries!D$1,MATCH(Table1[[#This Row],[Ticker]],Industries!$A$2:$A$150,0),0)</f>
        <v>Health Care Equipment and Services</v>
      </c>
      <c r="D1795" t="str">
        <f ca="1">OFFSET(Industries!E$1,MATCH(Table1[[#This Row],[Ticker]],Industries!$A$2:$A$150,0),0)</f>
        <v>Health Care Equipment and Supplies</v>
      </c>
      <c r="E1795" t="s">
        <v>127</v>
      </c>
      <c r="F1795" t="str">
        <f ca="1">OFFSET(Industries!B$1,MATCH(Table1[[#This Row],[Ticker]],Industries!$A$2:$A$140,0),0)</f>
        <v>Mega-Cap</v>
      </c>
      <c r="G1795" t="str">
        <f ca="1">OFFSET(Industries!F$1,MATCH(Table1[[#This Row],[Ticker]],Industries!$A$2:$A$140,0),0)</f>
        <v>BBB+</v>
      </c>
      <c r="H1795" t="s">
        <v>1434</v>
      </c>
      <c r="I1795" t="s">
        <v>1434</v>
      </c>
      <c r="J1795" s="2">
        <v>45377</v>
      </c>
      <c r="K1795" t="s">
        <v>21</v>
      </c>
      <c r="L1795" t="s">
        <v>1710</v>
      </c>
      <c r="M1795" t="s">
        <v>1711</v>
      </c>
      <c r="N1795" s="1">
        <f>Table1[[#This Row],[Consideration Weight]]</f>
        <v>0.43</v>
      </c>
      <c r="O1795" t="s">
        <v>87</v>
      </c>
      <c r="P1795" s="1">
        <v>0.43</v>
      </c>
    </row>
    <row r="1796" spans="1:22" x14ac:dyDescent="0.3">
      <c r="A1796" t="s">
        <v>1049</v>
      </c>
      <c r="B1796" t="str">
        <f ca="1">OFFSET(Industries!C$1,MATCH(Table1[[#This Row],[Ticker]],Industries!$A$2:$A$150,0),0)</f>
        <v>Health Care</v>
      </c>
      <c r="C1796" t="str">
        <f ca="1">OFFSET(Industries!D$1,MATCH(Table1[[#This Row],[Ticker]],Industries!$A$2:$A$150,0),0)</f>
        <v>Health Care Equipment and Services</v>
      </c>
      <c r="D1796" t="str">
        <f ca="1">OFFSET(Industries!E$1,MATCH(Table1[[#This Row],[Ticker]],Industries!$A$2:$A$150,0),0)</f>
        <v>Health Care Providers and Services</v>
      </c>
      <c r="E1796" t="s">
        <v>80</v>
      </c>
      <c r="F1796" t="str">
        <f ca="1">OFFSET(Industries!B$1,MATCH(Table1[[#This Row],[Ticker]],Industries!$A$2:$A$140,0),0)</f>
        <v>Large-Cap</v>
      </c>
      <c r="G1796" t="str">
        <f ca="1">OFFSET(Industries!F$1,MATCH(Table1[[#This Row],[Ticker]],Industries!$A$2:$A$140,0),0)</f>
        <v>BB</v>
      </c>
      <c r="H1796" t="s">
        <v>1434</v>
      </c>
      <c r="I1796" t="s">
        <v>1434</v>
      </c>
      <c r="J1796" s="2">
        <v>45372</v>
      </c>
      <c r="K1796" t="s">
        <v>2</v>
      </c>
      <c r="L1796" t="s">
        <v>3</v>
      </c>
      <c r="M1796" t="s">
        <v>1711</v>
      </c>
      <c r="N1796" s="1">
        <f>Table1[[#This Row],[Consideration Weight]]</f>
        <v>7.0000000000000007E-2</v>
      </c>
      <c r="O1796" t="s">
        <v>3</v>
      </c>
      <c r="P1796" s="1">
        <v>7.0000000000000007E-2</v>
      </c>
      <c r="V1796" t="s">
        <v>1047</v>
      </c>
    </row>
    <row r="1797" spans="1:22" x14ac:dyDescent="0.3">
      <c r="A1797" t="s">
        <v>1049</v>
      </c>
      <c r="B1797" t="str">
        <f ca="1">OFFSET(Industries!C$1,MATCH(Table1[[#This Row],[Ticker]],Industries!$A$2:$A$150,0),0)</f>
        <v>Health Care</v>
      </c>
      <c r="C1797" t="str">
        <f ca="1">OFFSET(Industries!D$1,MATCH(Table1[[#This Row],[Ticker]],Industries!$A$2:$A$150,0),0)</f>
        <v>Health Care Equipment and Services</v>
      </c>
      <c r="D1797" t="str">
        <f ca="1">OFFSET(Industries!E$1,MATCH(Table1[[#This Row],[Ticker]],Industries!$A$2:$A$150,0),0)</f>
        <v>Health Care Providers and Services</v>
      </c>
      <c r="E1797" t="s">
        <v>80</v>
      </c>
      <c r="F1797" t="str">
        <f ca="1">OFFSET(Industries!B$1,MATCH(Table1[[#This Row],[Ticker]],Industries!$A$2:$A$140,0),0)</f>
        <v>Large-Cap</v>
      </c>
      <c r="G1797" t="str">
        <f ca="1">OFFSET(Industries!F$1,MATCH(Table1[[#This Row],[Ticker]],Industries!$A$2:$A$140,0),0)</f>
        <v>BB</v>
      </c>
      <c r="H1797" t="s">
        <v>1434</v>
      </c>
      <c r="I1797" t="s">
        <v>1434</v>
      </c>
      <c r="J1797" s="2">
        <v>45372</v>
      </c>
      <c r="K1797" t="s">
        <v>2</v>
      </c>
      <c r="L1797" t="s">
        <v>1708</v>
      </c>
      <c r="M1797" t="s">
        <v>1709</v>
      </c>
      <c r="N1797" s="1">
        <f>Table1[[#This Row],[Consideration Weight]]</f>
        <v>0.21</v>
      </c>
      <c r="O1797" t="s">
        <v>4</v>
      </c>
      <c r="P1797" s="1">
        <v>0.21</v>
      </c>
      <c r="Q1797" s="1" t="s">
        <v>1636</v>
      </c>
      <c r="R1797" t="s">
        <v>24</v>
      </c>
      <c r="S1797" t="s">
        <v>1089</v>
      </c>
      <c r="T1797" t="s">
        <v>1046</v>
      </c>
      <c r="U1797" s="1">
        <v>0.7</v>
      </c>
      <c r="V1797" t="s">
        <v>1689</v>
      </c>
    </row>
    <row r="1798" spans="1:22" x14ac:dyDescent="0.3">
      <c r="A1798" t="s">
        <v>1049</v>
      </c>
      <c r="B1798" t="str">
        <f ca="1">OFFSET(Industries!C$1,MATCH(Table1[[#This Row],[Ticker]],Industries!$A$2:$A$150,0),0)</f>
        <v>Health Care</v>
      </c>
      <c r="C1798" t="str">
        <f ca="1">OFFSET(Industries!D$1,MATCH(Table1[[#This Row],[Ticker]],Industries!$A$2:$A$150,0),0)</f>
        <v>Health Care Equipment and Services</v>
      </c>
      <c r="D1798" t="str">
        <f ca="1">OFFSET(Industries!E$1,MATCH(Table1[[#This Row],[Ticker]],Industries!$A$2:$A$150,0),0)</f>
        <v>Health Care Providers and Services</v>
      </c>
      <c r="E1798" t="s">
        <v>80</v>
      </c>
      <c r="F1798" t="str">
        <f ca="1">OFFSET(Industries!B$1,MATCH(Table1[[#This Row],[Ticker]],Industries!$A$2:$A$140,0),0)</f>
        <v>Large-Cap</v>
      </c>
      <c r="G1798" t="str">
        <f ca="1">OFFSET(Industries!F$1,MATCH(Table1[[#This Row],[Ticker]],Industries!$A$2:$A$140,0),0)</f>
        <v>BB</v>
      </c>
      <c r="H1798" t="s">
        <v>1434</v>
      </c>
      <c r="I1798" t="s">
        <v>1434</v>
      </c>
      <c r="J1798" s="2">
        <v>45372</v>
      </c>
      <c r="K1798" t="s">
        <v>2</v>
      </c>
      <c r="L1798" t="s">
        <v>1708</v>
      </c>
      <c r="M1798" t="s">
        <v>1709</v>
      </c>
      <c r="N1798" s="1"/>
      <c r="O1798" t="s">
        <v>4</v>
      </c>
      <c r="P1798" s="1">
        <v>0.21</v>
      </c>
      <c r="Q1798" s="1" t="s">
        <v>1637</v>
      </c>
      <c r="R1798" t="s">
        <v>332</v>
      </c>
      <c r="S1798" t="s">
        <v>380</v>
      </c>
      <c r="T1798" t="s">
        <v>380</v>
      </c>
      <c r="U1798" s="1">
        <v>0.3</v>
      </c>
      <c r="V1798" t="s">
        <v>231</v>
      </c>
    </row>
    <row r="1799" spans="1:22" x14ac:dyDescent="0.3">
      <c r="A1799" t="s">
        <v>1049</v>
      </c>
      <c r="B1799" t="str">
        <f ca="1">OFFSET(Industries!C$1,MATCH(Table1[[#This Row],[Ticker]],Industries!$A$2:$A$150,0),0)</f>
        <v>Health Care</v>
      </c>
      <c r="C1799" t="str">
        <f ca="1">OFFSET(Industries!D$1,MATCH(Table1[[#This Row],[Ticker]],Industries!$A$2:$A$150,0),0)</f>
        <v>Health Care Equipment and Services</v>
      </c>
      <c r="D1799" t="str">
        <f ca="1">OFFSET(Industries!E$1,MATCH(Table1[[#This Row],[Ticker]],Industries!$A$2:$A$150,0),0)</f>
        <v>Health Care Providers and Services</v>
      </c>
      <c r="E1799" t="s">
        <v>80</v>
      </c>
      <c r="F1799" t="str">
        <f ca="1">OFFSET(Industries!B$1,MATCH(Table1[[#This Row],[Ticker]],Industries!$A$2:$A$140,0),0)</f>
        <v>Large-Cap</v>
      </c>
      <c r="G1799" t="str">
        <f ca="1">OFFSET(Industries!F$1,MATCH(Table1[[#This Row],[Ticker]],Industries!$A$2:$A$140,0),0)</f>
        <v>BB</v>
      </c>
      <c r="H1799" t="s">
        <v>1434</v>
      </c>
      <c r="I1799" t="s">
        <v>1434</v>
      </c>
      <c r="J1799" s="2">
        <v>45372</v>
      </c>
      <c r="K1799" t="s">
        <v>2</v>
      </c>
      <c r="L1799" t="s">
        <v>1710</v>
      </c>
      <c r="M1799" t="s">
        <v>1709</v>
      </c>
      <c r="N1799" s="1">
        <f>Table1[[#This Row],[Consideration Weight]]</f>
        <v>0.432</v>
      </c>
      <c r="O1799" t="s">
        <v>476</v>
      </c>
      <c r="P1799" s="1">
        <f>0.72*0.6</f>
        <v>0.432</v>
      </c>
      <c r="Q1799" s="1" t="s">
        <v>1636</v>
      </c>
      <c r="R1799" t="s">
        <v>24</v>
      </c>
      <c r="S1799" t="s">
        <v>1089</v>
      </c>
      <c r="T1799" t="s">
        <v>86</v>
      </c>
      <c r="U1799" s="1">
        <v>1</v>
      </c>
    </row>
    <row r="1800" spans="1:22" x14ac:dyDescent="0.3">
      <c r="A1800" t="s">
        <v>1049</v>
      </c>
      <c r="B1800" t="str">
        <f ca="1">OFFSET(Industries!C$1,MATCH(Table1[[#This Row],[Ticker]],Industries!$A$2:$A$150,0),0)</f>
        <v>Health Care</v>
      </c>
      <c r="C1800" t="str">
        <f ca="1">OFFSET(Industries!D$1,MATCH(Table1[[#This Row],[Ticker]],Industries!$A$2:$A$150,0),0)</f>
        <v>Health Care Equipment and Services</v>
      </c>
      <c r="D1800" t="str">
        <f ca="1">OFFSET(Industries!E$1,MATCH(Table1[[#This Row],[Ticker]],Industries!$A$2:$A$150,0),0)</f>
        <v>Health Care Providers and Services</v>
      </c>
      <c r="E1800" t="s">
        <v>80</v>
      </c>
      <c r="F1800" t="str">
        <f ca="1">OFFSET(Industries!B$1,MATCH(Table1[[#This Row],[Ticker]],Industries!$A$2:$A$140,0),0)</f>
        <v>Large-Cap</v>
      </c>
      <c r="G1800" t="str">
        <f ca="1">OFFSET(Industries!F$1,MATCH(Table1[[#This Row],[Ticker]],Industries!$A$2:$A$140,0),0)</f>
        <v>BB</v>
      </c>
      <c r="H1800" t="s">
        <v>1434</v>
      </c>
      <c r="I1800" t="s">
        <v>1434</v>
      </c>
      <c r="J1800" s="2">
        <v>45372</v>
      </c>
      <c r="K1800" t="s">
        <v>2</v>
      </c>
      <c r="L1800" t="s">
        <v>1710</v>
      </c>
      <c r="M1800" t="s">
        <v>1711</v>
      </c>
      <c r="N1800" s="1">
        <f>Table1[[#This Row],[Consideration Weight]]</f>
        <v>0.28799999999999998</v>
      </c>
      <c r="O1800" t="s">
        <v>194</v>
      </c>
      <c r="P1800" s="1">
        <f>0.4*0.72</f>
        <v>0.28799999999999998</v>
      </c>
    </row>
    <row r="1801" spans="1:22" x14ac:dyDescent="0.3">
      <c r="A1801" t="s">
        <v>1049</v>
      </c>
      <c r="B1801" t="str">
        <f ca="1">OFFSET(Industries!C$1,MATCH(Table1[[#This Row],[Ticker]],Industries!$A$2:$A$150,0),0)</f>
        <v>Health Care</v>
      </c>
      <c r="C1801" t="str">
        <f ca="1">OFFSET(Industries!D$1,MATCH(Table1[[#This Row],[Ticker]],Industries!$A$2:$A$150,0),0)</f>
        <v>Health Care Equipment and Services</v>
      </c>
      <c r="D1801" t="str">
        <f ca="1">OFFSET(Industries!E$1,MATCH(Table1[[#This Row],[Ticker]],Industries!$A$2:$A$150,0),0)</f>
        <v>Health Care Providers and Services</v>
      </c>
      <c r="E1801" t="s">
        <v>80</v>
      </c>
      <c r="F1801" t="str">
        <f ca="1">OFFSET(Industries!B$1,MATCH(Table1[[#This Row],[Ticker]],Industries!$A$2:$A$140,0),0)</f>
        <v>Large-Cap</v>
      </c>
      <c r="G1801" t="str">
        <f ca="1">OFFSET(Industries!F$1,MATCH(Table1[[#This Row],[Ticker]],Industries!$A$2:$A$140,0),0)</f>
        <v>BB</v>
      </c>
      <c r="H1801" t="s">
        <v>1434</v>
      </c>
      <c r="I1801" t="s">
        <v>1434</v>
      </c>
      <c r="J1801" s="2">
        <v>45372</v>
      </c>
      <c r="K1801" t="s">
        <v>21</v>
      </c>
      <c r="L1801" t="s">
        <v>3</v>
      </c>
      <c r="M1801" t="s">
        <v>1711</v>
      </c>
      <c r="N1801" s="1">
        <f>Table1[[#This Row],[Consideration Weight]]</f>
        <v>0.16</v>
      </c>
      <c r="O1801" t="s">
        <v>3</v>
      </c>
      <c r="P1801" s="1">
        <v>0.16</v>
      </c>
    </row>
    <row r="1802" spans="1:22" x14ac:dyDescent="0.3">
      <c r="A1802" t="s">
        <v>1049</v>
      </c>
      <c r="B1802" t="str">
        <f ca="1">OFFSET(Industries!C$1,MATCH(Table1[[#This Row],[Ticker]],Industries!$A$2:$A$150,0),0)</f>
        <v>Health Care</v>
      </c>
      <c r="C1802" t="str">
        <f ca="1">OFFSET(Industries!D$1,MATCH(Table1[[#This Row],[Ticker]],Industries!$A$2:$A$150,0),0)</f>
        <v>Health Care Equipment and Services</v>
      </c>
      <c r="D1802" t="str">
        <f ca="1">OFFSET(Industries!E$1,MATCH(Table1[[#This Row],[Ticker]],Industries!$A$2:$A$150,0),0)</f>
        <v>Health Care Providers and Services</v>
      </c>
      <c r="E1802" t="s">
        <v>80</v>
      </c>
      <c r="F1802" t="str">
        <f ca="1">OFFSET(Industries!B$1,MATCH(Table1[[#This Row],[Ticker]],Industries!$A$2:$A$140,0),0)</f>
        <v>Large-Cap</v>
      </c>
      <c r="G1802" t="str">
        <f ca="1">OFFSET(Industries!F$1,MATCH(Table1[[#This Row],[Ticker]],Industries!$A$2:$A$140,0),0)</f>
        <v>BB</v>
      </c>
      <c r="H1802" t="s">
        <v>1434</v>
      </c>
      <c r="I1802" t="s">
        <v>1434</v>
      </c>
      <c r="J1802" s="2">
        <v>45372</v>
      </c>
      <c r="K1802" t="s">
        <v>21</v>
      </c>
      <c r="L1802" t="s">
        <v>1708</v>
      </c>
      <c r="M1802" t="s">
        <v>1709</v>
      </c>
      <c r="N1802" s="1">
        <f>Table1[[#This Row],[Consideration Weight]]</f>
        <v>0.18</v>
      </c>
      <c r="O1802" t="s">
        <v>4</v>
      </c>
      <c r="P1802" s="1">
        <v>0.18</v>
      </c>
      <c r="Q1802" s="1" t="s">
        <v>1636</v>
      </c>
      <c r="R1802" t="s">
        <v>24</v>
      </c>
      <c r="S1802" t="s">
        <v>1089</v>
      </c>
      <c r="T1802" t="s">
        <v>1046</v>
      </c>
      <c r="U1802" s="1">
        <v>0.7</v>
      </c>
    </row>
    <row r="1803" spans="1:22" x14ac:dyDescent="0.3">
      <c r="A1803" t="s">
        <v>1049</v>
      </c>
      <c r="B1803" t="str">
        <f ca="1">OFFSET(Industries!C$1,MATCH(Table1[[#This Row],[Ticker]],Industries!$A$2:$A$150,0),0)</f>
        <v>Health Care</v>
      </c>
      <c r="C1803" t="str">
        <f ca="1">OFFSET(Industries!D$1,MATCH(Table1[[#This Row],[Ticker]],Industries!$A$2:$A$150,0),0)</f>
        <v>Health Care Equipment and Services</v>
      </c>
      <c r="D1803" t="str">
        <f ca="1">OFFSET(Industries!E$1,MATCH(Table1[[#This Row],[Ticker]],Industries!$A$2:$A$150,0),0)</f>
        <v>Health Care Providers and Services</v>
      </c>
      <c r="E1803" t="s">
        <v>80</v>
      </c>
      <c r="F1803" t="str">
        <f ca="1">OFFSET(Industries!B$1,MATCH(Table1[[#This Row],[Ticker]],Industries!$A$2:$A$140,0),0)</f>
        <v>Large-Cap</v>
      </c>
      <c r="G1803" t="str">
        <f ca="1">OFFSET(Industries!F$1,MATCH(Table1[[#This Row],[Ticker]],Industries!$A$2:$A$140,0),0)</f>
        <v>BB</v>
      </c>
      <c r="H1803" t="s">
        <v>1434</v>
      </c>
      <c r="I1803" t="s">
        <v>1434</v>
      </c>
      <c r="J1803" s="2">
        <v>45372</v>
      </c>
      <c r="K1803" t="s">
        <v>21</v>
      </c>
      <c r="L1803" t="s">
        <v>1708</v>
      </c>
      <c r="M1803" t="s">
        <v>1709</v>
      </c>
      <c r="N1803" s="1"/>
      <c r="O1803" t="s">
        <v>4</v>
      </c>
      <c r="P1803" s="1">
        <v>0.18</v>
      </c>
      <c r="Q1803" s="1" t="s">
        <v>1637</v>
      </c>
      <c r="R1803" t="s">
        <v>332</v>
      </c>
      <c r="S1803" t="s">
        <v>380</v>
      </c>
      <c r="T1803" t="s">
        <v>380</v>
      </c>
      <c r="U1803" s="1">
        <v>0.3</v>
      </c>
    </row>
    <row r="1804" spans="1:22" x14ac:dyDescent="0.3">
      <c r="A1804" t="s">
        <v>1049</v>
      </c>
      <c r="B1804" t="str">
        <f ca="1">OFFSET(Industries!C$1,MATCH(Table1[[#This Row],[Ticker]],Industries!$A$2:$A$150,0),0)</f>
        <v>Health Care</v>
      </c>
      <c r="C1804" t="str">
        <f ca="1">OFFSET(Industries!D$1,MATCH(Table1[[#This Row],[Ticker]],Industries!$A$2:$A$150,0),0)</f>
        <v>Health Care Equipment and Services</v>
      </c>
      <c r="D1804" t="str">
        <f ca="1">OFFSET(Industries!E$1,MATCH(Table1[[#This Row],[Ticker]],Industries!$A$2:$A$150,0),0)</f>
        <v>Health Care Providers and Services</v>
      </c>
      <c r="E1804" t="s">
        <v>80</v>
      </c>
      <c r="F1804" t="str">
        <f ca="1">OFFSET(Industries!B$1,MATCH(Table1[[#This Row],[Ticker]],Industries!$A$2:$A$140,0),0)</f>
        <v>Large-Cap</v>
      </c>
      <c r="G1804" t="str">
        <f ca="1">OFFSET(Industries!F$1,MATCH(Table1[[#This Row],[Ticker]],Industries!$A$2:$A$140,0),0)</f>
        <v>BB</v>
      </c>
      <c r="H1804" t="s">
        <v>1434</v>
      </c>
      <c r="I1804" t="s">
        <v>1434</v>
      </c>
      <c r="J1804" s="2">
        <v>45372</v>
      </c>
      <c r="K1804" t="s">
        <v>21</v>
      </c>
      <c r="L1804" t="s">
        <v>1710</v>
      </c>
      <c r="M1804" t="s">
        <v>1709</v>
      </c>
      <c r="N1804" s="1">
        <f>Table1[[#This Row],[Consideration Weight]]</f>
        <v>0.3795</v>
      </c>
      <c r="O1804" t="s">
        <v>476</v>
      </c>
      <c r="P1804" s="1">
        <f>0.575*0.66</f>
        <v>0.3795</v>
      </c>
      <c r="Q1804" s="1" t="s">
        <v>1636</v>
      </c>
      <c r="R1804" t="s">
        <v>24</v>
      </c>
      <c r="S1804" t="s">
        <v>1089</v>
      </c>
      <c r="T1804" t="s">
        <v>86</v>
      </c>
      <c r="U1804" s="1">
        <v>1</v>
      </c>
    </row>
    <row r="1805" spans="1:22" x14ac:dyDescent="0.3">
      <c r="A1805" t="s">
        <v>1049</v>
      </c>
      <c r="B1805" t="str">
        <f ca="1">OFFSET(Industries!C$1,MATCH(Table1[[#This Row],[Ticker]],Industries!$A$2:$A$150,0),0)</f>
        <v>Health Care</v>
      </c>
      <c r="C1805" t="str">
        <f ca="1">OFFSET(Industries!D$1,MATCH(Table1[[#This Row],[Ticker]],Industries!$A$2:$A$150,0),0)</f>
        <v>Health Care Equipment and Services</v>
      </c>
      <c r="D1805" t="str">
        <f ca="1">OFFSET(Industries!E$1,MATCH(Table1[[#This Row],[Ticker]],Industries!$A$2:$A$150,0),0)</f>
        <v>Health Care Providers and Services</v>
      </c>
      <c r="E1805" t="s">
        <v>80</v>
      </c>
      <c r="F1805" t="str">
        <f ca="1">OFFSET(Industries!B$1,MATCH(Table1[[#This Row],[Ticker]],Industries!$A$2:$A$140,0),0)</f>
        <v>Large-Cap</v>
      </c>
      <c r="G1805" t="str">
        <f ca="1">OFFSET(Industries!F$1,MATCH(Table1[[#This Row],[Ticker]],Industries!$A$2:$A$140,0),0)</f>
        <v>BB</v>
      </c>
      <c r="H1805" t="s">
        <v>1434</v>
      </c>
      <c r="I1805" t="s">
        <v>1434</v>
      </c>
      <c r="J1805" s="2">
        <v>45372</v>
      </c>
      <c r="K1805" t="s">
        <v>21</v>
      </c>
      <c r="L1805" t="s">
        <v>1710</v>
      </c>
      <c r="M1805" t="s">
        <v>1711</v>
      </c>
      <c r="N1805" s="1">
        <f>Table1[[#This Row],[Consideration Weight]]</f>
        <v>0.28050000000000003</v>
      </c>
      <c r="O1805" t="s">
        <v>194</v>
      </c>
      <c r="P1805" s="1">
        <f>0.425*0.66</f>
        <v>0.28050000000000003</v>
      </c>
    </row>
    <row r="1806" spans="1:22" x14ac:dyDescent="0.3">
      <c r="A1806" t="s">
        <v>1048</v>
      </c>
      <c r="B1806" t="str">
        <f ca="1">OFFSET(Industries!C$1,MATCH(Table1[[#This Row],[Ticker]],Industries!$A$2:$A$150,0),0)</f>
        <v>Communication Services</v>
      </c>
      <c r="C1806" t="str">
        <f ca="1">OFFSET(Industries!D$1,MATCH(Table1[[#This Row],[Ticker]],Industries!$A$2:$A$150,0),0)</f>
        <v>Media and Entertainment</v>
      </c>
      <c r="D1806" t="str">
        <f ca="1">OFFSET(Industries!E$1,MATCH(Table1[[#This Row],[Ticker]],Industries!$A$2:$A$150,0),0)</f>
        <v>Media</v>
      </c>
      <c r="E1806" t="s">
        <v>233</v>
      </c>
      <c r="F1806" t="str">
        <f ca="1">OFFSET(Industries!B$1,MATCH(Table1[[#This Row],[Ticker]],Industries!$A$2:$A$140,0),0)</f>
        <v>Large-Cap</v>
      </c>
      <c r="G1806" t="str">
        <f ca="1">OFFSET(Industries!F$1,MATCH(Table1[[#This Row],[Ticker]],Industries!$A$2:$A$140,0),0)</f>
        <v>BB+</v>
      </c>
      <c r="H1806" t="s">
        <v>1434</v>
      </c>
      <c r="I1806" t="s">
        <v>1434</v>
      </c>
      <c r="J1806" s="2">
        <v>45365</v>
      </c>
      <c r="K1806" t="s">
        <v>2</v>
      </c>
      <c r="L1806" t="s">
        <v>3</v>
      </c>
      <c r="M1806" t="s">
        <v>1711</v>
      </c>
      <c r="N1806" s="1">
        <f>Table1[[#This Row],[Consideration Weight]]</f>
        <v>4.7E-2</v>
      </c>
      <c r="O1806" t="s">
        <v>3</v>
      </c>
      <c r="P1806" s="1">
        <v>4.7E-2</v>
      </c>
      <c r="V1806" t="s">
        <v>1051</v>
      </c>
    </row>
    <row r="1807" spans="1:22" x14ac:dyDescent="0.3">
      <c r="A1807" t="s">
        <v>1048</v>
      </c>
      <c r="B1807" t="str">
        <f ca="1">OFFSET(Industries!C$1,MATCH(Table1[[#This Row],[Ticker]],Industries!$A$2:$A$150,0),0)</f>
        <v>Communication Services</v>
      </c>
      <c r="C1807" t="str">
        <f ca="1">OFFSET(Industries!D$1,MATCH(Table1[[#This Row],[Ticker]],Industries!$A$2:$A$150,0),0)</f>
        <v>Media and Entertainment</v>
      </c>
      <c r="D1807" t="str">
        <f ca="1">OFFSET(Industries!E$1,MATCH(Table1[[#This Row],[Ticker]],Industries!$A$2:$A$150,0),0)</f>
        <v>Media</v>
      </c>
      <c r="E1807" t="s">
        <v>233</v>
      </c>
      <c r="F1807" t="str">
        <f ca="1">OFFSET(Industries!B$1,MATCH(Table1[[#This Row],[Ticker]],Industries!$A$2:$A$140,0),0)</f>
        <v>Large-Cap</v>
      </c>
      <c r="G1807" t="str">
        <f ca="1">OFFSET(Industries!F$1,MATCH(Table1[[#This Row],[Ticker]],Industries!$A$2:$A$140,0),0)</f>
        <v>BB+</v>
      </c>
      <c r="H1807" t="s">
        <v>1434</v>
      </c>
      <c r="I1807" t="s">
        <v>1434</v>
      </c>
      <c r="J1807" s="2">
        <v>45365</v>
      </c>
      <c r="K1807" t="s">
        <v>2</v>
      </c>
      <c r="L1807" t="s">
        <v>1708</v>
      </c>
      <c r="M1807" t="s">
        <v>1709</v>
      </c>
      <c r="N1807" s="1">
        <f>Table1[[#This Row],[Consideration Weight]]</f>
        <v>0.11600000000000001</v>
      </c>
      <c r="O1807" t="s">
        <v>4</v>
      </c>
      <c r="P1807" s="1">
        <v>0.11600000000000001</v>
      </c>
      <c r="Q1807" s="1" t="s">
        <v>1636</v>
      </c>
      <c r="R1807" t="s">
        <v>24</v>
      </c>
      <c r="S1807" t="s">
        <v>1104</v>
      </c>
      <c r="T1807" t="s">
        <v>153</v>
      </c>
      <c r="U1807" s="1">
        <v>0.6</v>
      </c>
      <c r="V1807" t="s">
        <v>1052</v>
      </c>
    </row>
    <row r="1808" spans="1:22" x14ac:dyDescent="0.3">
      <c r="A1808" t="s">
        <v>1048</v>
      </c>
      <c r="B1808" t="str">
        <f ca="1">OFFSET(Industries!C$1,MATCH(Table1[[#This Row],[Ticker]],Industries!$A$2:$A$150,0),0)</f>
        <v>Communication Services</v>
      </c>
      <c r="C1808" t="str">
        <f ca="1">OFFSET(Industries!D$1,MATCH(Table1[[#This Row],[Ticker]],Industries!$A$2:$A$150,0),0)</f>
        <v>Media and Entertainment</v>
      </c>
      <c r="D1808" t="str">
        <f ca="1">OFFSET(Industries!E$1,MATCH(Table1[[#This Row],[Ticker]],Industries!$A$2:$A$150,0),0)</f>
        <v>Media</v>
      </c>
      <c r="E1808" t="s">
        <v>233</v>
      </c>
      <c r="F1808" t="str">
        <f ca="1">OFFSET(Industries!B$1,MATCH(Table1[[#This Row],[Ticker]],Industries!$A$2:$A$140,0),0)</f>
        <v>Large-Cap</v>
      </c>
      <c r="G1808" t="str">
        <f ca="1">OFFSET(Industries!F$1,MATCH(Table1[[#This Row],[Ticker]],Industries!$A$2:$A$140,0),0)</f>
        <v>BB+</v>
      </c>
      <c r="H1808" t="s">
        <v>1434</v>
      </c>
      <c r="I1808" t="s">
        <v>1434</v>
      </c>
      <c r="J1808" s="2">
        <v>45365</v>
      </c>
      <c r="K1808" t="s">
        <v>2</v>
      </c>
      <c r="L1808" t="s">
        <v>1708</v>
      </c>
      <c r="M1808" t="s">
        <v>1709</v>
      </c>
      <c r="N1808" s="1"/>
      <c r="O1808" t="s">
        <v>4</v>
      </c>
      <c r="P1808" s="1">
        <v>0.11600000000000001</v>
      </c>
      <c r="Q1808" s="1" t="s">
        <v>1636</v>
      </c>
      <c r="R1808" t="s">
        <v>23</v>
      </c>
      <c r="S1808" t="s">
        <v>1083</v>
      </c>
      <c r="T1808" t="s">
        <v>7</v>
      </c>
      <c r="U1808" s="1">
        <v>0.2</v>
      </c>
      <c r="V1808" t="s">
        <v>1690</v>
      </c>
    </row>
    <row r="1809" spans="1:22" x14ac:dyDescent="0.3">
      <c r="A1809" t="s">
        <v>1048</v>
      </c>
      <c r="B1809" t="str">
        <f ca="1">OFFSET(Industries!C$1,MATCH(Table1[[#This Row],[Ticker]],Industries!$A$2:$A$150,0),0)</f>
        <v>Communication Services</v>
      </c>
      <c r="C1809" t="str">
        <f ca="1">OFFSET(Industries!D$1,MATCH(Table1[[#This Row],[Ticker]],Industries!$A$2:$A$150,0),0)</f>
        <v>Media and Entertainment</v>
      </c>
      <c r="D1809" t="str">
        <f ca="1">OFFSET(Industries!E$1,MATCH(Table1[[#This Row],[Ticker]],Industries!$A$2:$A$150,0),0)</f>
        <v>Media</v>
      </c>
      <c r="E1809" t="s">
        <v>233</v>
      </c>
      <c r="F1809" t="str">
        <f ca="1">OFFSET(Industries!B$1,MATCH(Table1[[#This Row],[Ticker]],Industries!$A$2:$A$140,0),0)</f>
        <v>Large-Cap</v>
      </c>
      <c r="G1809" t="str">
        <f ca="1">OFFSET(Industries!F$1,MATCH(Table1[[#This Row],[Ticker]],Industries!$A$2:$A$140,0),0)</f>
        <v>BB+</v>
      </c>
      <c r="H1809" t="s">
        <v>1434</v>
      </c>
      <c r="I1809" t="s">
        <v>1434</v>
      </c>
      <c r="J1809" s="2">
        <v>45365</v>
      </c>
      <c r="K1809" t="s">
        <v>2</v>
      </c>
      <c r="L1809" t="s">
        <v>1708</v>
      </c>
      <c r="M1809" t="s">
        <v>1709</v>
      </c>
      <c r="N1809" s="1"/>
      <c r="O1809" t="s">
        <v>4</v>
      </c>
      <c r="P1809" s="1">
        <v>0.11600000000000001</v>
      </c>
      <c r="Q1809" s="1" t="s">
        <v>1637</v>
      </c>
      <c r="R1809" t="s">
        <v>25</v>
      </c>
      <c r="S1809" t="s">
        <v>1086</v>
      </c>
      <c r="T1809" t="s">
        <v>1691</v>
      </c>
      <c r="U1809" s="1">
        <v>0.2</v>
      </c>
      <c r="V1809" t="s">
        <v>1054</v>
      </c>
    </row>
    <row r="1810" spans="1:22" x14ac:dyDescent="0.3">
      <c r="A1810" t="s">
        <v>1048</v>
      </c>
      <c r="B1810" t="str">
        <f ca="1">OFFSET(Industries!C$1,MATCH(Table1[[#This Row],[Ticker]],Industries!$A$2:$A$150,0),0)</f>
        <v>Communication Services</v>
      </c>
      <c r="C1810" t="str">
        <f ca="1">OFFSET(Industries!D$1,MATCH(Table1[[#This Row],[Ticker]],Industries!$A$2:$A$150,0),0)</f>
        <v>Media and Entertainment</v>
      </c>
      <c r="D1810" t="str">
        <f ca="1">OFFSET(Industries!E$1,MATCH(Table1[[#This Row],[Ticker]],Industries!$A$2:$A$150,0),0)</f>
        <v>Media</v>
      </c>
      <c r="E1810" t="s">
        <v>233</v>
      </c>
      <c r="F1810" t="str">
        <f ca="1">OFFSET(Industries!B$1,MATCH(Table1[[#This Row],[Ticker]],Industries!$A$2:$A$140,0),0)</f>
        <v>Large-Cap</v>
      </c>
      <c r="G1810" t="str">
        <f ca="1">OFFSET(Industries!F$1,MATCH(Table1[[#This Row],[Ticker]],Industries!$A$2:$A$140,0),0)</f>
        <v>BB+</v>
      </c>
      <c r="H1810" t="s">
        <v>1434</v>
      </c>
      <c r="I1810" t="s">
        <v>1434</v>
      </c>
      <c r="J1810" s="2">
        <v>45365</v>
      </c>
      <c r="K1810" t="s">
        <v>2</v>
      </c>
      <c r="L1810" t="s">
        <v>1708</v>
      </c>
      <c r="M1810" t="s">
        <v>1709</v>
      </c>
      <c r="N1810" s="1"/>
      <c r="O1810" t="s">
        <v>4</v>
      </c>
      <c r="P1810" s="1">
        <v>0.11600000000000001</v>
      </c>
      <c r="R1810" t="s">
        <v>28</v>
      </c>
      <c r="S1810" t="s">
        <v>1110</v>
      </c>
      <c r="T1810" t="s">
        <v>172</v>
      </c>
      <c r="V1810" t="s">
        <v>1053</v>
      </c>
    </row>
    <row r="1811" spans="1:22" x14ac:dyDescent="0.3">
      <c r="A1811" t="s">
        <v>1048</v>
      </c>
      <c r="B1811" t="str">
        <f ca="1">OFFSET(Industries!C$1,MATCH(Table1[[#This Row],[Ticker]],Industries!$A$2:$A$150,0),0)</f>
        <v>Communication Services</v>
      </c>
      <c r="C1811" t="str">
        <f ca="1">OFFSET(Industries!D$1,MATCH(Table1[[#This Row],[Ticker]],Industries!$A$2:$A$150,0),0)</f>
        <v>Media and Entertainment</v>
      </c>
      <c r="D1811" t="str">
        <f ca="1">OFFSET(Industries!E$1,MATCH(Table1[[#This Row],[Ticker]],Industries!$A$2:$A$150,0),0)</f>
        <v>Media</v>
      </c>
      <c r="E1811" t="s">
        <v>233</v>
      </c>
      <c r="F1811" t="str">
        <f ca="1">OFFSET(Industries!B$1,MATCH(Table1[[#This Row],[Ticker]],Industries!$A$2:$A$140,0),0)</f>
        <v>Large-Cap</v>
      </c>
      <c r="G1811" t="str">
        <f ca="1">OFFSET(Industries!F$1,MATCH(Table1[[#This Row],[Ticker]],Industries!$A$2:$A$140,0),0)</f>
        <v>BB+</v>
      </c>
      <c r="H1811" t="s">
        <v>1434</v>
      </c>
      <c r="I1811" t="s">
        <v>1434</v>
      </c>
      <c r="J1811" s="2">
        <v>45365</v>
      </c>
      <c r="K1811" t="s">
        <v>2</v>
      </c>
      <c r="L1811" t="s">
        <v>1710</v>
      </c>
      <c r="M1811" t="s">
        <v>1709</v>
      </c>
      <c r="N1811" s="1">
        <f>Table1[[#This Row],[Consideration Weight]]</f>
        <v>0.33500000000000002</v>
      </c>
      <c r="O1811" t="s">
        <v>462</v>
      </c>
      <c r="P1811" s="1">
        <v>0.33500000000000002</v>
      </c>
      <c r="Q1811" s="1" t="s">
        <v>1646</v>
      </c>
      <c r="R1811" t="s">
        <v>35</v>
      </c>
      <c r="S1811" t="s">
        <v>491</v>
      </c>
      <c r="T1811" t="s">
        <v>491</v>
      </c>
      <c r="U1811" s="1">
        <v>1</v>
      </c>
      <c r="V1811" t="s">
        <v>1730</v>
      </c>
    </row>
    <row r="1812" spans="1:22" x14ac:dyDescent="0.3">
      <c r="A1812" t="s">
        <v>1048</v>
      </c>
      <c r="B1812" t="str">
        <f ca="1">OFFSET(Industries!C$1,MATCH(Table1[[#This Row],[Ticker]],Industries!$A$2:$A$150,0),0)</f>
        <v>Communication Services</v>
      </c>
      <c r="C1812" t="str">
        <f ca="1">OFFSET(Industries!D$1,MATCH(Table1[[#This Row],[Ticker]],Industries!$A$2:$A$150,0),0)</f>
        <v>Media and Entertainment</v>
      </c>
      <c r="D1812" t="str">
        <f ca="1">OFFSET(Industries!E$1,MATCH(Table1[[#This Row],[Ticker]],Industries!$A$2:$A$150,0),0)</f>
        <v>Media</v>
      </c>
      <c r="E1812" t="s">
        <v>233</v>
      </c>
      <c r="F1812" t="str">
        <f ca="1">OFFSET(Industries!B$1,MATCH(Table1[[#This Row],[Ticker]],Industries!$A$2:$A$140,0),0)</f>
        <v>Large-Cap</v>
      </c>
      <c r="G1812" t="str">
        <f ca="1">OFFSET(Industries!F$1,MATCH(Table1[[#This Row],[Ticker]],Industries!$A$2:$A$140,0),0)</f>
        <v>BB+</v>
      </c>
      <c r="H1812" t="s">
        <v>1434</v>
      </c>
      <c r="I1812" t="s">
        <v>1434</v>
      </c>
      <c r="J1812" s="2">
        <v>45365</v>
      </c>
      <c r="K1812" t="s">
        <v>2</v>
      </c>
      <c r="L1812" t="s">
        <v>1710</v>
      </c>
      <c r="M1812" t="s">
        <v>1709</v>
      </c>
      <c r="N1812" s="1">
        <f>Table1[[#This Row],[Consideration Weight]]</f>
        <v>3.6999999999999998E-2</v>
      </c>
      <c r="O1812" t="s">
        <v>476</v>
      </c>
      <c r="P1812" s="1">
        <v>3.6999999999999998E-2</v>
      </c>
    </row>
    <row r="1813" spans="1:22" x14ac:dyDescent="0.3">
      <c r="A1813" t="s">
        <v>1048</v>
      </c>
      <c r="B1813" t="str">
        <f ca="1">OFFSET(Industries!C$1,MATCH(Table1[[#This Row],[Ticker]],Industries!$A$2:$A$150,0),0)</f>
        <v>Communication Services</v>
      </c>
      <c r="C1813" t="str">
        <f ca="1">OFFSET(Industries!D$1,MATCH(Table1[[#This Row],[Ticker]],Industries!$A$2:$A$150,0),0)</f>
        <v>Media and Entertainment</v>
      </c>
      <c r="D1813" t="str">
        <f ca="1">OFFSET(Industries!E$1,MATCH(Table1[[#This Row],[Ticker]],Industries!$A$2:$A$150,0),0)</f>
        <v>Media</v>
      </c>
      <c r="E1813" t="s">
        <v>233</v>
      </c>
      <c r="F1813" t="str">
        <f ca="1">OFFSET(Industries!B$1,MATCH(Table1[[#This Row],[Ticker]],Industries!$A$2:$A$140,0),0)</f>
        <v>Large-Cap</v>
      </c>
      <c r="G1813" t="str">
        <f ca="1">OFFSET(Industries!F$1,MATCH(Table1[[#This Row],[Ticker]],Industries!$A$2:$A$140,0),0)</f>
        <v>BB+</v>
      </c>
      <c r="H1813" t="s">
        <v>1434</v>
      </c>
      <c r="I1813" t="s">
        <v>1434</v>
      </c>
      <c r="J1813" s="2">
        <v>45365</v>
      </c>
      <c r="K1813" t="s">
        <v>2</v>
      </c>
      <c r="L1813" t="s">
        <v>1710</v>
      </c>
      <c r="M1813" t="s">
        <v>1711</v>
      </c>
      <c r="N1813" s="1">
        <f>Table1[[#This Row],[Consideration Weight]]</f>
        <v>0.46500000000000002</v>
      </c>
      <c r="O1813" t="s">
        <v>87</v>
      </c>
      <c r="P1813" s="1">
        <v>0.46500000000000002</v>
      </c>
    </row>
    <row r="1814" spans="1:22" x14ac:dyDescent="0.3">
      <c r="A1814" t="s">
        <v>1048</v>
      </c>
      <c r="B1814" t="str">
        <f ca="1">OFFSET(Industries!C$1,MATCH(Table1[[#This Row],[Ticker]],Industries!$A$2:$A$150,0),0)</f>
        <v>Communication Services</v>
      </c>
      <c r="C1814" t="str">
        <f ca="1">OFFSET(Industries!D$1,MATCH(Table1[[#This Row],[Ticker]],Industries!$A$2:$A$150,0),0)</f>
        <v>Media and Entertainment</v>
      </c>
      <c r="D1814" t="str">
        <f ca="1">OFFSET(Industries!E$1,MATCH(Table1[[#This Row],[Ticker]],Industries!$A$2:$A$150,0),0)</f>
        <v>Media</v>
      </c>
      <c r="E1814" t="s">
        <v>233</v>
      </c>
      <c r="F1814" t="str">
        <f ca="1">OFFSET(Industries!B$1,MATCH(Table1[[#This Row],[Ticker]],Industries!$A$2:$A$140,0),0)</f>
        <v>Large-Cap</v>
      </c>
      <c r="G1814" t="str">
        <f ca="1">OFFSET(Industries!F$1,MATCH(Table1[[#This Row],[Ticker]],Industries!$A$2:$A$140,0),0)</f>
        <v>BB+</v>
      </c>
      <c r="H1814" t="s">
        <v>1434</v>
      </c>
      <c r="I1814" t="s">
        <v>1434</v>
      </c>
      <c r="J1814" s="2">
        <v>45365</v>
      </c>
      <c r="K1814" t="s">
        <v>21</v>
      </c>
      <c r="L1814" t="s">
        <v>3</v>
      </c>
      <c r="M1814" t="s">
        <v>1711</v>
      </c>
      <c r="N1814" s="1">
        <f>Table1[[#This Row],[Consideration Weight]]</f>
        <v>9.5000000000000001E-2</v>
      </c>
      <c r="O1814" t="s">
        <v>3</v>
      </c>
      <c r="P1814" s="1">
        <v>9.5000000000000001E-2</v>
      </c>
    </row>
    <row r="1815" spans="1:22" x14ac:dyDescent="0.3">
      <c r="A1815" t="s">
        <v>1048</v>
      </c>
      <c r="B1815" t="str">
        <f ca="1">OFFSET(Industries!C$1,MATCH(Table1[[#This Row],[Ticker]],Industries!$A$2:$A$150,0),0)</f>
        <v>Communication Services</v>
      </c>
      <c r="C1815" t="str">
        <f ca="1">OFFSET(Industries!D$1,MATCH(Table1[[#This Row],[Ticker]],Industries!$A$2:$A$150,0),0)</f>
        <v>Media and Entertainment</v>
      </c>
      <c r="D1815" t="str">
        <f ca="1">OFFSET(Industries!E$1,MATCH(Table1[[#This Row],[Ticker]],Industries!$A$2:$A$150,0),0)</f>
        <v>Media</v>
      </c>
      <c r="E1815" t="s">
        <v>233</v>
      </c>
      <c r="F1815" t="str">
        <f ca="1">OFFSET(Industries!B$1,MATCH(Table1[[#This Row],[Ticker]],Industries!$A$2:$A$140,0),0)</f>
        <v>Large-Cap</v>
      </c>
      <c r="G1815" t="str">
        <f ca="1">OFFSET(Industries!F$1,MATCH(Table1[[#This Row],[Ticker]],Industries!$A$2:$A$140,0),0)</f>
        <v>BB+</v>
      </c>
      <c r="H1815" t="s">
        <v>1434</v>
      </c>
      <c r="I1815" t="s">
        <v>1434</v>
      </c>
      <c r="J1815" s="2">
        <v>45365</v>
      </c>
      <c r="K1815" t="s">
        <v>21</v>
      </c>
      <c r="L1815" t="s">
        <v>1708</v>
      </c>
      <c r="M1815" t="s">
        <v>1709</v>
      </c>
      <c r="N1815" s="1">
        <f>Table1[[#This Row],[Consideration Weight]]</f>
        <v>0.125</v>
      </c>
      <c r="O1815" t="s">
        <v>4</v>
      </c>
      <c r="P1815" s="1">
        <v>0.125</v>
      </c>
      <c r="Q1815" s="1" t="s">
        <v>1636</v>
      </c>
      <c r="R1815" t="s">
        <v>24</v>
      </c>
      <c r="S1815" t="s">
        <v>1104</v>
      </c>
      <c r="T1815" t="s">
        <v>153</v>
      </c>
      <c r="U1815" s="1">
        <v>0.6</v>
      </c>
    </row>
    <row r="1816" spans="1:22" x14ac:dyDescent="0.3">
      <c r="A1816" t="s">
        <v>1048</v>
      </c>
      <c r="B1816" t="str">
        <f ca="1">OFFSET(Industries!C$1,MATCH(Table1[[#This Row],[Ticker]],Industries!$A$2:$A$150,0),0)</f>
        <v>Communication Services</v>
      </c>
      <c r="C1816" t="str">
        <f ca="1">OFFSET(Industries!D$1,MATCH(Table1[[#This Row],[Ticker]],Industries!$A$2:$A$150,0),0)</f>
        <v>Media and Entertainment</v>
      </c>
      <c r="D1816" t="str">
        <f ca="1">OFFSET(Industries!E$1,MATCH(Table1[[#This Row],[Ticker]],Industries!$A$2:$A$150,0),0)</f>
        <v>Media</v>
      </c>
      <c r="E1816" t="s">
        <v>233</v>
      </c>
      <c r="F1816" t="str">
        <f ca="1">OFFSET(Industries!B$1,MATCH(Table1[[#This Row],[Ticker]],Industries!$A$2:$A$140,0),0)</f>
        <v>Large-Cap</v>
      </c>
      <c r="G1816" t="str">
        <f ca="1">OFFSET(Industries!F$1,MATCH(Table1[[#This Row],[Ticker]],Industries!$A$2:$A$140,0),0)</f>
        <v>BB+</v>
      </c>
      <c r="H1816" t="s">
        <v>1434</v>
      </c>
      <c r="I1816" t="s">
        <v>1434</v>
      </c>
      <c r="J1816" s="2">
        <v>45365</v>
      </c>
      <c r="K1816" t="s">
        <v>21</v>
      </c>
      <c r="L1816" t="s">
        <v>1708</v>
      </c>
      <c r="M1816" t="s">
        <v>1709</v>
      </c>
      <c r="N1816" s="1"/>
      <c r="O1816" t="s">
        <v>4</v>
      </c>
      <c r="P1816" s="1">
        <v>0.125</v>
      </c>
      <c r="Q1816" s="1" t="s">
        <v>1636</v>
      </c>
      <c r="R1816" t="s">
        <v>23</v>
      </c>
      <c r="S1816" t="s">
        <v>1083</v>
      </c>
      <c r="T1816" t="s">
        <v>7</v>
      </c>
      <c r="U1816" s="1">
        <v>0.2</v>
      </c>
    </row>
    <row r="1817" spans="1:22" x14ac:dyDescent="0.3">
      <c r="A1817" t="s">
        <v>1048</v>
      </c>
      <c r="B1817" t="str">
        <f ca="1">OFFSET(Industries!C$1,MATCH(Table1[[#This Row],[Ticker]],Industries!$A$2:$A$150,0),0)</f>
        <v>Communication Services</v>
      </c>
      <c r="C1817" t="str">
        <f ca="1">OFFSET(Industries!D$1,MATCH(Table1[[#This Row],[Ticker]],Industries!$A$2:$A$150,0),0)</f>
        <v>Media and Entertainment</v>
      </c>
      <c r="D1817" t="str">
        <f ca="1">OFFSET(Industries!E$1,MATCH(Table1[[#This Row],[Ticker]],Industries!$A$2:$A$150,0),0)</f>
        <v>Media</v>
      </c>
      <c r="E1817" t="s">
        <v>233</v>
      </c>
      <c r="F1817" t="str">
        <f ca="1">OFFSET(Industries!B$1,MATCH(Table1[[#This Row],[Ticker]],Industries!$A$2:$A$140,0),0)</f>
        <v>Large-Cap</v>
      </c>
      <c r="G1817" t="str">
        <f ca="1">OFFSET(Industries!F$1,MATCH(Table1[[#This Row],[Ticker]],Industries!$A$2:$A$140,0),0)</f>
        <v>BB+</v>
      </c>
      <c r="H1817" t="s">
        <v>1434</v>
      </c>
      <c r="I1817" t="s">
        <v>1434</v>
      </c>
      <c r="J1817" s="2">
        <v>45365</v>
      </c>
      <c r="K1817" t="s">
        <v>21</v>
      </c>
      <c r="L1817" t="s">
        <v>1708</v>
      </c>
      <c r="M1817" t="s">
        <v>1709</v>
      </c>
      <c r="N1817" s="1"/>
      <c r="O1817" t="s">
        <v>4</v>
      </c>
      <c r="P1817" s="1">
        <v>0.125</v>
      </c>
      <c r="Q1817" s="1" t="s">
        <v>1636</v>
      </c>
      <c r="R1817" t="s">
        <v>25</v>
      </c>
      <c r="S1817" t="s">
        <v>1086</v>
      </c>
      <c r="T1817" t="s">
        <v>1050</v>
      </c>
      <c r="U1817" s="1">
        <v>0.2</v>
      </c>
    </row>
    <row r="1818" spans="1:22" x14ac:dyDescent="0.3">
      <c r="A1818" t="s">
        <v>1048</v>
      </c>
      <c r="B1818" t="str">
        <f ca="1">OFFSET(Industries!C$1,MATCH(Table1[[#This Row],[Ticker]],Industries!$A$2:$A$150,0),0)</f>
        <v>Communication Services</v>
      </c>
      <c r="C1818" t="str">
        <f ca="1">OFFSET(Industries!D$1,MATCH(Table1[[#This Row],[Ticker]],Industries!$A$2:$A$150,0),0)</f>
        <v>Media and Entertainment</v>
      </c>
      <c r="D1818" t="str">
        <f ca="1">OFFSET(Industries!E$1,MATCH(Table1[[#This Row],[Ticker]],Industries!$A$2:$A$150,0),0)</f>
        <v>Media</v>
      </c>
      <c r="E1818" t="s">
        <v>233</v>
      </c>
      <c r="F1818" t="str">
        <f ca="1">OFFSET(Industries!B$1,MATCH(Table1[[#This Row],[Ticker]],Industries!$A$2:$A$140,0),0)</f>
        <v>Large-Cap</v>
      </c>
      <c r="G1818" t="str">
        <f ca="1">OFFSET(Industries!F$1,MATCH(Table1[[#This Row],[Ticker]],Industries!$A$2:$A$140,0),0)</f>
        <v>BB+</v>
      </c>
      <c r="H1818" t="s">
        <v>1434</v>
      </c>
      <c r="I1818" t="s">
        <v>1434</v>
      </c>
      <c r="J1818" s="2">
        <v>45365</v>
      </c>
      <c r="K1818" t="s">
        <v>21</v>
      </c>
      <c r="L1818" t="s">
        <v>1708</v>
      </c>
      <c r="M1818" t="s">
        <v>1709</v>
      </c>
      <c r="N1818" s="1"/>
      <c r="O1818" t="s">
        <v>4</v>
      </c>
      <c r="P1818" s="1">
        <v>0.125</v>
      </c>
      <c r="R1818" t="s">
        <v>28</v>
      </c>
      <c r="S1818" t="s">
        <v>1110</v>
      </c>
      <c r="T1818" t="s">
        <v>172</v>
      </c>
    </row>
    <row r="1819" spans="1:22" x14ac:dyDescent="0.3">
      <c r="A1819" t="s">
        <v>1048</v>
      </c>
      <c r="B1819" t="str">
        <f ca="1">OFFSET(Industries!C$1,MATCH(Table1[[#This Row],[Ticker]],Industries!$A$2:$A$150,0),0)</f>
        <v>Communication Services</v>
      </c>
      <c r="C1819" t="str">
        <f ca="1">OFFSET(Industries!D$1,MATCH(Table1[[#This Row],[Ticker]],Industries!$A$2:$A$150,0),0)</f>
        <v>Media and Entertainment</v>
      </c>
      <c r="D1819" t="str">
        <f ca="1">OFFSET(Industries!E$1,MATCH(Table1[[#This Row],[Ticker]],Industries!$A$2:$A$150,0),0)</f>
        <v>Media</v>
      </c>
      <c r="E1819" t="s">
        <v>233</v>
      </c>
      <c r="F1819" t="str">
        <f ca="1">OFFSET(Industries!B$1,MATCH(Table1[[#This Row],[Ticker]],Industries!$A$2:$A$140,0),0)</f>
        <v>Large-Cap</v>
      </c>
      <c r="G1819" t="str">
        <f ca="1">OFFSET(Industries!F$1,MATCH(Table1[[#This Row],[Ticker]],Industries!$A$2:$A$140,0),0)</f>
        <v>BB+</v>
      </c>
      <c r="H1819" t="s">
        <v>1434</v>
      </c>
      <c r="I1819" t="s">
        <v>1434</v>
      </c>
      <c r="J1819" s="2">
        <v>45365</v>
      </c>
      <c r="K1819" t="s">
        <v>21</v>
      </c>
      <c r="L1819" t="s">
        <v>1710</v>
      </c>
      <c r="M1819" t="s">
        <v>1709</v>
      </c>
      <c r="N1819" s="1">
        <f>Table1[[#This Row],[Consideration Weight]]</f>
        <v>0.312</v>
      </c>
      <c r="O1819" t="s">
        <v>462</v>
      </c>
      <c r="P1819" s="1">
        <v>0.312</v>
      </c>
      <c r="Q1819" s="1" t="s">
        <v>1646</v>
      </c>
      <c r="R1819" t="s">
        <v>35</v>
      </c>
      <c r="S1819" t="s">
        <v>491</v>
      </c>
      <c r="T1819" t="s">
        <v>491</v>
      </c>
      <c r="V1819" t="s">
        <v>1730</v>
      </c>
    </row>
    <row r="1820" spans="1:22" x14ac:dyDescent="0.3">
      <c r="A1820" t="s">
        <v>1048</v>
      </c>
      <c r="B1820" t="str">
        <f ca="1">OFFSET(Industries!C$1,MATCH(Table1[[#This Row],[Ticker]],Industries!$A$2:$A$150,0),0)</f>
        <v>Communication Services</v>
      </c>
      <c r="C1820" t="str">
        <f ca="1">OFFSET(Industries!D$1,MATCH(Table1[[#This Row],[Ticker]],Industries!$A$2:$A$150,0),0)</f>
        <v>Media and Entertainment</v>
      </c>
      <c r="D1820" t="str">
        <f ca="1">OFFSET(Industries!E$1,MATCH(Table1[[#This Row],[Ticker]],Industries!$A$2:$A$150,0),0)</f>
        <v>Media</v>
      </c>
      <c r="E1820" t="s">
        <v>233</v>
      </c>
      <c r="F1820" t="str">
        <f ca="1">OFFSET(Industries!B$1,MATCH(Table1[[#This Row],[Ticker]],Industries!$A$2:$A$140,0),0)</f>
        <v>Large-Cap</v>
      </c>
      <c r="G1820" t="str">
        <f ca="1">OFFSET(Industries!F$1,MATCH(Table1[[#This Row],[Ticker]],Industries!$A$2:$A$140,0),0)</f>
        <v>BB+</v>
      </c>
      <c r="H1820" t="s">
        <v>1434</v>
      </c>
      <c r="I1820" t="s">
        <v>1434</v>
      </c>
      <c r="J1820" s="2">
        <v>45365</v>
      </c>
      <c r="K1820" t="s">
        <v>21</v>
      </c>
      <c r="L1820" t="s">
        <v>1710</v>
      </c>
      <c r="M1820" t="s">
        <v>1709</v>
      </c>
      <c r="N1820" s="1">
        <f>Table1[[#This Row],[Consideration Weight]]</f>
        <v>3.5000000000000003E-2</v>
      </c>
      <c r="O1820" t="s">
        <v>476</v>
      </c>
      <c r="P1820" s="1">
        <v>3.5000000000000003E-2</v>
      </c>
    </row>
    <row r="1821" spans="1:22" x14ac:dyDescent="0.3">
      <c r="A1821" t="s">
        <v>1048</v>
      </c>
      <c r="B1821" t="str">
        <f ca="1">OFFSET(Industries!C$1,MATCH(Table1[[#This Row],[Ticker]],Industries!$A$2:$A$150,0),0)</f>
        <v>Communication Services</v>
      </c>
      <c r="C1821" t="str">
        <f ca="1">OFFSET(Industries!D$1,MATCH(Table1[[#This Row],[Ticker]],Industries!$A$2:$A$150,0),0)</f>
        <v>Media and Entertainment</v>
      </c>
      <c r="D1821" t="str">
        <f ca="1">OFFSET(Industries!E$1,MATCH(Table1[[#This Row],[Ticker]],Industries!$A$2:$A$150,0),0)</f>
        <v>Media</v>
      </c>
      <c r="E1821" t="s">
        <v>233</v>
      </c>
      <c r="F1821" t="str">
        <f ca="1">OFFSET(Industries!B$1,MATCH(Table1[[#This Row],[Ticker]],Industries!$A$2:$A$140,0),0)</f>
        <v>Large-Cap</v>
      </c>
      <c r="G1821" t="str">
        <f ca="1">OFFSET(Industries!F$1,MATCH(Table1[[#This Row],[Ticker]],Industries!$A$2:$A$140,0),0)</f>
        <v>BB+</v>
      </c>
      <c r="H1821" t="s">
        <v>1434</v>
      </c>
      <c r="I1821" t="s">
        <v>1434</v>
      </c>
      <c r="J1821" s="2">
        <v>45365</v>
      </c>
      <c r="K1821" t="s">
        <v>21</v>
      </c>
      <c r="L1821" t="s">
        <v>1710</v>
      </c>
      <c r="M1821" t="s">
        <v>1711</v>
      </c>
      <c r="N1821" s="1">
        <f>Table1[[#This Row],[Consideration Weight]]</f>
        <v>0.39</v>
      </c>
      <c r="O1821" t="s">
        <v>87</v>
      </c>
      <c r="P1821" s="1">
        <v>0.39</v>
      </c>
    </row>
    <row r="1822" spans="1:22" x14ac:dyDescent="0.3">
      <c r="A1822" t="s">
        <v>1048</v>
      </c>
      <c r="B1822" t="str">
        <f ca="1">OFFSET(Industries!C$1,MATCH(Table1[[#This Row],[Ticker]],Industries!$A$2:$A$150,0),0)</f>
        <v>Communication Services</v>
      </c>
      <c r="C1822" t="str">
        <f ca="1">OFFSET(Industries!D$1,MATCH(Table1[[#This Row],[Ticker]],Industries!$A$2:$A$150,0),0)</f>
        <v>Media and Entertainment</v>
      </c>
      <c r="D1822" t="str">
        <f ca="1">OFFSET(Industries!E$1,MATCH(Table1[[#This Row],[Ticker]],Industries!$A$2:$A$150,0),0)</f>
        <v>Media</v>
      </c>
      <c r="E1822" t="s">
        <v>233</v>
      </c>
      <c r="F1822" t="str">
        <f ca="1">OFFSET(Industries!B$1,MATCH(Table1[[#This Row],[Ticker]],Industries!$A$2:$A$140,0),0)</f>
        <v>Large-Cap</v>
      </c>
      <c r="G1822" t="str">
        <f ca="1">OFFSET(Industries!F$1,MATCH(Table1[[#This Row],[Ticker]],Industries!$A$2:$A$140,0),0)</f>
        <v>BB+</v>
      </c>
      <c r="H1822" t="s">
        <v>1434</v>
      </c>
      <c r="I1822" t="s">
        <v>1434</v>
      </c>
      <c r="J1822" s="2">
        <v>45365</v>
      </c>
      <c r="K1822" t="s">
        <v>21</v>
      </c>
      <c r="L1822" t="s">
        <v>1710</v>
      </c>
      <c r="M1822" t="s">
        <v>1711</v>
      </c>
      <c r="N1822" s="1">
        <f>Table1[[#This Row],[Consideration Weight]]</f>
        <v>4.2999999999999997E-2</v>
      </c>
      <c r="O1822" t="s">
        <v>194</v>
      </c>
      <c r="P1822" s="1">
        <v>4.2999999999999997E-2</v>
      </c>
    </row>
    <row r="1823" spans="1:22" x14ac:dyDescent="0.3">
      <c r="A1823" t="s">
        <v>1055</v>
      </c>
      <c r="B1823" t="str">
        <f ca="1">OFFSET(Industries!C$1,MATCH(Table1[[#This Row],[Ticker]],Industries!$A$2:$A$150,0),0)</f>
        <v>Consumer Discretionary</v>
      </c>
      <c r="C1823" t="str">
        <f ca="1">OFFSET(Industries!D$1,MATCH(Table1[[#This Row],[Ticker]],Industries!$A$2:$A$150,0),0)</f>
        <v>Consumer Services</v>
      </c>
      <c r="D1823" t="str">
        <f ca="1">OFFSET(Industries!E$1,MATCH(Table1[[#This Row],[Ticker]],Industries!$A$2:$A$150,0),0)</f>
        <v>Hotels, Restaurants and Leisure</v>
      </c>
      <c r="E1823" t="s">
        <v>559</v>
      </c>
      <c r="F1823" t="str">
        <f ca="1">OFFSET(Industries!B$1,MATCH(Table1[[#This Row],[Ticker]],Industries!$A$2:$A$140,0),0)</f>
        <v>Mega-Cap</v>
      </c>
      <c r="G1823" t="str">
        <f ca="1">OFFSET(Industries!F$1,MATCH(Table1[[#This Row],[Ticker]],Industries!$A$2:$A$140,0),0)</f>
        <v>BBB+</v>
      </c>
      <c r="H1823" t="s">
        <v>1434</v>
      </c>
      <c r="I1823" t="s">
        <v>1434</v>
      </c>
      <c r="J1823" s="2">
        <v>45390</v>
      </c>
      <c r="K1823" t="s">
        <v>2</v>
      </c>
      <c r="L1823" t="s">
        <v>3</v>
      </c>
      <c r="M1823" t="s">
        <v>1711</v>
      </c>
      <c r="N1823" s="1">
        <f>Table1[[#This Row],[Consideration Weight]]</f>
        <v>0.08</v>
      </c>
      <c r="O1823" t="s">
        <v>3</v>
      </c>
      <c r="P1823" s="1">
        <v>0.08</v>
      </c>
      <c r="V1823" t="s">
        <v>1058</v>
      </c>
    </row>
    <row r="1824" spans="1:22" x14ac:dyDescent="0.3">
      <c r="A1824" t="s">
        <v>1055</v>
      </c>
      <c r="B1824" t="str">
        <f ca="1">OFFSET(Industries!C$1,MATCH(Table1[[#This Row],[Ticker]],Industries!$A$2:$A$150,0),0)</f>
        <v>Consumer Discretionary</v>
      </c>
      <c r="C1824" t="str">
        <f ca="1">OFFSET(Industries!D$1,MATCH(Table1[[#This Row],[Ticker]],Industries!$A$2:$A$150,0),0)</f>
        <v>Consumer Services</v>
      </c>
      <c r="D1824" t="str">
        <f ca="1">OFFSET(Industries!E$1,MATCH(Table1[[#This Row],[Ticker]],Industries!$A$2:$A$150,0),0)</f>
        <v>Hotels, Restaurants and Leisure</v>
      </c>
      <c r="E1824" t="s">
        <v>559</v>
      </c>
      <c r="F1824" t="str">
        <f ca="1">OFFSET(Industries!B$1,MATCH(Table1[[#This Row],[Ticker]],Industries!$A$2:$A$140,0),0)</f>
        <v>Mega-Cap</v>
      </c>
      <c r="G1824" t="str">
        <f ca="1">OFFSET(Industries!F$1,MATCH(Table1[[#This Row],[Ticker]],Industries!$A$2:$A$140,0),0)</f>
        <v>BBB+</v>
      </c>
      <c r="H1824" t="s">
        <v>1434</v>
      </c>
      <c r="I1824" t="s">
        <v>1434</v>
      </c>
      <c r="J1824" s="2">
        <v>45390</v>
      </c>
      <c r="K1824" t="s">
        <v>2</v>
      </c>
      <c r="L1824" t="s">
        <v>1708</v>
      </c>
      <c r="M1824" t="s">
        <v>1709</v>
      </c>
      <c r="N1824" s="1">
        <f>Table1[[#This Row],[Consideration Weight]]</f>
        <v>0.16</v>
      </c>
      <c r="O1824" t="s">
        <v>4</v>
      </c>
      <c r="P1824" s="1">
        <v>0.16</v>
      </c>
      <c r="Q1824" s="1" t="s">
        <v>1636</v>
      </c>
      <c r="R1824" t="s">
        <v>24</v>
      </c>
      <c r="S1824" t="s">
        <v>90</v>
      </c>
      <c r="T1824" t="s">
        <v>732</v>
      </c>
      <c r="U1824" s="1">
        <v>0.4</v>
      </c>
    </row>
    <row r="1825" spans="1:22" x14ac:dyDescent="0.3">
      <c r="A1825" t="s">
        <v>1055</v>
      </c>
      <c r="B1825" t="str">
        <f ca="1">OFFSET(Industries!C$1,MATCH(Table1[[#This Row],[Ticker]],Industries!$A$2:$A$150,0),0)</f>
        <v>Consumer Discretionary</v>
      </c>
      <c r="C1825" t="str">
        <f ca="1">OFFSET(Industries!D$1,MATCH(Table1[[#This Row],[Ticker]],Industries!$A$2:$A$150,0),0)</f>
        <v>Consumer Services</v>
      </c>
      <c r="D1825" t="str">
        <f ca="1">OFFSET(Industries!E$1,MATCH(Table1[[#This Row],[Ticker]],Industries!$A$2:$A$150,0),0)</f>
        <v>Hotels, Restaurants and Leisure</v>
      </c>
      <c r="E1825" t="s">
        <v>559</v>
      </c>
      <c r="F1825" t="str">
        <f ca="1">OFFSET(Industries!B$1,MATCH(Table1[[#This Row],[Ticker]],Industries!$A$2:$A$140,0),0)</f>
        <v>Mega-Cap</v>
      </c>
      <c r="G1825" t="str">
        <f ca="1">OFFSET(Industries!F$1,MATCH(Table1[[#This Row],[Ticker]],Industries!$A$2:$A$140,0),0)</f>
        <v>BBB+</v>
      </c>
      <c r="H1825" t="s">
        <v>1434</v>
      </c>
      <c r="I1825" t="s">
        <v>1434</v>
      </c>
      <c r="J1825" s="2">
        <v>45390</v>
      </c>
      <c r="K1825" t="s">
        <v>2</v>
      </c>
      <c r="L1825" t="s">
        <v>1708</v>
      </c>
      <c r="M1825" t="s">
        <v>1709</v>
      </c>
      <c r="N1825" s="1"/>
      <c r="O1825" t="s">
        <v>4</v>
      </c>
      <c r="P1825" s="1">
        <v>0.16</v>
      </c>
      <c r="Q1825" s="1" t="s">
        <v>1636</v>
      </c>
      <c r="R1825" t="s">
        <v>23</v>
      </c>
      <c r="S1825" t="s">
        <v>1090</v>
      </c>
      <c r="T1825" t="s">
        <v>1056</v>
      </c>
      <c r="U1825" s="1">
        <v>0.3</v>
      </c>
    </row>
    <row r="1826" spans="1:22" x14ac:dyDescent="0.3">
      <c r="A1826" t="s">
        <v>1055</v>
      </c>
      <c r="B1826" t="str">
        <f ca="1">OFFSET(Industries!C$1,MATCH(Table1[[#This Row],[Ticker]],Industries!$A$2:$A$150,0),0)</f>
        <v>Consumer Discretionary</v>
      </c>
      <c r="C1826" t="str">
        <f ca="1">OFFSET(Industries!D$1,MATCH(Table1[[#This Row],[Ticker]],Industries!$A$2:$A$150,0),0)</f>
        <v>Consumer Services</v>
      </c>
      <c r="D1826" t="str">
        <f ca="1">OFFSET(Industries!E$1,MATCH(Table1[[#This Row],[Ticker]],Industries!$A$2:$A$150,0),0)</f>
        <v>Hotels, Restaurants and Leisure</v>
      </c>
      <c r="E1826" t="s">
        <v>559</v>
      </c>
      <c r="F1826" t="str">
        <f ca="1">OFFSET(Industries!B$1,MATCH(Table1[[#This Row],[Ticker]],Industries!$A$2:$A$140,0),0)</f>
        <v>Mega-Cap</v>
      </c>
      <c r="G1826" t="str">
        <f ca="1">OFFSET(Industries!F$1,MATCH(Table1[[#This Row],[Ticker]],Industries!$A$2:$A$140,0),0)</f>
        <v>BBB+</v>
      </c>
      <c r="H1826" t="s">
        <v>1434</v>
      </c>
      <c r="I1826" t="s">
        <v>1434</v>
      </c>
      <c r="J1826" s="2">
        <v>45390</v>
      </c>
      <c r="K1826" t="s">
        <v>2</v>
      </c>
      <c r="L1826" t="s">
        <v>1708</v>
      </c>
      <c r="M1826" t="s">
        <v>1709</v>
      </c>
      <c r="N1826" s="1"/>
      <c r="O1826" t="s">
        <v>4</v>
      </c>
      <c r="P1826" s="1">
        <v>0.16</v>
      </c>
      <c r="Q1826" s="1" t="s">
        <v>1636</v>
      </c>
      <c r="R1826" t="s">
        <v>23</v>
      </c>
      <c r="S1826" t="s">
        <v>1141</v>
      </c>
      <c r="T1826" t="s">
        <v>1057</v>
      </c>
      <c r="U1826" s="1">
        <v>0.15</v>
      </c>
      <c r="V1826" t="s">
        <v>1692</v>
      </c>
    </row>
    <row r="1827" spans="1:22" x14ac:dyDescent="0.3">
      <c r="A1827" t="s">
        <v>1055</v>
      </c>
      <c r="B1827" t="str">
        <f ca="1">OFFSET(Industries!C$1,MATCH(Table1[[#This Row],[Ticker]],Industries!$A$2:$A$150,0),0)</f>
        <v>Consumer Discretionary</v>
      </c>
      <c r="C1827" t="str">
        <f ca="1">OFFSET(Industries!D$1,MATCH(Table1[[#This Row],[Ticker]],Industries!$A$2:$A$150,0),0)</f>
        <v>Consumer Services</v>
      </c>
      <c r="D1827" t="str">
        <f ca="1">OFFSET(Industries!E$1,MATCH(Table1[[#This Row],[Ticker]],Industries!$A$2:$A$150,0),0)</f>
        <v>Hotels, Restaurants and Leisure</v>
      </c>
      <c r="E1827" t="s">
        <v>559</v>
      </c>
      <c r="F1827" t="str">
        <f ca="1">OFFSET(Industries!B$1,MATCH(Table1[[#This Row],[Ticker]],Industries!$A$2:$A$140,0),0)</f>
        <v>Mega-Cap</v>
      </c>
      <c r="G1827" t="str">
        <f ca="1">OFFSET(Industries!F$1,MATCH(Table1[[#This Row],[Ticker]],Industries!$A$2:$A$140,0),0)</f>
        <v>BBB+</v>
      </c>
      <c r="H1827" t="s">
        <v>1434</v>
      </c>
      <c r="I1827" t="s">
        <v>1434</v>
      </c>
      <c r="J1827" s="2">
        <v>45390</v>
      </c>
      <c r="K1827" t="s">
        <v>2</v>
      </c>
      <c r="L1827" t="s">
        <v>1708</v>
      </c>
      <c r="M1827" t="s">
        <v>1709</v>
      </c>
      <c r="N1827" s="1"/>
      <c r="O1827" t="s">
        <v>4</v>
      </c>
      <c r="P1827" s="1">
        <v>0.16</v>
      </c>
      <c r="Q1827" s="1" t="s">
        <v>1637</v>
      </c>
      <c r="R1827" t="s">
        <v>25</v>
      </c>
      <c r="S1827" t="s">
        <v>1086</v>
      </c>
      <c r="T1827" t="s">
        <v>593</v>
      </c>
      <c r="U1827" s="1">
        <v>0.15</v>
      </c>
      <c r="V1827" t="s">
        <v>1063</v>
      </c>
    </row>
    <row r="1828" spans="1:22" x14ac:dyDescent="0.3">
      <c r="A1828" t="s">
        <v>1055</v>
      </c>
      <c r="B1828" t="str">
        <f ca="1">OFFSET(Industries!C$1,MATCH(Table1[[#This Row],[Ticker]],Industries!$A$2:$A$150,0),0)</f>
        <v>Consumer Discretionary</v>
      </c>
      <c r="C1828" t="str">
        <f ca="1">OFFSET(Industries!D$1,MATCH(Table1[[#This Row],[Ticker]],Industries!$A$2:$A$150,0),0)</f>
        <v>Consumer Services</v>
      </c>
      <c r="D1828" t="str">
        <f ca="1">OFFSET(Industries!E$1,MATCH(Table1[[#This Row],[Ticker]],Industries!$A$2:$A$150,0),0)</f>
        <v>Hotels, Restaurants and Leisure</v>
      </c>
      <c r="E1828" t="s">
        <v>559</v>
      </c>
      <c r="F1828" t="str">
        <f ca="1">OFFSET(Industries!B$1,MATCH(Table1[[#This Row],[Ticker]],Industries!$A$2:$A$140,0),0)</f>
        <v>Mega-Cap</v>
      </c>
      <c r="G1828" t="str">
        <f ca="1">OFFSET(Industries!F$1,MATCH(Table1[[#This Row],[Ticker]],Industries!$A$2:$A$140,0),0)</f>
        <v>BBB+</v>
      </c>
      <c r="H1828" t="s">
        <v>1434</v>
      </c>
      <c r="I1828" t="s">
        <v>1434</v>
      </c>
      <c r="J1828" s="2">
        <v>45390</v>
      </c>
      <c r="K1828" t="s">
        <v>2</v>
      </c>
      <c r="L1828" t="s">
        <v>1710</v>
      </c>
      <c r="M1828" t="s">
        <v>1709</v>
      </c>
      <c r="N1828" s="1">
        <f>Table1[[#This Row],[Consideration Weight]]</f>
        <v>0.38</v>
      </c>
      <c r="O1828" t="s">
        <v>476</v>
      </c>
      <c r="P1828" s="1">
        <v>0.38</v>
      </c>
      <c r="Q1828" s="1" t="s">
        <v>1636</v>
      </c>
      <c r="R1828" t="s">
        <v>24</v>
      </c>
      <c r="S1828" t="s">
        <v>1089</v>
      </c>
      <c r="T1828" t="s">
        <v>406</v>
      </c>
      <c r="U1828" s="1">
        <v>0.75</v>
      </c>
      <c r="V1828" t="s">
        <v>1063</v>
      </c>
    </row>
    <row r="1829" spans="1:22" x14ac:dyDescent="0.3">
      <c r="A1829" t="s">
        <v>1055</v>
      </c>
      <c r="B1829" t="str">
        <f ca="1">OFFSET(Industries!C$1,MATCH(Table1[[#This Row],[Ticker]],Industries!$A$2:$A$150,0),0)</f>
        <v>Consumer Discretionary</v>
      </c>
      <c r="C1829" t="str">
        <f ca="1">OFFSET(Industries!D$1,MATCH(Table1[[#This Row],[Ticker]],Industries!$A$2:$A$150,0),0)</f>
        <v>Consumer Services</v>
      </c>
      <c r="D1829" t="str">
        <f ca="1">OFFSET(Industries!E$1,MATCH(Table1[[#This Row],[Ticker]],Industries!$A$2:$A$150,0),0)</f>
        <v>Hotels, Restaurants and Leisure</v>
      </c>
      <c r="E1829" t="s">
        <v>559</v>
      </c>
      <c r="F1829" t="str">
        <f ca="1">OFFSET(Industries!B$1,MATCH(Table1[[#This Row],[Ticker]],Industries!$A$2:$A$140,0),0)</f>
        <v>Mega-Cap</v>
      </c>
      <c r="G1829" t="str">
        <f ca="1">OFFSET(Industries!F$1,MATCH(Table1[[#This Row],[Ticker]],Industries!$A$2:$A$140,0),0)</f>
        <v>BBB+</v>
      </c>
      <c r="H1829" t="s">
        <v>1434</v>
      </c>
      <c r="I1829" t="s">
        <v>1434</v>
      </c>
      <c r="J1829" s="2">
        <v>45390</v>
      </c>
      <c r="K1829" t="s">
        <v>2</v>
      </c>
      <c r="L1829" t="s">
        <v>1710</v>
      </c>
      <c r="M1829" t="s">
        <v>1709</v>
      </c>
      <c r="N1829" s="1"/>
      <c r="O1829" t="s">
        <v>476</v>
      </c>
      <c r="P1829" s="1">
        <v>0.38</v>
      </c>
      <c r="Q1829" s="1" t="s">
        <v>1636</v>
      </c>
      <c r="R1829" t="s">
        <v>1059</v>
      </c>
      <c r="S1829" t="s">
        <v>1101</v>
      </c>
      <c r="T1829" t="s">
        <v>465</v>
      </c>
      <c r="U1829" s="1">
        <v>0.25</v>
      </c>
      <c r="V1829" t="s">
        <v>1060</v>
      </c>
    </row>
    <row r="1830" spans="1:22" x14ac:dyDescent="0.3">
      <c r="A1830" t="s">
        <v>1055</v>
      </c>
      <c r="B1830" t="str">
        <f ca="1">OFFSET(Industries!C$1,MATCH(Table1[[#This Row],[Ticker]],Industries!$A$2:$A$150,0),0)</f>
        <v>Consumer Discretionary</v>
      </c>
      <c r="C1830" t="str">
        <f ca="1">OFFSET(Industries!D$1,MATCH(Table1[[#This Row],[Ticker]],Industries!$A$2:$A$150,0),0)</f>
        <v>Consumer Services</v>
      </c>
      <c r="D1830" t="str">
        <f ca="1">OFFSET(Industries!E$1,MATCH(Table1[[#This Row],[Ticker]],Industries!$A$2:$A$150,0),0)</f>
        <v>Hotels, Restaurants and Leisure</v>
      </c>
      <c r="E1830" t="s">
        <v>559</v>
      </c>
      <c r="F1830" t="str">
        <f ca="1">OFFSET(Industries!B$1,MATCH(Table1[[#This Row],[Ticker]],Industries!$A$2:$A$140,0),0)</f>
        <v>Mega-Cap</v>
      </c>
      <c r="G1830" t="str">
        <f ca="1">OFFSET(Industries!F$1,MATCH(Table1[[#This Row],[Ticker]],Industries!$A$2:$A$140,0),0)</f>
        <v>BBB+</v>
      </c>
      <c r="H1830" t="s">
        <v>1434</v>
      </c>
      <c r="I1830" t="s">
        <v>1434</v>
      </c>
      <c r="J1830" s="2">
        <v>45390</v>
      </c>
      <c r="K1830" t="s">
        <v>2</v>
      </c>
      <c r="L1830" t="s">
        <v>1710</v>
      </c>
      <c r="M1830" t="s">
        <v>1709</v>
      </c>
      <c r="N1830" s="1"/>
      <c r="O1830" t="s">
        <v>476</v>
      </c>
      <c r="P1830" s="1">
        <v>0.38</v>
      </c>
      <c r="R1830" t="s">
        <v>28</v>
      </c>
      <c r="S1830" t="s">
        <v>1085</v>
      </c>
      <c r="T1830" t="s">
        <v>30</v>
      </c>
      <c r="V1830" t="s">
        <v>657</v>
      </c>
    </row>
    <row r="1831" spans="1:22" x14ac:dyDescent="0.3">
      <c r="A1831" t="s">
        <v>1055</v>
      </c>
      <c r="B1831" t="str">
        <f ca="1">OFFSET(Industries!C$1,MATCH(Table1[[#This Row],[Ticker]],Industries!$A$2:$A$150,0),0)</f>
        <v>Consumer Discretionary</v>
      </c>
      <c r="C1831" t="str">
        <f ca="1">OFFSET(Industries!D$1,MATCH(Table1[[#This Row],[Ticker]],Industries!$A$2:$A$150,0),0)</f>
        <v>Consumer Services</v>
      </c>
      <c r="D1831" t="str">
        <f ca="1">OFFSET(Industries!E$1,MATCH(Table1[[#This Row],[Ticker]],Industries!$A$2:$A$150,0),0)</f>
        <v>Hotels, Restaurants and Leisure</v>
      </c>
      <c r="E1831" t="s">
        <v>559</v>
      </c>
      <c r="F1831" t="str">
        <f ca="1">OFFSET(Industries!B$1,MATCH(Table1[[#This Row],[Ticker]],Industries!$A$2:$A$140,0),0)</f>
        <v>Mega-Cap</v>
      </c>
      <c r="G1831" t="str">
        <f ca="1">OFFSET(Industries!F$1,MATCH(Table1[[#This Row],[Ticker]],Industries!$A$2:$A$140,0),0)</f>
        <v>BBB+</v>
      </c>
      <c r="H1831" t="s">
        <v>1434</v>
      </c>
      <c r="I1831" t="s">
        <v>1434</v>
      </c>
      <c r="J1831" s="2">
        <v>45390</v>
      </c>
      <c r="K1831" t="s">
        <v>2</v>
      </c>
      <c r="L1831" t="s">
        <v>1710</v>
      </c>
      <c r="M1831" t="s">
        <v>1709</v>
      </c>
      <c r="N1831" s="1"/>
      <c r="O1831" t="s">
        <v>476</v>
      </c>
      <c r="P1831" s="1">
        <v>0.38</v>
      </c>
      <c r="R1831" t="s">
        <v>28</v>
      </c>
      <c r="S1831" t="s">
        <v>1095</v>
      </c>
      <c r="T1831" t="s">
        <v>55</v>
      </c>
    </row>
    <row r="1832" spans="1:22" x14ac:dyDescent="0.3">
      <c r="A1832" t="s">
        <v>1055</v>
      </c>
      <c r="B1832" t="str">
        <f ca="1">OFFSET(Industries!C$1,MATCH(Table1[[#This Row],[Ticker]],Industries!$A$2:$A$150,0),0)</f>
        <v>Consumer Discretionary</v>
      </c>
      <c r="C1832" t="str">
        <f ca="1">OFFSET(Industries!D$1,MATCH(Table1[[#This Row],[Ticker]],Industries!$A$2:$A$150,0),0)</f>
        <v>Consumer Services</v>
      </c>
      <c r="D1832" t="str">
        <f ca="1">OFFSET(Industries!E$1,MATCH(Table1[[#This Row],[Ticker]],Industries!$A$2:$A$150,0),0)</f>
        <v>Hotels, Restaurants and Leisure</v>
      </c>
      <c r="E1832" t="s">
        <v>559</v>
      </c>
      <c r="F1832" t="str">
        <f ca="1">OFFSET(Industries!B$1,MATCH(Table1[[#This Row],[Ticker]],Industries!$A$2:$A$140,0),0)</f>
        <v>Mega-Cap</v>
      </c>
      <c r="G1832" t="str">
        <f ca="1">OFFSET(Industries!F$1,MATCH(Table1[[#This Row],[Ticker]],Industries!$A$2:$A$140,0),0)</f>
        <v>BBB+</v>
      </c>
      <c r="H1832" t="s">
        <v>1434</v>
      </c>
      <c r="I1832" t="s">
        <v>1434</v>
      </c>
      <c r="J1832" s="2">
        <v>45390</v>
      </c>
      <c r="K1832" t="s">
        <v>2</v>
      </c>
      <c r="L1832" t="s">
        <v>1710</v>
      </c>
      <c r="M1832" t="s">
        <v>1711</v>
      </c>
      <c r="N1832" s="1">
        <f>Table1[[#This Row],[Consideration Weight]]</f>
        <v>0.38</v>
      </c>
      <c r="O1832" t="s">
        <v>87</v>
      </c>
      <c r="P1832" s="1">
        <v>0.38</v>
      </c>
    </row>
    <row r="1833" spans="1:22" x14ac:dyDescent="0.3">
      <c r="A1833" t="s">
        <v>1055</v>
      </c>
      <c r="B1833" t="str">
        <f ca="1">OFFSET(Industries!C$1,MATCH(Table1[[#This Row],[Ticker]],Industries!$A$2:$A$150,0),0)</f>
        <v>Consumer Discretionary</v>
      </c>
      <c r="C1833" t="str">
        <f ca="1">OFFSET(Industries!D$1,MATCH(Table1[[#This Row],[Ticker]],Industries!$A$2:$A$150,0),0)</f>
        <v>Consumer Services</v>
      </c>
      <c r="D1833" t="str">
        <f ca="1">OFFSET(Industries!E$1,MATCH(Table1[[#This Row],[Ticker]],Industries!$A$2:$A$150,0),0)</f>
        <v>Hotels, Restaurants and Leisure</v>
      </c>
      <c r="E1833" t="s">
        <v>559</v>
      </c>
      <c r="F1833" t="str">
        <f ca="1">OFFSET(Industries!B$1,MATCH(Table1[[#This Row],[Ticker]],Industries!$A$2:$A$140,0),0)</f>
        <v>Mega-Cap</v>
      </c>
      <c r="G1833" t="str">
        <f ca="1">OFFSET(Industries!F$1,MATCH(Table1[[#This Row],[Ticker]],Industries!$A$2:$A$140,0),0)</f>
        <v>BBB+</v>
      </c>
      <c r="H1833" t="s">
        <v>1434</v>
      </c>
      <c r="I1833" t="s">
        <v>1434</v>
      </c>
      <c r="J1833" s="2">
        <v>45390</v>
      </c>
      <c r="K1833" t="s">
        <v>21</v>
      </c>
      <c r="L1833" t="s">
        <v>3</v>
      </c>
      <c r="M1833" t="s">
        <v>1711</v>
      </c>
      <c r="N1833" s="1">
        <f>Table1[[#This Row],[Consideration Weight]]</f>
        <v>0.17</v>
      </c>
      <c r="O1833" t="s">
        <v>3</v>
      </c>
      <c r="P1833" s="1">
        <v>0.17</v>
      </c>
    </row>
    <row r="1834" spans="1:22" x14ac:dyDescent="0.3">
      <c r="A1834" t="s">
        <v>1055</v>
      </c>
      <c r="B1834" t="str">
        <f ca="1">OFFSET(Industries!C$1,MATCH(Table1[[#This Row],[Ticker]],Industries!$A$2:$A$150,0),0)</f>
        <v>Consumer Discretionary</v>
      </c>
      <c r="C1834" t="str">
        <f ca="1">OFFSET(Industries!D$1,MATCH(Table1[[#This Row],[Ticker]],Industries!$A$2:$A$150,0),0)</f>
        <v>Consumer Services</v>
      </c>
      <c r="D1834" t="str">
        <f ca="1">OFFSET(Industries!E$1,MATCH(Table1[[#This Row],[Ticker]],Industries!$A$2:$A$150,0),0)</f>
        <v>Hotels, Restaurants and Leisure</v>
      </c>
      <c r="E1834" t="s">
        <v>559</v>
      </c>
      <c r="F1834" t="str">
        <f ca="1">OFFSET(Industries!B$1,MATCH(Table1[[#This Row],[Ticker]],Industries!$A$2:$A$140,0),0)</f>
        <v>Mega-Cap</v>
      </c>
      <c r="G1834" t="str">
        <f ca="1">OFFSET(Industries!F$1,MATCH(Table1[[#This Row],[Ticker]],Industries!$A$2:$A$140,0),0)</f>
        <v>BBB+</v>
      </c>
      <c r="H1834" t="s">
        <v>1434</v>
      </c>
      <c r="I1834" t="s">
        <v>1434</v>
      </c>
      <c r="J1834" s="2">
        <v>45390</v>
      </c>
      <c r="K1834" t="s">
        <v>21</v>
      </c>
      <c r="L1834" t="s">
        <v>1708</v>
      </c>
      <c r="M1834" t="s">
        <v>1709</v>
      </c>
      <c r="N1834" s="1">
        <f>Table1[[#This Row],[Consideration Weight]]</f>
        <v>0.19</v>
      </c>
      <c r="O1834" t="s">
        <v>4</v>
      </c>
      <c r="P1834" s="1">
        <v>0.19</v>
      </c>
      <c r="Q1834" s="1" t="s">
        <v>1636</v>
      </c>
      <c r="R1834" t="s">
        <v>24</v>
      </c>
      <c r="S1834" t="s">
        <v>90</v>
      </c>
      <c r="T1834" t="s">
        <v>732</v>
      </c>
      <c r="U1834" s="1">
        <v>0.4</v>
      </c>
    </row>
    <row r="1835" spans="1:22" x14ac:dyDescent="0.3">
      <c r="A1835" t="s">
        <v>1055</v>
      </c>
      <c r="B1835" t="str">
        <f ca="1">OFFSET(Industries!C$1,MATCH(Table1[[#This Row],[Ticker]],Industries!$A$2:$A$150,0),0)</f>
        <v>Consumer Discretionary</v>
      </c>
      <c r="C1835" t="str">
        <f ca="1">OFFSET(Industries!D$1,MATCH(Table1[[#This Row],[Ticker]],Industries!$A$2:$A$150,0),0)</f>
        <v>Consumer Services</v>
      </c>
      <c r="D1835" t="str">
        <f ca="1">OFFSET(Industries!E$1,MATCH(Table1[[#This Row],[Ticker]],Industries!$A$2:$A$150,0),0)</f>
        <v>Hotels, Restaurants and Leisure</v>
      </c>
      <c r="E1835" t="s">
        <v>559</v>
      </c>
      <c r="F1835" t="str">
        <f ca="1">OFFSET(Industries!B$1,MATCH(Table1[[#This Row],[Ticker]],Industries!$A$2:$A$140,0),0)</f>
        <v>Mega-Cap</v>
      </c>
      <c r="G1835" t="str">
        <f ca="1">OFFSET(Industries!F$1,MATCH(Table1[[#This Row],[Ticker]],Industries!$A$2:$A$140,0),0)</f>
        <v>BBB+</v>
      </c>
      <c r="H1835" t="s">
        <v>1434</v>
      </c>
      <c r="I1835" t="s">
        <v>1434</v>
      </c>
      <c r="J1835" s="2">
        <v>45390</v>
      </c>
      <c r="K1835" t="s">
        <v>21</v>
      </c>
      <c r="L1835" t="s">
        <v>1708</v>
      </c>
      <c r="M1835" t="s">
        <v>1709</v>
      </c>
      <c r="N1835" s="1"/>
      <c r="O1835" t="s">
        <v>4</v>
      </c>
      <c r="P1835" s="1">
        <v>0.19</v>
      </c>
      <c r="Q1835" s="1" t="s">
        <v>1636</v>
      </c>
      <c r="R1835" t="s">
        <v>23</v>
      </c>
      <c r="S1835" t="s">
        <v>1090</v>
      </c>
      <c r="T1835" t="s">
        <v>1056</v>
      </c>
      <c r="U1835" s="1">
        <v>0.3</v>
      </c>
    </row>
    <row r="1836" spans="1:22" x14ac:dyDescent="0.3">
      <c r="A1836" t="s">
        <v>1055</v>
      </c>
      <c r="B1836" t="str">
        <f ca="1">OFFSET(Industries!C$1,MATCH(Table1[[#This Row],[Ticker]],Industries!$A$2:$A$150,0),0)</f>
        <v>Consumer Discretionary</v>
      </c>
      <c r="C1836" t="str">
        <f ca="1">OFFSET(Industries!D$1,MATCH(Table1[[#This Row],[Ticker]],Industries!$A$2:$A$150,0),0)</f>
        <v>Consumer Services</v>
      </c>
      <c r="D1836" t="str">
        <f ca="1">OFFSET(Industries!E$1,MATCH(Table1[[#This Row],[Ticker]],Industries!$A$2:$A$150,0),0)</f>
        <v>Hotels, Restaurants and Leisure</v>
      </c>
      <c r="E1836" t="s">
        <v>559</v>
      </c>
      <c r="F1836" t="str">
        <f ca="1">OFFSET(Industries!B$1,MATCH(Table1[[#This Row],[Ticker]],Industries!$A$2:$A$140,0),0)</f>
        <v>Mega-Cap</v>
      </c>
      <c r="G1836" t="str">
        <f ca="1">OFFSET(Industries!F$1,MATCH(Table1[[#This Row],[Ticker]],Industries!$A$2:$A$140,0),0)</f>
        <v>BBB+</v>
      </c>
      <c r="H1836" t="s">
        <v>1434</v>
      </c>
      <c r="I1836" t="s">
        <v>1434</v>
      </c>
      <c r="J1836" s="2">
        <v>45390</v>
      </c>
      <c r="K1836" t="s">
        <v>21</v>
      </c>
      <c r="L1836" t="s">
        <v>1708</v>
      </c>
      <c r="M1836" t="s">
        <v>1709</v>
      </c>
      <c r="N1836" s="1"/>
      <c r="O1836" t="s">
        <v>4</v>
      </c>
      <c r="P1836" s="1">
        <v>0.19</v>
      </c>
      <c r="Q1836" s="1" t="s">
        <v>1636</v>
      </c>
      <c r="R1836" t="s">
        <v>23</v>
      </c>
      <c r="S1836" t="s">
        <v>1141</v>
      </c>
      <c r="T1836" t="s">
        <v>1057</v>
      </c>
      <c r="U1836" s="1">
        <v>0.15</v>
      </c>
    </row>
    <row r="1837" spans="1:22" x14ac:dyDescent="0.3">
      <c r="A1837" t="s">
        <v>1055</v>
      </c>
      <c r="B1837" t="str">
        <f ca="1">OFFSET(Industries!C$1,MATCH(Table1[[#This Row],[Ticker]],Industries!$A$2:$A$150,0),0)</f>
        <v>Consumer Discretionary</v>
      </c>
      <c r="C1837" t="str">
        <f ca="1">OFFSET(Industries!D$1,MATCH(Table1[[#This Row],[Ticker]],Industries!$A$2:$A$150,0),0)</f>
        <v>Consumer Services</v>
      </c>
      <c r="D1837" t="str">
        <f ca="1">OFFSET(Industries!E$1,MATCH(Table1[[#This Row],[Ticker]],Industries!$A$2:$A$150,0),0)</f>
        <v>Hotels, Restaurants and Leisure</v>
      </c>
      <c r="E1837" t="s">
        <v>559</v>
      </c>
      <c r="F1837" t="str">
        <f ca="1">OFFSET(Industries!B$1,MATCH(Table1[[#This Row],[Ticker]],Industries!$A$2:$A$140,0),0)</f>
        <v>Mega-Cap</v>
      </c>
      <c r="G1837" t="str">
        <f ca="1">OFFSET(Industries!F$1,MATCH(Table1[[#This Row],[Ticker]],Industries!$A$2:$A$140,0),0)</f>
        <v>BBB+</v>
      </c>
      <c r="H1837" t="s">
        <v>1434</v>
      </c>
      <c r="I1837" t="s">
        <v>1434</v>
      </c>
      <c r="J1837" s="2">
        <v>45390</v>
      </c>
      <c r="K1837" t="s">
        <v>21</v>
      </c>
      <c r="L1837" t="s">
        <v>1708</v>
      </c>
      <c r="M1837" t="s">
        <v>1709</v>
      </c>
      <c r="N1837" s="1"/>
      <c r="O1837" t="s">
        <v>4</v>
      </c>
      <c r="P1837" s="1">
        <v>0.19</v>
      </c>
      <c r="Q1837" s="1" t="s">
        <v>1637</v>
      </c>
      <c r="R1837" t="s">
        <v>25</v>
      </c>
      <c r="S1837" t="s">
        <v>1086</v>
      </c>
      <c r="T1837" t="s">
        <v>593</v>
      </c>
      <c r="U1837" s="1">
        <v>0.15</v>
      </c>
      <c r="V1837" t="s">
        <v>1062</v>
      </c>
    </row>
    <row r="1838" spans="1:22" x14ac:dyDescent="0.3">
      <c r="A1838" t="s">
        <v>1055</v>
      </c>
      <c r="B1838" t="str">
        <f ca="1">OFFSET(Industries!C$1,MATCH(Table1[[#This Row],[Ticker]],Industries!$A$2:$A$150,0),0)</f>
        <v>Consumer Discretionary</v>
      </c>
      <c r="C1838" t="str">
        <f ca="1">OFFSET(Industries!D$1,MATCH(Table1[[#This Row],[Ticker]],Industries!$A$2:$A$150,0),0)</f>
        <v>Consumer Services</v>
      </c>
      <c r="D1838" t="str">
        <f ca="1">OFFSET(Industries!E$1,MATCH(Table1[[#This Row],[Ticker]],Industries!$A$2:$A$150,0),0)</f>
        <v>Hotels, Restaurants and Leisure</v>
      </c>
      <c r="E1838" t="s">
        <v>559</v>
      </c>
      <c r="F1838" t="str">
        <f ca="1">OFFSET(Industries!B$1,MATCH(Table1[[#This Row],[Ticker]],Industries!$A$2:$A$140,0),0)</f>
        <v>Mega-Cap</v>
      </c>
      <c r="G1838" t="str">
        <f ca="1">OFFSET(Industries!F$1,MATCH(Table1[[#This Row],[Ticker]],Industries!$A$2:$A$140,0),0)</f>
        <v>BBB+</v>
      </c>
      <c r="H1838" t="s">
        <v>1434</v>
      </c>
      <c r="I1838" t="s">
        <v>1434</v>
      </c>
      <c r="J1838" s="2">
        <v>45390</v>
      </c>
      <c r="K1838" t="s">
        <v>21</v>
      </c>
      <c r="L1838" t="s">
        <v>1708</v>
      </c>
      <c r="M1838" t="s">
        <v>1709</v>
      </c>
      <c r="N1838" s="1"/>
      <c r="O1838" t="s">
        <v>4</v>
      </c>
      <c r="P1838" s="1">
        <v>0.19</v>
      </c>
      <c r="R1838" t="s">
        <v>28</v>
      </c>
      <c r="S1838" t="s">
        <v>1093</v>
      </c>
      <c r="T1838" t="s">
        <v>1061</v>
      </c>
    </row>
    <row r="1839" spans="1:22" x14ac:dyDescent="0.3">
      <c r="A1839" t="s">
        <v>1055</v>
      </c>
      <c r="B1839" t="str">
        <f ca="1">OFFSET(Industries!C$1,MATCH(Table1[[#This Row],[Ticker]],Industries!$A$2:$A$150,0),0)</f>
        <v>Consumer Discretionary</v>
      </c>
      <c r="C1839" t="str">
        <f ca="1">OFFSET(Industries!D$1,MATCH(Table1[[#This Row],[Ticker]],Industries!$A$2:$A$150,0),0)</f>
        <v>Consumer Services</v>
      </c>
      <c r="D1839" t="str">
        <f ca="1">OFFSET(Industries!E$1,MATCH(Table1[[#This Row],[Ticker]],Industries!$A$2:$A$150,0),0)</f>
        <v>Hotels, Restaurants and Leisure</v>
      </c>
      <c r="E1839" t="s">
        <v>559</v>
      </c>
      <c r="F1839" t="str">
        <f ca="1">OFFSET(Industries!B$1,MATCH(Table1[[#This Row],[Ticker]],Industries!$A$2:$A$140,0),0)</f>
        <v>Mega-Cap</v>
      </c>
      <c r="G1839" t="str">
        <f ca="1">OFFSET(Industries!F$1,MATCH(Table1[[#This Row],[Ticker]],Industries!$A$2:$A$140,0),0)</f>
        <v>BBB+</v>
      </c>
      <c r="H1839" t="s">
        <v>1434</v>
      </c>
      <c r="I1839" t="s">
        <v>1434</v>
      </c>
      <c r="J1839" s="2">
        <v>45390</v>
      </c>
      <c r="K1839" t="s">
        <v>21</v>
      </c>
      <c r="L1839" t="s">
        <v>1710</v>
      </c>
      <c r="M1839" t="s">
        <v>1709</v>
      </c>
      <c r="N1839" s="1">
        <f>Table1[[#This Row],[Consideration Weight]]</f>
        <v>0.32</v>
      </c>
      <c r="O1839" t="s">
        <v>476</v>
      </c>
      <c r="P1839" s="1">
        <v>0.32</v>
      </c>
      <c r="Q1839" s="1" t="s">
        <v>1636</v>
      </c>
      <c r="R1839" t="s">
        <v>24</v>
      </c>
      <c r="S1839" t="s">
        <v>1089</v>
      </c>
      <c r="T1839" t="s">
        <v>406</v>
      </c>
      <c r="U1839" s="1">
        <v>0.75</v>
      </c>
    </row>
    <row r="1840" spans="1:22" x14ac:dyDescent="0.3">
      <c r="A1840" t="s">
        <v>1055</v>
      </c>
      <c r="B1840" t="str">
        <f ca="1">OFFSET(Industries!C$1,MATCH(Table1[[#This Row],[Ticker]],Industries!$A$2:$A$150,0),0)</f>
        <v>Consumer Discretionary</v>
      </c>
      <c r="C1840" t="str">
        <f ca="1">OFFSET(Industries!D$1,MATCH(Table1[[#This Row],[Ticker]],Industries!$A$2:$A$150,0),0)</f>
        <v>Consumer Services</v>
      </c>
      <c r="D1840" t="str">
        <f ca="1">OFFSET(Industries!E$1,MATCH(Table1[[#This Row],[Ticker]],Industries!$A$2:$A$150,0),0)</f>
        <v>Hotels, Restaurants and Leisure</v>
      </c>
      <c r="E1840" t="s">
        <v>559</v>
      </c>
      <c r="F1840" t="str">
        <f ca="1">OFFSET(Industries!B$1,MATCH(Table1[[#This Row],[Ticker]],Industries!$A$2:$A$140,0),0)</f>
        <v>Mega-Cap</v>
      </c>
      <c r="G1840" t="str">
        <f ca="1">OFFSET(Industries!F$1,MATCH(Table1[[#This Row],[Ticker]],Industries!$A$2:$A$140,0),0)</f>
        <v>BBB+</v>
      </c>
      <c r="H1840" t="s">
        <v>1434</v>
      </c>
      <c r="I1840" t="s">
        <v>1434</v>
      </c>
      <c r="J1840" s="2">
        <v>45390</v>
      </c>
      <c r="K1840" t="s">
        <v>21</v>
      </c>
      <c r="L1840" t="s">
        <v>1710</v>
      </c>
      <c r="M1840" t="s">
        <v>1709</v>
      </c>
      <c r="N1840" s="1"/>
      <c r="O1840" t="s">
        <v>476</v>
      </c>
      <c r="P1840" s="1">
        <v>0.32</v>
      </c>
      <c r="Q1840" s="1" t="s">
        <v>1636</v>
      </c>
      <c r="R1840" t="s">
        <v>1059</v>
      </c>
      <c r="S1840" t="s">
        <v>1101</v>
      </c>
      <c r="T1840" t="s">
        <v>465</v>
      </c>
      <c r="U1840" s="1">
        <v>0.25</v>
      </c>
    </row>
    <row r="1841" spans="1:22" x14ac:dyDescent="0.3">
      <c r="A1841" t="s">
        <v>1055</v>
      </c>
      <c r="B1841" t="str">
        <f ca="1">OFFSET(Industries!C$1,MATCH(Table1[[#This Row],[Ticker]],Industries!$A$2:$A$150,0),0)</f>
        <v>Consumer Discretionary</v>
      </c>
      <c r="C1841" t="str">
        <f ca="1">OFFSET(Industries!D$1,MATCH(Table1[[#This Row],[Ticker]],Industries!$A$2:$A$150,0),0)</f>
        <v>Consumer Services</v>
      </c>
      <c r="D1841" t="str">
        <f ca="1">OFFSET(Industries!E$1,MATCH(Table1[[#This Row],[Ticker]],Industries!$A$2:$A$150,0),0)</f>
        <v>Hotels, Restaurants and Leisure</v>
      </c>
      <c r="E1841" t="s">
        <v>559</v>
      </c>
      <c r="F1841" t="str">
        <f ca="1">OFFSET(Industries!B$1,MATCH(Table1[[#This Row],[Ticker]],Industries!$A$2:$A$140,0),0)</f>
        <v>Mega-Cap</v>
      </c>
      <c r="G1841" t="str">
        <f ca="1">OFFSET(Industries!F$1,MATCH(Table1[[#This Row],[Ticker]],Industries!$A$2:$A$140,0),0)</f>
        <v>BBB+</v>
      </c>
      <c r="H1841" t="s">
        <v>1434</v>
      </c>
      <c r="I1841" t="s">
        <v>1434</v>
      </c>
      <c r="J1841" s="2">
        <v>45390</v>
      </c>
      <c r="K1841" t="s">
        <v>21</v>
      </c>
      <c r="L1841" t="s">
        <v>1710</v>
      </c>
      <c r="M1841" t="s">
        <v>1709</v>
      </c>
      <c r="N1841" s="1"/>
      <c r="O1841" t="s">
        <v>476</v>
      </c>
      <c r="P1841" s="1">
        <v>0.32</v>
      </c>
      <c r="R1841" t="s">
        <v>28</v>
      </c>
      <c r="S1841" t="s">
        <v>1085</v>
      </c>
      <c r="T1841" t="s">
        <v>30</v>
      </c>
      <c r="V1841" t="s">
        <v>657</v>
      </c>
    </row>
    <row r="1842" spans="1:22" x14ac:dyDescent="0.3">
      <c r="A1842" t="s">
        <v>1055</v>
      </c>
      <c r="B1842" t="str">
        <f ca="1">OFFSET(Industries!C$1,MATCH(Table1[[#This Row],[Ticker]],Industries!$A$2:$A$150,0),0)</f>
        <v>Consumer Discretionary</v>
      </c>
      <c r="C1842" t="str">
        <f ca="1">OFFSET(Industries!D$1,MATCH(Table1[[#This Row],[Ticker]],Industries!$A$2:$A$150,0),0)</f>
        <v>Consumer Services</v>
      </c>
      <c r="D1842" t="str">
        <f ca="1">OFFSET(Industries!E$1,MATCH(Table1[[#This Row],[Ticker]],Industries!$A$2:$A$150,0),0)</f>
        <v>Hotels, Restaurants and Leisure</v>
      </c>
      <c r="E1842" t="s">
        <v>559</v>
      </c>
      <c r="F1842" t="str">
        <f ca="1">OFFSET(Industries!B$1,MATCH(Table1[[#This Row],[Ticker]],Industries!$A$2:$A$140,0),0)</f>
        <v>Mega-Cap</v>
      </c>
      <c r="G1842" t="str">
        <f ca="1">OFFSET(Industries!F$1,MATCH(Table1[[#This Row],[Ticker]],Industries!$A$2:$A$140,0),0)</f>
        <v>BBB+</v>
      </c>
      <c r="H1842" t="s">
        <v>1434</v>
      </c>
      <c r="I1842" t="s">
        <v>1434</v>
      </c>
      <c r="J1842" s="2">
        <v>45390</v>
      </c>
      <c r="K1842" t="s">
        <v>2</v>
      </c>
      <c r="L1842" t="s">
        <v>1710</v>
      </c>
      <c r="M1842" t="s">
        <v>1709</v>
      </c>
      <c r="N1842" s="1"/>
      <c r="O1842" t="s">
        <v>476</v>
      </c>
      <c r="P1842" s="1">
        <v>0.32</v>
      </c>
      <c r="R1842" t="s">
        <v>28</v>
      </c>
      <c r="S1842" t="s">
        <v>1095</v>
      </c>
      <c r="T1842" t="s">
        <v>55</v>
      </c>
    </row>
    <row r="1843" spans="1:22" x14ac:dyDescent="0.3">
      <c r="A1843" t="s">
        <v>1055</v>
      </c>
      <c r="B1843" t="str">
        <f ca="1">OFFSET(Industries!C$1,MATCH(Table1[[#This Row],[Ticker]],Industries!$A$2:$A$150,0),0)</f>
        <v>Consumer Discretionary</v>
      </c>
      <c r="C1843" t="str">
        <f ca="1">OFFSET(Industries!D$1,MATCH(Table1[[#This Row],[Ticker]],Industries!$A$2:$A$150,0),0)</f>
        <v>Consumer Services</v>
      </c>
      <c r="D1843" t="str">
        <f ca="1">OFFSET(Industries!E$1,MATCH(Table1[[#This Row],[Ticker]],Industries!$A$2:$A$150,0),0)</f>
        <v>Hotels, Restaurants and Leisure</v>
      </c>
      <c r="E1843" t="s">
        <v>559</v>
      </c>
      <c r="F1843" t="str">
        <f ca="1">OFFSET(Industries!B$1,MATCH(Table1[[#This Row],[Ticker]],Industries!$A$2:$A$140,0),0)</f>
        <v>Mega-Cap</v>
      </c>
      <c r="G1843" t="str">
        <f ca="1">OFFSET(Industries!F$1,MATCH(Table1[[#This Row],[Ticker]],Industries!$A$2:$A$140,0),0)</f>
        <v>BBB+</v>
      </c>
      <c r="H1843" t="s">
        <v>1434</v>
      </c>
      <c r="I1843" t="s">
        <v>1434</v>
      </c>
      <c r="J1843" s="2">
        <v>45390</v>
      </c>
      <c r="K1843" t="s">
        <v>21</v>
      </c>
      <c r="L1843" t="s">
        <v>1710</v>
      </c>
      <c r="M1843" t="s">
        <v>1709</v>
      </c>
      <c r="N1843" s="1">
        <f>Table1[[#This Row],[Consideration Weight]]</f>
        <v>0.32</v>
      </c>
      <c r="O1843" t="s">
        <v>87</v>
      </c>
      <c r="P1843" s="1">
        <v>0.32</v>
      </c>
    </row>
    <row r="1844" spans="1:22" x14ac:dyDescent="0.3">
      <c r="A1844" t="s">
        <v>1064</v>
      </c>
      <c r="B1844" t="str">
        <f ca="1">OFFSET(Industries!C$1,MATCH(Table1[[#This Row],[Ticker]],Industries!$A$2:$A$150,0),0)</f>
        <v>Health Care</v>
      </c>
      <c r="C1844" t="str">
        <f ca="1">OFFSET(Industries!D$1,MATCH(Table1[[#This Row],[Ticker]],Industries!$A$2:$A$150,0),0)</f>
        <v>Pharmaceuticals, Biotechnology and Life Sciences</v>
      </c>
      <c r="D1844" t="str">
        <f ca="1">OFFSET(Industries!E$1,MATCH(Table1[[#This Row],[Ticker]],Industries!$A$2:$A$150,0),0)</f>
        <v>Pharmaceuticals</v>
      </c>
      <c r="E1844" t="s">
        <v>49</v>
      </c>
      <c r="F1844" t="str">
        <f ca="1">OFFSET(Industries!B$1,MATCH(Table1[[#This Row],[Ticker]],Industries!$A$2:$A$140,0),0)</f>
        <v>Mega-Cap</v>
      </c>
      <c r="G1844" t="str">
        <f ca="1">OFFSET(Industries!F$1,MATCH(Table1[[#This Row],[Ticker]],Industries!$A$2:$A$140,0),0)</f>
        <v>A+</v>
      </c>
      <c r="H1844" t="s">
        <v>1434</v>
      </c>
      <c r="I1844" t="s">
        <v>1434</v>
      </c>
      <c r="J1844" s="2">
        <v>45393</v>
      </c>
      <c r="K1844" t="s">
        <v>2</v>
      </c>
      <c r="L1844" t="s">
        <v>3</v>
      </c>
      <c r="M1844" t="s">
        <v>1711</v>
      </c>
      <c r="N1844" s="1">
        <f>Table1[[#This Row],[Consideration Weight]]</f>
        <v>0.08</v>
      </c>
      <c r="O1844" t="s">
        <v>3</v>
      </c>
      <c r="P1844" s="1">
        <v>0.08</v>
      </c>
      <c r="V1844" t="s">
        <v>1069</v>
      </c>
    </row>
    <row r="1845" spans="1:22" x14ac:dyDescent="0.3">
      <c r="A1845" t="s">
        <v>1064</v>
      </c>
      <c r="B1845" t="str">
        <f ca="1">OFFSET(Industries!C$1,MATCH(Table1[[#This Row],[Ticker]],Industries!$A$2:$A$150,0),0)</f>
        <v>Health Care</v>
      </c>
      <c r="C1845" t="str">
        <f ca="1">OFFSET(Industries!D$1,MATCH(Table1[[#This Row],[Ticker]],Industries!$A$2:$A$150,0),0)</f>
        <v>Pharmaceuticals, Biotechnology and Life Sciences</v>
      </c>
      <c r="D1845" t="str">
        <f ca="1">OFFSET(Industries!E$1,MATCH(Table1[[#This Row],[Ticker]],Industries!$A$2:$A$150,0),0)</f>
        <v>Pharmaceuticals</v>
      </c>
      <c r="E1845" t="s">
        <v>49</v>
      </c>
      <c r="F1845" t="str">
        <f ca="1">OFFSET(Industries!B$1,MATCH(Table1[[#This Row],[Ticker]],Industries!$A$2:$A$140,0),0)</f>
        <v>Mega-Cap</v>
      </c>
      <c r="G1845" t="str">
        <f ca="1">OFFSET(Industries!F$1,MATCH(Table1[[#This Row],[Ticker]],Industries!$A$2:$A$140,0),0)</f>
        <v>A+</v>
      </c>
      <c r="H1845" t="s">
        <v>1434</v>
      </c>
      <c r="I1845" t="s">
        <v>1434</v>
      </c>
      <c r="J1845" s="2">
        <v>45393</v>
      </c>
      <c r="K1845" t="s">
        <v>2</v>
      </c>
      <c r="L1845" t="s">
        <v>1708</v>
      </c>
      <c r="M1845" t="s">
        <v>1709</v>
      </c>
      <c r="N1845" s="1">
        <f>Table1[[#This Row],[Consideration Weight]]</f>
        <v>0.12</v>
      </c>
      <c r="O1845" t="s">
        <v>4</v>
      </c>
      <c r="P1845" s="1">
        <v>0.12</v>
      </c>
      <c r="Q1845" s="1" t="s">
        <v>1636</v>
      </c>
      <c r="R1845" t="s">
        <v>23</v>
      </c>
      <c r="S1845" t="s">
        <v>1083</v>
      </c>
      <c r="T1845" t="s">
        <v>7</v>
      </c>
      <c r="U1845" s="1">
        <v>0.35</v>
      </c>
      <c r="V1845" t="s">
        <v>1070</v>
      </c>
    </row>
    <row r="1846" spans="1:22" x14ac:dyDescent="0.3">
      <c r="A1846" t="s">
        <v>1064</v>
      </c>
      <c r="B1846" t="str">
        <f ca="1">OFFSET(Industries!C$1,MATCH(Table1[[#This Row],[Ticker]],Industries!$A$2:$A$150,0),0)</f>
        <v>Health Care</v>
      </c>
      <c r="C1846" t="str">
        <f ca="1">OFFSET(Industries!D$1,MATCH(Table1[[#This Row],[Ticker]],Industries!$A$2:$A$150,0),0)</f>
        <v>Pharmaceuticals, Biotechnology and Life Sciences</v>
      </c>
      <c r="D1846" t="str">
        <f ca="1">OFFSET(Industries!E$1,MATCH(Table1[[#This Row],[Ticker]],Industries!$A$2:$A$150,0),0)</f>
        <v>Pharmaceuticals</v>
      </c>
      <c r="E1846" t="s">
        <v>49</v>
      </c>
      <c r="F1846" t="str">
        <f ca="1">OFFSET(Industries!B$1,MATCH(Table1[[#This Row],[Ticker]],Industries!$A$2:$A$140,0),0)</f>
        <v>Mega-Cap</v>
      </c>
      <c r="G1846" t="str">
        <f ca="1">OFFSET(Industries!F$1,MATCH(Table1[[#This Row],[Ticker]],Industries!$A$2:$A$140,0),0)</f>
        <v>A+</v>
      </c>
      <c r="H1846" t="s">
        <v>1434</v>
      </c>
      <c r="I1846" t="s">
        <v>1434</v>
      </c>
      <c r="J1846" s="2">
        <v>45393</v>
      </c>
      <c r="K1846" t="s">
        <v>2</v>
      </c>
      <c r="L1846" t="s">
        <v>1708</v>
      </c>
      <c r="M1846" t="s">
        <v>1709</v>
      </c>
      <c r="N1846" s="1"/>
      <c r="O1846" t="s">
        <v>4</v>
      </c>
      <c r="P1846" s="1">
        <v>0.12</v>
      </c>
      <c r="Q1846" s="1" t="s">
        <v>1636</v>
      </c>
      <c r="R1846" t="s">
        <v>24</v>
      </c>
      <c r="S1846" t="s">
        <v>851</v>
      </c>
      <c r="T1846" t="s">
        <v>166</v>
      </c>
      <c r="U1846" s="1">
        <v>0.35</v>
      </c>
      <c r="V1846" t="s">
        <v>1071</v>
      </c>
    </row>
    <row r="1847" spans="1:22" x14ac:dyDescent="0.3">
      <c r="A1847" t="s">
        <v>1064</v>
      </c>
      <c r="B1847" t="str">
        <f ca="1">OFFSET(Industries!C$1,MATCH(Table1[[#This Row],[Ticker]],Industries!$A$2:$A$150,0),0)</f>
        <v>Health Care</v>
      </c>
      <c r="C1847" t="str">
        <f ca="1">OFFSET(Industries!D$1,MATCH(Table1[[#This Row],[Ticker]],Industries!$A$2:$A$150,0),0)</f>
        <v>Pharmaceuticals, Biotechnology and Life Sciences</v>
      </c>
      <c r="D1847" t="str">
        <f ca="1">OFFSET(Industries!E$1,MATCH(Table1[[#This Row],[Ticker]],Industries!$A$2:$A$150,0),0)</f>
        <v>Pharmaceuticals</v>
      </c>
      <c r="E1847" t="s">
        <v>49</v>
      </c>
      <c r="F1847" t="str">
        <f ca="1">OFFSET(Industries!B$1,MATCH(Table1[[#This Row],[Ticker]],Industries!$A$2:$A$140,0),0)</f>
        <v>Mega-Cap</v>
      </c>
      <c r="G1847" t="str">
        <f ca="1">OFFSET(Industries!F$1,MATCH(Table1[[#This Row],[Ticker]],Industries!$A$2:$A$140,0),0)</f>
        <v>A+</v>
      </c>
      <c r="H1847" t="s">
        <v>1434</v>
      </c>
      <c r="I1847" t="s">
        <v>1434</v>
      </c>
      <c r="J1847" s="2">
        <v>45393</v>
      </c>
      <c r="K1847" t="s">
        <v>2</v>
      </c>
      <c r="L1847" t="s">
        <v>1708</v>
      </c>
      <c r="M1847" t="s">
        <v>1709</v>
      </c>
      <c r="N1847" s="1"/>
      <c r="O1847" t="s">
        <v>4</v>
      </c>
      <c r="P1847" s="1">
        <v>0.12</v>
      </c>
      <c r="Q1847" s="1" t="s">
        <v>1637</v>
      </c>
      <c r="R1847" t="s">
        <v>25</v>
      </c>
      <c r="S1847" t="s">
        <v>344</v>
      </c>
      <c r="T1847" t="s">
        <v>344</v>
      </c>
      <c r="U1847" s="1">
        <v>0.2</v>
      </c>
      <c r="V1847" t="s">
        <v>1072</v>
      </c>
    </row>
    <row r="1848" spans="1:22" x14ac:dyDescent="0.3">
      <c r="A1848" t="s">
        <v>1064</v>
      </c>
      <c r="B1848" t="str">
        <f ca="1">OFFSET(Industries!C$1,MATCH(Table1[[#This Row],[Ticker]],Industries!$A$2:$A$150,0),0)</f>
        <v>Health Care</v>
      </c>
      <c r="C1848" t="str">
        <f ca="1">OFFSET(Industries!D$1,MATCH(Table1[[#This Row],[Ticker]],Industries!$A$2:$A$150,0),0)</f>
        <v>Pharmaceuticals, Biotechnology and Life Sciences</v>
      </c>
      <c r="D1848" t="str">
        <f ca="1">OFFSET(Industries!E$1,MATCH(Table1[[#This Row],[Ticker]],Industries!$A$2:$A$150,0),0)</f>
        <v>Pharmaceuticals</v>
      </c>
      <c r="E1848" t="s">
        <v>49</v>
      </c>
      <c r="F1848" t="str">
        <f ca="1">OFFSET(Industries!B$1,MATCH(Table1[[#This Row],[Ticker]],Industries!$A$2:$A$140,0),0)</f>
        <v>Mega-Cap</v>
      </c>
      <c r="G1848" t="str">
        <f ca="1">OFFSET(Industries!F$1,MATCH(Table1[[#This Row],[Ticker]],Industries!$A$2:$A$140,0),0)</f>
        <v>A+</v>
      </c>
      <c r="H1848" t="s">
        <v>1434</v>
      </c>
      <c r="I1848" t="s">
        <v>1434</v>
      </c>
      <c r="J1848" s="2">
        <v>45393</v>
      </c>
      <c r="K1848" t="s">
        <v>2</v>
      </c>
      <c r="L1848" t="s">
        <v>1708</v>
      </c>
      <c r="M1848" t="s">
        <v>1709</v>
      </c>
      <c r="N1848" s="1"/>
      <c r="O1848" t="s">
        <v>4</v>
      </c>
      <c r="P1848" s="1">
        <v>0.12</v>
      </c>
      <c r="Q1848" s="1" t="s">
        <v>1637</v>
      </c>
      <c r="R1848" t="s">
        <v>26</v>
      </c>
      <c r="S1848" t="s">
        <v>26</v>
      </c>
      <c r="T1848" t="s">
        <v>1065</v>
      </c>
      <c r="U1848" s="1">
        <v>0.1</v>
      </c>
      <c r="V1848" t="s">
        <v>1073</v>
      </c>
    </row>
    <row r="1849" spans="1:22" x14ac:dyDescent="0.3">
      <c r="A1849" t="s">
        <v>1064</v>
      </c>
      <c r="B1849" t="str">
        <f ca="1">OFFSET(Industries!C$1,MATCH(Table1[[#This Row],[Ticker]],Industries!$A$2:$A$150,0),0)</f>
        <v>Health Care</v>
      </c>
      <c r="C1849" t="str">
        <f ca="1">OFFSET(Industries!D$1,MATCH(Table1[[#This Row],[Ticker]],Industries!$A$2:$A$150,0),0)</f>
        <v>Pharmaceuticals, Biotechnology and Life Sciences</v>
      </c>
      <c r="D1849" t="str">
        <f ca="1">OFFSET(Industries!E$1,MATCH(Table1[[#This Row],[Ticker]],Industries!$A$2:$A$150,0),0)</f>
        <v>Pharmaceuticals</v>
      </c>
      <c r="E1849" t="s">
        <v>49</v>
      </c>
      <c r="F1849" t="str">
        <f ca="1">OFFSET(Industries!B$1,MATCH(Table1[[#This Row],[Ticker]],Industries!$A$2:$A$140,0),0)</f>
        <v>Mega-Cap</v>
      </c>
      <c r="G1849" t="str">
        <f ca="1">OFFSET(Industries!F$1,MATCH(Table1[[#This Row],[Ticker]],Industries!$A$2:$A$140,0),0)</f>
        <v>A+</v>
      </c>
      <c r="H1849" t="s">
        <v>1434</v>
      </c>
      <c r="I1849" t="s">
        <v>1434</v>
      </c>
      <c r="J1849" s="2">
        <v>45393</v>
      </c>
      <c r="K1849" t="s">
        <v>2</v>
      </c>
      <c r="L1849" t="s">
        <v>1710</v>
      </c>
      <c r="M1849" t="s">
        <v>1709</v>
      </c>
      <c r="N1849" s="1">
        <f>Table1[[#This Row],[Consideration Weight]]</f>
        <v>0.56000000000000005</v>
      </c>
      <c r="O1849" t="s">
        <v>476</v>
      </c>
      <c r="P1849" s="1">
        <v>0.56000000000000005</v>
      </c>
      <c r="Q1849" s="1" t="s">
        <v>1636</v>
      </c>
      <c r="R1849" t="s">
        <v>24</v>
      </c>
      <c r="S1849" t="s">
        <v>1089</v>
      </c>
      <c r="T1849" t="s">
        <v>539</v>
      </c>
      <c r="U1849" s="1">
        <v>0.5</v>
      </c>
      <c r="V1849" t="s">
        <v>506</v>
      </c>
    </row>
    <row r="1850" spans="1:22" x14ac:dyDescent="0.3">
      <c r="A1850" t="s">
        <v>1064</v>
      </c>
      <c r="B1850" t="str">
        <f ca="1">OFFSET(Industries!C$1,MATCH(Table1[[#This Row],[Ticker]],Industries!$A$2:$A$150,0),0)</f>
        <v>Health Care</v>
      </c>
      <c r="C1850" t="str">
        <f ca="1">OFFSET(Industries!D$1,MATCH(Table1[[#This Row],[Ticker]],Industries!$A$2:$A$150,0),0)</f>
        <v>Pharmaceuticals, Biotechnology and Life Sciences</v>
      </c>
      <c r="D1850" t="str">
        <f ca="1">OFFSET(Industries!E$1,MATCH(Table1[[#This Row],[Ticker]],Industries!$A$2:$A$150,0),0)</f>
        <v>Pharmaceuticals</v>
      </c>
      <c r="E1850" t="s">
        <v>49</v>
      </c>
      <c r="F1850" t="str">
        <f ca="1">OFFSET(Industries!B$1,MATCH(Table1[[#This Row],[Ticker]],Industries!$A$2:$A$140,0),0)</f>
        <v>Mega-Cap</v>
      </c>
      <c r="G1850" t="str">
        <f ca="1">OFFSET(Industries!F$1,MATCH(Table1[[#This Row],[Ticker]],Industries!$A$2:$A$140,0),0)</f>
        <v>A+</v>
      </c>
      <c r="H1850" t="s">
        <v>1434</v>
      </c>
      <c r="I1850" t="s">
        <v>1434</v>
      </c>
      <c r="J1850" s="2">
        <v>45393</v>
      </c>
      <c r="K1850" t="s">
        <v>2</v>
      </c>
      <c r="L1850" t="s">
        <v>1710</v>
      </c>
      <c r="M1850" t="s">
        <v>1709</v>
      </c>
      <c r="N1850" s="1"/>
      <c r="O1850" t="s">
        <v>476</v>
      </c>
      <c r="P1850" s="1">
        <v>0.56000000000000005</v>
      </c>
      <c r="Q1850" s="1" t="s">
        <v>1646</v>
      </c>
      <c r="R1850" t="s">
        <v>35</v>
      </c>
      <c r="S1850" t="s">
        <v>29</v>
      </c>
      <c r="T1850" t="s">
        <v>1066</v>
      </c>
      <c r="U1850" s="1">
        <v>0.5</v>
      </c>
      <c r="V1850" t="s">
        <v>1068</v>
      </c>
    </row>
    <row r="1851" spans="1:22" x14ac:dyDescent="0.3">
      <c r="A1851" t="s">
        <v>1064</v>
      </c>
      <c r="B1851" t="str">
        <f ca="1">OFFSET(Industries!C$1,MATCH(Table1[[#This Row],[Ticker]],Industries!$A$2:$A$150,0),0)</f>
        <v>Health Care</v>
      </c>
      <c r="C1851" t="str">
        <f ca="1">OFFSET(Industries!D$1,MATCH(Table1[[#This Row],[Ticker]],Industries!$A$2:$A$150,0),0)</f>
        <v>Pharmaceuticals, Biotechnology and Life Sciences</v>
      </c>
      <c r="D1851" t="str">
        <f ca="1">OFFSET(Industries!E$1,MATCH(Table1[[#This Row],[Ticker]],Industries!$A$2:$A$150,0),0)</f>
        <v>Pharmaceuticals</v>
      </c>
      <c r="E1851" t="s">
        <v>49</v>
      </c>
      <c r="F1851" t="str">
        <f ca="1">OFFSET(Industries!B$1,MATCH(Table1[[#This Row],[Ticker]],Industries!$A$2:$A$140,0),0)</f>
        <v>Mega-Cap</v>
      </c>
      <c r="G1851" t="str">
        <f ca="1">OFFSET(Industries!F$1,MATCH(Table1[[#This Row],[Ticker]],Industries!$A$2:$A$140,0),0)</f>
        <v>A+</v>
      </c>
      <c r="H1851" t="s">
        <v>1434</v>
      </c>
      <c r="I1851" t="s">
        <v>1434</v>
      </c>
      <c r="J1851" s="2">
        <v>45393</v>
      </c>
      <c r="K1851" t="s">
        <v>2</v>
      </c>
      <c r="L1851" t="s">
        <v>1710</v>
      </c>
      <c r="M1851" t="s">
        <v>1709</v>
      </c>
      <c r="N1851" s="1"/>
      <c r="O1851" t="s">
        <v>476</v>
      </c>
      <c r="P1851" s="1">
        <v>0.56000000000000005</v>
      </c>
      <c r="R1851" t="s">
        <v>28</v>
      </c>
      <c r="S1851" t="s">
        <v>36</v>
      </c>
      <c r="T1851" t="s">
        <v>1067</v>
      </c>
    </row>
    <row r="1852" spans="1:22" x14ac:dyDescent="0.3">
      <c r="A1852" t="s">
        <v>1064</v>
      </c>
      <c r="B1852" t="str">
        <f ca="1">OFFSET(Industries!C$1,MATCH(Table1[[#This Row],[Ticker]],Industries!$A$2:$A$150,0),0)</f>
        <v>Health Care</v>
      </c>
      <c r="C1852" t="str">
        <f ca="1">OFFSET(Industries!D$1,MATCH(Table1[[#This Row],[Ticker]],Industries!$A$2:$A$150,0),0)</f>
        <v>Pharmaceuticals, Biotechnology and Life Sciences</v>
      </c>
      <c r="D1852" t="str">
        <f ca="1">OFFSET(Industries!E$1,MATCH(Table1[[#This Row],[Ticker]],Industries!$A$2:$A$150,0),0)</f>
        <v>Pharmaceuticals</v>
      </c>
      <c r="E1852" t="s">
        <v>49</v>
      </c>
      <c r="F1852" t="str">
        <f ca="1">OFFSET(Industries!B$1,MATCH(Table1[[#This Row],[Ticker]],Industries!$A$2:$A$140,0),0)</f>
        <v>Mega-Cap</v>
      </c>
      <c r="G1852" t="str">
        <f ca="1">OFFSET(Industries!F$1,MATCH(Table1[[#This Row],[Ticker]],Industries!$A$2:$A$140,0),0)</f>
        <v>A+</v>
      </c>
      <c r="H1852" t="s">
        <v>1434</v>
      </c>
      <c r="I1852" t="s">
        <v>1434</v>
      </c>
      <c r="J1852" s="2">
        <v>45393</v>
      </c>
      <c r="K1852" t="s">
        <v>2</v>
      </c>
      <c r="L1852" t="s">
        <v>1710</v>
      </c>
      <c r="M1852" t="s">
        <v>1711</v>
      </c>
      <c r="N1852" s="1">
        <f>Table1[[#This Row],[Consideration Weight]]</f>
        <v>0.24</v>
      </c>
      <c r="O1852" t="s">
        <v>87</v>
      </c>
      <c r="P1852" s="1">
        <v>0.24</v>
      </c>
    </row>
    <row r="1853" spans="1:22" x14ac:dyDescent="0.3">
      <c r="A1853" t="s">
        <v>1064</v>
      </c>
      <c r="B1853" t="str">
        <f ca="1">OFFSET(Industries!C$1,MATCH(Table1[[#This Row],[Ticker]],Industries!$A$2:$A$150,0),0)</f>
        <v>Health Care</v>
      </c>
      <c r="C1853" t="str">
        <f ca="1">OFFSET(Industries!D$1,MATCH(Table1[[#This Row],[Ticker]],Industries!$A$2:$A$150,0),0)</f>
        <v>Pharmaceuticals, Biotechnology and Life Sciences</v>
      </c>
      <c r="D1853" t="str">
        <f ca="1">OFFSET(Industries!E$1,MATCH(Table1[[#This Row],[Ticker]],Industries!$A$2:$A$150,0),0)</f>
        <v>Pharmaceuticals</v>
      </c>
      <c r="E1853" t="s">
        <v>49</v>
      </c>
      <c r="F1853" t="str">
        <f ca="1">OFFSET(Industries!B$1,MATCH(Table1[[#This Row],[Ticker]],Industries!$A$2:$A$140,0),0)</f>
        <v>Mega-Cap</v>
      </c>
      <c r="G1853" t="str">
        <f ca="1">OFFSET(Industries!F$1,MATCH(Table1[[#This Row],[Ticker]],Industries!$A$2:$A$140,0),0)</f>
        <v>A+</v>
      </c>
      <c r="H1853" t="s">
        <v>1434</v>
      </c>
      <c r="I1853" t="s">
        <v>1434</v>
      </c>
      <c r="J1853" s="2">
        <v>45393</v>
      </c>
      <c r="K1853" t="s">
        <v>21</v>
      </c>
      <c r="L1853" t="s">
        <v>3</v>
      </c>
      <c r="M1853" t="s">
        <v>1711</v>
      </c>
      <c r="N1853" s="1">
        <f>Table1[[#This Row],[Consideration Weight]]</f>
        <v>0.18</v>
      </c>
      <c r="O1853" t="s">
        <v>3</v>
      </c>
      <c r="P1853" s="1">
        <v>0.18</v>
      </c>
    </row>
    <row r="1854" spans="1:22" x14ac:dyDescent="0.3">
      <c r="A1854" t="s">
        <v>1064</v>
      </c>
      <c r="B1854" t="str">
        <f ca="1">OFFSET(Industries!C$1,MATCH(Table1[[#This Row],[Ticker]],Industries!$A$2:$A$150,0),0)</f>
        <v>Health Care</v>
      </c>
      <c r="C1854" t="str">
        <f ca="1">OFFSET(Industries!D$1,MATCH(Table1[[#This Row],[Ticker]],Industries!$A$2:$A$150,0),0)</f>
        <v>Pharmaceuticals, Biotechnology and Life Sciences</v>
      </c>
      <c r="D1854" t="str">
        <f ca="1">OFFSET(Industries!E$1,MATCH(Table1[[#This Row],[Ticker]],Industries!$A$2:$A$150,0),0)</f>
        <v>Pharmaceuticals</v>
      </c>
      <c r="E1854" t="s">
        <v>49</v>
      </c>
      <c r="F1854" t="str">
        <f ca="1">OFFSET(Industries!B$1,MATCH(Table1[[#This Row],[Ticker]],Industries!$A$2:$A$140,0),0)</f>
        <v>Mega-Cap</v>
      </c>
      <c r="G1854" t="str">
        <f ca="1">OFFSET(Industries!F$1,MATCH(Table1[[#This Row],[Ticker]],Industries!$A$2:$A$140,0),0)</f>
        <v>A+</v>
      </c>
      <c r="H1854" t="s">
        <v>1434</v>
      </c>
      <c r="I1854" t="s">
        <v>1434</v>
      </c>
      <c r="J1854" s="2">
        <v>45393</v>
      </c>
      <c r="K1854" t="s">
        <v>21</v>
      </c>
      <c r="L1854" t="s">
        <v>1708</v>
      </c>
      <c r="M1854" t="s">
        <v>1709</v>
      </c>
      <c r="N1854" s="1">
        <f>Table1[[#This Row],[Consideration Weight]]</f>
        <v>0.18</v>
      </c>
      <c r="O1854" t="s">
        <v>4</v>
      </c>
      <c r="P1854" s="1">
        <v>0.18</v>
      </c>
      <c r="Q1854" s="1" t="s">
        <v>1636</v>
      </c>
      <c r="R1854" t="s">
        <v>23</v>
      </c>
      <c r="S1854" t="s">
        <v>1083</v>
      </c>
      <c r="T1854" t="s">
        <v>7</v>
      </c>
      <c r="U1854" s="1">
        <v>0.35</v>
      </c>
    </row>
    <row r="1855" spans="1:22" x14ac:dyDescent="0.3">
      <c r="A1855" t="s">
        <v>1064</v>
      </c>
      <c r="B1855" t="str">
        <f ca="1">OFFSET(Industries!C$1,MATCH(Table1[[#This Row],[Ticker]],Industries!$A$2:$A$150,0),0)</f>
        <v>Health Care</v>
      </c>
      <c r="C1855" t="str">
        <f ca="1">OFFSET(Industries!D$1,MATCH(Table1[[#This Row],[Ticker]],Industries!$A$2:$A$150,0),0)</f>
        <v>Pharmaceuticals, Biotechnology and Life Sciences</v>
      </c>
      <c r="D1855" t="str">
        <f ca="1">OFFSET(Industries!E$1,MATCH(Table1[[#This Row],[Ticker]],Industries!$A$2:$A$150,0),0)</f>
        <v>Pharmaceuticals</v>
      </c>
      <c r="E1855" t="s">
        <v>49</v>
      </c>
      <c r="F1855" t="str">
        <f ca="1">OFFSET(Industries!B$1,MATCH(Table1[[#This Row],[Ticker]],Industries!$A$2:$A$140,0),0)</f>
        <v>Mega-Cap</v>
      </c>
      <c r="G1855" t="str">
        <f ca="1">OFFSET(Industries!F$1,MATCH(Table1[[#This Row],[Ticker]],Industries!$A$2:$A$140,0),0)</f>
        <v>A+</v>
      </c>
      <c r="H1855" t="s">
        <v>1434</v>
      </c>
      <c r="I1855" t="s">
        <v>1434</v>
      </c>
      <c r="J1855" s="2">
        <v>45393</v>
      </c>
      <c r="K1855" t="s">
        <v>21</v>
      </c>
      <c r="L1855" t="s">
        <v>1708</v>
      </c>
      <c r="M1855" t="s">
        <v>1709</v>
      </c>
      <c r="N1855" s="1"/>
      <c r="O1855" t="s">
        <v>4</v>
      </c>
      <c r="P1855" s="1">
        <v>0.18</v>
      </c>
      <c r="Q1855" s="1" t="s">
        <v>1636</v>
      </c>
      <c r="R1855" t="s">
        <v>24</v>
      </c>
      <c r="S1855" t="s">
        <v>851</v>
      </c>
      <c r="T1855" t="s">
        <v>166</v>
      </c>
      <c r="U1855" s="1">
        <v>0.35</v>
      </c>
    </row>
    <row r="1856" spans="1:22" x14ac:dyDescent="0.3">
      <c r="A1856" t="s">
        <v>1064</v>
      </c>
      <c r="B1856" t="str">
        <f ca="1">OFFSET(Industries!C$1,MATCH(Table1[[#This Row],[Ticker]],Industries!$A$2:$A$150,0),0)</f>
        <v>Health Care</v>
      </c>
      <c r="C1856" t="str">
        <f ca="1">OFFSET(Industries!D$1,MATCH(Table1[[#This Row],[Ticker]],Industries!$A$2:$A$150,0),0)</f>
        <v>Pharmaceuticals, Biotechnology and Life Sciences</v>
      </c>
      <c r="D1856" t="str">
        <f ca="1">OFFSET(Industries!E$1,MATCH(Table1[[#This Row],[Ticker]],Industries!$A$2:$A$150,0),0)</f>
        <v>Pharmaceuticals</v>
      </c>
      <c r="E1856" t="s">
        <v>49</v>
      </c>
      <c r="F1856" t="str">
        <f ca="1">OFFSET(Industries!B$1,MATCH(Table1[[#This Row],[Ticker]],Industries!$A$2:$A$140,0),0)</f>
        <v>Mega-Cap</v>
      </c>
      <c r="G1856" t="str">
        <f ca="1">OFFSET(Industries!F$1,MATCH(Table1[[#This Row],[Ticker]],Industries!$A$2:$A$140,0),0)</f>
        <v>A+</v>
      </c>
      <c r="H1856" t="s">
        <v>1434</v>
      </c>
      <c r="I1856" t="s">
        <v>1434</v>
      </c>
      <c r="J1856" s="2">
        <v>45393</v>
      </c>
      <c r="K1856" t="s">
        <v>21</v>
      </c>
      <c r="L1856" t="s">
        <v>1708</v>
      </c>
      <c r="M1856" t="s">
        <v>1709</v>
      </c>
      <c r="N1856" s="1"/>
      <c r="O1856" t="s">
        <v>4</v>
      </c>
      <c r="P1856" s="1">
        <v>0.18</v>
      </c>
      <c r="Q1856" s="1" t="s">
        <v>1637</v>
      </c>
      <c r="R1856" t="s">
        <v>25</v>
      </c>
      <c r="S1856" t="s">
        <v>344</v>
      </c>
      <c r="T1856" t="s">
        <v>344</v>
      </c>
      <c r="U1856" s="1">
        <v>0.2</v>
      </c>
    </row>
    <row r="1857" spans="1:22" x14ac:dyDescent="0.3">
      <c r="A1857" t="s">
        <v>1064</v>
      </c>
      <c r="B1857" t="str">
        <f ca="1">OFFSET(Industries!C$1,MATCH(Table1[[#This Row],[Ticker]],Industries!$A$2:$A$150,0),0)</f>
        <v>Health Care</v>
      </c>
      <c r="C1857" t="str">
        <f ca="1">OFFSET(Industries!D$1,MATCH(Table1[[#This Row],[Ticker]],Industries!$A$2:$A$150,0),0)</f>
        <v>Pharmaceuticals, Biotechnology and Life Sciences</v>
      </c>
      <c r="D1857" t="str">
        <f ca="1">OFFSET(Industries!E$1,MATCH(Table1[[#This Row],[Ticker]],Industries!$A$2:$A$150,0),0)</f>
        <v>Pharmaceuticals</v>
      </c>
      <c r="E1857" t="s">
        <v>49</v>
      </c>
      <c r="F1857" t="str">
        <f ca="1">OFFSET(Industries!B$1,MATCH(Table1[[#This Row],[Ticker]],Industries!$A$2:$A$140,0),0)</f>
        <v>Mega-Cap</v>
      </c>
      <c r="G1857" t="str">
        <f ca="1">OFFSET(Industries!F$1,MATCH(Table1[[#This Row],[Ticker]],Industries!$A$2:$A$140,0),0)</f>
        <v>A+</v>
      </c>
      <c r="H1857" t="s">
        <v>1434</v>
      </c>
      <c r="I1857" t="s">
        <v>1434</v>
      </c>
      <c r="J1857" s="2">
        <v>45393</v>
      </c>
      <c r="K1857" t="s">
        <v>21</v>
      </c>
      <c r="L1857" t="s">
        <v>1708</v>
      </c>
      <c r="M1857" t="s">
        <v>1709</v>
      </c>
      <c r="N1857" s="1"/>
      <c r="O1857" t="s">
        <v>4</v>
      </c>
      <c r="P1857" s="1">
        <v>0.18</v>
      </c>
      <c r="Q1857" s="1" t="s">
        <v>1637</v>
      </c>
      <c r="R1857" t="s">
        <v>26</v>
      </c>
      <c r="S1857" t="s">
        <v>26</v>
      </c>
      <c r="T1857" t="s">
        <v>1065</v>
      </c>
      <c r="U1857" s="1">
        <v>0.1</v>
      </c>
    </row>
    <row r="1858" spans="1:22" x14ac:dyDescent="0.3">
      <c r="A1858" t="s">
        <v>1064</v>
      </c>
      <c r="B1858" t="str">
        <f ca="1">OFFSET(Industries!C$1,MATCH(Table1[[#This Row],[Ticker]],Industries!$A$2:$A$150,0),0)</f>
        <v>Health Care</v>
      </c>
      <c r="C1858" t="str">
        <f ca="1">OFFSET(Industries!D$1,MATCH(Table1[[#This Row],[Ticker]],Industries!$A$2:$A$150,0),0)</f>
        <v>Pharmaceuticals, Biotechnology and Life Sciences</v>
      </c>
      <c r="D1858" t="str">
        <f ca="1">OFFSET(Industries!E$1,MATCH(Table1[[#This Row],[Ticker]],Industries!$A$2:$A$150,0),0)</f>
        <v>Pharmaceuticals</v>
      </c>
      <c r="E1858" t="s">
        <v>49</v>
      </c>
      <c r="F1858" t="str">
        <f ca="1">OFFSET(Industries!B$1,MATCH(Table1[[#This Row],[Ticker]],Industries!$A$2:$A$140,0),0)</f>
        <v>Mega-Cap</v>
      </c>
      <c r="G1858" t="str">
        <f ca="1">OFFSET(Industries!F$1,MATCH(Table1[[#This Row],[Ticker]],Industries!$A$2:$A$140,0),0)</f>
        <v>A+</v>
      </c>
      <c r="H1858" t="s">
        <v>1434</v>
      </c>
      <c r="I1858" t="s">
        <v>1434</v>
      </c>
      <c r="J1858" s="2">
        <v>45393</v>
      </c>
      <c r="K1858" t="s">
        <v>21</v>
      </c>
      <c r="L1858" t="s">
        <v>1710</v>
      </c>
      <c r="M1858" t="s">
        <v>1709</v>
      </c>
      <c r="N1858" s="1">
        <f>Table1[[#This Row],[Consideration Weight]]</f>
        <v>0.45</v>
      </c>
      <c r="O1858" t="s">
        <v>476</v>
      </c>
      <c r="P1858" s="1">
        <v>0.45</v>
      </c>
      <c r="Q1858" s="1" t="s">
        <v>1636</v>
      </c>
      <c r="R1858" t="s">
        <v>24</v>
      </c>
      <c r="S1858" t="s">
        <v>1089</v>
      </c>
      <c r="T1858" t="s">
        <v>539</v>
      </c>
      <c r="U1858" s="1">
        <v>0.5</v>
      </c>
    </row>
    <row r="1859" spans="1:22" x14ac:dyDescent="0.3">
      <c r="A1859" t="s">
        <v>1064</v>
      </c>
      <c r="B1859" t="str">
        <f ca="1">OFFSET(Industries!C$1,MATCH(Table1[[#This Row],[Ticker]],Industries!$A$2:$A$150,0),0)</f>
        <v>Health Care</v>
      </c>
      <c r="C1859" t="str">
        <f ca="1">OFFSET(Industries!D$1,MATCH(Table1[[#This Row],[Ticker]],Industries!$A$2:$A$150,0),0)</f>
        <v>Pharmaceuticals, Biotechnology and Life Sciences</v>
      </c>
      <c r="D1859" t="str">
        <f ca="1">OFFSET(Industries!E$1,MATCH(Table1[[#This Row],[Ticker]],Industries!$A$2:$A$150,0),0)</f>
        <v>Pharmaceuticals</v>
      </c>
      <c r="E1859" t="s">
        <v>49</v>
      </c>
      <c r="F1859" t="str">
        <f ca="1">OFFSET(Industries!B$1,MATCH(Table1[[#This Row],[Ticker]],Industries!$A$2:$A$140,0),0)</f>
        <v>Mega-Cap</v>
      </c>
      <c r="G1859" t="str">
        <f ca="1">OFFSET(Industries!F$1,MATCH(Table1[[#This Row],[Ticker]],Industries!$A$2:$A$140,0),0)</f>
        <v>A+</v>
      </c>
      <c r="H1859" t="s">
        <v>1434</v>
      </c>
      <c r="I1859" t="s">
        <v>1434</v>
      </c>
      <c r="J1859" s="2">
        <v>45393</v>
      </c>
      <c r="K1859" t="s">
        <v>21</v>
      </c>
      <c r="L1859" t="s">
        <v>1710</v>
      </c>
      <c r="M1859" t="s">
        <v>1709</v>
      </c>
      <c r="N1859" s="1"/>
      <c r="O1859" t="s">
        <v>476</v>
      </c>
      <c r="P1859" s="1">
        <v>0.45</v>
      </c>
      <c r="Q1859" s="1" t="s">
        <v>1646</v>
      </c>
      <c r="R1859" t="s">
        <v>35</v>
      </c>
      <c r="S1859" t="s">
        <v>29</v>
      </c>
      <c r="T1859" t="s">
        <v>1066</v>
      </c>
      <c r="U1859" s="1">
        <v>0.5</v>
      </c>
    </row>
    <row r="1860" spans="1:22" x14ac:dyDescent="0.3">
      <c r="A1860" t="s">
        <v>1064</v>
      </c>
      <c r="B1860" t="str">
        <f ca="1">OFFSET(Industries!C$1,MATCH(Table1[[#This Row],[Ticker]],Industries!$A$2:$A$150,0),0)</f>
        <v>Health Care</v>
      </c>
      <c r="C1860" t="str">
        <f ca="1">OFFSET(Industries!D$1,MATCH(Table1[[#This Row],[Ticker]],Industries!$A$2:$A$150,0),0)</f>
        <v>Pharmaceuticals, Biotechnology and Life Sciences</v>
      </c>
      <c r="D1860" t="str">
        <f ca="1">OFFSET(Industries!E$1,MATCH(Table1[[#This Row],[Ticker]],Industries!$A$2:$A$150,0),0)</f>
        <v>Pharmaceuticals</v>
      </c>
      <c r="E1860" t="s">
        <v>49</v>
      </c>
      <c r="F1860" t="str">
        <f ca="1">OFFSET(Industries!B$1,MATCH(Table1[[#This Row],[Ticker]],Industries!$A$2:$A$140,0),0)</f>
        <v>Mega-Cap</v>
      </c>
      <c r="G1860" t="str">
        <f ca="1">OFFSET(Industries!F$1,MATCH(Table1[[#This Row],[Ticker]],Industries!$A$2:$A$140,0),0)</f>
        <v>A+</v>
      </c>
      <c r="H1860" t="s">
        <v>1434</v>
      </c>
      <c r="I1860" t="s">
        <v>1434</v>
      </c>
      <c r="J1860" s="2">
        <v>45393</v>
      </c>
      <c r="K1860" t="s">
        <v>21</v>
      </c>
      <c r="L1860" t="s">
        <v>1710</v>
      </c>
      <c r="M1860" t="s">
        <v>1709</v>
      </c>
      <c r="N1860" s="1"/>
      <c r="O1860" t="s">
        <v>476</v>
      </c>
      <c r="P1860" s="1">
        <v>0.45</v>
      </c>
      <c r="R1860" t="s">
        <v>28</v>
      </c>
      <c r="S1860" t="s">
        <v>36</v>
      </c>
      <c r="T1860" t="s">
        <v>1067</v>
      </c>
    </row>
    <row r="1861" spans="1:22" x14ac:dyDescent="0.3">
      <c r="A1861" t="s">
        <v>1064</v>
      </c>
      <c r="B1861" t="str">
        <f ca="1">OFFSET(Industries!C$1,MATCH(Table1[[#This Row],[Ticker]],Industries!$A$2:$A$150,0),0)</f>
        <v>Health Care</v>
      </c>
      <c r="C1861" t="str">
        <f ca="1">OFFSET(Industries!D$1,MATCH(Table1[[#This Row],[Ticker]],Industries!$A$2:$A$150,0),0)</f>
        <v>Pharmaceuticals, Biotechnology and Life Sciences</v>
      </c>
      <c r="D1861" t="str">
        <f ca="1">OFFSET(Industries!E$1,MATCH(Table1[[#This Row],[Ticker]],Industries!$A$2:$A$150,0),0)</f>
        <v>Pharmaceuticals</v>
      </c>
      <c r="E1861" t="s">
        <v>49</v>
      </c>
      <c r="F1861" t="str">
        <f ca="1">OFFSET(Industries!B$1,MATCH(Table1[[#This Row],[Ticker]],Industries!$A$2:$A$140,0),0)</f>
        <v>Mega-Cap</v>
      </c>
      <c r="G1861" t="str">
        <f ca="1">OFFSET(Industries!F$1,MATCH(Table1[[#This Row],[Ticker]],Industries!$A$2:$A$140,0),0)</f>
        <v>A+</v>
      </c>
      <c r="H1861" t="s">
        <v>1434</v>
      </c>
      <c r="I1861" t="s">
        <v>1434</v>
      </c>
      <c r="J1861" s="2">
        <v>45393</v>
      </c>
      <c r="K1861" t="s">
        <v>21</v>
      </c>
      <c r="L1861" t="s">
        <v>1710</v>
      </c>
      <c r="M1861" t="s">
        <v>1711</v>
      </c>
      <c r="N1861" s="1">
        <f>Table1[[#This Row],[Consideration Weight]]</f>
        <v>0.19</v>
      </c>
      <c r="O1861" t="s">
        <v>87</v>
      </c>
      <c r="P1861" s="1">
        <v>0.19</v>
      </c>
    </row>
    <row r="1862" spans="1:22" x14ac:dyDescent="0.3">
      <c r="A1862" t="s">
        <v>1074</v>
      </c>
      <c r="B1862" t="str">
        <f ca="1">OFFSET(Industries!C$1,MATCH(Table1[[#This Row],[Ticker]],Industries!$A$2:$A$150,0),0)</f>
        <v>Real Estate</v>
      </c>
      <c r="C1862" t="str">
        <f ca="1">OFFSET(Industries!D$1,MATCH(Table1[[#This Row],[Ticker]],Industries!$A$2:$A$150,0),0)</f>
        <v>Equity Real Estate Investment Trusts (REITs)</v>
      </c>
      <c r="D1862" t="str">
        <f ca="1">OFFSET(Industries!E$1,MATCH(Table1[[#This Row],[Ticker]],Industries!$A$2:$A$150,0),0)</f>
        <v>Specialized REITs</v>
      </c>
      <c r="E1862" t="s">
        <v>910</v>
      </c>
      <c r="F1862" t="str">
        <f ca="1">OFFSET(Industries!B$1,MATCH(Table1[[#This Row],[Ticker]],Industries!$A$2:$A$140,0),0)</f>
        <v>Large-Cap</v>
      </c>
      <c r="G1862" t="str">
        <f ca="1">OFFSET(Industries!F$1,MATCH(Table1[[#This Row],[Ticker]],Industries!$A$2:$A$140,0),0)</f>
        <v>BBB+</v>
      </c>
      <c r="H1862" t="s">
        <v>1434</v>
      </c>
      <c r="I1862" t="s">
        <v>1434</v>
      </c>
      <c r="J1862" s="2">
        <v>45385</v>
      </c>
      <c r="K1862" t="s">
        <v>2</v>
      </c>
      <c r="L1862" t="s">
        <v>3</v>
      </c>
      <c r="M1862" t="s">
        <v>1711</v>
      </c>
      <c r="N1862" s="1">
        <f>Table1[[#This Row],[Consideration Weight]]</f>
        <v>0.08</v>
      </c>
      <c r="O1862" t="s">
        <v>3</v>
      </c>
      <c r="P1862" s="1">
        <v>0.08</v>
      </c>
      <c r="V1862" t="s">
        <v>1075</v>
      </c>
    </row>
    <row r="1863" spans="1:22" x14ac:dyDescent="0.3">
      <c r="A1863" t="s">
        <v>1074</v>
      </c>
      <c r="B1863" t="str">
        <f ca="1">OFFSET(Industries!C$1,MATCH(Table1[[#This Row],[Ticker]],Industries!$A$2:$A$150,0),0)</f>
        <v>Real Estate</v>
      </c>
      <c r="C1863" t="str">
        <f ca="1">OFFSET(Industries!D$1,MATCH(Table1[[#This Row],[Ticker]],Industries!$A$2:$A$150,0),0)</f>
        <v>Equity Real Estate Investment Trusts (REITs)</v>
      </c>
      <c r="D1863" t="str">
        <f ca="1">OFFSET(Industries!E$1,MATCH(Table1[[#This Row],[Ticker]],Industries!$A$2:$A$150,0),0)</f>
        <v>Specialized REITs</v>
      </c>
      <c r="E1863" t="s">
        <v>910</v>
      </c>
      <c r="F1863" t="str">
        <f ca="1">OFFSET(Industries!B$1,MATCH(Table1[[#This Row],[Ticker]],Industries!$A$2:$A$140,0),0)</f>
        <v>Large-Cap</v>
      </c>
      <c r="G1863" t="str">
        <f ca="1">OFFSET(Industries!F$1,MATCH(Table1[[#This Row],[Ticker]],Industries!$A$2:$A$140,0),0)</f>
        <v>BBB+</v>
      </c>
      <c r="H1863" t="s">
        <v>1434</v>
      </c>
      <c r="I1863" t="s">
        <v>1434</v>
      </c>
      <c r="J1863" s="2">
        <v>45385</v>
      </c>
      <c r="K1863" t="s">
        <v>2</v>
      </c>
      <c r="L1863" t="s">
        <v>1708</v>
      </c>
      <c r="M1863" t="s">
        <v>1709</v>
      </c>
      <c r="N1863" s="1">
        <f>Table1[[#This Row],[Consideration Weight]]</f>
        <v>0.14000000000000001</v>
      </c>
      <c r="O1863" t="s">
        <v>4</v>
      </c>
      <c r="P1863" s="1">
        <v>0.14000000000000001</v>
      </c>
      <c r="Q1863" s="1" t="s">
        <v>1636</v>
      </c>
      <c r="R1863" t="s">
        <v>24</v>
      </c>
      <c r="S1863" t="s">
        <v>1166</v>
      </c>
      <c r="T1863" t="s">
        <v>981</v>
      </c>
      <c r="U1863" s="1">
        <v>0.5</v>
      </c>
      <c r="V1863" t="s">
        <v>1693</v>
      </c>
    </row>
    <row r="1864" spans="1:22" x14ac:dyDescent="0.3">
      <c r="A1864" t="s">
        <v>1074</v>
      </c>
      <c r="B1864" t="str">
        <f ca="1">OFFSET(Industries!C$1,MATCH(Table1[[#This Row],[Ticker]],Industries!$A$2:$A$150,0),0)</f>
        <v>Real Estate</v>
      </c>
      <c r="C1864" t="str">
        <f ca="1">OFFSET(Industries!D$1,MATCH(Table1[[#This Row],[Ticker]],Industries!$A$2:$A$150,0),0)</f>
        <v>Equity Real Estate Investment Trusts (REITs)</v>
      </c>
      <c r="D1864" t="str">
        <f ca="1">OFFSET(Industries!E$1,MATCH(Table1[[#This Row],[Ticker]],Industries!$A$2:$A$150,0),0)</f>
        <v>Specialized REITs</v>
      </c>
      <c r="E1864" t="s">
        <v>910</v>
      </c>
      <c r="F1864" t="str">
        <f ca="1">OFFSET(Industries!B$1,MATCH(Table1[[#This Row],[Ticker]],Industries!$A$2:$A$140,0),0)</f>
        <v>Large-Cap</v>
      </c>
      <c r="G1864" t="str">
        <f ca="1">OFFSET(Industries!F$1,MATCH(Table1[[#This Row],[Ticker]],Industries!$A$2:$A$140,0),0)</f>
        <v>BBB+</v>
      </c>
      <c r="H1864" t="s">
        <v>1434</v>
      </c>
      <c r="I1864" t="s">
        <v>1434</v>
      </c>
      <c r="J1864" s="2">
        <v>45385</v>
      </c>
      <c r="K1864" t="s">
        <v>2</v>
      </c>
      <c r="L1864" t="s">
        <v>1708</v>
      </c>
      <c r="M1864" t="s">
        <v>1709</v>
      </c>
      <c r="N1864" s="1"/>
      <c r="O1864" t="s">
        <v>4</v>
      </c>
      <c r="P1864" s="1">
        <v>0.14000000000000001</v>
      </c>
      <c r="Q1864" s="1" t="s">
        <v>1636</v>
      </c>
      <c r="R1864" t="s">
        <v>25</v>
      </c>
      <c r="S1864" t="s">
        <v>1086</v>
      </c>
      <c r="T1864" t="s">
        <v>1685</v>
      </c>
      <c r="U1864" s="1">
        <v>0.5</v>
      </c>
    </row>
    <row r="1865" spans="1:22" x14ac:dyDescent="0.3">
      <c r="A1865" t="s">
        <v>1074</v>
      </c>
      <c r="B1865" t="str">
        <f ca="1">OFFSET(Industries!C$1,MATCH(Table1[[#This Row],[Ticker]],Industries!$A$2:$A$150,0),0)</f>
        <v>Real Estate</v>
      </c>
      <c r="C1865" t="str">
        <f ca="1">OFFSET(Industries!D$1,MATCH(Table1[[#This Row],[Ticker]],Industries!$A$2:$A$150,0),0)</f>
        <v>Equity Real Estate Investment Trusts (REITs)</v>
      </c>
      <c r="D1865" t="str">
        <f ca="1">OFFSET(Industries!E$1,MATCH(Table1[[#This Row],[Ticker]],Industries!$A$2:$A$150,0),0)</f>
        <v>Specialized REITs</v>
      </c>
      <c r="E1865" t="s">
        <v>910</v>
      </c>
      <c r="F1865" t="str">
        <f ca="1">OFFSET(Industries!B$1,MATCH(Table1[[#This Row],[Ticker]],Industries!$A$2:$A$140,0),0)</f>
        <v>Large-Cap</v>
      </c>
      <c r="G1865" t="str">
        <f ca="1">OFFSET(Industries!F$1,MATCH(Table1[[#This Row],[Ticker]],Industries!$A$2:$A$140,0),0)</f>
        <v>BBB+</v>
      </c>
      <c r="H1865" t="s">
        <v>1434</v>
      </c>
      <c r="I1865" t="s">
        <v>1434</v>
      </c>
      <c r="J1865" s="2">
        <v>45385</v>
      </c>
      <c r="K1865" t="s">
        <v>2</v>
      </c>
      <c r="L1865" t="s">
        <v>1708</v>
      </c>
      <c r="M1865" t="s">
        <v>1709</v>
      </c>
      <c r="N1865" s="1"/>
      <c r="O1865" t="s">
        <v>4</v>
      </c>
      <c r="P1865" s="1">
        <v>0.14000000000000001</v>
      </c>
      <c r="R1865" t="s">
        <v>28</v>
      </c>
      <c r="S1865" t="s">
        <v>1087</v>
      </c>
      <c r="T1865" t="s">
        <v>40</v>
      </c>
    </row>
    <row r="1866" spans="1:22" x14ac:dyDescent="0.3">
      <c r="A1866" t="s">
        <v>1074</v>
      </c>
      <c r="B1866" t="str">
        <f ca="1">OFFSET(Industries!C$1,MATCH(Table1[[#This Row],[Ticker]],Industries!$A$2:$A$150,0),0)</f>
        <v>Real Estate</v>
      </c>
      <c r="C1866" t="str">
        <f ca="1">OFFSET(Industries!D$1,MATCH(Table1[[#This Row],[Ticker]],Industries!$A$2:$A$150,0),0)</f>
        <v>Equity Real Estate Investment Trusts (REITs)</v>
      </c>
      <c r="D1866" t="str">
        <f ca="1">OFFSET(Industries!E$1,MATCH(Table1[[#This Row],[Ticker]],Industries!$A$2:$A$150,0),0)</f>
        <v>Specialized REITs</v>
      </c>
      <c r="E1866" t="s">
        <v>910</v>
      </c>
      <c r="F1866" t="str">
        <f ca="1">OFFSET(Industries!B$1,MATCH(Table1[[#This Row],[Ticker]],Industries!$A$2:$A$140,0),0)</f>
        <v>Large-Cap</v>
      </c>
      <c r="G1866" t="str">
        <f ca="1">OFFSET(Industries!F$1,MATCH(Table1[[#This Row],[Ticker]],Industries!$A$2:$A$140,0),0)</f>
        <v>BBB+</v>
      </c>
      <c r="H1866" t="s">
        <v>1434</v>
      </c>
      <c r="I1866" t="s">
        <v>1434</v>
      </c>
      <c r="J1866" s="2">
        <v>45385</v>
      </c>
      <c r="K1866" t="s">
        <v>2</v>
      </c>
      <c r="L1866" t="s">
        <v>1710</v>
      </c>
      <c r="M1866" t="s">
        <v>1709</v>
      </c>
      <c r="N1866" s="1">
        <f>Table1[[#This Row],[Consideration Weight]]</f>
        <v>0.62</v>
      </c>
      <c r="O1866" t="s">
        <v>476</v>
      </c>
      <c r="P1866" s="1">
        <v>0.62</v>
      </c>
      <c r="Q1866" s="1" t="s">
        <v>1646</v>
      </c>
      <c r="R1866" t="s">
        <v>35</v>
      </c>
      <c r="S1866" t="s">
        <v>29</v>
      </c>
      <c r="T1866" t="s">
        <v>30</v>
      </c>
      <c r="U1866" s="1">
        <v>0.5</v>
      </c>
    </row>
    <row r="1867" spans="1:22" x14ac:dyDescent="0.3">
      <c r="A1867" t="s">
        <v>1074</v>
      </c>
      <c r="B1867" t="str">
        <f ca="1">OFFSET(Industries!C$1,MATCH(Table1[[#This Row],[Ticker]],Industries!$A$2:$A$150,0),0)</f>
        <v>Real Estate</v>
      </c>
      <c r="C1867" t="str">
        <f ca="1">OFFSET(Industries!D$1,MATCH(Table1[[#This Row],[Ticker]],Industries!$A$2:$A$150,0),0)</f>
        <v>Equity Real Estate Investment Trusts (REITs)</v>
      </c>
      <c r="D1867" t="str">
        <f ca="1">OFFSET(Industries!E$1,MATCH(Table1[[#This Row],[Ticker]],Industries!$A$2:$A$150,0),0)</f>
        <v>Specialized REITs</v>
      </c>
      <c r="E1867" t="s">
        <v>910</v>
      </c>
      <c r="F1867" t="str">
        <f ca="1">OFFSET(Industries!B$1,MATCH(Table1[[#This Row],[Ticker]],Industries!$A$2:$A$140,0),0)</f>
        <v>Large-Cap</v>
      </c>
      <c r="G1867" t="str">
        <f ca="1">OFFSET(Industries!F$1,MATCH(Table1[[#This Row],[Ticker]],Industries!$A$2:$A$140,0),0)</f>
        <v>BBB+</v>
      </c>
      <c r="H1867" t="s">
        <v>1434</v>
      </c>
      <c r="I1867" t="s">
        <v>1434</v>
      </c>
      <c r="J1867" s="2">
        <v>45385</v>
      </c>
      <c r="K1867" t="s">
        <v>2</v>
      </c>
      <c r="L1867" t="s">
        <v>1710</v>
      </c>
      <c r="M1867" t="s">
        <v>1709</v>
      </c>
      <c r="N1867" s="1"/>
      <c r="O1867" t="s">
        <v>476</v>
      </c>
      <c r="P1867" s="1">
        <v>0.62</v>
      </c>
      <c r="Q1867" s="1" t="s">
        <v>1636</v>
      </c>
      <c r="R1867" t="s">
        <v>24</v>
      </c>
      <c r="S1867" t="s">
        <v>1166</v>
      </c>
      <c r="T1867" t="s">
        <v>1170</v>
      </c>
      <c r="U1867" s="1">
        <v>0.5</v>
      </c>
    </row>
    <row r="1868" spans="1:22" x14ac:dyDescent="0.3">
      <c r="A1868" t="s">
        <v>1074</v>
      </c>
      <c r="B1868" t="str">
        <f ca="1">OFFSET(Industries!C$1,MATCH(Table1[[#This Row],[Ticker]],Industries!$A$2:$A$150,0),0)</f>
        <v>Real Estate</v>
      </c>
      <c r="C1868" t="str">
        <f ca="1">OFFSET(Industries!D$1,MATCH(Table1[[#This Row],[Ticker]],Industries!$A$2:$A$150,0),0)</f>
        <v>Equity Real Estate Investment Trusts (REITs)</v>
      </c>
      <c r="D1868" t="str">
        <f ca="1">OFFSET(Industries!E$1,MATCH(Table1[[#This Row],[Ticker]],Industries!$A$2:$A$150,0),0)</f>
        <v>Specialized REITs</v>
      </c>
      <c r="E1868" t="s">
        <v>910</v>
      </c>
      <c r="F1868" t="str">
        <f ca="1">OFFSET(Industries!B$1,MATCH(Table1[[#This Row],[Ticker]],Industries!$A$2:$A$140,0),0)</f>
        <v>Large-Cap</v>
      </c>
      <c r="G1868" t="str">
        <f ca="1">OFFSET(Industries!F$1,MATCH(Table1[[#This Row],[Ticker]],Industries!$A$2:$A$140,0),0)</f>
        <v>BBB+</v>
      </c>
      <c r="H1868" t="s">
        <v>1434</v>
      </c>
      <c r="I1868" t="s">
        <v>1434</v>
      </c>
      <c r="J1868" s="2">
        <v>45385</v>
      </c>
      <c r="K1868" t="s">
        <v>2</v>
      </c>
      <c r="L1868" t="s">
        <v>1710</v>
      </c>
      <c r="M1868" t="s">
        <v>1711</v>
      </c>
      <c r="N1868" s="1">
        <f>Table1[[#This Row],[Consideration Weight]]</f>
        <v>0.16</v>
      </c>
      <c r="O1868" t="s">
        <v>194</v>
      </c>
      <c r="P1868" s="1">
        <v>0.16</v>
      </c>
    </row>
    <row r="1869" spans="1:22" x14ac:dyDescent="0.3">
      <c r="A1869" t="s">
        <v>1074</v>
      </c>
      <c r="B1869" t="str">
        <f ca="1">OFFSET(Industries!C$1,MATCH(Table1[[#This Row],[Ticker]],Industries!$A$2:$A$150,0),0)</f>
        <v>Real Estate</v>
      </c>
      <c r="C1869" t="str">
        <f ca="1">OFFSET(Industries!D$1,MATCH(Table1[[#This Row],[Ticker]],Industries!$A$2:$A$150,0),0)</f>
        <v>Equity Real Estate Investment Trusts (REITs)</v>
      </c>
      <c r="D1869" t="str">
        <f ca="1">OFFSET(Industries!E$1,MATCH(Table1[[#This Row],[Ticker]],Industries!$A$2:$A$150,0),0)</f>
        <v>Specialized REITs</v>
      </c>
      <c r="E1869" t="s">
        <v>910</v>
      </c>
      <c r="F1869" t="str">
        <f ca="1">OFFSET(Industries!B$1,MATCH(Table1[[#This Row],[Ticker]],Industries!$A$2:$A$140,0),0)</f>
        <v>Large-Cap</v>
      </c>
      <c r="G1869" t="str">
        <f ca="1">OFFSET(Industries!F$1,MATCH(Table1[[#This Row],[Ticker]],Industries!$A$2:$A$140,0),0)</f>
        <v>BBB+</v>
      </c>
      <c r="H1869" t="s">
        <v>1434</v>
      </c>
      <c r="I1869" t="s">
        <v>1434</v>
      </c>
      <c r="J1869" s="2">
        <v>45385</v>
      </c>
      <c r="K1869" t="s">
        <v>21</v>
      </c>
      <c r="L1869" t="s">
        <v>3</v>
      </c>
      <c r="M1869" t="s">
        <v>1711</v>
      </c>
      <c r="N1869" s="1">
        <f>Table1[[#This Row],[Consideration Weight]]</f>
        <v>0.13634060909808277</v>
      </c>
      <c r="O1869" t="s">
        <v>3</v>
      </c>
      <c r="P1869" s="1">
        <v>0.13634060909808277</v>
      </c>
    </row>
    <row r="1870" spans="1:22" x14ac:dyDescent="0.3">
      <c r="A1870" t="s">
        <v>1074</v>
      </c>
      <c r="B1870" t="str">
        <f ca="1">OFFSET(Industries!C$1,MATCH(Table1[[#This Row],[Ticker]],Industries!$A$2:$A$150,0),0)</f>
        <v>Real Estate</v>
      </c>
      <c r="C1870" t="str">
        <f ca="1">OFFSET(Industries!D$1,MATCH(Table1[[#This Row],[Ticker]],Industries!$A$2:$A$150,0),0)</f>
        <v>Equity Real Estate Investment Trusts (REITs)</v>
      </c>
      <c r="D1870" t="str">
        <f ca="1">OFFSET(Industries!E$1,MATCH(Table1[[#This Row],[Ticker]],Industries!$A$2:$A$150,0),0)</f>
        <v>Specialized REITs</v>
      </c>
      <c r="E1870" t="s">
        <v>910</v>
      </c>
      <c r="F1870" t="str">
        <f ca="1">OFFSET(Industries!B$1,MATCH(Table1[[#This Row],[Ticker]],Industries!$A$2:$A$140,0),0)</f>
        <v>Large-Cap</v>
      </c>
      <c r="G1870" t="str">
        <f ca="1">OFFSET(Industries!F$1,MATCH(Table1[[#This Row],[Ticker]],Industries!$A$2:$A$140,0),0)</f>
        <v>BBB+</v>
      </c>
      <c r="H1870" t="s">
        <v>1434</v>
      </c>
      <c r="I1870" t="s">
        <v>1434</v>
      </c>
      <c r="J1870" s="2">
        <v>45385</v>
      </c>
      <c r="K1870" t="s">
        <v>21</v>
      </c>
      <c r="L1870" t="s">
        <v>1708</v>
      </c>
      <c r="M1870" t="s">
        <v>1709</v>
      </c>
      <c r="N1870" s="1">
        <f>Table1[[#This Row],[Consideration Weight]]</f>
        <v>0.14520661187846123</v>
      </c>
      <c r="O1870" t="s">
        <v>4</v>
      </c>
      <c r="P1870" s="1">
        <v>0.14520661187846123</v>
      </c>
      <c r="Q1870" s="1" t="s">
        <v>1636</v>
      </c>
      <c r="R1870" t="s">
        <v>24</v>
      </c>
      <c r="S1870" t="s">
        <v>1166</v>
      </c>
      <c r="T1870" t="s">
        <v>981</v>
      </c>
      <c r="U1870" s="1">
        <v>0.5</v>
      </c>
    </row>
    <row r="1871" spans="1:22" x14ac:dyDescent="0.3">
      <c r="A1871" t="s">
        <v>1074</v>
      </c>
      <c r="B1871" t="str">
        <f ca="1">OFFSET(Industries!C$1,MATCH(Table1[[#This Row],[Ticker]],Industries!$A$2:$A$150,0),0)</f>
        <v>Real Estate</v>
      </c>
      <c r="C1871" t="str">
        <f ca="1">OFFSET(Industries!D$1,MATCH(Table1[[#This Row],[Ticker]],Industries!$A$2:$A$150,0),0)</f>
        <v>Equity Real Estate Investment Trusts (REITs)</v>
      </c>
      <c r="D1871" t="str">
        <f ca="1">OFFSET(Industries!E$1,MATCH(Table1[[#This Row],[Ticker]],Industries!$A$2:$A$150,0),0)</f>
        <v>Specialized REITs</v>
      </c>
      <c r="E1871" t="s">
        <v>910</v>
      </c>
      <c r="F1871" t="str">
        <f ca="1">OFFSET(Industries!B$1,MATCH(Table1[[#This Row],[Ticker]],Industries!$A$2:$A$140,0),0)</f>
        <v>Large-Cap</v>
      </c>
      <c r="G1871" t="str">
        <f ca="1">OFFSET(Industries!F$1,MATCH(Table1[[#This Row],[Ticker]],Industries!$A$2:$A$140,0),0)</f>
        <v>BBB+</v>
      </c>
      <c r="H1871" t="s">
        <v>1434</v>
      </c>
      <c r="I1871" t="s">
        <v>1434</v>
      </c>
      <c r="J1871" s="2">
        <v>45385</v>
      </c>
      <c r="K1871" t="s">
        <v>21</v>
      </c>
      <c r="L1871" t="s">
        <v>1708</v>
      </c>
      <c r="M1871" t="s">
        <v>1709</v>
      </c>
      <c r="N1871" s="1"/>
      <c r="O1871" t="s">
        <v>4</v>
      </c>
      <c r="P1871" s="1">
        <v>0.14520661187846123</v>
      </c>
      <c r="Q1871" s="1" t="s">
        <v>1636</v>
      </c>
      <c r="R1871" t="s">
        <v>25</v>
      </c>
      <c r="S1871" t="s">
        <v>1086</v>
      </c>
      <c r="T1871" t="s">
        <v>1685</v>
      </c>
      <c r="U1871" s="1">
        <v>0.5</v>
      </c>
    </row>
    <row r="1872" spans="1:22" x14ac:dyDescent="0.3">
      <c r="A1872" t="s">
        <v>1074</v>
      </c>
      <c r="B1872" t="str">
        <f ca="1">OFFSET(Industries!C$1,MATCH(Table1[[#This Row],[Ticker]],Industries!$A$2:$A$150,0),0)</f>
        <v>Real Estate</v>
      </c>
      <c r="C1872" t="str">
        <f ca="1">OFFSET(Industries!D$1,MATCH(Table1[[#This Row],[Ticker]],Industries!$A$2:$A$150,0),0)</f>
        <v>Equity Real Estate Investment Trusts (REITs)</v>
      </c>
      <c r="D1872" t="str">
        <f ca="1">OFFSET(Industries!E$1,MATCH(Table1[[#This Row],[Ticker]],Industries!$A$2:$A$150,0),0)</f>
        <v>Specialized REITs</v>
      </c>
      <c r="E1872" t="s">
        <v>910</v>
      </c>
      <c r="F1872" t="str">
        <f ca="1">OFFSET(Industries!B$1,MATCH(Table1[[#This Row],[Ticker]],Industries!$A$2:$A$140,0),0)</f>
        <v>Large-Cap</v>
      </c>
      <c r="G1872" t="str">
        <f ca="1">OFFSET(Industries!F$1,MATCH(Table1[[#This Row],[Ticker]],Industries!$A$2:$A$140,0),0)</f>
        <v>BBB+</v>
      </c>
      <c r="H1872" t="s">
        <v>1434</v>
      </c>
      <c r="I1872" t="s">
        <v>1434</v>
      </c>
      <c r="J1872" s="2">
        <v>45385</v>
      </c>
      <c r="K1872" t="s">
        <v>21</v>
      </c>
      <c r="L1872" t="s">
        <v>1708</v>
      </c>
      <c r="M1872" t="s">
        <v>1709</v>
      </c>
      <c r="N1872" s="1"/>
      <c r="O1872" t="s">
        <v>4</v>
      </c>
      <c r="P1872" s="1">
        <v>0.14520661187846123</v>
      </c>
      <c r="R1872" t="s">
        <v>28</v>
      </c>
      <c r="S1872" t="s">
        <v>1087</v>
      </c>
      <c r="T1872" t="s">
        <v>40</v>
      </c>
    </row>
    <row r="1873" spans="1:22" x14ac:dyDescent="0.3">
      <c r="A1873" t="s">
        <v>1074</v>
      </c>
      <c r="B1873" t="str">
        <f ca="1">OFFSET(Industries!C$1,MATCH(Table1[[#This Row],[Ticker]],Industries!$A$2:$A$150,0),0)</f>
        <v>Real Estate</v>
      </c>
      <c r="C1873" t="str">
        <f ca="1">OFFSET(Industries!D$1,MATCH(Table1[[#This Row],[Ticker]],Industries!$A$2:$A$150,0),0)</f>
        <v>Equity Real Estate Investment Trusts (REITs)</v>
      </c>
      <c r="D1873" t="str">
        <f ca="1">OFFSET(Industries!E$1,MATCH(Table1[[#This Row],[Ticker]],Industries!$A$2:$A$150,0),0)</f>
        <v>Specialized REITs</v>
      </c>
      <c r="E1873" t="s">
        <v>910</v>
      </c>
      <c r="F1873" t="str">
        <f ca="1">OFFSET(Industries!B$1,MATCH(Table1[[#This Row],[Ticker]],Industries!$A$2:$A$140,0),0)</f>
        <v>Large-Cap</v>
      </c>
      <c r="G1873" t="str">
        <f ca="1">OFFSET(Industries!F$1,MATCH(Table1[[#This Row],[Ticker]],Industries!$A$2:$A$140,0),0)</f>
        <v>BBB+</v>
      </c>
      <c r="H1873" t="s">
        <v>1434</v>
      </c>
      <c r="I1873" t="s">
        <v>1434</v>
      </c>
      <c r="J1873" s="2">
        <v>45385</v>
      </c>
      <c r="K1873" t="s">
        <v>21</v>
      </c>
      <c r="L1873" t="s">
        <v>1710</v>
      </c>
      <c r="M1873" t="s">
        <v>1709</v>
      </c>
      <c r="N1873" s="1">
        <f>Table1[[#This Row],[Consideration Weight]]</f>
        <v>0.56875763379973132</v>
      </c>
      <c r="O1873" t="s">
        <v>476</v>
      </c>
      <c r="P1873" s="1">
        <v>0.56875763379973132</v>
      </c>
      <c r="Q1873" s="1" t="s">
        <v>1646</v>
      </c>
      <c r="R1873" t="s">
        <v>35</v>
      </c>
      <c r="S1873" t="s">
        <v>29</v>
      </c>
      <c r="T1873" t="s">
        <v>30</v>
      </c>
      <c r="U1873" s="1">
        <v>0.5</v>
      </c>
    </row>
    <row r="1874" spans="1:22" x14ac:dyDescent="0.3">
      <c r="A1874" t="s">
        <v>1074</v>
      </c>
      <c r="B1874" t="str">
        <f ca="1">OFFSET(Industries!C$1,MATCH(Table1[[#This Row],[Ticker]],Industries!$A$2:$A$150,0),0)</f>
        <v>Real Estate</v>
      </c>
      <c r="C1874" t="str">
        <f ca="1">OFFSET(Industries!D$1,MATCH(Table1[[#This Row],[Ticker]],Industries!$A$2:$A$150,0),0)</f>
        <v>Equity Real Estate Investment Trusts (REITs)</v>
      </c>
      <c r="D1874" t="str">
        <f ca="1">OFFSET(Industries!E$1,MATCH(Table1[[#This Row],[Ticker]],Industries!$A$2:$A$150,0),0)</f>
        <v>Specialized REITs</v>
      </c>
      <c r="E1874" t="s">
        <v>910</v>
      </c>
      <c r="F1874" t="str">
        <f ca="1">OFFSET(Industries!B$1,MATCH(Table1[[#This Row],[Ticker]],Industries!$A$2:$A$140,0),0)</f>
        <v>Large-Cap</v>
      </c>
      <c r="G1874" t="str">
        <f ca="1">OFFSET(Industries!F$1,MATCH(Table1[[#This Row],[Ticker]],Industries!$A$2:$A$140,0),0)</f>
        <v>BBB+</v>
      </c>
      <c r="H1874" t="s">
        <v>1434</v>
      </c>
      <c r="I1874" t="s">
        <v>1434</v>
      </c>
      <c r="J1874" s="2">
        <v>45385</v>
      </c>
      <c r="K1874" t="s">
        <v>21</v>
      </c>
      <c r="L1874" t="s">
        <v>1710</v>
      </c>
      <c r="M1874" t="s">
        <v>1709</v>
      </c>
      <c r="N1874" s="1"/>
      <c r="O1874" t="s">
        <v>476</v>
      </c>
      <c r="P1874" s="1">
        <v>0.56875763379973132</v>
      </c>
      <c r="Q1874" s="1" t="s">
        <v>1636</v>
      </c>
      <c r="R1874" t="s">
        <v>24</v>
      </c>
      <c r="S1874" t="s">
        <v>1166</v>
      </c>
      <c r="T1874" t="s">
        <v>1170</v>
      </c>
      <c r="U1874" s="1">
        <v>0.5</v>
      </c>
    </row>
    <row r="1875" spans="1:22" x14ac:dyDescent="0.3">
      <c r="A1875" t="s">
        <v>1074</v>
      </c>
      <c r="B1875" t="str">
        <f ca="1">OFFSET(Industries!C$1,MATCH(Table1[[#This Row],[Ticker]],Industries!$A$2:$A$150,0),0)</f>
        <v>Real Estate</v>
      </c>
      <c r="C1875" t="str">
        <f ca="1">OFFSET(Industries!D$1,MATCH(Table1[[#This Row],[Ticker]],Industries!$A$2:$A$150,0),0)</f>
        <v>Equity Real Estate Investment Trusts (REITs)</v>
      </c>
      <c r="D1875" t="str">
        <f ca="1">OFFSET(Industries!E$1,MATCH(Table1[[#This Row],[Ticker]],Industries!$A$2:$A$150,0),0)</f>
        <v>Specialized REITs</v>
      </c>
      <c r="E1875" t="s">
        <v>910</v>
      </c>
      <c r="F1875" t="str">
        <f ca="1">OFFSET(Industries!B$1,MATCH(Table1[[#This Row],[Ticker]],Industries!$A$2:$A$140,0),0)</f>
        <v>Large-Cap</v>
      </c>
      <c r="G1875" t="str">
        <f ca="1">OFFSET(Industries!F$1,MATCH(Table1[[#This Row],[Ticker]],Industries!$A$2:$A$140,0),0)</f>
        <v>BBB+</v>
      </c>
      <c r="H1875" t="s">
        <v>1434</v>
      </c>
      <c r="I1875" t="s">
        <v>1434</v>
      </c>
      <c r="J1875" s="2">
        <v>45385</v>
      </c>
      <c r="K1875" t="s">
        <v>21</v>
      </c>
      <c r="L1875" t="s">
        <v>1710</v>
      </c>
      <c r="M1875" t="s">
        <v>1711</v>
      </c>
      <c r="N1875" s="1">
        <f>Table1[[#This Row],[Consideration Weight]]</f>
        <v>0.14969514522372465</v>
      </c>
      <c r="O1875" t="s">
        <v>194</v>
      </c>
      <c r="P1875" s="1">
        <v>0.14969514522372465</v>
      </c>
    </row>
    <row r="1876" spans="1:22" x14ac:dyDescent="0.3">
      <c r="A1876" t="s">
        <v>1172</v>
      </c>
      <c r="B1876" t="str">
        <f ca="1">OFFSET(Industries!C$1,MATCH(Table1[[#This Row],[Ticker]],Industries!$A$2:$A$150,0),0)</f>
        <v>Utilities</v>
      </c>
      <c r="C1876" t="str">
        <f ca="1">OFFSET(Industries!D$1,MATCH(Table1[[#This Row],[Ticker]],Industries!$A$2:$A$150,0),0)</f>
        <v>Utilities</v>
      </c>
      <c r="D1876" t="str">
        <f ca="1">OFFSET(Industries!E$1,MATCH(Table1[[#This Row],[Ticker]],Industries!$A$2:$A$150,0),0)</f>
        <v>Electric Utilities</v>
      </c>
      <c r="E1876" t="s">
        <v>444</v>
      </c>
      <c r="F1876" t="str">
        <f ca="1">OFFSET(Industries!B$1,MATCH(Table1[[#This Row],[Ticker]],Industries!$A$2:$A$140,0),0)</f>
        <v>Large-Cap</v>
      </c>
      <c r="G1876" t="str">
        <f ca="1">OFFSET(Industries!F$1,MATCH(Table1[[#This Row],[Ticker]],Industries!$A$2:$A$140,0),0)</f>
        <v>BBB</v>
      </c>
      <c r="H1876" t="s">
        <v>1434</v>
      </c>
      <c r="I1876" t="s">
        <v>1434</v>
      </c>
      <c r="J1876" s="2">
        <v>45380</v>
      </c>
      <c r="K1876" t="s">
        <v>2</v>
      </c>
      <c r="L1876" t="s">
        <v>3</v>
      </c>
      <c r="M1876" t="s">
        <v>1711</v>
      </c>
      <c r="N1876" s="1">
        <f>Table1[[#This Row],[Consideration Weight]]</f>
        <v>0.11</v>
      </c>
      <c r="O1876" t="s">
        <v>3</v>
      </c>
      <c r="P1876" s="1">
        <v>0.11</v>
      </c>
      <c r="V1876" t="s">
        <v>1175</v>
      </c>
    </row>
    <row r="1877" spans="1:22" x14ac:dyDescent="0.3">
      <c r="A1877" t="s">
        <v>1172</v>
      </c>
      <c r="B1877" t="str">
        <f ca="1">OFFSET(Industries!C$1,MATCH(Table1[[#This Row],[Ticker]],Industries!$A$2:$A$150,0),0)</f>
        <v>Utilities</v>
      </c>
      <c r="C1877" t="str">
        <f ca="1">OFFSET(Industries!D$1,MATCH(Table1[[#This Row],[Ticker]],Industries!$A$2:$A$150,0),0)</f>
        <v>Utilities</v>
      </c>
      <c r="D1877" t="str">
        <f ca="1">OFFSET(Industries!E$1,MATCH(Table1[[#This Row],[Ticker]],Industries!$A$2:$A$150,0),0)</f>
        <v>Electric Utilities</v>
      </c>
      <c r="E1877" t="s">
        <v>444</v>
      </c>
      <c r="F1877" t="str">
        <f ca="1">OFFSET(Industries!B$1,MATCH(Table1[[#This Row],[Ticker]],Industries!$A$2:$A$140,0),0)</f>
        <v>Large-Cap</v>
      </c>
      <c r="G1877" t="str">
        <f ca="1">OFFSET(Industries!F$1,MATCH(Table1[[#This Row],[Ticker]],Industries!$A$2:$A$140,0),0)</f>
        <v>BBB</v>
      </c>
      <c r="H1877" t="s">
        <v>1434</v>
      </c>
      <c r="I1877" t="s">
        <v>1434</v>
      </c>
      <c r="J1877" s="2">
        <v>45380</v>
      </c>
      <c r="K1877" t="s">
        <v>2</v>
      </c>
      <c r="L1877" t="s">
        <v>1708</v>
      </c>
      <c r="M1877" t="s">
        <v>1709</v>
      </c>
      <c r="N1877" s="1">
        <f>Table1[[#This Row],[Consideration Weight]]</f>
        <v>0.16</v>
      </c>
      <c r="O1877" t="s">
        <v>4</v>
      </c>
      <c r="P1877" s="1">
        <v>0.16</v>
      </c>
      <c r="Q1877" s="1" t="s">
        <v>1636</v>
      </c>
      <c r="R1877" t="s">
        <v>24</v>
      </c>
      <c r="S1877" t="s">
        <v>1098</v>
      </c>
      <c r="T1877" t="s">
        <v>107</v>
      </c>
      <c r="U1877" s="1">
        <v>0.35</v>
      </c>
      <c r="V1877" t="s">
        <v>1176</v>
      </c>
    </row>
    <row r="1878" spans="1:22" x14ac:dyDescent="0.3">
      <c r="A1878" t="s">
        <v>1172</v>
      </c>
      <c r="B1878" t="str">
        <f ca="1">OFFSET(Industries!C$1,MATCH(Table1[[#This Row],[Ticker]],Industries!$A$2:$A$150,0),0)</f>
        <v>Utilities</v>
      </c>
      <c r="C1878" t="str">
        <f ca="1">OFFSET(Industries!D$1,MATCH(Table1[[#This Row],[Ticker]],Industries!$A$2:$A$150,0),0)</f>
        <v>Utilities</v>
      </c>
      <c r="D1878" t="str">
        <f ca="1">OFFSET(Industries!E$1,MATCH(Table1[[#This Row],[Ticker]],Industries!$A$2:$A$150,0),0)</f>
        <v>Electric Utilities</v>
      </c>
      <c r="E1878" t="s">
        <v>444</v>
      </c>
      <c r="F1878" t="str">
        <f ca="1">OFFSET(Industries!B$1,MATCH(Table1[[#This Row],[Ticker]],Industries!$A$2:$A$140,0),0)</f>
        <v>Large-Cap</v>
      </c>
      <c r="G1878" t="str">
        <f ca="1">OFFSET(Industries!F$1,MATCH(Table1[[#This Row],[Ticker]],Industries!$A$2:$A$140,0),0)</f>
        <v>BBB</v>
      </c>
      <c r="H1878" t="s">
        <v>1434</v>
      </c>
      <c r="I1878" t="s">
        <v>1434</v>
      </c>
      <c r="J1878" s="2">
        <v>45380</v>
      </c>
      <c r="K1878" t="s">
        <v>2</v>
      </c>
      <c r="L1878" t="s">
        <v>1708</v>
      </c>
      <c r="M1878" t="s">
        <v>1709</v>
      </c>
      <c r="N1878" s="1"/>
      <c r="O1878" t="s">
        <v>4</v>
      </c>
      <c r="P1878" s="1">
        <v>0.16</v>
      </c>
      <c r="Q1878" s="1" t="s">
        <v>1636</v>
      </c>
      <c r="R1878" t="s">
        <v>24</v>
      </c>
      <c r="S1878" t="s">
        <v>1086</v>
      </c>
      <c r="T1878" t="s">
        <v>1173</v>
      </c>
      <c r="U1878" s="1">
        <v>0.25</v>
      </c>
      <c r="V1878" t="s">
        <v>1177</v>
      </c>
    </row>
    <row r="1879" spans="1:22" x14ac:dyDescent="0.3">
      <c r="A1879" t="s">
        <v>1172</v>
      </c>
      <c r="B1879" t="str">
        <f ca="1">OFFSET(Industries!C$1,MATCH(Table1[[#This Row],[Ticker]],Industries!$A$2:$A$150,0),0)</f>
        <v>Utilities</v>
      </c>
      <c r="C1879" t="str">
        <f ca="1">OFFSET(Industries!D$1,MATCH(Table1[[#This Row],[Ticker]],Industries!$A$2:$A$150,0),0)</f>
        <v>Utilities</v>
      </c>
      <c r="D1879" t="str">
        <f ca="1">OFFSET(Industries!E$1,MATCH(Table1[[#This Row],[Ticker]],Industries!$A$2:$A$150,0),0)</f>
        <v>Electric Utilities</v>
      </c>
      <c r="E1879" t="s">
        <v>444</v>
      </c>
      <c r="F1879" t="str">
        <f ca="1">OFFSET(Industries!B$1,MATCH(Table1[[#This Row],[Ticker]],Industries!$A$2:$A$140,0),0)</f>
        <v>Large-Cap</v>
      </c>
      <c r="G1879" t="str">
        <f ca="1">OFFSET(Industries!F$1,MATCH(Table1[[#This Row],[Ticker]],Industries!$A$2:$A$140,0),0)</f>
        <v>BBB</v>
      </c>
      <c r="H1879" t="s">
        <v>1434</v>
      </c>
      <c r="I1879" t="s">
        <v>1434</v>
      </c>
      <c r="J1879" s="2">
        <v>45380</v>
      </c>
      <c r="K1879" t="s">
        <v>2</v>
      </c>
      <c r="L1879" t="s">
        <v>1708</v>
      </c>
      <c r="M1879" t="s">
        <v>1709</v>
      </c>
      <c r="N1879" s="1"/>
      <c r="O1879" t="s">
        <v>4</v>
      </c>
      <c r="P1879" s="1">
        <v>0.16</v>
      </c>
      <c r="Q1879" s="1" t="s">
        <v>1637</v>
      </c>
      <c r="R1879" t="s">
        <v>25</v>
      </c>
      <c r="S1879" t="s">
        <v>1086</v>
      </c>
      <c r="T1879" t="s">
        <v>637</v>
      </c>
      <c r="U1879" s="1">
        <v>0.15</v>
      </c>
      <c r="V1879" t="s">
        <v>1178</v>
      </c>
    </row>
    <row r="1880" spans="1:22" x14ac:dyDescent="0.3">
      <c r="A1880" t="s">
        <v>1172</v>
      </c>
      <c r="B1880" t="str">
        <f ca="1">OFFSET(Industries!C$1,MATCH(Table1[[#This Row],[Ticker]],Industries!$A$2:$A$150,0),0)</f>
        <v>Utilities</v>
      </c>
      <c r="C1880" t="str">
        <f ca="1">OFFSET(Industries!D$1,MATCH(Table1[[#This Row],[Ticker]],Industries!$A$2:$A$150,0),0)</f>
        <v>Utilities</v>
      </c>
      <c r="D1880" t="str">
        <f ca="1">OFFSET(Industries!E$1,MATCH(Table1[[#This Row],[Ticker]],Industries!$A$2:$A$150,0),0)</f>
        <v>Electric Utilities</v>
      </c>
      <c r="E1880" t="s">
        <v>444</v>
      </c>
      <c r="F1880" t="str">
        <f ca="1">OFFSET(Industries!B$1,MATCH(Table1[[#This Row],[Ticker]],Industries!$A$2:$A$140,0),0)</f>
        <v>Large-Cap</v>
      </c>
      <c r="G1880" t="str">
        <f ca="1">OFFSET(Industries!F$1,MATCH(Table1[[#This Row],[Ticker]],Industries!$A$2:$A$140,0),0)</f>
        <v>BBB</v>
      </c>
      <c r="H1880" t="s">
        <v>1434</v>
      </c>
      <c r="I1880" t="s">
        <v>1434</v>
      </c>
      <c r="J1880" s="2">
        <v>45380</v>
      </c>
      <c r="K1880" t="s">
        <v>2</v>
      </c>
      <c r="L1880" t="s">
        <v>1708</v>
      </c>
      <c r="M1880" t="s">
        <v>1709</v>
      </c>
      <c r="N1880" s="1"/>
      <c r="O1880" t="s">
        <v>4</v>
      </c>
      <c r="P1880" s="1">
        <v>0.16</v>
      </c>
      <c r="Q1880" s="1" t="s">
        <v>1637</v>
      </c>
      <c r="R1880" t="s">
        <v>26</v>
      </c>
      <c r="S1880" t="s">
        <v>814</v>
      </c>
      <c r="T1880" t="s">
        <v>814</v>
      </c>
      <c r="U1880" s="1">
        <v>0.15</v>
      </c>
      <c r="V1880" t="s">
        <v>1179</v>
      </c>
    </row>
    <row r="1881" spans="1:22" x14ac:dyDescent="0.3">
      <c r="A1881" t="s">
        <v>1172</v>
      </c>
      <c r="B1881" t="str">
        <f ca="1">OFFSET(Industries!C$1,MATCH(Table1[[#This Row],[Ticker]],Industries!$A$2:$A$150,0),0)</f>
        <v>Utilities</v>
      </c>
      <c r="C1881" t="str">
        <f ca="1">OFFSET(Industries!D$1,MATCH(Table1[[#This Row],[Ticker]],Industries!$A$2:$A$150,0),0)</f>
        <v>Utilities</v>
      </c>
      <c r="D1881" t="str">
        <f ca="1">OFFSET(Industries!E$1,MATCH(Table1[[#This Row],[Ticker]],Industries!$A$2:$A$150,0),0)</f>
        <v>Electric Utilities</v>
      </c>
      <c r="E1881" t="s">
        <v>444</v>
      </c>
      <c r="F1881" t="str">
        <f ca="1">OFFSET(Industries!B$1,MATCH(Table1[[#This Row],[Ticker]],Industries!$A$2:$A$140,0),0)</f>
        <v>Large-Cap</v>
      </c>
      <c r="G1881" t="str">
        <f ca="1">OFFSET(Industries!F$1,MATCH(Table1[[#This Row],[Ticker]],Industries!$A$2:$A$140,0),0)</f>
        <v>BBB</v>
      </c>
      <c r="H1881" t="s">
        <v>1434</v>
      </c>
      <c r="I1881" t="s">
        <v>1434</v>
      </c>
      <c r="J1881" s="2">
        <v>45380</v>
      </c>
      <c r="K1881" t="s">
        <v>2</v>
      </c>
      <c r="L1881" t="s">
        <v>1708</v>
      </c>
      <c r="M1881" t="s">
        <v>1709</v>
      </c>
      <c r="N1881" s="1"/>
      <c r="O1881" t="s">
        <v>4</v>
      </c>
      <c r="P1881" s="1">
        <v>0.16</v>
      </c>
      <c r="Q1881" s="1" t="s">
        <v>1637</v>
      </c>
      <c r="R1881" t="s">
        <v>26</v>
      </c>
      <c r="S1881" t="s">
        <v>26</v>
      </c>
      <c r="T1881" t="s">
        <v>1174</v>
      </c>
      <c r="U1881" s="1">
        <v>0.1</v>
      </c>
      <c r="V1881" t="s">
        <v>1189</v>
      </c>
    </row>
    <row r="1882" spans="1:22" x14ac:dyDescent="0.3">
      <c r="A1882" t="s">
        <v>1172</v>
      </c>
      <c r="B1882" t="str">
        <f ca="1">OFFSET(Industries!C$1,MATCH(Table1[[#This Row],[Ticker]],Industries!$A$2:$A$150,0),0)</f>
        <v>Utilities</v>
      </c>
      <c r="C1882" t="str">
        <f ca="1">OFFSET(Industries!D$1,MATCH(Table1[[#This Row],[Ticker]],Industries!$A$2:$A$150,0),0)</f>
        <v>Utilities</v>
      </c>
      <c r="D1882" t="str">
        <f ca="1">OFFSET(Industries!E$1,MATCH(Table1[[#This Row],[Ticker]],Industries!$A$2:$A$150,0),0)</f>
        <v>Electric Utilities</v>
      </c>
      <c r="E1882" t="s">
        <v>444</v>
      </c>
      <c r="F1882" t="str">
        <f ca="1">OFFSET(Industries!B$1,MATCH(Table1[[#This Row],[Ticker]],Industries!$A$2:$A$140,0),0)</f>
        <v>Large-Cap</v>
      </c>
      <c r="G1882" t="str">
        <f ca="1">OFFSET(Industries!F$1,MATCH(Table1[[#This Row],[Ticker]],Industries!$A$2:$A$140,0),0)</f>
        <v>BBB</v>
      </c>
      <c r="H1882" t="s">
        <v>1434</v>
      </c>
      <c r="I1882" t="s">
        <v>1434</v>
      </c>
      <c r="J1882" s="2">
        <v>45380</v>
      </c>
      <c r="K1882" t="s">
        <v>2</v>
      </c>
      <c r="L1882" t="s">
        <v>1708</v>
      </c>
      <c r="M1882" t="s">
        <v>1709</v>
      </c>
      <c r="N1882" s="1"/>
      <c r="O1882" t="s">
        <v>4</v>
      </c>
      <c r="P1882" s="1">
        <v>0.16</v>
      </c>
      <c r="R1882" t="s">
        <v>28</v>
      </c>
      <c r="S1882" t="s">
        <v>1123</v>
      </c>
      <c r="T1882" t="s">
        <v>107</v>
      </c>
      <c r="V1882" t="s">
        <v>1186</v>
      </c>
    </row>
    <row r="1883" spans="1:22" x14ac:dyDescent="0.3">
      <c r="A1883" t="s">
        <v>1172</v>
      </c>
      <c r="B1883" t="str">
        <f ca="1">OFFSET(Industries!C$1,MATCH(Table1[[#This Row],[Ticker]],Industries!$A$2:$A$150,0),0)</f>
        <v>Utilities</v>
      </c>
      <c r="C1883" t="str">
        <f ca="1">OFFSET(Industries!D$1,MATCH(Table1[[#This Row],[Ticker]],Industries!$A$2:$A$150,0),0)</f>
        <v>Utilities</v>
      </c>
      <c r="D1883" t="str">
        <f ca="1">OFFSET(Industries!E$1,MATCH(Table1[[#This Row],[Ticker]],Industries!$A$2:$A$150,0),0)</f>
        <v>Electric Utilities</v>
      </c>
      <c r="E1883" t="s">
        <v>444</v>
      </c>
      <c r="F1883" t="str">
        <f ca="1">OFFSET(Industries!B$1,MATCH(Table1[[#This Row],[Ticker]],Industries!$A$2:$A$140,0),0)</f>
        <v>Large-Cap</v>
      </c>
      <c r="G1883" t="str">
        <f ca="1">OFFSET(Industries!F$1,MATCH(Table1[[#This Row],[Ticker]],Industries!$A$2:$A$140,0),0)</f>
        <v>BBB</v>
      </c>
      <c r="H1883" t="s">
        <v>1434</v>
      </c>
      <c r="I1883" t="s">
        <v>1434</v>
      </c>
      <c r="J1883" s="2">
        <v>45380</v>
      </c>
      <c r="K1883" t="s">
        <v>2</v>
      </c>
      <c r="L1883" t="s">
        <v>1708</v>
      </c>
      <c r="M1883" t="s">
        <v>1709</v>
      </c>
      <c r="N1883" s="1"/>
      <c r="O1883" t="s">
        <v>4</v>
      </c>
      <c r="P1883" s="1">
        <v>0.16</v>
      </c>
      <c r="R1883" t="s">
        <v>28</v>
      </c>
      <c r="S1883" t="s">
        <v>1180</v>
      </c>
      <c r="T1883" t="s">
        <v>1181</v>
      </c>
      <c r="V1883" t="s">
        <v>1188</v>
      </c>
    </row>
    <row r="1884" spans="1:22" x14ac:dyDescent="0.3">
      <c r="A1884" t="s">
        <v>1172</v>
      </c>
      <c r="B1884" t="str">
        <f ca="1">OFFSET(Industries!C$1,MATCH(Table1[[#This Row],[Ticker]],Industries!$A$2:$A$150,0),0)</f>
        <v>Utilities</v>
      </c>
      <c r="C1884" t="str">
        <f ca="1">OFFSET(Industries!D$1,MATCH(Table1[[#This Row],[Ticker]],Industries!$A$2:$A$150,0),0)</f>
        <v>Utilities</v>
      </c>
      <c r="D1884" t="str">
        <f ca="1">OFFSET(Industries!E$1,MATCH(Table1[[#This Row],[Ticker]],Industries!$A$2:$A$150,0),0)</f>
        <v>Electric Utilities</v>
      </c>
      <c r="E1884" t="s">
        <v>444</v>
      </c>
      <c r="F1884" t="str">
        <f ca="1">OFFSET(Industries!B$1,MATCH(Table1[[#This Row],[Ticker]],Industries!$A$2:$A$140,0),0)</f>
        <v>Large-Cap</v>
      </c>
      <c r="G1884" t="str">
        <f ca="1">OFFSET(Industries!F$1,MATCH(Table1[[#This Row],[Ticker]],Industries!$A$2:$A$140,0),0)</f>
        <v>BBB</v>
      </c>
      <c r="H1884" t="s">
        <v>1434</v>
      </c>
      <c r="I1884" t="s">
        <v>1434</v>
      </c>
      <c r="J1884" s="2">
        <v>45380</v>
      </c>
      <c r="K1884" t="s">
        <v>2</v>
      </c>
      <c r="L1884" t="s">
        <v>1708</v>
      </c>
      <c r="M1884" t="s">
        <v>1709</v>
      </c>
      <c r="N1884" s="1"/>
      <c r="O1884" t="s">
        <v>4</v>
      </c>
      <c r="P1884" s="1">
        <v>0.16</v>
      </c>
      <c r="R1884" t="s">
        <v>28</v>
      </c>
      <c r="S1884" t="s">
        <v>1091</v>
      </c>
      <c r="T1884" t="s">
        <v>1187</v>
      </c>
      <c r="V1884" t="s">
        <v>1182</v>
      </c>
    </row>
    <row r="1885" spans="1:22" x14ac:dyDescent="0.3">
      <c r="A1885" t="s">
        <v>1172</v>
      </c>
      <c r="B1885" t="str">
        <f ca="1">OFFSET(Industries!C$1,MATCH(Table1[[#This Row],[Ticker]],Industries!$A$2:$A$150,0),0)</f>
        <v>Utilities</v>
      </c>
      <c r="C1885" t="str">
        <f ca="1">OFFSET(Industries!D$1,MATCH(Table1[[#This Row],[Ticker]],Industries!$A$2:$A$150,0),0)</f>
        <v>Utilities</v>
      </c>
      <c r="D1885" t="str">
        <f ca="1">OFFSET(Industries!E$1,MATCH(Table1[[#This Row],[Ticker]],Industries!$A$2:$A$150,0),0)</f>
        <v>Electric Utilities</v>
      </c>
      <c r="E1885" t="s">
        <v>444</v>
      </c>
      <c r="F1885" t="str">
        <f ca="1">OFFSET(Industries!B$1,MATCH(Table1[[#This Row],[Ticker]],Industries!$A$2:$A$140,0),0)</f>
        <v>Large-Cap</v>
      </c>
      <c r="G1885" t="str">
        <f ca="1">OFFSET(Industries!F$1,MATCH(Table1[[#This Row],[Ticker]],Industries!$A$2:$A$140,0),0)</f>
        <v>BBB</v>
      </c>
      <c r="H1885" t="s">
        <v>1434</v>
      </c>
      <c r="I1885" t="s">
        <v>1434</v>
      </c>
      <c r="J1885" s="2">
        <v>45380</v>
      </c>
      <c r="K1885" t="s">
        <v>2</v>
      </c>
      <c r="L1885" t="s">
        <v>1708</v>
      </c>
      <c r="M1885" t="s">
        <v>1709</v>
      </c>
      <c r="N1885" s="1"/>
      <c r="O1885" t="s">
        <v>4</v>
      </c>
      <c r="P1885" s="1">
        <v>0.16</v>
      </c>
      <c r="R1885" t="s">
        <v>28</v>
      </c>
      <c r="S1885" t="s">
        <v>1110</v>
      </c>
      <c r="T1885" t="s">
        <v>172</v>
      </c>
      <c r="V1885" t="s">
        <v>1185</v>
      </c>
    </row>
    <row r="1886" spans="1:22" x14ac:dyDescent="0.3">
      <c r="A1886" t="s">
        <v>1172</v>
      </c>
      <c r="B1886" t="str">
        <f ca="1">OFFSET(Industries!C$1,MATCH(Table1[[#This Row],[Ticker]],Industries!$A$2:$A$150,0),0)</f>
        <v>Utilities</v>
      </c>
      <c r="C1886" t="str">
        <f ca="1">OFFSET(Industries!D$1,MATCH(Table1[[#This Row],[Ticker]],Industries!$A$2:$A$150,0),0)</f>
        <v>Utilities</v>
      </c>
      <c r="D1886" t="str">
        <f ca="1">OFFSET(Industries!E$1,MATCH(Table1[[#This Row],[Ticker]],Industries!$A$2:$A$150,0),0)</f>
        <v>Electric Utilities</v>
      </c>
      <c r="E1886" t="s">
        <v>444</v>
      </c>
      <c r="F1886" t="str">
        <f ca="1">OFFSET(Industries!B$1,MATCH(Table1[[#This Row],[Ticker]],Industries!$A$2:$A$140,0),0)</f>
        <v>Large-Cap</v>
      </c>
      <c r="G1886" t="str">
        <f ca="1">OFFSET(Industries!F$1,MATCH(Table1[[#This Row],[Ticker]],Industries!$A$2:$A$140,0),0)</f>
        <v>BBB</v>
      </c>
      <c r="H1886" t="s">
        <v>1434</v>
      </c>
      <c r="I1886" t="s">
        <v>1434</v>
      </c>
      <c r="J1886" s="2">
        <v>45380</v>
      </c>
      <c r="K1886" t="s">
        <v>2</v>
      </c>
      <c r="L1886" t="s">
        <v>1710</v>
      </c>
      <c r="M1886" t="s">
        <v>1709</v>
      </c>
      <c r="N1886" s="1">
        <f>Table1[[#This Row],[Consideration Weight]]</f>
        <v>0.48666666666666664</v>
      </c>
      <c r="O1886" t="s">
        <v>476</v>
      </c>
      <c r="P1886" s="1">
        <f>0.73*2/3</f>
        <v>0.48666666666666664</v>
      </c>
      <c r="Q1886" s="1" t="s">
        <v>1636</v>
      </c>
      <c r="R1886" t="s">
        <v>24</v>
      </c>
      <c r="S1886" t="s">
        <v>1089</v>
      </c>
      <c r="T1886" t="s">
        <v>86</v>
      </c>
      <c r="U1886" s="1">
        <v>0.65</v>
      </c>
      <c r="V1886" t="s">
        <v>1183</v>
      </c>
    </row>
    <row r="1887" spans="1:22" x14ac:dyDescent="0.3">
      <c r="A1887" t="s">
        <v>1172</v>
      </c>
      <c r="B1887" t="str">
        <f ca="1">OFFSET(Industries!C$1,MATCH(Table1[[#This Row],[Ticker]],Industries!$A$2:$A$150,0),0)</f>
        <v>Utilities</v>
      </c>
      <c r="C1887" t="str">
        <f ca="1">OFFSET(Industries!D$1,MATCH(Table1[[#This Row],[Ticker]],Industries!$A$2:$A$150,0),0)</f>
        <v>Utilities</v>
      </c>
      <c r="D1887" t="str">
        <f ca="1">OFFSET(Industries!E$1,MATCH(Table1[[#This Row],[Ticker]],Industries!$A$2:$A$150,0),0)</f>
        <v>Electric Utilities</v>
      </c>
      <c r="E1887" t="s">
        <v>444</v>
      </c>
      <c r="F1887" t="str">
        <f ca="1">OFFSET(Industries!B$1,MATCH(Table1[[#This Row],[Ticker]],Industries!$A$2:$A$140,0),0)</f>
        <v>Large-Cap</v>
      </c>
      <c r="G1887" t="str">
        <f ca="1">OFFSET(Industries!F$1,MATCH(Table1[[#This Row],[Ticker]],Industries!$A$2:$A$140,0),0)</f>
        <v>BBB</v>
      </c>
      <c r="H1887" t="s">
        <v>1434</v>
      </c>
      <c r="I1887" t="s">
        <v>1434</v>
      </c>
      <c r="J1887" s="2">
        <v>45380</v>
      </c>
      <c r="K1887" t="s">
        <v>2</v>
      </c>
      <c r="L1887" t="s">
        <v>1710</v>
      </c>
      <c r="M1887" t="s">
        <v>1709</v>
      </c>
      <c r="N1887" s="1"/>
      <c r="O1887" t="s">
        <v>476</v>
      </c>
      <c r="P1887" s="1">
        <f t="shared" ref="P1887:P1888" si="36">0.73*2/3</f>
        <v>0.48666666666666664</v>
      </c>
      <c r="Q1887" s="1" t="s">
        <v>1646</v>
      </c>
      <c r="R1887" t="s">
        <v>35</v>
      </c>
      <c r="S1887" t="s">
        <v>29</v>
      </c>
      <c r="T1887" t="s">
        <v>30</v>
      </c>
      <c r="U1887" s="1">
        <v>0.35</v>
      </c>
      <c r="V1887" t="s">
        <v>1184</v>
      </c>
    </row>
    <row r="1888" spans="1:22" x14ac:dyDescent="0.3">
      <c r="A1888" t="s">
        <v>1172</v>
      </c>
      <c r="B1888" t="str">
        <f ca="1">OFFSET(Industries!C$1,MATCH(Table1[[#This Row],[Ticker]],Industries!$A$2:$A$150,0),0)</f>
        <v>Utilities</v>
      </c>
      <c r="C1888" t="str">
        <f ca="1">OFFSET(Industries!D$1,MATCH(Table1[[#This Row],[Ticker]],Industries!$A$2:$A$150,0),0)</f>
        <v>Utilities</v>
      </c>
      <c r="D1888" t="str">
        <f ca="1">OFFSET(Industries!E$1,MATCH(Table1[[#This Row],[Ticker]],Industries!$A$2:$A$150,0),0)</f>
        <v>Electric Utilities</v>
      </c>
      <c r="E1888" t="s">
        <v>444</v>
      </c>
      <c r="F1888" t="str">
        <f ca="1">OFFSET(Industries!B$1,MATCH(Table1[[#This Row],[Ticker]],Industries!$A$2:$A$140,0),0)</f>
        <v>Large-Cap</v>
      </c>
      <c r="G1888" t="str">
        <f ca="1">OFFSET(Industries!F$1,MATCH(Table1[[#This Row],[Ticker]],Industries!$A$2:$A$140,0),0)</f>
        <v>BBB</v>
      </c>
      <c r="H1888" t="s">
        <v>1434</v>
      </c>
      <c r="I1888" t="s">
        <v>1434</v>
      </c>
      <c r="J1888" s="2">
        <v>45380</v>
      </c>
      <c r="K1888" t="s">
        <v>2</v>
      </c>
      <c r="L1888" t="s">
        <v>1710</v>
      </c>
      <c r="M1888" t="s">
        <v>1709</v>
      </c>
      <c r="N1888" s="1"/>
      <c r="O1888" t="s">
        <v>476</v>
      </c>
      <c r="P1888" s="1">
        <f t="shared" si="36"/>
        <v>0.48666666666666664</v>
      </c>
      <c r="R1888" t="s">
        <v>28</v>
      </c>
      <c r="S1888" t="s">
        <v>1095</v>
      </c>
      <c r="T1888" t="s">
        <v>55</v>
      </c>
      <c r="V1888" t="s">
        <v>1731</v>
      </c>
    </row>
    <row r="1889" spans="1:22" x14ac:dyDescent="0.3">
      <c r="A1889" t="s">
        <v>1172</v>
      </c>
      <c r="B1889" t="str">
        <f ca="1">OFFSET(Industries!C$1,MATCH(Table1[[#This Row],[Ticker]],Industries!$A$2:$A$150,0),0)</f>
        <v>Utilities</v>
      </c>
      <c r="C1889" t="str">
        <f ca="1">OFFSET(Industries!D$1,MATCH(Table1[[#This Row],[Ticker]],Industries!$A$2:$A$150,0),0)</f>
        <v>Utilities</v>
      </c>
      <c r="D1889" t="str">
        <f ca="1">OFFSET(Industries!E$1,MATCH(Table1[[#This Row],[Ticker]],Industries!$A$2:$A$150,0),0)</f>
        <v>Electric Utilities</v>
      </c>
      <c r="E1889" t="s">
        <v>444</v>
      </c>
      <c r="F1889" t="str">
        <f ca="1">OFFSET(Industries!B$1,MATCH(Table1[[#This Row],[Ticker]],Industries!$A$2:$A$140,0),0)</f>
        <v>Large-Cap</v>
      </c>
      <c r="G1889" t="str">
        <f ca="1">OFFSET(Industries!F$1,MATCH(Table1[[#This Row],[Ticker]],Industries!$A$2:$A$140,0),0)</f>
        <v>BBB</v>
      </c>
      <c r="H1889" t="s">
        <v>1434</v>
      </c>
      <c r="I1889" t="s">
        <v>1434</v>
      </c>
      <c r="J1889" s="2">
        <v>45380</v>
      </c>
      <c r="K1889" t="s">
        <v>2</v>
      </c>
      <c r="L1889" t="s">
        <v>1710</v>
      </c>
      <c r="M1889" t="s">
        <v>1709</v>
      </c>
      <c r="N1889" s="1">
        <f>Table1[[#This Row],[Consideration Weight]]</f>
        <v>0.24333333333333332</v>
      </c>
      <c r="O1889" t="s">
        <v>488</v>
      </c>
      <c r="P1889" s="1">
        <f>0.73/3</f>
        <v>0.24333333333333332</v>
      </c>
      <c r="R1889" t="s">
        <v>28</v>
      </c>
      <c r="S1889" t="s">
        <v>1095</v>
      </c>
      <c r="T1889" t="s">
        <v>55</v>
      </c>
    </row>
    <row r="1890" spans="1:22" x14ac:dyDescent="0.3">
      <c r="A1890" t="s">
        <v>1172</v>
      </c>
      <c r="B1890" t="str">
        <f ca="1">OFFSET(Industries!C$1,MATCH(Table1[[#This Row],[Ticker]],Industries!$A$2:$A$150,0),0)</f>
        <v>Utilities</v>
      </c>
      <c r="C1890" t="str">
        <f ca="1">OFFSET(Industries!D$1,MATCH(Table1[[#This Row],[Ticker]],Industries!$A$2:$A$150,0),0)</f>
        <v>Utilities</v>
      </c>
      <c r="D1890" t="str">
        <f ca="1">OFFSET(Industries!E$1,MATCH(Table1[[#This Row],[Ticker]],Industries!$A$2:$A$150,0),0)</f>
        <v>Electric Utilities</v>
      </c>
      <c r="E1890" t="s">
        <v>444</v>
      </c>
      <c r="F1890" t="str">
        <f ca="1">OFFSET(Industries!B$1,MATCH(Table1[[#This Row],[Ticker]],Industries!$A$2:$A$140,0),0)</f>
        <v>Large-Cap</v>
      </c>
      <c r="G1890" t="str">
        <f ca="1">OFFSET(Industries!F$1,MATCH(Table1[[#This Row],[Ticker]],Industries!$A$2:$A$140,0),0)</f>
        <v>BBB</v>
      </c>
      <c r="H1890" t="s">
        <v>1434</v>
      </c>
      <c r="I1890" t="s">
        <v>1434</v>
      </c>
      <c r="J1890" s="2">
        <v>45380</v>
      </c>
      <c r="K1890" t="s">
        <v>21</v>
      </c>
      <c r="L1890" t="s">
        <v>3</v>
      </c>
      <c r="M1890" t="s">
        <v>1711</v>
      </c>
      <c r="N1890" s="1">
        <f>Table1[[#This Row],[Consideration Weight]]</f>
        <v>0.23</v>
      </c>
      <c r="O1890" t="s">
        <v>3</v>
      </c>
      <c r="P1890" s="1">
        <v>0.23</v>
      </c>
    </row>
    <row r="1891" spans="1:22" x14ac:dyDescent="0.3">
      <c r="A1891" t="s">
        <v>1172</v>
      </c>
      <c r="B1891" t="str">
        <f ca="1">OFFSET(Industries!C$1,MATCH(Table1[[#This Row],[Ticker]],Industries!$A$2:$A$150,0),0)</f>
        <v>Utilities</v>
      </c>
      <c r="C1891" t="str">
        <f ca="1">OFFSET(Industries!D$1,MATCH(Table1[[#This Row],[Ticker]],Industries!$A$2:$A$150,0),0)</f>
        <v>Utilities</v>
      </c>
      <c r="D1891" t="str">
        <f ca="1">OFFSET(Industries!E$1,MATCH(Table1[[#This Row],[Ticker]],Industries!$A$2:$A$150,0),0)</f>
        <v>Electric Utilities</v>
      </c>
      <c r="E1891" t="s">
        <v>444</v>
      </c>
      <c r="F1891" t="str">
        <f ca="1">OFFSET(Industries!B$1,MATCH(Table1[[#This Row],[Ticker]],Industries!$A$2:$A$140,0),0)</f>
        <v>Large-Cap</v>
      </c>
      <c r="G1891" t="str">
        <f ca="1">OFFSET(Industries!F$1,MATCH(Table1[[#This Row],[Ticker]],Industries!$A$2:$A$140,0),0)</f>
        <v>BBB</v>
      </c>
      <c r="H1891" t="s">
        <v>1434</v>
      </c>
      <c r="I1891" t="s">
        <v>1434</v>
      </c>
      <c r="J1891" s="2">
        <v>45380</v>
      </c>
      <c r="K1891" t="s">
        <v>21</v>
      </c>
      <c r="L1891" t="s">
        <v>1708</v>
      </c>
      <c r="M1891" t="s">
        <v>1709</v>
      </c>
      <c r="N1891" s="1">
        <f>Table1[[#This Row],[Consideration Weight]]</f>
        <v>0.18</v>
      </c>
      <c r="O1891" t="s">
        <v>4</v>
      </c>
      <c r="P1891" s="1">
        <v>0.18</v>
      </c>
      <c r="Q1891" s="1" t="s">
        <v>1636</v>
      </c>
      <c r="R1891" t="s">
        <v>24</v>
      </c>
      <c r="S1891" t="s">
        <v>1098</v>
      </c>
      <c r="T1891" t="s">
        <v>107</v>
      </c>
      <c r="U1891" s="1">
        <v>0.35</v>
      </c>
    </row>
    <row r="1892" spans="1:22" x14ac:dyDescent="0.3">
      <c r="A1892" t="s">
        <v>1172</v>
      </c>
      <c r="B1892" t="str">
        <f ca="1">OFFSET(Industries!C$1,MATCH(Table1[[#This Row],[Ticker]],Industries!$A$2:$A$150,0),0)</f>
        <v>Utilities</v>
      </c>
      <c r="C1892" t="str">
        <f ca="1">OFFSET(Industries!D$1,MATCH(Table1[[#This Row],[Ticker]],Industries!$A$2:$A$150,0),0)</f>
        <v>Utilities</v>
      </c>
      <c r="D1892" t="str">
        <f ca="1">OFFSET(Industries!E$1,MATCH(Table1[[#This Row],[Ticker]],Industries!$A$2:$A$150,0),0)</f>
        <v>Electric Utilities</v>
      </c>
      <c r="E1892" t="s">
        <v>444</v>
      </c>
      <c r="F1892" t="str">
        <f ca="1">OFFSET(Industries!B$1,MATCH(Table1[[#This Row],[Ticker]],Industries!$A$2:$A$140,0),0)</f>
        <v>Large-Cap</v>
      </c>
      <c r="G1892" t="str">
        <f ca="1">OFFSET(Industries!F$1,MATCH(Table1[[#This Row],[Ticker]],Industries!$A$2:$A$140,0),0)</f>
        <v>BBB</v>
      </c>
      <c r="H1892" t="s">
        <v>1434</v>
      </c>
      <c r="I1892" t="s">
        <v>1434</v>
      </c>
      <c r="J1892" s="2">
        <v>45380</v>
      </c>
      <c r="K1892" t="s">
        <v>21</v>
      </c>
      <c r="L1892" t="s">
        <v>1708</v>
      </c>
      <c r="M1892" t="s">
        <v>1709</v>
      </c>
      <c r="N1892" s="1"/>
      <c r="O1892" t="s">
        <v>4</v>
      </c>
      <c r="P1892" s="1">
        <v>0.18</v>
      </c>
      <c r="Q1892" s="1" t="s">
        <v>1636</v>
      </c>
      <c r="R1892" t="s">
        <v>24</v>
      </c>
      <c r="S1892" t="s">
        <v>1086</v>
      </c>
      <c r="T1892" t="s">
        <v>1173</v>
      </c>
      <c r="U1892" s="1">
        <v>0.25</v>
      </c>
    </row>
    <row r="1893" spans="1:22" x14ac:dyDescent="0.3">
      <c r="A1893" t="s">
        <v>1172</v>
      </c>
      <c r="B1893" t="str">
        <f ca="1">OFFSET(Industries!C$1,MATCH(Table1[[#This Row],[Ticker]],Industries!$A$2:$A$150,0),0)</f>
        <v>Utilities</v>
      </c>
      <c r="C1893" t="str">
        <f ca="1">OFFSET(Industries!D$1,MATCH(Table1[[#This Row],[Ticker]],Industries!$A$2:$A$150,0),0)</f>
        <v>Utilities</v>
      </c>
      <c r="D1893" t="str">
        <f ca="1">OFFSET(Industries!E$1,MATCH(Table1[[#This Row],[Ticker]],Industries!$A$2:$A$150,0),0)</f>
        <v>Electric Utilities</v>
      </c>
      <c r="E1893" t="s">
        <v>444</v>
      </c>
      <c r="F1893" t="str">
        <f ca="1">OFFSET(Industries!B$1,MATCH(Table1[[#This Row],[Ticker]],Industries!$A$2:$A$140,0),0)</f>
        <v>Large-Cap</v>
      </c>
      <c r="G1893" t="str">
        <f ca="1">OFFSET(Industries!F$1,MATCH(Table1[[#This Row],[Ticker]],Industries!$A$2:$A$140,0),0)</f>
        <v>BBB</v>
      </c>
      <c r="H1893" t="s">
        <v>1434</v>
      </c>
      <c r="I1893" t="s">
        <v>1434</v>
      </c>
      <c r="J1893" s="2">
        <v>45380</v>
      </c>
      <c r="K1893" t="s">
        <v>21</v>
      </c>
      <c r="L1893" t="s">
        <v>1708</v>
      </c>
      <c r="M1893" t="s">
        <v>1709</v>
      </c>
      <c r="N1893" s="1"/>
      <c r="O1893" t="s">
        <v>4</v>
      </c>
      <c r="P1893" s="1">
        <v>0.18</v>
      </c>
      <c r="Q1893" s="1" t="s">
        <v>1637</v>
      </c>
      <c r="R1893" t="s">
        <v>25</v>
      </c>
      <c r="S1893" t="s">
        <v>1086</v>
      </c>
      <c r="T1893" t="s">
        <v>637</v>
      </c>
      <c r="U1893" s="1">
        <v>0.15</v>
      </c>
    </row>
    <row r="1894" spans="1:22" x14ac:dyDescent="0.3">
      <c r="A1894" t="s">
        <v>1172</v>
      </c>
      <c r="B1894" t="str">
        <f ca="1">OFFSET(Industries!C$1,MATCH(Table1[[#This Row],[Ticker]],Industries!$A$2:$A$150,0),0)</f>
        <v>Utilities</v>
      </c>
      <c r="C1894" t="str">
        <f ca="1">OFFSET(Industries!D$1,MATCH(Table1[[#This Row],[Ticker]],Industries!$A$2:$A$150,0),0)</f>
        <v>Utilities</v>
      </c>
      <c r="D1894" t="str">
        <f ca="1">OFFSET(Industries!E$1,MATCH(Table1[[#This Row],[Ticker]],Industries!$A$2:$A$150,0),0)</f>
        <v>Electric Utilities</v>
      </c>
      <c r="E1894" t="s">
        <v>444</v>
      </c>
      <c r="F1894" t="str">
        <f ca="1">OFFSET(Industries!B$1,MATCH(Table1[[#This Row],[Ticker]],Industries!$A$2:$A$140,0),0)</f>
        <v>Large-Cap</v>
      </c>
      <c r="G1894" t="str">
        <f ca="1">OFFSET(Industries!F$1,MATCH(Table1[[#This Row],[Ticker]],Industries!$A$2:$A$140,0),0)</f>
        <v>BBB</v>
      </c>
      <c r="H1894" t="s">
        <v>1434</v>
      </c>
      <c r="I1894" t="s">
        <v>1434</v>
      </c>
      <c r="J1894" s="2">
        <v>45380</v>
      </c>
      <c r="K1894" t="s">
        <v>21</v>
      </c>
      <c r="L1894" t="s">
        <v>1708</v>
      </c>
      <c r="M1894" t="s">
        <v>1709</v>
      </c>
      <c r="N1894" s="1"/>
      <c r="O1894" t="s">
        <v>4</v>
      </c>
      <c r="P1894" s="1">
        <v>0.18</v>
      </c>
      <c r="Q1894" s="1" t="s">
        <v>1637</v>
      </c>
      <c r="R1894" t="s">
        <v>26</v>
      </c>
      <c r="S1894" t="s">
        <v>814</v>
      </c>
      <c r="T1894" t="s">
        <v>814</v>
      </c>
      <c r="U1894" s="1">
        <v>0.15</v>
      </c>
    </row>
    <row r="1895" spans="1:22" x14ac:dyDescent="0.3">
      <c r="A1895" t="s">
        <v>1172</v>
      </c>
      <c r="B1895" t="str">
        <f ca="1">OFFSET(Industries!C$1,MATCH(Table1[[#This Row],[Ticker]],Industries!$A$2:$A$150,0),0)</f>
        <v>Utilities</v>
      </c>
      <c r="C1895" t="str">
        <f ca="1">OFFSET(Industries!D$1,MATCH(Table1[[#This Row],[Ticker]],Industries!$A$2:$A$150,0),0)</f>
        <v>Utilities</v>
      </c>
      <c r="D1895" t="str">
        <f ca="1">OFFSET(Industries!E$1,MATCH(Table1[[#This Row],[Ticker]],Industries!$A$2:$A$150,0),0)</f>
        <v>Electric Utilities</v>
      </c>
      <c r="E1895" t="s">
        <v>444</v>
      </c>
      <c r="F1895" t="str">
        <f ca="1">OFFSET(Industries!B$1,MATCH(Table1[[#This Row],[Ticker]],Industries!$A$2:$A$140,0),0)</f>
        <v>Large-Cap</v>
      </c>
      <c r="G1895" t="str">
        <f ca="1">OFFSET(Industries!F$1,MATCH(Table1[[#This Row],[Ticker]],Industries!$A$2:$A$140,0),0)</f>
        <v>BBB</v>
      </c>
      <c r="H1895" t="s">
        <v>1434</v>
      </c>
      <c r="I1895" t="s">
        <v>1434</v>
      </c>
      <c r="J1895" s="2">
        <v>45380</v>
      </c>
      <c r="K1895" t="s">
        <v>21</v>
      </c>
      <c r="L1895" t="s">
        <v>1708</v>
      </c>
      <c r="M1895" t="s">
        <v>1709</v>
      </c>
      <c r="N1895" s="1"/>
      <c r="O1895" t="s">
        <v>4</v>
      </c>
      <c r="P1895" s="1">
        <v>0.18</v>
      </c>
      <c r="Q1895" s="1" t="s">
        <v>1637</v>
      </c>
      <c r="R1895" t="s">
        <v>26</v>
      </c>
      <c r="S1895" t="s">
        <v>26</v>
      </c>
      <c r="T1895" t="s">
        <v>1174</v>
      </c>
      <c r="U1895" s="1">
        <v>0.1</v>
      </c>
    </row>
    <row r="1896" spans="1:22" x14ac:dyDescent="0.3">
      <c r="A1896" t="s">
        <v>1172</v>
      </c>
      <c r="B1896" t="str">
        <f ca="1">OFFSET(Industries!C$1,MATCH(Table1[[#This Row],[Ticker]],Industries!$A$2:$A$150,0),0)</f>
        <v>Utilities</v>
      </c>
      <c r="C1896" t="str">
        <f ca="1">OFFSET(Industries!D$1,MATCH(Table1[[#This Row],[Ticker]],Industries!$A$2:$A$150,0),0)</f>
        <v>Utilities</v>
      </c>
      <c r="D1896" t="str">
        <f ca="1">OFFSET(Industries!E$1,MATCH(Table1[[#This Row],[Ticker]],Industries!$A$2:$A$150,0),0)</f>
        <v>Electric Utilities</v>
      </c>
      <c r="E1896" t="s">
        <v>444</v>
      </c>
      <c r="F1896" t="str">
        <f ca="1">OFFSET(Industries!B$1,MATCH(Table1[[#This Row],[Ticker]],Industries!$A$2:$A$140,0),0)</f>
        <v>Large-Cap</v>
      </c>
      <c r="G1896" t="str">
        <f ca="1">OFFSET(Industries!F$1,MATCH(Table1[[#This Row],[Ticker]],Industries!$A$2:$A$140,0),0)</f>
        <v>BBB</v>
      </c>
      <c r="H1896" t="s">
        <v>1434</v>
      </c>
      <c r="I1896" t="s">
        <v>1434</v>
      </c>
      <c r="J1896" s="2">
        <v>45380</v>
      </c>
      <c r="K1896" t="s">
        <v>21</v>
      </c>
      <c r="L1896" t="s">
        <v>1708</v>
      </c>
      <c r="M1896" t="s">
        <v>1709</v>
      </c>
      <c r="N1896" s="1"/>
      <c r="O1896" t="s">
        <v>4</v>
      </c>
      <c r="P1896" s="1">
        <v>0.18</v>
      </c>
      <c r="R1896" t="s">
        <v>28</v>
      </c>
      <c r="S1896" t="s">
        <v>1123</v>
      </c>
      <c r="T1896" t="s">
        <v>107</v>
      </c>
    </row>
    <row r="1897" spans="1:22" x14ac:dyDescent="0.3">
      <c r="A1897" t="s">
        <v>1172</v>
      </c>
      <c r="B1897" t="str">
        <f ca="1">OFFSET(Industries!C$1,MATCH(Table1[[#This Row],[Ticker]],Industries!$A$2:$A$150,0),0)</f>
        <v>Utilities</v>
      </c>
      <c r="C1897" t="str">
        <f ca="1">OFFSET(Industries!D$1,MATCH(Table1[[#This Row],[Ticker]],Industries!$A$2:$A$150,0),0)</f>
        <v>Utilities</v>
      </c>
      <c r="D1897" t="str">
        <f ca="1">OFFSET(Industries!E$1,MATCH(Table1[[#This Row],[Ticker]],Industries!$A$2:$A$150,0),0)</f>
        <v>Electric Utilities</v>
      </c>
      <c r="E1897" t="s">
        <v>444</v>
      </c>
      <c r="F1897" t="str">
        <f ca="1">OFFSET(Industries!B$1,MATCH(Table1[[#This Row],[Ticker]],Industries!$A$2:$A$140,0),0)</f>
        <v>Large-Cap</v>
      </c>
      <c r="G1897" t="str">
        <f ca="1">OFFSET(Industries!F$1,MATCH(Table1[[#This Row],[Ticker]],Industries!$A$2:$A$140,0),0)</f>
        <v>BBB</v>
      </c>
      <c r="H1897" t="s">
        <v>1434</v>
      </c>
      <c r="I1897" t="s">
        <v>1434</v>
      </c>
      <c r="J1897" s="2">
        <v>45380</v>
      </c>
      <c r="K1897" t="s">
        <v>21</v>
      </c>
      <c r="L1897" t="s">
        <v>1708</v>
      </c>
      <c r="M1897" t="s">
        <v>1709</v>
      </c>
      <c r="N1897" s="1"/>
      <c r="O1897" t="s">
        <v>4</v>
      </c>
      <c r="P1897" s="1">
        <v>0.18</v>
      </c>
      <c r="R1897" t="s">
        <v>28</v>
      </c>
      <c r="S1897" t="s">
        <v>1180</v>
      </c>
      <c r="T1897" t="s">
        <v>1181</v>
      </c>
    </row>
    <row r="1898" spans="1:22" x14ac:dyDescent="0.3">
      <c r="A1898" t="s">
        <v>1172</v>
      </c>
      <c r="B1898" t="str">
        <f ca="1">OFFSET(Industries!C$1,MATCH(Table1[[#This Row],[Ticker]],Industries!$A$2:$A$150,0),0)</f>
        <v>Utilities</v>
      </c>
      <c r="C1898" t="str">
        <f ca="1">OFFSET(Industries!D$1,MATCH(Table1[[#This Row],[Ticker]],Industries!$A$2:$A$150,0),0)</f>
        <v>Utilities</v>
      </c>
      <c r="D1898" t="str">
        <f ca="1">OFFSET(Industries!E$1,MATCH(Table1[[#This Row],[Ticker]],Industries!$A$2:$A$150,0),0)</f>
        <v>Electric Utilities</v>
      </c>
      <c r="E1898" t="s">
        <v>444</v>
      </c>
      <c r="F1898" t="str">
        <f ca="1">OFFSET(Industries!B$1,MATCH(Table1[[#This Row],[Ticker]],Industries!$A$2:$A$140,0),0)</f>
        <v>Large-Cap</v>
      </c>
      <c r="G1898" t="str">
        <f ca="1">OFFSET(Industries!F$1,MATCH(Table1[[#This Row],[Ticker]],Industries!$A$2:$A$140,0),0)</f>
        <v>BBB</v>
      </c>
      <c r="H1898" t="s">
        <v>1434</v>
      </c>
      <c r="I1898" t="s">
        <v>1434</v>
      </c>
      <c r="J1898" s="2">
        <v>45380</v>
      </c>
      <c r="K1898" t="s">
        <v>21</v>
      </c>
      <c r="L1898" t="s">
        <v>1708</v>
      </c>
      <c r="M1898" t="s">
        <v>1709</v>
      </c>
      <c r="N1898" s="1"/>
      <c r="O1898" t="s">
        <v>4</v>
      </c>
      <c r="P1898" s="1">
        <v>0.18</v>
      </c>
      <c r="R1898" t="s">
        <v>28</v>
      </c>
      <c r="S1898" t="s">
        <v>1110</v>
      </c>
      <c r="T1898" t="s">
        <v>172</v>
      </c>
    </row>
    <row r="1899" spans="1:22" x14ac:dyDescent="0.3">
      <c r="A1899" t="s">
        <v>1172</v>
      </c>
      <c r="B1899" t="str">
        <f ca="1">OFFSET(Industries!C$1,MATCH(Table1[[#This Row],[Ticker]],Industries!$A$2:$A$150,0),0)</f>
        <v>Utilities</v>
      </c>
      <c r="C1899" t="str">
        <f ca="1">OFFSET(Industries!D$1,MATCH(Table1[[#This Row],[Ticker]],Industries!$A$2:$A$150,0),0)</f>
        <v>Utilities</v>
      </c>
      <c r="D1899" t="str">
        <f ca="1">OFFSET(Industries!E$1,MATCH(Table1[[#This Row],[Ticker]],Industries!$A$2:$A$150,0),0)</f>
        <v>Electric Utilities</v>
      </c>
      <c r="E1899" t="s">
        <v>444</v>
      </c>
      <c r="F1899" t="str">
        <f ca="1">OFFSET(Industries!B$1,MATCH(Table1[[#This Row],[Ticker]],Industries!$A$2:$A$140,0),0)</f>
        <v>Large-Cap</v>
      </c>
      <c r="G1899" t="str">
        <f ca="1">OFFSET(Industries!F$1,MATCH(Table1[[#This Row],[Ticker]],Industries!$A$2:$A$140,0),0)</f>
        <v>BBB</v>
      </c>
      <c r="H1899" t="s">
        <v>1434</v>
      </c>
      <c r="I1899" t="s">
        <v>1434</v>
      </c>
      <c r="J1899" s="2">
        <v>45380</v>
      </c>
      <c r="K1899" t="s">
        <v>21</v>
      </c>
      <c r="L1899" t="s">
        <v>1708</v>
      </c>
      <c r="M1899" t="s">
        <v>1709</v>
      </c>
      <c r="N1899" s="1"/>
      <c r="O1899" t="s">
        <v>4</v>
      </c>
      <c r="P1899" s="1">
        <v>0.18</v>
      </c>
      <c r="R1899" t="s">
        <v>28</v>
      </c>
      <c r="S1899" t="s">
        <v>1091</v>
      </c>
      <c r="T1899" t="s">
        <v>1187</v>
      </c>
    </row>
    <row r="1900" spans="1:22" x14ac:dyDescent="0.3">
      <c r="A1900" t="s">
        <v>1172</v>
      </c>
      <c r="B1900" t="str">
        <f ca="1">OFFSET(Industries!C$1,MATCH(Table1[[#This Row],[Ticker]],Industries!$A$2:$A$150,0),0)</f>
        <v>Utilities</v>
      </c>
      <c r="C1900" t="str">
        <f ca="1">OFFSET(Industries!D$1,MATCH(Table1[[#This Row],[Ticker]],Industries!$A$2:$A$150,0),0)</f>
        <v>Utilities</v>
      </c>
      <c r="D1900" t="str">
        <f ca="1">OFFSET(Industries!E$1,MATCH(Table1[[#This Row],[Ticker]],Industries!$A$2:$A$150,0),0)</f>
        <v>Electric Utilities</v>
      </c>
      <c r="E1900" t="s">
        <v>444</v>
      </c>
      <c r="F1900" t="str">
        <f ca="1">OFFSET(Industries!B$1,MATCH(Table1[[#This Row],[Ticker]],Industries!$A$2:$A$140,0),0)</f>
        <v>Large-Cap</v>
      </c>
      <c r="G1900" t="str">
        <f ca="1">OFFSET(Industries!F$1,MATCH(Table1[[#This Row],[Ticker]],Industries!$A$2:$A$140,0),0)</f>
        <v>BBB</v>
      </c>
      <c r="H1900" t="s">
        <v>1434</v>
      </c>
      <c r="I1900" t="s">
        <v>1434</v>
      </c>
      <c r="J1900" s="2">
        <v>45380</v>
      </c>
      <c r="K1900" t="s">
        <v>21</v>
      </c>
      <c r="L1900" t="s">
        <v>1710</v>
      </c>
      <c r="M1900" t="s">
        <v>1709</v>
      </c>
      <c r="N1900" s="1">
        <f>Table1[[#This Row],[Consideration Weight]]</f>
        <v>0.39333333333333331</v>
      </c>
      <c r="O1900" t="s">
        <v>476</v>
      </c>
      <c r="P1900" s="1">
        <f>0.59*2/3</f>
        <v>0.39333333333333331</v>
      </c>
      <c r="Q1900" s="1" t="s">
        <v>1636</v>
      </c>
      <c r="R1900" t="s">
        <v>24</v>
      </c>
      <c r="S1900" t="s">
        <v>1089</v>
      </c>
      <c r="T1900" t="s">
        <v>86</v>
      </c>
      <c r="U1900" s="1">
        <v>0.65</v>
      </c>
    </row>
    <row r="1901" spans="1:22" x14ac:dyDescent="0.3">
      <c r="A1901" t="s">
        <v>1172</v>
      </c>
      <c r="B1901" t="str">
        <f ca="1">OFFSET(Industries!C$1,MATCH(Table1[[#This Row],[Ticker]],Industries!$A$2:$A$150,0),0)</f>
        <v>Utilities</v>
      </c>
      <c r="C1901" t="str">
        <f ca="1">OFFSET(Industries!D$1,MATCH(Table1[[#This Row],[Ticker]],Industries!$A$2:$A$150,0),0)</f>
        <v>Utilities</v>
      </c>
      <c r="D1901" t="str">
        <f ca="1">OFFSET(Industries!E$1,MATCH(Table1[[#This Row],[Ticker]],Industries!$A$2:$A$150,0),0)</f>
        <v>Electric Utilities</v>
      </c>
      <c r="E1901" t="s">
        <v>444</v>
      </c>
      <c r="F1901" t="str">
        <f ca="1">OFFSET(Industries!B$1,MATCH(Table1[[#This Row],[Ticker]],Industries!$A$2:$A$140,0),0)</f>
        <v>Large-Cap</v>
      </c>
      <c r="G1901" t="str">
        <f ca="1">OFFSET(Industries!F$1,MATCH(Table1[[#This Row],[Ticker]],Industries!$A$2:$A$140,0),0)</f>
        <v>BBB</v>
      </c>
      <c r="H1901" t="s">
        <v>1434</v>
      </c>
      <c r="I1901" t="s">
        <v>1434</v>
      </c>
      <c r="J1901" s="2">
        <v>45380</v>
      </c>
      <c r="K1901" t="s">
        <v>21</v>
      </c>
      <c r="L1901" t="s">
        <v>1710</v>
      </c>
      <c r="M1901" t="s">
        <v>1709</v>
      </c>
      <c r="N1901" s="1"/>
      <c r="O1901" t="s">
        <v>476</v>
      </c>
      <c r="P1901" s="1">
        <f t="shared" ref="P1901:P1902" si="37">0.59*2/3</f>
        <v>0.39333333333333331</v>
      </c>
      <c r="Q1901" s="1" t="s">
        <v>1646</v>
      </c>
      <c r="R1901" t="s">
        <v>35</v>
      </c>
      <c r="S1901" t="s">
        <v>29</v>
      </c>
      <c r="T1901" t="s">
        <v>30</v>
      </c>
      <c r="U1901" s="1">
        <v>0.35</v>
      </c>
    </row>
    <row r="1902" spans="1:22" x14ac:dyDescent="0.3">
      <c r="A1902" t="s">
        <v>1172</v>
      </c>
      <c r="B1902" t="str">
        <f ca="1">OFFSET(Industries!C$1,MATCH(Table1[[#This Row],[Ticker]],Industries!$A$2:$A$150,0),0)</f>
        <v>Utilities</v>
      </c>
      <c r="C1902" t="str">
        <f ca="1">OFFSET(Industries!D$1,MATCH(Table1[[#This Row],[Ticker]],Industries!$A$2:$A$150,0),0)</f>
        <v>Utilities</v>
      </c>
      <c r="D1902" t="str">
        <f ca="1">OFFSET(Industries!E$1,MATCH(Table1[[#This Row],[Ticker]],Industries!$A$2:$A$150,0),0)</f>
        <v>Electric Utilities</v>
      </c>
      <c r="E1902" t="s">
        <v>444</v>
      </c>
      <c r="F1902" t="str">
        <f ca="1">OFFSET(Industries!B$1,MATCH(Table1[[#This Row],[Ticker]],Industries!$A$2:$A$140,0),0)</f>
        <v>Large-Cap</v>
      </c>
      <c r="G1902" t="str">
        <f ca="1">OFFSET(Industries!F$1,MATCH(Table1[[#This Row],[Ticker]],Industries!$A$2:$A$140,0),0)</f>
        <v>BBB</v>
      </c>
      <c r="H1902" t="s">
        <v>1434</v>
      </c>
      <c r="I1902" t="s">
        <v>1434</v>
      </c>
      <c r="J1902" s="2">
        <v>45380</v>
      </c>
      <c r="K1902" t="s">
        <v>21</v>
      </c>
      <c r="L1902" t="s">
        <v>1710</v>
      </c>
      <c r="M1902" t="s">
        <v>1709</v>
      </c>
      <c r="N1902" s="1"/>
      <c r="O1902" t="s">
        <v>476</v>
      </c>
      <c r="P1902" s="1">
        <f t="shared" si="37"/>
        <v>0.39333333333333331</v>
      </c>
      <c r="R1902" t="s">
        <v>28</v>
      </c>
      <c r="S1902" t="s">
        <v>1095</v>
      </c>
      <c r="T1902" t="s">
        <v>55</v>
      </c>
      <c r="V1902" t="s">
        <v>1731</v>
      </c>
    </row>
    <row r="1903" spans="1:22" x14ac:dyDescent="0.3">
      <c r="A1903" t="s">
        <v>1172</v>
      </c>
      <c r="B1903" t="str">
        <f ca="1">OFFSET(Industries!C$1,MATCH(Table1[[#This Row],[Ticker]],Industries!$A$2:$A$150,0),0)</f>
        <v>Utilities</v>
      </c>
      <c r="C1903" t="str">
        <f ca="1">OFFSET(Industries!D$1,MATCH(Table1[[#This Row],[Ticker]],Industries!$A$2:$A$150,0),0)</f>
        <v>Utilities</v>
      </c>
      <c r="D1903" t="str">
        <f ca="1">OFFSET(Industries!E$1,MATCH(Table1[[#This Row],[Ticker]],Industries!$A$2:$A$150,0),0)</f>
        <v>Electric Utilities</v>
      </c>
      <c r="E1903" t="s">
        <v>444</v>
      </c>
      <c r="F1903" t="str">
        <f ca="1">OFFSET(Industries!B$1,MATCH(Table1[[#This Row],[Ticker]],Industries!$A$2:$A$140,0),0)</f>
        <v>Large-Cap</v>
      </c>
      <c r="G1903" t="str">
        <f ca="1">OFFSET(Industries!F$1,MATCH(Table1[[#This Row],[Ticker]],Industries!$A$2:$A$140,0),0)</f>
        <v>BBB</v>
      </c>
      <c r="H1903" t="s">
        <v>1434</v>
      </c>
      <c r="I1903" t="s">
        <v>1434</v>
      </c>
      <c r="J1903" s="2">
        <v>45380</v>
      </c>
      <c r="K1903" t="s">
        <v>21</v>
      </c>
      <c r="L1903" t="s">
        <v>1710</v>
      </c>
      <c r="M1903" t="s">
        <v>1709</v>
      </c>
      <c r="N1903" s="1">
        <f>Table1[[#This Row],[Consideration Weight]]</f>
        <v>0.19666666666666666</v>
      </c>
      <c r="O1903" t="s">
        <v>488</v>
      </c>
      <c r="P1903" s="1">
        <f>0.59/3</f>
        <v>0.19666666666666666</v>
      </c>
      <c r="R1903" t="s">
        <v>28</v>
      </c>
      <c r="S1903" t="s">
        <v>1095</v>
      </c>
      <c r="T1903" t="s">
        <v>55</v>
      </c>
    </row>
    <row r="1904" spans="1:22" x14ac:dyDescent="0.3">
      <c r="A1904" t="s">
        <v>1190</v>
      </c>
      <c r="B1904" t="str">
        <f ca="1">OFFSET(Industries!C$1,MATCH(Table1[[#This Row],[Ticker]],Industries!$A$2:$A$150,0),0)</f>
        <v>Consumer Staples</v>
      </c>
      <c r="C1904" t="str">
        <f ca="1">OFFSET(Industries!D$1,MATCH(Table1[[#This Row],[Ticker]],Industries!$A$2:$A$150,0),0)</f>
        <v>Food, Beverage and Tobacco</v>
      </c>
      <c r="D1904" t="str">
        <f ca="1">OFFSET(Industries!E$1,MATCH(Table1[[#This Row],[Ticker]],Industries!$A$2:$A$150,0),0)</f>
        <v>Food Products</v>
      </c>
      <c r="E1904" t="s">
        <v>1191</v>
      </c>
      <c r="F1904" t="str">
        <f ca="1">OFFSET(Industries!B$1,MATCH(Table1[[#This Row],[Ticker]],Industries!$A$2:$A$140,0),0)</f>
        <v>Large-Cap</v>
      </c>
      <c r="G1904" t="str">
        <f ca="1">OFFSET(Industries!F$1,MATCH(Table1[[#This Row],[Ticker]],Industries!$A$2:$A$140,0),0)</f>
        <v>BBB</v>
      </c>
      <c r="H1904" t="s">
        <v>1434</v>
      </c>
      <c r="I1904" t="s">
        <v>1434</v>
      </c>
      <c r="J1904" s="2">
        <v>45152</v>
      </c>
      <c r="K1904" t="s">
        <v>2</v>
      </c>
      <c r="L1904" t="s">
        <v>3</v>
      </c>
      <c r="M1904" t="s">
        <v>1711</v>
      </c>
      <c r="N1904" s="1">
        <f>Table1[[#This Row],[Consideration Weight]]</f>
        <v>0.1</v>
      </c>
      <c r="O1904" t="s">
        <v>3</v>
      </c>
      <c r="P1904" s="1">
        <v>0.1</v>
      </c>
      <c r="V1904" t="s">
        <v>1193</v>
      </c>
    </row>
    <row r="1905" spans="1:22" x14ac:dyDescent="0.3">
      <c r="A1905" t="s">
        <v>1190</v>
      </c>
      <c r="B1905" t="str">
        <f ca="1">OFFSET(Industries!C$1,MATCH(Table1[[#This Row],[Ticker]],Industries!$A$2:$A$150,0),0)</f>
        <v>Consumer Staples</v>
      </c>
      <c r="C1905" t="str">
        <f ca="1">OFFSET(Industries!D$1,MATCH(Table1[[#This Row],[Ticker]],Industries!$A$2:$A$150,0),0)</f>
        <v>Food, Beverage and Tobacco</v>
      </c>
      <c r="D1905" t="str">
        <f ca="1">OFFSET(Industries!E$1,MATCH(Table1[[#This Row],[Ticker]],Industries!$A$2:$A$150,0),0)</f>
        <v>Food Products</v>
      </c>
      <c r="E1905" t="s">
        <v>1191</v>
      </c>
      <c r="F1905" t="str">
        <f ca="1">OFFSET(Industries!B$1,MATCH(Table1[[#This Row],[Ticker]],Industries!$A$2:$A$140,0),0)</f>
        <v>Large-Cap</v>
      </c>
      <c r="G1905" t="str">
        <f ca="1">OFFSET(Industries!F$1,MATCH(Table1[[#This Row],[Ticker]],Industries!$A$2:$A$140,0),0)</f>
        <v>BBB</v>
      </c>
      <c r="H1905" t="s">
        <v>1434</v>
      </c>
      <c r="I1905" t="s">
        <v>1434</v>
      </c>
      <c r="J1905" s="2">
        <v>45152</v>
      </c>
      <c r="K1905" t="s">
        <v>2</v>
      </c>
      <c r="L1905" t="s">
        <v>1708</v>
      </c>
      <c r="M1905" t="s">
        <v>1709</v>
      </c>
      <c r="N1905" s="1">
        <f>Table1[[#This Row],[Consideration Weight]]</f>
        <v>0.18</v>
      </c>
      <c r="O1905" t="s">
        <v>4</v>
      </c>
      <c r="P1905" s="1">
        <v>0.18</v>
      </c>
      <c r="Q1905" s="1" t="s">
        <v>1636</v>
      </c>
      <c r="R1905" t="s">
        <v>23</v>
      </c>
      <c r="S1905" t="s">
        <v>1083</v>
      </c>
      <c r="T1905" t="s">
        <v>226</v>
      </c>
      <c r="U1905" s="1">
        <v>0.4</v>
      </c>
      <c r="V1905" t="s">
        <v>1194</v>
      </c>
    </row>
    <row r="1906" spans="1:22" x14ac:dyDescent="0.3">
      <c r="A1906" t="s">
        <v>1190</v>
      </c>
      <c r="B1906" t="str">
        <f ca="1">OFFSET(Industries!C$1,MATCH(Table1[[#This Row],[Ticker]],Industries!$A$2:$A$150,0),0)</f>
        <v>Consumer Staples</v>
      </c>
      <c r="C1906" t="str">
        <f ca="1">OFFSET(Industries!D$1,MATCH(Table1[[#This Row],[Ticker]],Industries!$A$2:$A$150,0),0)</f>
        <v>Food, Beverage and Tobacco</v>
      </c>
      <c r="D1906" t="str">
        <f ca="1">OFFSET(Industries!E$1,MATCH(Table1[[#This Row],[Ticker]],Industries!$A$2:$A$150,0),0)</f>
        <v>Food Products</v>
      </c>
      <c r="E1906" t="s">
        <v>1191</v>
      </c>
      <c r="F1906" t="str">
        <f ca="1">OFFSET(Industries!B$1,MATCH(Table1[[#This Row],[Ticker]],Industries!$A$2:$A$140,0),0)</f>
        <v>Large-Cap</v>
      </c>
      <c r="G1906" t="str">
        <f ca="1">OFFSET(Industries!F$1,MATCH(Table1[[#This Row],[Ticker]],Industries!$A$2:$A$140,0),0)</f>
        <v>BBB</v>
      </c>
      <c r="H1906" t="s">
        <v>1434</v>
      </c>
      <c r="I1906" t="s">
        <v>1434</v>
      </c>
      <c r="J1906" s="2">
        <v>45152</v>
      </c>
      <c r="K1906" t="s">
        <v>2</v>
      </c>
      <c r="L1906" t="s">
        <v>1708</v>
      </c>
      <c r="M1906" t="s">
        <v>1709</v>
      </c>
      <c r="N1906" s="1"/>
      <c r="O1906" t="s">
        <v>4</v>
      </c>
      <c r="P1906" s="1">
        <v>0.18</v>
      </c>
      <c r="Q1906" s="1" t="s">
        <v>1636</v>
      </c>
      <c r="R1906" t="s">
        <v>24</v>
      </c>
      <c r="S1906" t="s">
        <v>90</v>
      </c>
      <c r="T1906" t="s">
        <v>732</v>
      </c>
      <c r="U1906" s="1">
        <v>0.4</v>
      </c>
    </row>
    <row r="1907" spans="1:22" x14ac:dyDescent="0.3">
      <c r="A1907" t="s">
        <v>1190</v>
      </c>
      <c r="B1907" t="str">
        <f ca="1">OFFSET(Industries!C$1,MATCH(Table1[[#This Row],[Ticker]],Industries!$A$2:$A$150,0),0)</f>
        <v>Consumer Staples</v>
      </c>
      <c r="C1907" t="str">
        <f ca="1">OFFSET(Industries!D$1,MATCH(Table1[[#This Row],[Ticker]],Industries!$A$2:$A$150,0),0)</f>
        <v>Food, Beverage and Tobacco</v>
      </c>
      <c r="D1907" t="str">
        <f ca="1">OFFSET(Industries!E$1,MATCH(Table1[[#This Row],[Ticker]],Industries!$A$2:$A$150,0),0)</f>
        <v>Food Products</v>
      </c>
      <c r="E1907" t="s">
        <v>1191</v>
      </c>
      <c r="F1907" t="str">
        <f ca="1">OFFSET(Industries!B$1,MATCH(Table1[[#This Row],[Ticker]],Industries!$A$2:$A$140,0),0)</f>
        <v>Large-Cap</v>
      </c>
      <c r="G1907" t="str">
        <f ca="1">OFFSET(Industries!F$1,MATCH(Table1[[#This Row],[Ticker]],Industries!$A$2:$A$140,0),0)</f>
        <v>BBB</v>
      </c>
      <c r="H1907" t="s">
        <v>1434</v>
      </c>
      <c r="I1907" t="s">
        <v>1434</v>
      </c>
      <c r="J1907" s="2">
        <v>45152</v>
      </c>
      <c r="K1907" t="s">
        <v>2</v>
      </c>
      <c r="L1907" t="s">
        <v>1708</v>
      </c>
      <c r="M1907" t="s">
        <v>1709</v>
      </c>
      <c r="N1907" s="1"/>
      <c r="O1907" t="s">
        <v>4</v>
      </c>
      <c r="P1907" s="1">
        <v>0.18</v>
      </c>
      <c r="Q1907" s="1" t="s">
        <v>1637</v>
      </c>
      <c r="R1907" t="s">
        <v>332</v>
      </c>
      <c r="S1907" t="s">
        <v>380</v>
      </c>
      <c r="T1907" t="s">
        <v>380</v>
      </c>
      <c r="U1907" s="1">
        <v>0.2</v>
      </c>
      <c r="V1907" t="s">
        <v>231</v>
      </c>
    </row>
    <row r="1908" spans="1:22" x14ac:dyDescent="0.3">
      <c r="A1908" t="s">
        <v>1190</v>
      </c>
      <c r="B1908" t="str">
        <f ca="1">OFFSET(Industries!C$1,MATCH(Table1[[#This Row],[Ticker]],Industries!$A$2:$A$150,0),0)</f>
        <v>Consumer Staples</v>
      </c>
      <c r="C1908" t="str">
        <f ca="1">OFFSET(Industries!D$1,MATCH(Table1[[#This Row],[Ticker]],Industries!$A$2:$A$150,0),0)</f>
        <v>Food, Beverage and Tobacco</v>
      </c>
      <c r="D1908" t="str">
        <f ca="1">OFFSET(Industries!E$1,MATCH(Table1[[#This Row],[Ticker]],Industries!$A$2:$A$150,0),0)</f>
        <v>Food Products</v>
      </c>
      <c r="E1908" t="s">
        <v>1191</v>
      </c>
      <c r="F1908" t="str">
        <f ca="1">OFFSET(Industries!B$1,MATCH(Table1[[#This Row],[Ticker]],Industries!$A$2:$A$140,0),0)</f>
        <v>Large-Cap</v>
      </c>
      <c r="G1908" t="str">
        <f ca="1">OFFSET(Industries!F$1,MATCH(Table1[[#This Row],[Ticker]],Industries!$A$2:$A$140,0),0)</f>
        <v>BBB</v>
      </c>
      <c r="H1908" t="s">
        <v>1434</v>
      </c>
      <c r="I1908" t="s">
        <v>1434</v>
      </c>
      <c r="J1908" s="2">
        <v>45152</v>
      </c>
      <c r="K1908" t="s">
        <v>2</v>
      </c>
      <c r="L1908" t="s">
        <v>1710</v>
      </c>
      <c r="M1908" t="s">
        <v>1709</v>
      </c>
      <c r="N1908" s="1">
        <f>Table1[[#This Row],[Consideration Weight]]</f>
        <v>0.36</v>
      </c>
      <c r="O1908" t="s">
        <v>476</v>
      </c>
      <c r="P1908" s="1">
        <v>0.36</v>
      </c>
      <c r="Q1908" s="1" t="s">
        <v>1636</v>
      </c>
      <c r="R1908" t="s">
        <v>23</v>
      </c>
      <c r="S1908" t="s">
        <v>1083</v>
      </c>
      <c r="T1908" t="s">
        <v>809</v>
      </c>
      <c r="U1908" s="1">
        <v>0.5</v>
      </c>
    </row>
    <row r="1909" spans="1:22" x14ac:dyDescent="0.3">
      <c r="A1909" t="s">
        <v>1190</v>
      </c>
      <c r="B1909" t="str">
        <f ca="1">OFFSET(Industries!C$1,MATCH(Table1[[#This Row],[Ticker]],Industries!$A$2:$A$150,0),0)</f>
        <v>Consumer Staples</v>
      </c>
      <c r="C1909" t="str">
        <f ca="1">OFFSET(Industries!D$1,MATCH(Table1[[#This Row],[Ticker]],Industries!$A$2:$A$150,0),0)</f>
        <v>Food, Beverage and Tobacco</v>
      </c>
      <c r="D1909" t="str">
        <f ca="1">OFFSET(Industries!E$1,MATCH(Table1[[#This Row],[Ticker]],Industries!$A$2:$A$150,0),0)</f>
        <v>Food Products</v>
      </c>
      <c r="E1909" t="s">
        <v>1191</v>
      </c>
      <c r="F1909" t="str">
        <f ca="1">OFFSET(Industries!B$1,MATCH(Table1[[#This Row],[Ticker]],Industries!$A$2:$A$140,0),0)</f>
        <v>Large-Cap</v>
      </c>
      <c r="G1909" t="str">
        <f ca="1">OFFSET(Industries!F$1,MATCH(Table1[[#This Row],[Ticker]],Industries!$A$2:$A$140,0),0)</f>
        <v>BBB</v>
      </c>
      <c r="H1909" t="s">
        <v>1434</v>
      </c>
      <c r="I1909" t="s">
        <v>1434</v>
      </c>
      <c r="J1909" s="2">
        <v>45152</v>
      </c>
      <c r="K1909" t="s">
        <v>2</v>
      </c>
      <c r="L1909" t="s">
        <v>1710</v>
      </c>
      <c r="M1909" t="s">
        <v>1709</v>
      </c>
      <c r="N1909" s="1"/>
      <c r="O1909" t="s">
        <v>476</v>
      </c>
      <c r="P1909" s="1">
        <v>0.36</v>
      </c>
      <c r="Q1909" s="1" t="s">
        <v>1636</v>
      </c>
      <c r="R1909" t="s">
        <v>62</v>
      </c>
      <c r="S1909" t="s">
        <v>63</v>
      </c>
      <c r="T1909" t="s">
        <v>1192</v>
      </c>
      <c r="U1909" s="1">
        <v>0.5</v>
      </c>
      <c r="V1909" t="s">
        <v>664</v>
      </c>
    </row>
    <row r="1910" spans="1:22" x14ac:dyDescent="0.3">
      <c r="A1910" t="s">
        <v>1190</v>
      </c>
      <c r="B1910" t="str">
        <f ca="1">OFFSET(Industries!C$1,MATCH(Table1[[#This Row],[Ticker]],Industries!$A$2:$A$150,0),0)</f>
        <v>Consumer Staples</v>
      </c>
      <c r="C1910" t="str">
        <f ca="1">OFFSET(Industries!D$1,MATCH(Table1[[#This Row],[Ticker]],Industries!$A$2:$A$150,0),0)</f>
        <v>Food, Beverage and Tobacco</v>
      </c>
      <c r="D1910" t="str">
        <f ca="1">OFFSET(Industries!E$1,MATCH(Table1[[#This Row],[Ticker]],Industries!$A$2:$A$150,0),0)</f>
        <v>Food Products</v>
      </c>
      <c r="E1910" t="s">
        <v>1191</v>
      </c>
      <c r="F1910" t="str">
        <f ca="1">OFFSET(Industries!B$1,MATCH(Table1[[#This Row],[Ticker]],Industries!$A$2:$A$140,0),0)</f>
        <v>Large-Cap</v>
      </c>
      <c r="G1910" t="str">
        <f ca="1">OFFSET(Industries!F$1,MATCH(Table1[[#This Row],[Ticker]],Industries!$A$2:$A$140,0),0)</f>
        <v>BBB</v>
      </c>
      <c r="H1910" t="s">
        <v>1434</v>
      </c>
      <c r="I1910" t="s">
        <v>1434</v>
      </c>
      <c r="J1910" s="2">
        <v>45152</v>
      </c>
      <c r="K1910" t="s">
        <v>2</v>
      </c>
      <c r="L1910" t="s">
        <v>1710</v>
      </c>
      <c r="M1910" t="s">
        <v>1709</v>
      </c>
      <c r="N1910" s="1"/>
      <c r="O1910" t="s">
        <v>476</v>
      </c>
      <c r="P1910" s="1">
        <v>0.36</v>
      </c>
      <c r="R1910" t="s">
        <v>28</v>
      </c>
      <c r="S1910" t="s">
        <v>1085</v>
      </c>
      <c r="T1910" t="s">
        <v>30</v>
      </c>
    </row>
    <row r="1911" spans="1:22" x14ac:dyDescent="0.3">
      <c r="A1911" t="s">
        <v>1190</v>
      </c>
      <c r="B1911" t="str">
        <f ca="1">OFFSET(Industries!C$1,MATCH(Table1[[#This Row],[Ticker]],Industries!$A$2:$A$150,0),0)</f>
        <v>Consumer Staples</v>
      </c>
      <c r="C1911" t="str">
        <f ca="1">OFFSET(Industries!D$1,MATCH(Table1[[#This Row],[Ticker]],Industries!$A$2:$A$150,0),0)</f>
        <v>Food, Beverage and Tobacco</v>
      </c>
      <c r="D1911" t="str">
        <f ca="1">OFFSET(Industries!E$1,MATCH(Table1[[#This Row],[Ticker]],Industries!$A$2:$A$150,0),0)</f>
        <v>Food Products</v>
      </c>
      <c r="E1911" t="s">
        <v>1191</v>
      </c>
      <c r="F1911" t="str">
        <f ca="1">OFFSET(Industries!B$1,MATCH(Table1[[#This Row],[Ticker]],Industries!$A$2:$A$140,0),0)</f>
        <v>Large-Cap</v>
      </c>
      <c r="G1911" t="str">
        <f ca="1">OFFSET(Industries!F$1,MATCH(Table1[[#This Row],[Ticker]],Industries!$A$2:$A$140,0),0)</f>
        <v>BBB</v>
      </c>
      <c r="H1911" t="s">
        <v>1434</v>
      </c>
      <c r="I1911" t="s">
        <v>1434</v>
      </c>
      <c r="J1911" s="2">
        <v>45152</v>
      </c>
      <c r="K1911" t="s">
        <v>2</v>
      </c>
      <c r="L1911" t="s">
        <v>1710</v>
      </c>
      <c r="M1911" t="s">
        <v>1711</v>
      </c>
      <c r="N1911" s="1">
        <f>Table1[[#This Row],[Consideration Weight]]</f>
        <v>0.18</v>
      </c>
      <c r="O1911" t="s">
        <v>194</v>
      </c>
      <c r="P1911" s="1">
        <v>0.18</v>
      </c>
    </row>
    <row r="1912" spans="1:22" x14ac:dyDescent="0.3">
      <c r="A1912" t="s">
        <v>1190</v>
      </c>
      <c r="B1912" t="str">
        <f ca="1">OFFSET(Industries!C$1,MATCH(Table1[[#This Row],[Ticker]],Industries!$A$2:$A$150,0),0)</f>
        <v>Consumer Staples</v>
      </c>
      <c r="C1912" t="str">
        <f ca="1">OFFSET(Industries!D$1,MATCH(Table1[[#This Row],[Ticker]],Industries!$A$2:$A$150,0),0)</f>
        <v>Food, Beverage and Tobacco</v>
      </c>
      <c r="D1912" t="str">
        <f ca="1">OFFSET(Industries!E$1,MATCH(Table1[[#This Row],[Ticker]],Industries!$A$2:$A$150,0),0)</f>
        <v>Food Products</v>
      </c>
      <c r="E1912" t="s">
        <v>1191</v>
      </c>
      <c r="F1912" t="str">
        <f ca="1">OFFSET(Industries!B$1,MATCH(Table1[[#This Row],[Ticker]],Industries!$A$2:$A$140,0),0)</f>
        <v>Large-Cap</v>
      </c>
      <c r="G1912" t="str">
        <f ca="1">OFFSET(Industries!F$1,MATCH(Table1[[#This Row],[Ticker]],Industries!$A$2:$A$140,0),0)</f>
        <v>BBB</v>
      </c>
      <c r="H1912" t="s">
        <v>1434</v>
      </c>
      <c r="I1912" t="s">
        <v>1434</v>
      </c>
      <c r="J1912" s="2">
        <v>45152</v>
      </c>
      <c r="K1912" t="s">
        <v>2</v>
      </c>
      <c r="L1912" t="s">
        <v>1710</v>
      </c>
      <c r="M1912" t="s">
        <v>1711</v>
      </c>
      <c r="N1912" s="1">
        <f>Table1[[#This Row],[Consideration Weight]]</f>
        <v>0.18</v>
      </c>
      <c r="O1912" t="s">
        <v>87</v>
      </c>
      <c r="P1912" s="1">
        <v>0.18</v>
      </c>
    </row>
    <row r="1913" spans="1:22" x14ac:dyDescent="0.3">
      <c r="A1913" t="s">
        <v>1190</v>
      </c>
      <c r="B1913" t="str">
        <f ca="1">OFFSET(Industries!C$1,MATCH(Table1[[#This Row],[Ticker]],Industries!$A$2:$A$150,0),0)</f>
        <v>Consumer Staples</v>
      </c>
      <c r="C1913" t="str">
        <f ca="1">OFFSET(Industries!D$1,MATCH(Table1[[#This Row],[Ticker]],Industries!$A$2:$A$150,0),0)</f>
        <v>Food, Beverage and Tobacco</v>
      </c>
      <c r="D1913" t="str">
        <f ca="1">OFFSET(Industries!E$1,MATCH(Table1[[#This Row],[Ticker]],Industries!$A$2:$A$150,0),0)</f>
        <v>Food Products</v>
      </c>
      <c r="E1913" t="s">
        <v>1191</v>
      </c>
      <c r="F1913" t="str">
        <f ca="1">OFFSET(Industries!B$1,MATCH(Table1[[#This Row],[Ticker]],Industries!$A$2:$A$140,0),0)</f>
        <v>Large-Cap</v>
      </c>
      <c r="G1913" t="str">
        <f ca="1">OFFSET(Industries!F$1,MATCH(Table1[[#This Row],[Ticker]],Industries!$A$2:$A$140,0),0)</f>
        <v>BBB</v>
      </c>
      <c r="H1913" t="s">
        <v>1434</v>
      </c>
      <c r="I1913" t="s">
        <v>1434</v>
      </c>
      <c r="J1913" s="2">
        <v>45152</v>
      </c>
      <c r="K1913" t="s">
        <v>21</v>
      </c>
      <c r="L1913" t="s">
        <v>3</v>
      </c>
      <c r="M1913" t="s">
        <v>1711</v>
      </c>
      <c r="N1913" s="1">
        <f>Table1[[#This Row],[Consideration Weight]]</f>
        <v>0.21732625421918489</v>
      </c>
      <c r="O1913" t="s">
        <v>3</v>
      </c>
      <c r="P1913" s="1">
        <v>0.21732625421918489</v>
      </c>
    </row>
    <row r="1914" spans="1:22" x14ac:dyDescent="0.3">
      <c r="A1914" t="s">
        <v>1190</v>
      </c>
      <c r="B1914" t="str">
        <f ca="1">OFFSET(Industries!C$1,MATCH(Table1[[#This Row],[Ticker]],Industries!$A$2:$A$150,0),0)</f>
        <v>Consumer Staples</v>
      </c>
      <c r="C1914" t="str">
        <f ca="1">OFFSET(Industries!D$1,MATCH(Table1[[#This Row],[Ticker]],Industries!$A$2:$A$150,0),0)</f>
        <v>Food, Beverage and Tobacco</v>
      </c>
      <c r="D1914" t="str">
        <f ca="1">OFFSET(Industries!E$1,MATCH(Table1[[#This Row],[Ticker]],Industries!$A$2:$A$150,0),0)</f>
        <v>Food Products</v>
      </c>
      <c r="E1914" t="s">
        <v>1191</v>
      </c>
      <c r="F1914" t="str">
        <f ca="1">OFFSET(Industries!B$1,MATCH(Table1[[#This Row],[Ticker]],Industries!$A$2:$A$140,0),0)</f>
        <v>Large-Cap</v>
      </c>
      <c r="G1914" t="str">
        <f ca="1">OFFSET(Industries!F$1,MATCH(Table1[[#This Row],[Ticker]],Industries!$A$2:$A$140,0),0)</f>
        <v>BBB</v>
      </c>
      <c r="H1914" t="s">
        <v>1434</v>
      </c>
      <c r="I1914" t="s">
        <v>1434</v>
      </c>
      <c r="J1914" s="2">
        <v>45152</v>
      </c>
      <c r="K1914" t="s">
        <v>21</v>
      </c>
      <c r="L1914" t="s">
        <v>1708</v>
      </c>
      <c r="M1914" t="s">
        <v>1709</v>
      </c>
      <c r="N1914" s="1">
        <f>Table1[[#This Row],[Consideration Weight]]</f>
        <v>0.2034214054038101</v>
      </c>
      <c r="O1914" t="s">
        <v>4</v>
      </c>
      <c r="P1914" s="1">
        <v>0.2034214054038101</v>
      </c>
      <c r="Q1914" s="1" t="s">
        <v>1636</v>
      </c>
      <c r="R1914" t="s">
        <v>23</v>
      </c>
      <c r="S1914" t="s">
        <v>1083</v>
      </c>
      <c r="T1914" t="s">
        <v>226</v>
      </c>
      <c r="U1914" s="1">
        <v>0.4</v>
      </c>
    </row>
    <row r="1915" spans="1:22" x14ac:dyDescent="0.3">
      <c r="A1915" t="s">
        <v>1190</v>
      </c>
      <c r="B1915" t="str">
        <f ca="1">OFFSET(Industries!C$1,MATCH(Table1[[#This Row],[Ticker]],Industries!$A$2:$A$150,0),0)</f>
        <v>Consumer Staples</v>
      </c>
      <c r="C1915" t="str">
        <f ca="1">OFFSET(Industries!D$1,MATCH(Table1[[#This Row],[Ticker]],Industries!$A$2:$A$150,0),0)</f>
        <v>Food, Beverage and Tobacco</v>
      </c>
      <c r="D1915" t="str">
        <f ca="1">OFFSET(Industries!E$1,MATCH(Table1[[#This Row],[Ticker]],Industries!$A$2:$A$150,0),0)</f>
        <v>Food Products</v>
      </c>
      <c r="E1915" t="s">
        <v>1191</v>
      </c>
      <c r="F1915" t="str">
        <f ca="1">OFFSET(Industries!B$1,MATCH(Table1[[#This Row],[Ticker]],Industries!$A$2:$A$140,0),0)</f>
        <v>Large-Cap</v>
      </c>
      <c r="G1915" t="str">
        <f ca="1">OFFSET(Industries!F$1,MATCH(Table1[[#This Row],[Ticker]],Industries!$A$2:$A$140,0),0)</f>
        <v>BBB</v>
      </c>
      <c r="H1915" t="s">
        <v>1434</v>
      </c>
      <c r="I1915" t="s">
        <v>1434</v>
      </c>
      <c r="J1915" s="2">
        <v>45152</v>
      </c>
      <c r="K1915" t="s">
        <v>21</v>
      </c>
      <c r="L1915" t="s">
        <v>1708</v>
      </c>
      <c r="M1915" t="s">
        <v>1709</v>
      </c>
      <c r="N1915" s="1"/>
      <c r="O1915" t="s">
        <v>4</v>
      </c>
      <c r="P1915" s="1">
        <v>0.2034214054038101</v>
      </c>
      <c r="Q1915" s="1" t="s">
        <v>1636</v>
      </c>
      <c r="R1915" t="s">
        <v>24</v>
      </c>
      <c r="S1915" t="s">
        <v>90</v>
      </c>
      <c r="T1915" t="s">
        <v>732</v>
      </c>
      <c r="U1915" s="1">
        <v>0.4</v>
      </c>
    </row>
    <row r="1916" spans="1:22" x14ac:dyDescent="0.3">
      <c r="A1916" t="s">
        <v>1190</v>
      </c>
      <c r="B1916" t="str">
        <f ca="1">OFFSET(Industries!C$1,MATCH(Table1[[#This Row],[Ticker]],Industries!$A$2:$A$150,0),0)</f>
        <v>Consumer Staples</v>
      </c>
      <c r="C1916" t="str">
        <f ca="1">OFFSET(Industries!D$1,MATCH(Table1[[#This Row],[Ticker]],Industries!$A$2:$A$150,0),0)</f>
        <v>Food, Beverage and Tobacco</v>
      </c>
      <c r="D1916" t="str">
        <f ca="1">OFFSET(Industries!E$1,MATCH(Table1[[#This Row],[Ticker]],Industries!$A$2:$A$150,0),0)</f>
        <v>Food Products</v>
      </c>
      <c r="E1916" t="s">
        <v>1191</v>
      </c>
      <c r="F1916" t="str">
        <f ca="1">OFFSET(Industries!B$1,MATCH(Table1[[#This Row],[Ticker]],Industries!$A$2:$A$140,0),0)</f>
        <v>Large-Cap</v>
      </c>
      <c r="G1916" t="str">
        <f ca="1">OFFSET(Industries!F$1,MATCH(Table1[[#This Row],[Ticker]],Industries!$A$2:$A$140,0),0)</f>
        <v>BBB</v>
      </c>
      <c r="H1916" t="s">
        <v>1434</v>
      </c>
      <c r="I1916" t="s">
        <v>1434</v>
      </c>
      <c r="J1916" s="2">
        <v>45152</v>
      </c>
      <c r="K1916" t="s">
        <v>21</v>
      </c>
      <c r="L1916" t="s">
        <v>1708</v>
      </c>
      <c r="M1916" t="s">
        <v>1709</v>
      </c>
      <c r="N1916" s="1"/>
      <c r="O1916" t="s">
        <v>4</v>
      </c>
      <c r="P1916" s="1">
        <v>0.2034214054038101</v>
      </c>
      <c r="Q1916" s="1" t="s">
        <v>1637</v>
      </c>
      <c r="R1916" t="s">
        <v>332</v>
      </c>
      <c r="S1916" t="s">
        <v>380</v>
      </c>
      <c r="T1916" t="s">
        <v>380</v>
      </c>
      <c r="U1916" s="1">
        <v>0.2</v>
      </c>
    </row>
    <row r="1917" spans="1:22" x14ac:dyDescent="0.3">
      <c r="A1917" t="s">
        <v>1190</v>
      </c>
      <c r="B1917" t="str">
        <f ca="1">OFFSET(Industries!C$1,MATCH(Table1[[#This Row],[Ticker]],Industries!$A$2:$A$150,0),0)</f>
        <v>Consumer Staples</v>
      </c>
      <c r="C1917" t="str">
        <f ca="1">OFFSET(Industries!D$1,MATCH(Table1[[#This Row],[Ticker]],Industries!$A$2:$A$150,0),0)</f>
        <v>Food, Beverage and Tobacco</v>
      </c>
      <c r="D1917" t="str">
        <f ca="1">OFFSET(Industries!E$1,MATCH(Table1[[#This Row],[Ticker]],Industries!$A$2:$A$150,0),0)</f>
        <v>Food Products</v>
      </c>
      <c r="E1917" t="s">
        <v>1191</v>
      </c>
      <c r="F1917" t="str">
        <f ca="1">OFFSET(Industries!B$1,MATCH(Table1[[#This Row],[Ticker]],Industries!$A$2:$A$140,0),0)</f>
        <v>Large-Cap</v>
      </c>
      <c r="G1917" t="str">
        <f ca="1">OFFSET(Industries!F$1,MATCH(Table1[[#This Row],[Ticker]],Industries!$A$2:$A$140,0),0)</f>
        <v>BBB</v>
      </c>
      <c r="H1917" t="s">
        <v>1434</v>
      </c>
      <c r="I1917" t="s">
        <v>1434</v>
      </c>
      <c r="J1917" s="2">
        <v>45152</v>
      </c>
      <c r="K1917" t="s">
        <v>21</v>
      </c>
      <c r="L1917" t="s">
        <v>1710</v>
      </c>
      <c r="M1917" t="s">
        <v>1709</v>
      </c>
      <c r="N1917" s="1">
        <f>Table1[[#This Row],[Consideration Weight]]</f>
        <v>0.28962617018850245</v>
      </c>
      <c r="O1917" t="s">
        <v>476</v>
      </c>
      <c r="P1917" s="1">
        <v>0.28962617018850245</v>
      </c>
      <c r="Q1917" s="1" t="s">
        <v>1636</v>
      </c>
      <c r="R1917" t="s">
        <v>23</v>
      </c>
      <c r="S1917" t="s">
        <v>1083</v>
      </c>
      <c r="T1917" t="s">
        <v>809</v>
      </c>
      <c r="U1917" s="1">
        <v>0.5</v>
      </c>
    </row>
    <row r="1918" spans="1:22" x14ac:dyDescent="0.3">
      <c r="A1918" t="s">
        <v>1190</v>
      </c>
      <c r="B1918" t="str">
        <f ca="1">OFFSET(Industries!C$1,MATCH(Table1[[#This Row],[Ticker]],Industries!$A$2:$A$150,0),0)</f>
        <v>Consumer Staples</v>
      </c>
      <c r="C1918" t="str">
        <f ca="1">OFFSET(Industries!D$1,MATCH(Table1[[#This Row],[Ticker]],Industries!$A$2:$A$150,0),0)</f>
        <v>Food, Beverage and Tobacco</v>
      </c>
      <c r="D1918" t="str">
        <f ca="1">OFFSET(Industries!E$1,MATCH(Table1[[#This Row],[Ticker]],Industries!$A$2:$A$150,0),0)</f>
        <v>Food Products</v>
      </c>
      <c r="E1918" t="s">
        <v>1191</v>
      </c>
      <c r="F1918" t="str">
        <f ca="1">OFFSET(Industries!B$1,MATCH(Table1[[#This Row],[Ticker]],Industries!$A$2:$A$140,0),0)</f>
        <v>Large-Cap</v>
      </c>
      <c r="G1918" t="str">
        <f ca="1">OFFSET(Industries!F$1,MATCH(Table1[[#This Row],[Ticker]],Industries!$A$2:$A$140,0),0)</f>
        <v>BBB</v>
      </c>
      <c r="H1918" t="s">
        <v>1434</v>
      </c>
      <c r="I1918" t="s">
        <v>1434</v>
      </c>
      <c r="J1918" s="2">
        <v>45152</v>
      </c>
      <c r="K1918" t="s">
        <v>21</v>
      </c>
      <c r="L1918" t="s">
        <v>1710</v>
      </c>
      <c r="M1918" t="s">
        <v>1709</v>
      </c>
      <c r="N1918" s="1"/>
      <c r="O1918" t="s">
        <v>476</v>
      </c>
      <c r="P1918" s="1">
        <v>0.28962617018850245</v>
      </c>
      <c r="Q1918" s="1" t="s">
        <v>1636</v>
      </c>
      <c r="R1918" t="s">
        <v>62</v>
      </c>
      <c r="S1918" t="s">
        <v>63</v>
      </c>
      <c r="T1918" t="s">
        <v>1192</v>
      </c>
      <c r="U1918" s="1">
        <v>0.5</v>
      </c>
    </row>
    <row r="1919" spans="1:22" x14ac:dyDescent="0.3">
      <c r="A1919" t="s">
        <v>1190</v>
      </c>
      <c r="B1919" t="str">
        <f ca="1">OFFSET(Industries!C$1,MATCH(Table1[[#This Row],[Ticker]],Industries!$A$2:$A$150,0),0)</f>
        <v>Consumer Staples</v>
      </c>
      <c r="C1919" t="str">
        <f ca="1">OFFSET(Industries!D$1,MATCH(Table1[[#This Row],[Ticker]],Industries!$A$2:$A$150,0),0)</f>
        <v>Food, Beverage and Tobacco</v>
      </c>
      <c r="D1919" t="str">
        <f ca="1">OFFSET(Industries!E$1,MATCH(Table1[[#This Row],[Ticker]],Industries!$A$2:$A$150,0),0)</f>
        <v>Food Products</v>
      </c>
      <c r="E1919" t="s">
        <v>1191</v>
      </c>
      <c r="F1919" t="str">
        <f ca="1">OFFSET(Industries!B$1,MATCH(Table1[[#This Row],[Ticker]],Industries!$A$2:$A$140,0),0)</f>
        <v>Large-Cap</v>
      </c>
      <c r="G1919" t="str">
        <f ca="1">OFFSET(Industries!F$1,MATCH(Table1[[#This Row],[Ticker]],Industries!$A$2:$A$140,0),0)</f>
        <v>BBB</v>
      </c>
      <c r="H1919" t="s">
        <v>1434</v>
      </c>
      <c r="I1919" t="s">
        <v>1434</v>
      </c>
      <c r="J1919" s="2">
        <v>45152</v>
      </c>
      <c r="K1919" t="s">
        <v>21</v>
      </c>
      <c r="L1919" t="s">
        <v>1710</v>
      </c>
      <c r="M1919" t="s">
        <v>1709</v>
      </c>
      <c r="N1919" s="1"/>
      <c r="O1919" t="s">
        <v>476</v>
      </c>
      <c r="P1919" s="1">
        <v>0.28962617018850245</v>
      </c>
      <c r="R1919" t="s">
        <v>28</v>
      </c>
      <c r="S1919" t="s">
        <v>1085</v>
      </c>
      <c r="T1919" t="s">
        <v>30</v>
      </c>
    </row>
    <row r="1920" spans="1:22" x14ac:dyDescent="0.3">
      <c r="A1920" t="s">
        <v>1190</v>
      </c>
      <c r="B1920" t="str">
        <f ca="1">OFFSET(Industries!C$1,MATCH(Table1[[#This Row],[Ticker]],Industries!$A$2:$A$150,0),0)</f>
        <v>Consumer Staples</v>
      </c>
      <c r="C1920" t="str">
        <f ca="1">OFFSET(Industries!D$1,MATCH(Table1[[#This Row],[Ticker]],Industries!$A$2:$A$150,0),0)</f>
        <v>Food, Beverage and Tobacco</v>
      </c>
      <c r="D1920" t="str">
        <f ca="1">OFFSET(Industries!E$1,MATCH(Table1[[#This Row],[Ticker]],Industries!$A$2:$A$150,0),0)</f>
        <v>Food Products</v>
      </c>
      <c r="E1920" t="s">
        <v>1191</v>
      </c>
      <c r="F1920" t="str">
        <f ca="1">OFFSET(Industries!B$1,MATCH(Table1[[#This Row],[Ticker]],Industries!$A$2:$A$140,0),0)</f>
        <v>Large-Cap</v>
      </c>
      <c r="G1920" t="str">
        <f ca="1">OFFSET(Industries!F$1,MATCH(Table1[[#This Row],[Ticker]],Industries!$A$2:$A$140,0),0)</f>
        <v>BBB</v>
      </c>
      <c r="H1920" t="s">
        <v>1434</v>
      </c>
      <c r="I1920" t="s">
        <v>1434</v>
      </c>
      <c r="J1920" s="2">
        <v>45152</v>
      </c>
      <c r="K1920" t="s">
        <v>21</v>
      </c>
      <c r="L1920" t="s">
        <v>1710</v>
      </c>
      <c r="M1920" t="s">
        <v>1711</v>
      </c>
      <c r="N1920" s="1">
        <f>Table1[[#This Row],[Consideration Weight]]</f>
        <v>0.14481308509425123</v>
      </c>
      <c r="O1920" t="s">
        <v>194</v>
      </c>
      <c r="P1920" s="1">
        <v>0.14481308509425123</v>
      </c>
    </row>
    <row r="1921" spans="1:22" x14ac:dyDescent="0.3">
      <c r="A1921" t="s">
        <v>1190</v>
      </c>
      <c r="B1921" t="str">
        <f ca="1">OFFSET(Industries!C$1,MATCH(Table1[[#This Row],[Ticker]],Industries!$A$2:$A$150,0),0)</f>
        <v>Consumer Staples</v>
      </c>
      <c r="C1921" t="str">
        <f ca="1">OFFSET(Industries!D$1,MATCH(Table1[[#This Row],[Ticker]],Industries!$A$2:$A$150,0),0)</f>
        <v>Food, Beverage and Tobacco</v>
      </c>
      <c r="D1921" t="str">
        <f ca="1">OFFSET(Industries!E$1,MATCH(Table1[[#This Row],[Ticker]],Industries!$A$2:$A$150,0),0)</f>
        <v>Food Products</v>
      </c>
      <c r="E1921" t="s">
        <v>1191</v>
      </c>
      <c r="F1921" t="str">
        <f ca="1">OFFSET(Industries!B$1,MATCH(Table1[[#This Row],[Ticker]],Industries!$A$2:$A$140,0),0)</f>
        <v>Large-Cap</v>
      </c>
      <c r="G1921" t="str">
        <f ca="1">OFFSET(Industries!F$1,MATCH(Table1[[#This Row],[Ticker]],Industries!$A$2:$A$140,0),0)</f>
        <v>BBB</v>
      </c>
      <c r="H1921" t="s">
        <v>1434</v>
      </c>
      <c r="I1921" t="s">
        <v>1434</v>
      </c>
      <c r="J1921" s="2">
        <v>45152</v>
      </c>
      <c r="K1921" t="s">
        <v>21</v>
      </c>
      <c r="L1921" t="s">
        <v>1710</v>
      </c>
      <c r="M1921" t="s">
        <v>1711</v>
      </c>
      <c r="N1921" s="1">
        <f>Table1[[#This Row],[Consideration Weight]]</f>
        <v>0.14481308509425123</v>
      </c>
      <c r="O1921" t="s">
        <v>87</v>
      </c>
      <c r="P1921" s="1">
        <v>0.14481308509425123</v>
      </c>
    </row>
    <row r="1922" spans="1:22" x14ac:dyDescent="0.3">
      <c r="A1922" t="s">
        <v>1195</v>
      </c>
      <c r="B1922" t="str">
        <f ca="1">OFFSET(Industries!C$1,MATCH(Table1[[#This Row],[Ticker]],Industries!$A$2:$A$150,0),0)</f>
        <v>Health Care</v>
      </c>
      <c r="C1922" t="str">
        <f ca="1">OFFSET(Industries!D$1,MATCH(Table1[[#This Row],[Ticker]],Industries!$A$2:$A$150,0),0)</f>
        <v>Pharmaceuticals, Biotechnology and Life Sciences</v>
      </c>
      <c r="D1922" t="str">
        <f ca="1">OFFSET(Industries!E$1,MATCH(Table1[[#This Row],[Ticker]],Industries!$A$2:$A$150,0),0)</f>
        <v>Biotechnology</v>
      </c>
      <c r="E1922" t="s">
        <v>49</v>
      </c>
      <c r="F1922" t="str">
        <f ca="1">OFFSET(Industries!B$1,MATCH(Table1[[#This Row],[Ticker]],Industries!$A$2:$A$140,0),0)</f>
        <v>Large-Cap</v>
      </c>
      <c r="H1922" t="s">
        <v>1434</v>
      </c>
      <c r="I1922" t="s">
        <v>1434</v>
      </c>
      <c r="J1922" s="2">
        <v>45383</v>
      </c>
      <c r="K1922" t="s">
        <v>2</v>
      </c>
      <c r="L1922" t="s">
        <v>3</v>
      </c>
      <c r="M1922" t="s">
        <v>1711</v>
      </c>
      <c r="N1922" s="1">
        <f>Table1[[#This Row],[Consideration Weight]]</f>
        <v>0.06</v>
      </c>
      <c r="O1922" t="s">
        <v>3</v>
      </c>
      <c r="P1922" s="1">
        <v>0.06</v>
      </c>
      <c r="V1922" t="s">
        <v>1695</v>
      </c>
    </row>
    <row r="1923" spans="1:22" x14ac:dyDescent="0.3">
      <c r="A1923" t="s">
        <v>1195</v>
      </c>
      <c r="B1923" t="str">
        <f ca="1">OFFSET(Industries!C$1,MATCH(Table1[[#This Row],[Ticker]],Industries!$A$2:$A$150,0),0)</f>
        <v>Health Care</v>
      </c>
      <c r="C1923" t="str">
        <f ca="1">OFFSET(Industries!D$1,MATCH(Table1[[#This Row],[Ticker]],Industries!$A$2:$A$150,0),0)</f>
        <v>Pharmaceuticals, Biotechnology and Life Sciences</v>
      </c>
      <c r="D1923" t="str">
        <f ca="1">OFFSET(Industries!E$1,MATCH(Table1[[#This Row],[Ticker]],Industries!$A$2:$A$150,0),0)</f>
        <v>Biotechnology</v>
      </c>
      <c r="E1923" t="s">
        <v>49</v>
      </c>
      <c r="F1923" t="str">
        <f ca="1">OFFSET(Industries!B$1,MATCH(Table1[[#This Row],[Ticker]],Industries!$A$2:$A$140,0),0)</f>
        <v>Large-Cap</v>
      </c>
      <c r="H1923" t="s">
        <v>1434</v>
      </c>
      <c r="I1923" t="s">
        <v>1434</v>
      </c>
      <c r="J1923" s="2">
        <v>45383</v>
      </c>
      <c r="K1923" t="s">
        <v>2</v>
      </c>
      <c r="L1923" t="s">
        <v>1708</v>
      </c>
      <c r="M1923" t="s">
        <v>1709</v>
      </c>
      <c r="N1923" s="1">
        <f>Table1[[#This Row],[Consideration Weight]]</f>
        <v>7.0000000000000007E-2</v>
      </c>
      <c r="O1923" t="s">
        <v>4</v>
      </c>
      <c r="P1923" s="1">
        <v>7.0000000000000007E-2</v>
      </c>
      <c r="Q1923" s="1" t="s">
        <v>1637</v>
      </c>
      <c r="R1923" t="s">
        <v>25</v>
      </c>
      <c r="S1923" t="s">
        <v>1086</v>
      </c>
      <c r="T1923" t="s">
        <v>1196</v>
      </c>
      <c r="U1923" s="1">
        <v>0.4</v>
      </c>
      <c r="V1923" t="s">
        <v>1199</v>
      </c>
    </row>
    <row r="1924" spans="1:22" x14ac:dyDescent="0.3">
      <c r="A1924" t="s">
        <v>1195</v>
      </c>
      <c r="B1924" t="str">
        <f ca="1">OFFSET(Industries!C$1,MATCH(Table1[[#This Row],[Ticker]],Industries!$A$2:$A$150,0),0)</f>
        <v>Health Care</v>
      </c>
      <c r="C1924" t="str">
        <f ca="1">OFFSET(Industries!D$1,MATCH(Table1[[#This Row],[Ticker]],Industries!$A$2:$A$150,0),0)</f>
        <v>Pharmaceuticals, Biotechnology and Life Sciences</v>
      </c>
      <c r="D1924" t="str">
        <f ca="1">OFFSET(Industries!E$1,MATCH(Table1[[#This Row],[Ticker]],Industries!$A$2:$A$150,0),0)</f>
        <v>Biotechnology</v>
      </c>
      <c r="E1924" t="s">
        <v>49</v>
      </c>
      <c r="F1924" t="str">
        <f ca="1">OFFSET(Industries!B$1,MATCH(Table1[[#This Row],[Ticker]],Industries!$A$2:$A$140,0),0)</f>
        <v>Large-Cap</v>
      </c>
      <c r="H1924" t="s">
        <v>1434</v>
      </c>
      <c r="I1924" t="s">
        <v>1434</v>
      </c>
      <c r="J1924" s="2">
        <v>45383</v>
      </c>
      <c r="K1924" t="s">
        <v>2</v>
      </c>
      <c r="L1924" t="s">
        <v>1708</v>
      </c>
      <c r="M1924" t="s">
        <v>1709</v>
      </c>
      <c r="N1924" s="1"/>
      <c r="O1924" t="s">
        <v>4</v>
      </c>
      <c r="P1924" s="1">
        <v>7.0000000000000007E-2</v>
      </c>
      <c r="Q1924" s="1" t="s">
        <v>1637</v>
      </c>
      <c r="R1924" t="s">
        <v>25</v>
      </c>
      <c r="S1924" t="s">
        <v>344</v>
      </c>
      <c r="T1924" t="s">
        <v>1197</v>
      </c>
      <c r="U1924" s="1">
        <v>0.4</v>
      </c>
      <c r="V1924" t="s">
        <v>1200</v>
      </c>
    </row>
    <row r="1925" spans="1:22" x14ac:dyDescent="0.3">
      <c r="A1925" t="s">
        <v>1195</v>
      </c>
      <c r="B1925" t="str">
        <f ca="1">OFFSET(Industries!C$1,MATCH(Table1[[#This Row],[Ticker]],Industries!$A$2:$A$150,0),0)</f>
        <v>Health Care</v>
      </c>
      <c r="C1925" t="str">
        <f ca="1">OFFSET(Industries!D$1,MATCH(Table1[[#This Row],[Ticker]],Industries!$A$2:$A$150,0),0)</f>
        <v>Pharmaceuticals, Biotechnology and Life Sciences</v>
      </c>
      <c r="D1925" t="str">
        <f ca="1">OFFSET(Industries!E$1,MATCH(Table1[[#This Row],[Ticker]],Industries!$A$2:$A$150,0),0)</f>
        <v>Biotechnology</v>
      </c>
      <c r="E1925" t="s">
        <v>49</v>
      </c>
      <c r="F1925" t="str">
        <f ca="1">OFFSET(Industries!B$1,MATCH(Table1[[#This Row],[Ticker]],Industries!$A$2:$A$140,0),0)</f>
        <v>Large-Cap</v>
      </c>
      <c r="H1925" t="s">
        <v>1434</v>
      </c>
      <c r="I1925" t="s">
        <v>1434</v>
      </c>
      <c r="J1925" s="2">
        <v>45383</v>
      </c>
      <c r="K1925" t="s">
        <v>2</v>
      </c>
      <c r="L1925" t="s">
        <v>1708</v>
      </c>
      <c r="M1925" t="s">
        <v>1709</v>
      </c>
      <c r="N1925" s="1"/>
      <c r="O1925" t="s">
        <v>4</v>
      </c>
      <c r="P1925" s="1">
        <v>7.0000000000000007E-2</v>
      </c>
      <c r="Q1925" s="1" t="s">
        <v>1637</v>
      </c>
      <c r="R1925" t="s">
        <v>26</v>
      </c>
      <c r="S1925" t="s">
        <v>26</v>
      </c>
      <c r="T1925" t="s">
        <v>1198</v>
      </c>
      <c r="U1925" s="1">
        <v>0.2</v>
      </c>
      <c r="V1925" t="s">
        <v>1694</v>
      </c>
    </row>
    <row r="1926" spans="1:22" x14ac:dyDescent="0.3">
      <c r="A1926" t="s">
        <v>1195</v>
      </c>
      <c r="B1926" t="str">
        <f ca="1">OFFSET(Industries!C$1,MATCH(Table1[[#This Row],[Ticker]],Industries!$A$2:$A$150,0),0)</f>
        <v>Health Care</v>
      </c>
      <c r="C1926" t="str">
        <f ca="1">OFFSET(Industries!D$1,MATCH(Table1[[#This Row],[Ticker]],Industries!$A$2:$A$150,0),0)</f>
        <v>Pharmaceuticals, Biotechnology and Life Sciences</v>
      </c>
      <c r="D1926" t="str">
        <f ca="1">OFFSET(Industries!E$1,MATCH(Table1[[#This Row],[Ticker]],Industries!$A$2:$A$150,0),0)</f>
        <v>Biotechnology</v>
      </c>
      <c r="E1926" t="s">
        <v>49</v>
      </c>
      <c r="F1926" t="str">
        <f ca="1">OFFSET(Industries!B$1,MATCH(Table1[[#This Row],[Ticker]],Industries!$A$2:$A$140,0),0)</f>
        <v>Large-Cap</v>
      </c>
      <c r="H1926" t="s">
        <v>1434</v>
      </c>
      <c r="I1926" t="s">
        <v>1434</v>
      </c>
      <c r="J1926" s="2">
        <v>45383</v>
      </c>
      <c r="K1926" t="s">
        <v>2</v>
      </c>
      <c r="L1926" t="s">
        <v>1708</v>
      </c>
      <c r="M1926" t="s">
        <v>1709</v>
      </c>
      <c r="N1926" s="1"/>
      <c r="O1926" t="s">
        <v>4</v>
      </c>
      <c r="P1926" s="1">
        <v>7.0000000000000007E-2</v>
      </c>
      <c r="R1926" t="s">
        <v>28</v>
      </c>
      <c r="S1926" t="s">
        <v>1110</v>
      </c>
      <c r="T1926" t="s">
        <v>172</v>
      </c>
      <c r="V1926" t="s">
        <v>1754</v>
      </c>
    </row>
    <row r="1927" spans="1:22" x14ac:dyDescent="0.3">
      <c r="A1927" t="s">
        <v>1195</v>
      </c>
      <c r="B1927" t="str">
        <f ca="1">OFFSET(Industries!C$1,MATCH(Table1[[#This Row],[Ticker]],Industries!$A$2:$A$150,0),0)</f>
        <v>Health Care</v>
      </c>
      <c r="C1927" t="str">
        <f ca="1">OFFSET(Industries!D$1,MATCH(Table1[[#This Row],[Ticker]],Industries!$A$2:$A$150,0),0)</f>
        <v>Pharmaceuticals, Biotechnology and Life Sciences</v>
      </c>
      <c r="D1927" t="str">
        <f ca="1">OFFSET(Industries!E$1,MATCH(Table1[[#This Row],[Ticker]],Industries!$A$2:$A$150,0),0)</f>
        <v>Biotechnology</v>
      </c>
      <c r="E1927" t="s">
        <v>49</v>
      </c>
      <c r="F1927" t="str">
        <f ca="1">OFFSET(Industries!B$1,MATCH(Table1[[#This Row],[Ticker]],Industries!$A$2:$A$140,0),0)</f>
        <v>Large-Cap</v>
      </c>
      <c r="H1927" t="s">
        <v>1434</v>
      </c>
      <c r="I1927" t="s">
        <v>1434</v>
      </c>
      <c r="J1927" s="2">
        <v>45383</v>
      </c>
      <c r="K1927" t="s">
        <v>2</v>
      </c>
      <c r="L1927" t="s">
        <v>1710</v>
      </c>
      <c r="M1927" t="s">
        <v>1709</v>
      </c>
      <c r="N1927" s="1">
        <f>Table1[[#This Row],[Consideration Weight]]</f>
        <v>0.43</v>
      </c>
      <c r="O1927" t="s">
        <v>476</v>
      </c>
      <c r="P1927" s="1">
        <v>0.43</v>
      </c>
      <c r="Q1927" s="1" t="s">
        <v>1636</v>
      </c>
      <c r="R1927" t="s">
        <v>25</v>
      </c>
      <c r="S1927" t="s">
        <v>1086</v>
      </c>
      <c r="T1927" t="s">
        <v>1653</v>
      </c>
      <c r="U1927" s="1">
        <v>0.4</v>
      </c>
    </row>
    <row r="1928" spans="1:22" x14ac:dyDescent="0.3">
      <c r="A1928" t="s">
        <v>1195</v>
      </c>
      <c r="B1928" t="str">
        <f ca="1">OFFSET(Industries!C$1,MATCH(Table1[[#This Row],[Ticker]],Industries!$A$2:$A$150,0),0)</f>
        <v>Health Care</v>
      </c>
      <c r="C1928" t="str">
        <f ca="1">OFFSET(Industries!D$1,MATCH(Table1[[#This Row],[Ticker]],Industries!$A$2:$A$150,0),0)</f>
        <v>Pharmaceuticals, Biotechnology and Life Sciences</v>
      </c>
      <c r="D1928" t="str">
        <f ca="1">OFFSET(Industries!E$1,MATCH(Table1[[#This Row],[Ticker]],Industries!$A$2:$A$150,0),0)</f>
        <v>Biotechnology</v>
      </c>
      <c r="E1928" t="s">
        <v>49</v>
      </c>
      <c r="F1928" t="str">
        <f ca="1">OFFSET(Industries!B$1,MATCH(Table1[[#This Row],[Ticker]],Industries!$A$2:$A$140,0),0)</f>
        <v>Large-Cap</v>
      </c>
      <c r="H1928" t="s">
        <v>1434</v>
      </c>
      <c r="I1928" t="s">
        <v>1434</v>
      </c>
      <c r="J1928" s="2">
        <v>45383</v>
      </c>
      <c r="K1928" t="s">
        <v>2</v>
      </c>
      <c r="L1928" t="s">
        <v>1710</v>
      </c>
      <c r="M1928" t="s">
        <v>1709</v>
      </c>
      <c r="N1928" s="1"/>
      <c r="O1928" t="s">
        <v>476</v>
      </c>
      <c r="P1928" s="1">
        <v>0.43</v>
      </c>
      <c r="Q1928" s="1" t="s">
        <v>1637</v>
      </c>
      <c r="R1928" t="s">
        <v>25</v>
      </c>
      <c r="S1928" t="s">
        <v>344</v>
      </c>
      <c r="T1928" t="s">
        <v>1654</v>
      </c>
      <c r="U1928" s="1">
        <v>0.6</v>
      </c>
    </row>
    <row r="1929" spans="1:22" x14ac:dyDescent="0.3">
      <c r="A1929" t="s">
        <v>1195</v>
      </c>
      <c r="B1929" t="str">
        <f ca="1">OFFSET(Industries!C$1,MATCH(Table1[[#This Row],[Ticker]],Industries!$A$2:$A$150,0),0)</f>
        <v>Health Care</v>
      </c>
      <c r="C1929" t="str">
        <f ca="1">OFFSET(Industries!D$1,MATCH(Table1[[#This Row],[Ticker]],Industries!$A$2:$A$150,0),0)</f>
        <v>Pharmaceuticals, Biotechnology and Life Sciences</v>
      </c>
      <c r="D1929" t="str">
        <f ca="1">OFFSET(Industries!E$1,MATCH(Table1[[#This Row],[Ticker]],Industries!$A$2:$A$150,0),0)</f>
        <v>Biotechnology</v>
      </c>
      <c r="E1929" t="s">
        <v>49</v>
      </c>
      <c r="F1929" t="str">
        <f ca="1">OFFSET(Industries!B$1,MATCH(Table1[[#This Row],[Ticker]],Industries!$A$2:$A$140,0),0)</f>
        <v>Large-Cap</v>
      </c>
      <c r="H1929" t="s">
        <v>1434</v>
      </c>
      <c r="I1929" t="s">
        <v>1434</v>
      </c>
      <c r="J1929" s="2">
        <v>45383</v>
      </c>
      <c r="K1929" t="s">
        <v>2</v>
      </c>
      <c r="L1929" t="s">
        <v>1710</v>
      </c>
      <c r="M1929" t="s">
        <v>1711</v>
      </c>
      <c r="N1929" s="1">
        <f>Table1[[#This Row],[Consideration Weight]]</f>
        <v>0.22</v>
      </c>
      <c r="O1929" t="s">
        <v>194</v>
      </c>
      <c r="P1929" s="1">
        <v>0.22</v>
      </c>
    </row>
    <row r="1930" spans="1:22" x14ac:dyDescent="0.3">
      <c r="A1930" t="s">
        <v>1195</v>
      </c>
      <c r="B1930" t="str">
        <f ca="1">OFFSET(Industries!C$1,MATCH(Table1[[#This Row],[Ticker]],Industries!$A$2:$A$150,0),0)</f>
        <v>Health Care</v>
      </c>
      <c r="C1930" t="str">
        <f ca="1">OFFSET(Industries!D$1,MATCH(Table1[[#This Row],[Ticker]],Industries!$A$2:$A$150,0),0)</f>
        <v>Pharmaceuticals, Biotechnology and Life Sciences</v>
      </c>
      <c r="D1930" t="str">
        <f ca="1">OFFSET(Industries!E$1,MATCH(Table1[[#This Row],[Ticker]],Industries!$A$2:$A$150,0),0)</f>
        <v>Biotechnology</v>
      </c>
      <c r="E1930" t="s">
        <v>49</v>
      </c>
      <c r="F1930" t="str">
        <f ca="1">OFFSET(Industries!B$1,MATCH(Table1[[#This Row],[Ticker]],Industries!$A$2:$A$140,0),0)</f>
        <v>Large-Cap</v>
      </c>
      <c r="H1930" t="s">
        <v>1434</v>
      </c>
      <c r="I1930" t="s">
        <v>1434</v>
      </c>
      <c r="J1930" s="2">
        <v>45383</v>
      </c>
      <c r="K1930" t="s">
        <v>2</v>
      </c>
      <c r="L1930" t="s">
        <v>1710</v>
      </c>
      <c r="M1930" t="s">
        <v>1711</v>
      </c>
      <c r="N1930" s="1">
        <f>Table1[[#This Row],[Consideration Weight]]</f>
        <v>0.22</v>
      </c>
      <c r="O1930" t="s">
        <v>87</v>
      </c>
      <c r="P1930" s="1">
        <v>0.22</v>
      </c>
    </row>
    <row r="1931" spans="1:22" x14ac:dyDescent="0.3">
      <c r="A1931" t="s">
        <v>1195</v>
      </c>
      <c r="B1931" t="str">
        <f ca="1">OFFSET(Industries!C$1,MATCH(Table1[[#This Row],[Ticker]],Industries!$A$2:$A$150,0),0)</f>
        <v>Health Care</v>
      </c>
      <c r="C1931" t="str">
        <f ca="1">OFFSET(Industries!D$1,MATCH(Table1[[#This Row],[Ticker]],Industries!$A$2:$A$150,0),0)</f>
        <v>Pharmaceuticals, Biotechnology and Life Sciences</v>
      </c>
      <c r="D1931" t="str">
        <f ca="1">OFFSET(Industries!E$1,MATCH(Table1[[#This Row],[Ticker]],Industries!$A$2:$A$150,0),0)</f>
        <v>Biotechnology</v>
      </c>
      <c r="E1931" t="s">
        <v>49</v>
      </c>
      <c r="F1931" t="str">
        <f ca="1">OFFSET(Industries!B$1,MATCH(Table1[[#This Row],[Ticker]],Industries!$A$2:$A$140,0),0)</f>
        <v>Large-Cap</v>
      </c>
      <c r="H1931" t="s">
        <v>1434</v>
      </c>
      <c r="I1931" t="s">
        <v>1434</v>
      </c>
      <c r="J1931" s="2">
        <v>45383</v>
      </c>
      <c r="K1931" t="s">
        <v>21</v>
      </c>
      <c r="L1931" t="s">
        <v>3</v>
      </c>
      <c r="M1931" t="s">
        <v>1711</v>
      </c>
      <c r="N1931" s="1">
        <f>Table1[[#This Row],[Consideration Weight]]</f>
        <v>0.13</v>
      </c>
      <c r="O1931" t="s">
        <v>3</v>
      </c>
      <c r="P1931" s="1">
        <v>0.13</v>
      </c>
    </row>
    <row r="1932" spans="1:22" x14ac:dyDescent="0.3">
      <c r="A1932" t="s">
        <v>1195</v>
      </c>
      <c r="B1932" t="str">
        <f ca="1">OFFSET(Industries!C$1,MATCH(Table1[[#This Row],[Ticker]],Industries!$A$2:$A$150,0),0)</f>
        <v>Health Care</v>
      </c>
      <c r="C1932" t="str">
        <f ca="1">OFFSET(Industries!D$1,MATCH(Table1[[#This Row],[Ticker]],Industries!$A$2:$A$150,0),0)</f>
        <v>Pharmaceuticals, Biotechnology and Life Sciences</v>
      </c>
      <c r="D1932" t="str">
        <f ca="1">OFFSET(Industries!E$1,MATCH(Table1[[#This Row],[Ticker]],Industries!$A$2:$A$150,0),0)</f>
        <v>Biotechnology</v>
      </c>
      <c r="E1932" t="s">
        <v>49</v>
      </c>
      <c r="F1932" t="str">
        <f ca="1">OFFSET(Industries!B$1,MATCH(Table1[[#This Row],[Ticker]],Industries!$A$2:$A$140,0),0)</f>
        <v>Large-Cap</v>
      </c>
      <c r="H1932" t="s">
        <v>1434</v>
      </c>
      <c r="I1932" t="s">
        <v>1434</v>
      </c>
      <c r="J1932" s="2">
        <v>45383</v>
      </c>
      <c r="K1932" t="s">
        <v>21</v>
      </c>
      <c r="L1932" t="s">
        <v>1708</v>
      </c>
      <c r="M1932" t="s">
        <v>1709</v>
      </c>
      <c r="N1932" s="1">
        <f>Table1[[#This Row],[Consideration Weight]]</f>
        <v>7.0000000000000007E-2</v>
      </c>
      <c r="O1932" t="s">
        <v>4</v>
      </c>
      <c r="P1932" s="1">
        <v>7.0000000000000007E-2</v>
      </c>
      <c r="Q1932" s="1" t="s">
        <v>1637</v>
      </c>
      <c r="R1932" t="s">
        <v>25</v>
      </c>
      <c r="S1932" t="s">
        <v>1086</v>
      </c>
      <c r="T1932" t="s">
        <v>1196</v>
      </c>
      <c r="U1932" s="1">
        <v>0.4</v>
      </c>
    </row>
    <row r="1933" spans="1:22" x14ac:dyDescent="0.3">
      <c r="A1933" t="s">
        <v>1195</v>
      </c>
      <c r="B1933" t="str">
        <f ca="1">OFFSET(Industries!C$1,MATCH(Table1[[#This Row],[Ticker]],Industries!$A$2:$A$150,0),0)</f>
        <v>Health Care</v>
      </c>
      <c r="C1933" t="str">
        <f ca="1">OFFSET(Industries!D$1,MATCH(Table1[[#This Row],[Ticker]],Industries!$A$2:$A$150,0),0)</f>
        <v>Pharmaceuticals, Biotechnology and Life Sciences</v>
      </c>
      <c r="D1933" t="str">
        <f ca="1">OFFSET(Industries!E$1,MATCH(Table1[[#This Row],[Ticker]],Industries!$A$2:$A$150,0),0)</f>
        <v>Biotechnology</v>
      </c>
      <c r="E1933" t="s">
        <v>49</v>
      </c>
      <c r="F1933" t="str">
        <f ca="1">OFFSET(Industries!B$1,MATCH(Table1[[#This Row],[Ticker]],Industries!$A$2:$A$140,0),0)</f>
        <v>Large-Cap</v>
      </c>
      <c r="H1933" t="s">
        <v>1434</v>
      </c>
      <c r="I1933" t="s">
        <v>1434</v>
      </c>
      <c r="J1933" s="2">
        <v>45383</v>
      </c>
      <c r="K1933" t="s">
        <v>21</v>
      </c>
      <c r="L1933" t="s">
        <v>1708</v>
      </c>
      <c r="M1933" t="s">
        <v>1709</v>
      </c>
      <c r="N1933" s="1"/>
      <c r="O1933" t="s">
        <v>4</v>
      </c>
      <c r="P1933" s="1">
        <v>7.0000000000000007E-2</v>
      </c>
      <c r="Q1933" s="1" t="s">
        <v>1637</v>
      </c>
      <c r="R1933" t="s">
        <v>25</v>
      </c>
      <c r="S1933" t="s">
        <v>344</v>
      </c>
      <c r="T1933" t="s">
        <v>1197</v>
      </c>
      <c r="U1933" s="1">
        <v>0.4</v>
      </c>
    </row>
    <row r="1934" spans="1:22" x14ac:dyDescent="0.3">
      <c r="A1934" t="s">
        <v>1195</v>
      </c>
      <c r="B1934" t="str">
        <f ca="1">OFFSET(Industries!C$1,MATCH(Table1[[#This Row],[Ticker]],Industries!$A$2:$A$150,0),0)</f>
        <v>Health Care</v>
      </c>
      <c r="C1934" t="str">
        <f ca="1">OFFSET(Industries!D$1,MATCH(Table1[[#This Row],[Ticker]],Industries!$A$2:$A$150,0),0)</f>
        <v>Pharmaceuticals, Biotechnology and Life Sciences</v>
      </c>
      <c r="D1934" t="str">
        <f ca="1">OFFSET(Industries!E$1,MATCH(Table1[[#This Row],[Ticker]],Industries!$A$2:$A$150,0),0)</f>
        <v>Biotechnology</v>
      </c>
      <c r="E1934" t="s">
        <v>49</v>
      </c>
      <c r="F1934" t="str">
        <f ca="1">OFFSET(Industries!B$1,MATCH(Table1[[#This Row],[Ticker]],Industries!$A$2:$A$140,0),0)</f>
        <v>Large-Cap</v>
      </c>
      <c r="H1934" t="s">
        <v>1434</v>
      </c>
      <c r="I1934" t="s">
        <v>1434</v>
      </c>
      <c r="J1934" s="2">
        <v>45383</v>
      </c>
      <c r="K1934" t="s">
        <v>21</v>
      </c>
      <c r="L1934" t="s">
        <v>1708</v>
      </c>
      <c r="M1934" t="s">
        <v>1709</v>
      </c>
      <c r="N1934" s="1"/>
      <c r="O1934" t="s">
        <v>4</v>
      </c>
      <c r="P1934" s="1">
        <v>7.0000000000000007E-2</v>
      </c>
      <c r="Q1934" s="1" t="s">
        <v>1637</v>
      </c>
      <c r="R1934" t="s">
        <v>26</v>
      </c>
      <c r="S1934" t="s">
        <v>26</v>
      </c>
      <c r="T1934" t="s">
        <v>1198</v>
      </c>
      <c r="U1934" s="1">
        <v>0.2</v>
      </c>
    </row>
    <row r="1935" spans="1:22" x14ac:dyDescent="0.3">
      <c r="A1935" t="s">
        <v>1195</v>
      </c>
      <c r="B1935" t="str">
        <f ca="1">OFFSET(Industries!C$1,MATCH(Table1[[#This Row],[Ticker]],Industries!$A$2:$A$150,0),0)</f>
        <v>Health Care</v>
      </c>
      <c r="C1935" t="str">
        <f ca="1">OFFSET(Industries!D$1,MATCH(Table1[[#This Row],[Ticker]],Industries!$A$2:$A$150,0),0)</f>
        <v>Pharmaceuticals, Biotechnology and Life Sciences</v>
      </c>
      <c r="D1935" t="str">
        <f ca="1">OFFSET(Industries!E$1,MATCH(Table1[[#This Row],[Ticker]],Industries!$A$2:$A$150,0),0)</f>
        <v>Biotechnology</v>
      </c>
      <c r="E1935" t="s">
        <v>49</v>
      </c>
      <c r="F1935" t="str">
        <f ca="1">OFFSET(Industries!B$1,MATCH(Table1[[#This Row],[Ticker]],Industries!$A$2:$A$140,0),0)</f>
        <v>Large-Cap</v>
      </c>
      <c r="H1935" t="s">
        <v>1434</v>
      </c>
      <c r="I1935" t="s">
        <v>1434</v>
      </c>
      <c r="J1935" s="2">
        <v>45383</v>
      </c>
      <c r="K1935" t="s">
        <v>21</v>
      </c>
      <c r="L1935" t="s">
        <v>1708</v>
      </c>
      <c r="M1935" t="s">
        <v>1709</v>
      </c>
      <c r="N1935" s="1"/>
      <c r="O1935" t="s">
        <v>4</v>
      </c>
      <c r="P1935" s="1">
        <v>7.0000000000000007E-2</v>
      </c>
      <c r="R1935" t="s">
        <v>28</v>
      </c>
      <c r="S1935" t="s">
        <v>1110</v>
      </c>
      <c r="T1935" t="s">
        <v>172</v>
      </c>
    </row>
    <row r="1936" spans="1:22" x14ac:dyDescent="0.3">
      <c r="A1936" t="s">
        <v>1195</v>
      </c>
      <c r="B1936" t="str">
        <f ca="1">OFFSET(Industries!C$1,MATCH(Table1[[#This Row],[Ticker]],Industries!$A$2:$A$150,0),0)</f>
        <v>Health Care</v>
      </c>
      <c r="C1936" t="str">
        <f ca="1">OFFSET(Industries!D$1,MATCH(Table1[[#This Row],[Ticker]],Industries!$A$2:$A$150,0),0)</f>
        <v>Pharmaceuticals, Biotechnology and Life Sciences</v>
      </c>
      <c r="D1936" t="str">
        <f ca="1">OFFSET(Industries!E$1,MATCH(Table1[[#This Row],[Ticker]],Industries!$A$2:$A$150,0),0)</f>
        <v>Biotechnology</v>
      </c>
      <c r="E1936" t="s">
        <v>49</v>
      </c>
      <c r="F1936" t="str">
        <f ca="1">OFFSET(Industries!B$1,MATCH(Table1[[#This Row],[Ticker]],Industries!$A$2:$A$140,0),0)</f>
        <v>Large-Cap</v>
      </c>
      <c r="H1936" t="s">
        <v>1434</v>
      </c>
      <c r="I1936" t="s">
        <v>1434</v>
      </c>
      <c r="J1936" s="2">
        <v>45383</v>
      </c>
      <c r="K1936" t="s">
        <v>21</v>
      </c>
      <c r="L1936" t="s">
        <v>1710</v>
      </c>
      <c r="M1936" t="s">
        <v>1709</v>
      </c>
      <c r="N1936" s="1">
        <f>Table1[[#This Row],[Consideration Weight]]</f>
        <v>0.4</v>
      </c>
      <c r="O1936" t="s">
        <v>476</v>
      </c>
      <c r="P1936" s="1">
        <v>0.4</v>
      </c>
      <c r="Q1936" s="1" t="s">
        <v>1636</v>
      </c>
      <c r="R1936" t="s">
        <v>25</v>
      </c>
      <c r="S1936" t="s">
        <v>1086</v>
      </c>
      <c r="T1936" t="s">
        <v>1653</v>
      </c>
      <c r="U1936" s="1">
        <v>0.4</v>
      </c>
    </row>
    <row r="1937" spans="1:22" x14ac:dyDescent="0.3">
      <c r="A1937" t="s">
        <v>1195</v>
      </c>
      <c r="B1937" t="str">
        <f ca="1">OFFSET(Industries!C$1,MATCH(Table1[[#This Row],[Ticker]],Industries!$A$2:$A$150,0),0)</f>
        <v>Health Care</v>
      </c>
      <c r="C1937" t="str">
        <f ca="1">OFFSET(Industries!D$1,MATCH(Table1[[#This Row],[Ticker]],Industries!$A$2:$A$150,0),0)</f>
        <v>Pharmaceuticals, Biotechnology and Life Sciences</v>
      </c>
      <c r="D1937" t="str">
        <f ca="1">OFFSET(Industries!E$1,MATCH(Table1[[#This Row],[Ticker]],Industries!$A$2:$A$150,0),0)</f>
        <v>Biotechnology</v>
      </c>
      <c r="E1937" t="s">
        <v>49</v>
      </c>
      <c r="F1937" t="str">
        <f ca="1">OFFSET(Industries!B$1,MATCH(Table1[[#This Row],[Ticker]],Industries!$A$2:$A$140,0),0)</f>
        <v>Large-Cap</v>
      </c>
      <c r="H1937" t="s">
        <v>1434</v>
      </c>
      <c r="I1937" t="s">
        <v>1434</v>
      </c>
      <c r="J1937" s="2">
        <v>45383</v>
      </c>
      <c r="K1937" t="s">
        <v>21</v>
      </c>
      <c r="L1937" t="s">
        <v>1710</v>
      </c>
      <c r="M1937" t="s">
        <v>1709</v>
      </c>
      <c r="N1937" s="1"/>
      <c r="O1937" t="s">
        <v>476</v>
      </c>
      <c r="P1937" s="1">
        <v>0.4</v>
      </c>
      <c r="Q1937" s="1" t="s">
        <v>1637</v>
      </c>
      <c r="R1937" t="s">
        <v>25</v>
      </c>
      <c r="S1937" t="s">
        <v>344</v>
      </c>
      <c r="T1937" t="s">
        <v>1654</v>
      </c>
      <c r="U1937" s="1">
        <v>0.6</v>
      </c>
    </row>
    <row r="1938" spans="1:22" x14ac:dyDescent="0.3">
      <c r="A1938" t="s">
        <v>1195</v>
      </c>
      <c r="B1938" t="str">
        <f ca="1">OFFSET(Industries!C$1,MATCH(Table1[[#This Row],[Ticker]],Industries!$A$2:$A$150,0),0)</f>
        <v>Health Care</v>
      </c>
      <c r="C1938" t="str">
        <f ca="1">OFFSET(Industries!D$1,MATCH(Table1[[#This Row],[Ticker]],Industries!$A$2:$A$150,0),0)</f>
        <v>Pharmaceuticals, Biotechnology and Life Sciences</v>
      </c>
      <c r="D1938" t="str">
        <f ca="1">OFFSET(Industries!E$1,MATCH(Table1[[#This Row],[Ticker]],Industries!$A$2:$A$150,0),0)</f>
        <v>Biotechnology</v>
      </c>
      <c r="E1938" t="s">
        <v>49</v>
      </c>
      <c r="F1938" t="str">
        <f ca="1">OFFSET(Industries!B$1,MATCH(Table1[[#This Row],[Ticker]],Industries!$A$2:$A$140,0),0)</f>
        <v>Large-Cap</v>
      </c>
      <c r="H1938" t="s">
        <v>1434</v>
      </c>
      <c r="I1938" t="s">
        <v>1434</v>
      </c>
      <c r="J1938" s="2">
        <v>45383</v>
      </c>
      <c r="K1938" t="s">
        <v>21</v>
      </c>
      <c r="L1938" t="s">
        <v>1710</v>
      </c>
      <c r="M1938" t="s">
        <v>1711</v>
      </c>
      <c r="N1938" s="1">
        <f>Table1[[#This Row],[Consideration Weight]]</f>
        <v>0.2</v>
      </c>
      <c r="O1938" t="s">
        <v>194</v>
      </c>
      <c r="P1938" s="1">
        <v>0.2</v>
      </c>
    </row>
    <row r="1939" spans="1:22" x14ac:dyDescent="0.3">
      <c r="A1939" t="s">
        <v>1195</v>
      </c>
      <c r="B1939" t="str">
        <f ca="1">OFFSET(Industries!C$1,MATCH(Table1[[#This Row],[Ticker]],Industries!$A$2:$A$150,0),0)</f>
        <v>Health Care</v>
      </c>
      <c r="C1939" t="str">
        <f ca="1">OFFSET(Industries!D$1,MATCH(Table1[[#This Row],[Ticker]],Industries!$A$2:$A$150,0),0)</f>
        <v>Pharmaceuticals, Biotechnology and Life Sciences</v>
      </c>
      <c r="D1939" t="str">
        <f ca="1">OFFSET(Industries!E$1,MATCH(Table1[[#This Row],[Ticker]],Industries!$A$2:$A$150,0),0)</f>
        <v>Biotechnology</v>
      </c>
      <c r="E1939" t="s">
        <v>49</v>
      </c>
      <c r="F1939" t="str">
        <f ca="1">OFFSET(Industries!B$1,MATCH(Table1[[#This Row],[Ticker]],Industries!$A$2:$A$140,0),0)</f>
        <v>Large-Cap</v>
      </c>
      <c r="H1939" t="s">
        <v>1434</v>
      </c>
      <c r="I1939" t="s">
        <v>1434</v>
      </c>
      <c r="J1939" s="2">
        <v>45383</v>
      </c>
      <c r="K1939" t="s">
        <v>21</v>
      </c>
      <c r="L1939" t="s">
        <v>1710</v>
      </c>
      <c r="M1939" t="s">
        <v>1711</v>
      </c>
      <c r="N1939" s="1">
        <f>Table1[[#This Row],[Consideration Weight]]</f>
        <v>0.2</v>
      </c>
      <c r="O1939" t="s">
        <v>87</v>
      </c>
      <c r="P1939" s="1">
        <v>0.2</v>
      </c>
    </row>
    <row r="1940" spans="1:22" x14ac:dyDescent="0.3">
      <c r="A1940" t="s">
        <v>1201</v>
      </c>
      <c r="B1940" t="str">
        <f ca="1">OFFSET(Industries!C$1,MATCH(Table1[[#This Row],[Ticker]],Industries!$A$2:$A$150,0),0)</f>
        <v>Consumer Discretionary</v>
      </c>
      <c r="C1940" t="str">
        <f ca="1">OFFSET(Industries!D$1,MATCH(Table1[[#This Row],[Ticker]],Industries!$A$2:$A$150,0),0)</f>
        <v>Consumer Discretionary Distribution and Retail</v>
      </c>
      <c r="D1940" t="str">
        <f ca="1">OFFSET(Industries!E$1,MATCH(Table1[[#This Row],[Ticker]],Industries!$A$2:$A$150,0),0)</f>
        <v>Specialty Retail</v>
      </c>
      <c r="E1940" t="s">
        <v>892</v>
      </c>
      <c r="F1940" t="str">
        <f ca="1">OFFSET(Industries!B$1,MATCH(Table1[[#This Row],[Ticker]],Industries!$A$2:$A$140,0),0)</f>
        <v>Large-Cap</v>
      </c>
      <c r="G1940" t="str">
        <f ca="1">OFFSET(Industries!F$1,MATCH(Table1[[#This Row],[Ticker]],Industries!$A$2:$A$140,0),0)</f>
        <v>BBB</v>
      </c>
      <c r="H1940" t="s">
        <v>1434</v>
      </c>
      <c r="I1940" t="s">
        <v>1434</v>
      </c>
      <c r="J1940" s="2">
        <v>45377</v>
      </c>
      <c r="K1940" t="s">
        <v>2</v>
      </c>
      <c r="L1940" t="s">
        <v>3</v>
      </c>
      <c r="M1940" t="s">
        <v>1711</v>
      </c>
      <c r="N1940" s="1">
        <f>Table1[[#This Row],[Consideration Weight]]</f>
        <v>0.11</v>
      </c>
      <c r="O1940" t="s">
        <v>3</v>
      </c>
      <c r="P1940" s="1">
        <v>0.11</v>
      </c>
      <c r="V1940" t="s">
        <v>1202</v>
      </c>
    </row>
    <row r="1941" spans="1:22" x14ac:dyDescent="0.3">
      <c r="A1941" t="s">
        <v>1201</v>
      </c>
      <c r="B1941" t="str">
        <f ca="1">OFFSET(Industries!C$1,MATCH(Table1[[#This Row],[Ticker]],Industries!$A$2:$A$150,0),0)</f>
        <v>Consumer Discretionary</v>
      </c>
      <c r="C1941" t="str">
        <f ca="1">OFFSET(Industries!D$1,MATCH(Table1[[#This Row],[Ticker]],Industries!$A$2:$A$150,0),0)</f>
        <v>Consumer Discretionary Distribution and Retail</v>
      </c>
      <c r="D1941" t="str">
        <f ca="1">OFFSET(Industries!E$1,MATCH(Table1[[#This Row],[Ticker]],Industries!$A$2:$A$150,0),0)</f>
        <v>Specialty Retail</v>
      </c>
      <c r="E1941" t="s">
        <v>892</v>
      </c>
      <c r="F1941" t="str">
        <f ca="1">OFFSET(Industries!B$1,MATCH(Table1[[#This Row],[Ticker]],Industries!$A$2:$A$140,0),0)</f>
        <v>Large-Cap</v>
      </c>
      <c r="G1941" t="str">
        <f ca="1">OFFSET(Industries!F$1,MATCH(Table1[[#This Row],[Ticker]],Industries!$A$2:$A$140,0),0)</f>
        <v>BBB</v>
      </c>
      <c r="H1941" t="s">
        <v>1434</v>
      </c>
      <c r="I1941" t="s">
        <v>1434</v>
      </c>
      <c r="J1941" s="2">
        <v>45377</v>
      </c>
      <c r="K1941" t="s">
        <v>2</v>
      </c>
      <c r="L1941" t="s">
        <v>1708</v>
      </c>
      <c r="M1941" t="s">
        <v>1709</v>
      </c>
      <c r="N1941" s="1">
        <f>Table1[[#This Row],[Consideration Weight]]</f>
        <v>0.16</v>
      </c>
      <c r="O1941" t="s">
        <v>4</v>
      </c>
      <c r="P1941" s="1">
        <v>0.16</v>
      </c>
      <c r="Q1941" s="1" t="s">
        <v>1636</v>
      </c>
      <c r="R1941" t="s">
        <v>24</v>
      </c>
      <c r="S1941" t="s">
        <v>1098</v>
      </c>
      <c r="T1941" t="s">
        <v>1098</v>
      </c>
      <c r="U1941" s="1">
        <v>0.75</v>
      </c>
      <c r="V1941" t="s">
        <v>1203</v>
      </c>
    </row>
    <row r="1942" spans="1:22" x14ac:dyDescent="0.3">
      <c r="A1942" t="s">
        <v>1201</v>
      </c>
      <c r="B1942" t="str">
        <f ca="1">OFFSET(Industries!C$1,MATCH(Table1[[#This Row],[Ticker]],Industries!$A$2:$A$150,0),0)</f>
        <v>Consumer Discretionary</v>
      </c>
      <c r="C1942" t="str">
        <f ca="1">OFFSET(Industries!D$1,MATCH(Table1[[#This Row],[Ticker]],Industries!$A$2:$A$150,0),0)</f>
        <v>Consumer Discretionary Distribution and Retail</v>
      </c>
      <c r="D1942" t="str">
        <f ca="1">OFFSET(Industries!E$1,MATCH(Table1[[#This Row],[Ticker]],Industries!$A$2:$A$150,0),0)</f>
        <v>Specialty Retail</v>
      </c>
      <c r="E1942" t="s">
        <v>892</v>
      </c>
      <c r="F1942" t="str">
        <f ca="1">OFFSET(Industries!B$1,MATCH(Table1[[#This Row],[Ticker]],Industries!$A$2:$A$140,0),0)</f>
        <v>Large-Cap</v>
      </c>
      <c r="G1942" t="str">
        <f ca="1">OFFSET(Industries!F$1,MATCH(Table1[[#This Row],[Ticker]],Industries!$A$2:$A$140,0),0)</f>
        <v>BBB</v>
      </c>
      <c r="H1942" t="s">
        <v>1434</v>
      </c>
      <c r="I1942" t="s">
        <v>1434</v>
      </c>
      <c r="J1942" s="2">
        <v>45377</v>
      </c>
      <c r="K1942" t="s">
        <v>2</v>
      </c>
      <c r="L1942" t="s">
        <v>1708</v>
      </c>
      <c r="M1942" t="s">
        <v>1709</v>
      </c>
      <c r="N1942" s="1"/>
      <c r="O1942" t="s">
        <v>4</v>
      </c>
      <c r="P1942" s="1">
        <v>0.16</v>
      </c>
      <c r="Q1942" s="1" t="s">
        <v>1637</v>
      </c>
      <c r="R1942" t="s">
        <v>25</v>
      </c>
      <c r="S1942" t="s">
        <v>1086</v>
      </c>
      <c r="T1942" t="s">
        <v>1050</v>
      </c>
      <c r="U1942" s="1">
        <v>0.25</v>
      </c>
      <c r="V1942" t="s">
        <v>1207</v>
      </c>
    </row>
    <row r="1943" spans="1:22" x14ac:dyDescent="0.3">
      <c r="A1943" t="s">
        <v>1201</v>
      </c>
      <c r="B1943" t="str">
        <f ca="1">OFFSET(Industries!C$1,MATCH(Table1[[#This Row],[Ticker]],Industries!$A$2:$A$150,0),0)</f>
        <v>Consumer Discretionary</v>
      </c>
      <c r="C1943" t="str">
        <f ca="1">OFFSET(Industries!D$1,MATCH(Table1[[#This Row],[Ticker]],Industries!$A$2:$A$150,0),0)</f>
        <v>Consumer Discretionary Distribution and Retail</v>
      </c>
      <c r="D1943" t="str">
        <f ca="1">OFFSET(Industries!E$1,MATCH(Table1[[#This Row],[Ticker]],Industries!$A$2:$A$150,0),0)</f>
        <v>Specialty Retail</v>
      </c>
      <c r="E1943" t="s">
        <v>892</v>
      </c>
      <c r="F1943" t="str">
        <f ca="1">OFFSET(Industries!B$1,MATCH(Table1[[#This Row],[Ticker]],Industries!$A$2:$A$140,0),0)</f>
        <v>Large-Cap</v>
      </c>
      <c r="G1943" t="str">
        <f ca="1">OFFSET(Industries!F$1,MATCH(Table1[[#This Row],[Ticker]],Industries!$A$2:$A$140,0),0)</f>
        <v>BBB</v>
      </c>
      <c r="H1943" t="s">
        <v>1434</v>
      </c>
      <c r="I1943" t="s">
        <v>1434</v>
      </c>
      <c r="J1943" s="2">
        <v>45377</v>
      </c>
      <c r="K1943" t="s">
        <v>2</v>
      </c>
      <c r="L1943" t="s">
        <v>1708</v>
      </c>
      <c r="M1943" t="s">
        <v>1709</v>
      </c>
      <c r="N1943" s="1"/>
      <c r="O1943" t="s">
        <v>4</v>
      </c>
      <c r="P1943" s="1">
        <v>0.16</v>
      </c>
      <c r="R1943" t="s">
        <v>28</v>
      </c>
      <c r="S1943" t="s">
        <v>1110</v>
      </c>
      <c r="T1943" t="s">
        <v>172</v>
      </c>
    </row>
    <row r="1944" spans="1:22" x14ac:dyDescent="0.3">
      <c r="A1944" t="s">
        <v>1201</v>
      </c>
      <c r="B1944" t="str">
        <f ca="1">OFFSET(Industries!C$1,MATCH(Table1[[#This Row],[Ticker]],Industries!$A$2:$A$150,0),0)</f>
        <v>Consumer Discretionary</v>
      </c>
      <c r="C1944" t="str">
        <f ca="1">OFFSET(Industries!D$1,MATCH(Table1[[#This Row],[Ticker]],Industries!$A$2:$A$150,0),0)</f>
        <v>Consumer Discretionary Distribution and Retail</v>
      </c>
      <c r="D1944" t="str">
        <f ca="1">OFFSET(Industries!E$1,MATCH(Table1[[#This Row],[Ticker]],Industries!$A$2:$A$150,0),0)</f>
        <v>Specialty Retail</v>
      </c>
      <c r="E1944" t="s">
        <v>892</v>
      </c>
      <c r="F1944" t="str">
        <f ca="1">OFFSET(Industries!B$1,MATCH(Table1[[#This Row],[Ticker]],Industries!$A$2:$A$140,0),0)</f>
        <v>Large-Cap</v>
      </c>
      <c r="G1944" t="str">
        <f ca="1">OFFSET(Industries!F$1,MATCH(Table1[[#This Row],[Ticker]],Industries!$A$2:$A$140,0),0)</f>
        <v>BBB</v>
      </c>
      <c r="H1944" t="s">
        <v>1434</v>
      </c>
      <c r="I1944" t="s">
        <v>1434</v>
      </c>
      <c r="J1944" s="2">
        <v>45377</v>
      </c>
      <c r="K1944" t="s">
        <v>2</v>
      </c>
      <c r="L1944" t="s">
        <v>1710</v>
      </c>
      <c r="M1944" t="s">
        <v>1709</v>
      </c>
      <c r="N1944" s="1">
        <f>Table1[[#This Row],[Consideration Weight]]</f>
        <v>0.36499999999999999</v>
      </c>
      <c r="O1944" t="s">
        <v>476</v>
      </c>
      <c r="P1944" s="1">
        <f>0.5*0.73</f>
        <v>0.36499999999999999</v>
      </c>
      <c r="Q1944" s="1" t="s">
        <v>1636</v>
      </c>
      <c r="R1944" t="s">
        <v>23</v>
      </c>
      <c r="S1944" t="s">
        <v>1083</v>
      </c>
      <c r="T1944" t="s">
        <v>1204</v>
      </c>
      <c r="U1944" s="1">
        <v>0.5</v>
      </c>
      <c r="V1944" t="s">
        <v>1206</v>
      </c>
    </row>
    <row r="1945" spans="1:22" x14ac:dyDescent="0.3">
      <c r="A1945" t="s">
        <v>1201</v>
      </c>
      <c r="B1945" t="str">
        <f ca="1">OFFSET(Industries!C$1,MATCH(Table1[[#This Row],[Ticker]],Industries!$A$2:$A$150,0),0)</f>
        <v>Consumer Discretionary</v>
      </c>
      <c r="C1945" t="str">
        <f ca="1">OFFSET(Industries!D$1,MATCH(Table1[[#This Row],[Ticker]],Industries!$A$2:$A$150,0),0)</f>
        <v>Consumer Discretionary Distribution and Retail</v>
      </c>
      <c r="D1945" t="str">
        <f ca="1">OFFSET(Industries!E$1,MATCH(Table1[[#This Row],[Ticker]],Industries!$A$2:$A$150,0),0)</f>
        <v>Specialty Retail</v>
      </c>
      <c r="E1945" t="s">
        <v>892</v>
      </c>
      <c r="F1945" t="str">
        <f ca="1">OFFSET(Industries!B$1,MATCH(Table1[[#This Row],[Ticker]],Industries!$A$2:$A$140,0),0)</f>
        <v>Large-Cap</v>
      </c>
      <c r="G1945" t="str">
        <f ca="1">OFFSET(Industries!F$1,MATCH(Table1[[#This Row],[Ticker]],Industries!$A$2:$A$140,0),0)</f>
        <v>BBB</v>
      </c>
      <c r="H1945" t="s">
        <v>1434</v>
      </c>
      <c r="I1945" t="s">
        <v>1434</v>
      </c>
      <c r="J1945" s="2">
        <v>45377</v>
      </c>
      <c r="K1945" t="s">
        <v>2</v>
      </c>
      <c r="L1945" t="s">
        <v>1710</v>
      </c>
      <c r="M1945" t="s">
        <v>1709</v>
      </c>
      <c r="N1945" s="1"/>
      <c r="O1945" t="s">
        <v>476</v>
      </c>
      <c r="P1945" s="1">
        <f>0.5*0.73</f>
        <v>0.36499999999999999</v>
      </c>
      <c r="Q1945" s="1" t="s">
        <v>1636</v>
      </c>
      <c r="R1945" t="s">
        <v>24</v>
      </c>
      <c r="S1945" t="s">
        <v>1089</v>
      </c>
      <c r="T1945" t="s">
        <v>1205</v>
      </c>
      <c r="U1945" s="1">
        <v>0.5</v>
      </c>
    </row>
    <row r="1946" spans="1:22" x14ac:dyDescent="0.3">
      <c r="A1946" t="s">
        <v>1201</v>
      </c>
      <c r="B1946" t="str">
        <f ca="1">OFFSET(Industries!C$1,MATCH(Table1[[#This Row],[Ticker]],Industries!$A$2:$A$150,0),0)</f>
        <v>Consumer Discretionary</v>
      </c>
      <c r="C1946" t="str">
        <f ca="1">OFFSET(Industries!D$1,MATCH(Table1[[#This Row],[Ticker]],Industries!$A$2:$A$150,0),0)</f>
        <v>Consumer Discretionary Distribution and Retail</v>
      </c>
      <c r="D1946" t="str">
        <f ca="1">OFFSET(Industries!E$1,MATCH(Table1[[#This Row],[Ticker]],Industries!$A$2:$A$150,0),0)</f>
        <v>Specialty Retail</v>
      </c>
      <c r="E1946" t="s">
        <v>892</v>
      </c>
      <c r="F1946" t="str">
        <f ca="1">OFFSET(Industries!B$1,MATCH(Table1[[#This Row],[Ticker]],Industries!$A$2:$A$140,0),0)</f>
        <v>Large-Cap</v>
      </c>
      <c r="G1946" t="str">
        <f ca="1">OFFSET(Industries!F$1,MATCH(Table1[[#This Row],[Ticker]],Industries!$A$2:$A$140,0),0)</f>
        <v>BBB</v>
      </c>
      <c r="H1946" t="s">
        <v>1434</v>
      </c>
      <c r="I1946" t="s">
        <v>1434</v>
      </c>
      <c r="J1946" s="2">
        <v>45377</v>
      </c>
      <c r="K1946" t="s">
        <v>2</v>
      </c>
      <c r="L1946" t="s">
        <v>1710</v>
      </c>
      <c r="M1946" t="s">
        <v>1709</v>
      </c>
      <c r="N1946" s="1"/>
      <c r="O1946" t="s">
        <v>476</v>
      </c>
      <c r="P1946" s="1">
        <f>0.5*0.73</f>
        <v>0.36499999999999999</v>
      </c>
      <c r="R1946" t="s">
        <v>28</v>
      </c>
      <c r="S1946" t="s">
        <v>1085</v>
      </c>
      <c r="T1946" t="s">
        <v>30</v>
      </c>
    </row>
    <row r="1947" spans="1:22" x14ac:dyDescent="0.3">
      <c r="A1947" t="s">
        <v>1201</v>
      </c>
      <c r="B1947" t="str">
        <f ca="1">OFFSET(Industries!C$1,MATCH(Table1[[#This Row],[Ticker]],Industries!$A$2:$A$150,0),0)</f>
        <v>Consumer Discretionary</v>
      </c>
      <c r="C1947" t="str">
        <f ca="1">OFFSET(Industries!D$1,MATCH(Table1[[#This Row],[Ticker]],Industries!$A$2:$A$150,0),0)</f>
        <v>Consumer Discretionary Distribution and Retail</v>
      </c>
      <c r="D1947" t="str">
        <f ca="1">OFFSET(Industries!E$1,MATCH(Table1[[#This Row],[Ticker]],Industries!$A$2:$A$150,0),0)</f>
        <v>Specialty Retail</v>
      </c>
      <c r="E1947" t="s">
        <v>892</v>
      </c>
      <c r="F1947" t="str">
        <f ca="1">OFFSET(Industries!B$1,MATCH(Table1[[#This Row],[Ticker]],Industries!$A$2:$A$140,0),0)</f>
        <v>Large-Cap</v>
      </c>
      <c r="G1947" t="str">
        <f ca="1">OFFSET(Industries!F$1,MATCH(Table1[[#This Row],[Ticker]],Industries!$A$2:$A$140,0),0)</f>
        <v>BBB</v>
      </c>
      <c r="H1947" t="s">
        <v>1434</v>
      </c>
      <c r="I1947" t="s">
        <v>1434</v>
      </c>
      <c r="J1947" s="2">
        <v>45377</v>
      </c>
      <c r="K1947" t="s">
        <v>2</v>
      </c>
      <c r="L1947" t="s">
        <v>1710</v>
      </c>
      <c r="M1947" t="s">
        <v>1711</v>
      </c>
      <c r="N1947" s="1">
        <f>Table1[[#This Row],[Consideration Weight]]</f>
        <v>0.1825</v>
      </c>
      <c r="O1947" t="s">
        <v>194</v>
      </c>
      <c r="P1947" s="1">
        <f>0.73*0.25</f>
        <v>0.1825</v>
      </c>
    </row>
    <row r="1948" spans="1:22" x14ac:dyDescent="0.3">
      <c r="A1948" t="s">
        <v>1201</v>
      </c>
      <c r="B1948" t="str">
        <f ca="1">OFFSET(Industries!C$1,MATCH(Table1[[#This Row],[Ticker]],Industries!$A$2:$A$150,0),0)</f>
        <v>Consumer Discretionary</v>
      </c>
      <c r="C1948" t="str">
        <f ca="1">OFFSET(Industries!D$1,MATCH(Table1[[#This Row],[Ticker]],Industries!$A$2:$A$150,0),0)</f>
        <v>Consumer Discretionary Distribution and Retail</v>
      </c>
      <c r="D1948" t="str">
        <f ca="1">OFFSET(Industries!E$1,MATCH(Table1[[#This Row],[Ticker]],Industries!$A$2:$A$150,0),0)</f>
        <v>Specialty Retail</v>
      </c>
      <c r="E1948" t="s">
        <v>892</v>
      </c>
      <c r="F1948" t="str">
        <f ca="1">OFFSET(Industries!B$1,MATCH(Table1[[#This Row],[Ticker]],Industries!$A$2:$A$140,0),0)</f>
        <v>Large-Cap</v>
      </c>
      <c r="G1948" t="str">
        <f ca="1">OFFSET(Industries!F$1,MATCH(Table1[[#This Row],[Ticker]],Industries!$A$2:$A$140,0),0)</f>
        <v>BBB</v>
      </c>
      <c r="H1948" t="s">
        <v>1434</v>
      </c>
      <c r="I1948" t="s">
        <v>1434</v>
      </c>
      <c r="J1948" s="2">
        <v>45377</v>
      </c>
      <c r="K1948" t="s">
        <v>2</v>
      </c>
      <c r="L1948" t="s">
        <v>1710</v>
      </c>
      <c r="M1948" t="s">
        <v>1711</v>
      </c>
      <c r="N1948" s="1">
        <f>Table1[[#This Row],[Consideration Weight]]</f>
        <v>0.1825</v>
      </c>
      <c r="O1948" t="s">
        <v>87</v>
      </c>
      <c r="P1948" s="1">
        <f>0.73*0.25</f>
        <v>0.1825</v>
      </c>
    </row>
    <row r="1949" spans="1:22" x14ac:dyDescent="0.3">
      <c r="A1949" t="s">
        <v>1201</v>
      </c>
      <c r="B1949" t="str">
        <f ca="1">OFFSET(Industries!C$1,MATCH(Table1[[#This Row],[Ticker]],Industries!$A$2:$A$150,0),0)</f>
        <v>Consumer Discretionary</v>
      </c>
      <c r="C1949" t="str">
        <f ca="1">OFFSET(Industries!D$1,MATCH(Table1[[#This Row],[Ticker]],Industries!$A$2:$A$150,0),0)</f>
        <v>Consumer Discretionary Distribution and Retail</v>
      </c>
      <c r="D1949" t="str">
        <f ca="1">OFFSET(Industries!E$1,MATCH(Table1[[#This Row],[Ticker]],Industries!$A$2:$A$150,0),0)</f>
        <v>Specialty Retail</v>
      </c>
      <c r="E1949" t="s">
        <v>892</v>
      </c>
      <c r="F1949" t="str">
        <f ca="1">OFFSET(Industries!B$1,MATCH(Table1[[#This Row],[Ticker]],Industries!$A$2:$A$140,0),0)</f>
        <v>Large-Cap</v>
      </c>
      <c r="G1949" t="str">
        <f ca="1">OFFSET(Industries!F$1,MATCH(Table1[[#This Row],[Ticker]],Industries!$A$2:$A$140,0),0)</f>
        <v>BBB</v>
      </c>
      <c r="H1949" t="s">
        <v>1434</v>
      </c>
      <c r="I1949" t="s">
        <v>1434</v>
      </c>
      <c r="J1949" s="2">
        <v>45377</v>
      </c>
      <c r="K1949" t="s">
        <v>21</v>
      </c>
      <c r="L1949" t="s">
        <v>3</v>
      </c>
      <c r="M1949" t="s">
        <v>1711</v>
      </c>
      <c r="N1949" s="1">
        <f>Table1[[#This Row],[Consideration Weight]]</f>
        <v>0.3</v>
      </c>
      <c r="O1949" t="s">
        <v>3</v>
      </c>
      <c r="P1949" s="1">
        <v>0.3</v>
      </c>
    </row>
    <row r="1950" spans="1:22" x14ac:dyDescent="0.3">
      <c r="A1950" t="s">
        <v>1201</v>
      </c>
      <c r="B1950" t="str">
        <f ca="1">OFFSET(Industries!C$1,MATCH(Table1[[#This Row],[Ticker]],Industries!$A$2:$A$150,0),0)</f>
        <v>Consumer Discretionary</v>
      </c>
      <c r="C1950" t="str">
        <f ca="1">OFFSET(Industries!D$1,MATCH(Table1[[#This Row],[Ticker]],Industries!$A$2:$A$150,0),0)</f>
        <v>Consumer Discretionary Distribution and Retail</v>
      </c>
      <c r="D1950" t="str">
        <f ca="1">OFFSET(Industries!E$1,MATCH(Table1[[#This Row],[Ticker]],Industries!$A$2:$A$150,0),0)</f>
        <v>Specialty Retail</v>
      </c>
      <c r="E1950" t="s">
        <v>892</v>
      </c>
      <c r="F1950" t="str">
        <f ca="1">OFFSET(Industries!B$1,MATCH(Table1[[#This Row],[Ticker]],Industries!$A$2:$A$140,0),0)</f>
        <v>Large-Cap</v>
      </c>
      <c r="G1950" t="str">
        <f ca="1">OFFSET(Industries!F$1,MATCH(Table1[[#This Row],[Ticker]],Industries!$A$2:$A$140,0),0)</f>
        <v>BBB</v>
      </c>
      <c r="H1950" t="s">
        <v>1434</v>
      </c>
      <c r="I1950" t="s">
        <v>1434</v>
      </c>
      <c r="J1950" s="2">
        <v>45377</v>
      </c>
      <c r="K1950" t="s">
        <v>21</v>
      </c>
      <c r="L1950" t="s">
        <v>1708</v>
      </c>
      <c r="M1950" t="s">
        <v>1709</v>
      </c>
      <c r="N1950" s="1">
        <f>Table1[[#This Row],[Consideration Weight]]</f>
        <v>0.23</v>
      </c>
      <c r="O1950" t="s">
        <v>4</v>
      </c>
      <c r="P1950" s="1">
        <v>0.23</v>
      </c>
      <c r="Q1950" s="1" t="s">
        <v>1636</v>
      </c>
      <c r="R1950" t="s">
        <v>24</v>
      </c>
      <c r="S1950" t="s">
        <v>1098</v>
      </c>
      <c r="T1950" t="s">
        <v>1098</v>
      </c>
      <c r="U1950" s="1">
        <v>0.75</v>
      </c>
    </row>
    <row r="1951" spans="1:22" x14ac:dyDescent="0.3">
      <c r="A1951" t="s">
        <v>1201</v>
      </c>
      <c r="B1951" t="str">
        <f ca="1">OFFSET(Industries!C$1,MATCH(Table1[[#This Row],[Ticker]],Industries!$A$2:$A$150,0),0)</f>
        <v>Consumer Discretionary</v>
      </c>
      <c r="C1951" t="str">
        <f ca="1">OFFSET(Industries!D$1,MATCH(Table1[[#This Row],[Ticker]],Industries!$A$2:$A$150,0),0)</f>
        <v>Consumer Discretionary Distribution and Retail</v>
      </c>
      <c r="D1951" t="str">
        <f ca="1">OFFSET(Industries!E$1,MATCH(Table1[[#This Row],[Ticker]],Industries!$A$2:$A$150,0),0)</f>
        <v>Specialty Retail</v>
      </c>
      <c r="E1951" t="s">
        <v>892</v>
      </c>
      <c r="F1951" t="str">
        <f ca="1">OFFSET(Industries!B$1,MATCH(Table1[[#This Row],[Ticker]],Industries!$A$2:$A$140,0),0)</f>
        <v>Large-Cap</v>
      </c>
      <c r="G1951" t="str">
        <f ca="1">OFFSET(Industries!F$1,MATCH(Table1[[#This Row],[Ticker]],Industries!$A$2:$A$140,0),0)</f>
        <v>BBB</v>
      </c>
      <c r="H1951" t="s">
        <v>1434</v>
      </c>
      <c r="I1951" t="s">
        <v>1434</v>
      </c>
      <c r="J1951" s="2">
        <v>45377</v>
      </c>
      <c r="K1951" t="s">
        <v>21</v>
      </c>
      <c r="L1951" t="s">
        <v>1708</v>
      </c>
      <c r="M1951" t="s">
        <v>1709</v>
      </c>
      <c r="N1951" s="1"/>
      <c r="O1951" t="s">
        <v>4</v>
      </c>
      <c r="P1951" s="1">
        <v>0.23</v>
      </c>
      <c r="Q1951" s="1" t="s">
        <v>1637</v>
      </c>
      <c r="R1951" t="s">
        <v>25</v>
      </c>
      <c r="S1951" t="s">
        <v>1086</v>
      </c>
      <c r="T1951" t="s">
        <v>1050</v>
      </c>
      <c r="U1951" s="1">
        <v>0.25</v>
      </c>
    </row>
    <row r="1952" spans="1:22" x14ac:dyDescent="0.3">
      <c r="A1952" t="s">
        <v>1201</v>
      </c>
      <c r="B1952" t="str">
        <f ca="1">OFFSET(Industries!C$1,MATCH(Table1[[#This Row],[Ticker]],Industries!$A$2:$A$150,0),0)</f>
        <v>Consumer Discretionary</v>
      </c>
      <c r="C1952" t="str">
        <f ca="1">OFFSET(Industries!D$1,MATCH(Table1[[#This Row],[Ticker]],Industries!$A$2:$A$150,0),0)</f>
        <v>Consumer Discretionary Distribution and Retail</v>
      </c>
      <c r="D1952" t="str">
        <f ca="1">OFFSET(Industries!E$1,MATCH(Table1[[#This Row],[Ticker]],Industries!$A$2:$A$150,0),0)</f>
        <v>Specialty Retail</v>
      </c>
      <c r="E1952" t="s">
        <v>892</v>
      </c>
      <c r="F1952" t="str">
        <f ca="1">OFFSET(Industries!B$1,MATCH(Table1[[#This Row],[Ticker]],Industries!$A$2:$A$140,0),0)</f>
        <v>Large-Cap</v>
      </c>
      <c r="G1952" t="str">
        <f ca="1">OFFSET(Industries!F$1,MATCH(Table1[[#This Row],[Ticker]],Industries!$A$2:$A$140,0),0)</f>
        <v>BBB</v>
      </c>
      <c r="H1952" t="s">
        <v>1434</v>
      </c>
      <c r="I1952" t="s">
        <v>1434</v>
      </c>
      <c r="J1952" s="2">
        <v>45377</v>
      </c>
      <c r="K1952" t="s">
        <v>21</v>
      </c>
      <c r="L1952" t="s">
        <v>1708</v>
      </c>
      <c r="M1952" t="s">
        <v>1709</v>
      </c>
      <c r="N1952" s="1"/>
      <c r="O1952" t="s">
        <v>4</v>
      </c>
      <c r="P1952" s="1">
        <v>0.23</v>
      </c>
      <c r="R1952" t="s">
        <v>28</v>
      </c>
      <c r="S1952" t="s">
        <v>1110</v>
      </c>
      <c r="T1952" t="s">
        <v>172</v>
      </c>
    </row>
    <row r="1953" spans="1:22" x14ac:dyDescent="0.3">
      <c r="A1953" t="s">
        <v>1201</v>
      </c>
      <c r="B1953" t="str">
        <f ca="1">OFFSET(Industries!C$1,MATCH(Table1[[#This Row],[Ticker]],Industries!$A$2:$A$150,0),0)</f>
        <v>Consumer Discretionary</v>
      </c>
      <c r="C1953" t="str">
        <f ca="1">OFFSET(Industries!D$1,MATCH(Table1[[#This Row],[Ticker]],Industries!$A$2:$A$150,0),0)</f>
        <v>Consumer Discretionary Distribution and Retail</v>
      </c>
      <c r="D1953" t="str">
        <f ca="1">OFFSET(Industries!E$1,MATCH(Table1[[#This Row],[Ticker]],Industries!$A$2:$A$150,0),0)</f>
        <v>Specialty Retail</v>
      </c>
      <c r="E1953" t="s">
        <v>892</v>
      </c>
      <c r="F1953" t="str">
        <f ca="1">OFFSET(Industries!B$1,MATCH(Table1[[#This Row],[Ticker]],Industries!$A$2:$A$140,0),0)</f>
        <v>Large-Cap</v>
      </c>
      <c r="G1953" t="str">
        <f ca="1">OFFSET(Industries!F$1,MATCH(Table1[[#This Row],[Ticker]],Industries!$A$2:$A$140,0),0)</f>
        <v>BBB</v>
      </c>
      <c r="H1953" t="s">
        <v>1434</v>
      </c>
      <c r="I1953" t="s">
        <v>1434</v>
      </c>
      <c r="J1953" s="2">
        <v>45377</v>
      </c>
      <c r="K1953" t="s">
        <v>21</v>
      </c>
      <c r="L1953" t="s">
        <v>1710</v>
      </c>
      <c r="M1953" t="s">
        <v>1709</v>
      </c>
      <c r="N1953" s="1">
        <f>Table1[[#This Row],[Consideration Weight]]</f>
        <v>0.23499999999999999</v>
      </c>
      <c r="O1953" t="s">
        <v>476</v>
      </c>
      <c r="P1953" s="1">
        <f>0.47*0.5</f>
        <v>0.23499999999999999</v>
      </c>
      <c r="Q1953" s="1" t="s">
        <v>1636</v>
      </c>
      <c r="R1953" t="s">
        <v>23</v>
      </c>
      <c r="S1953" t="s">
        <v>1083</v>
      </c>
      <c r="T1953" t="s">
        <v>1204</v>
      </c>
      <c r="U1953" s="1">
        <v>0.5</v>
      </c>
    </row>
    <row r="1954" spans="1:22" x14ac:dyDescent="0.3">
      <c r="A1954" t="s">
        <v>1201</v>
      </c>
      <c r="B1954" t="str">
        <f ca="1">OFFSET(Industries!C$1,MATCH(Table1[[#This Row],[Ticker]],Industries!$A$2:$A$150,0),0)</f>
        <v>Consumer Discretionary</v>
      </c>
      <c r="C1954" t="str">
        <f ca="1">OFFSET(Industries!D$1,MATCH(Table1[[#This Row],[Ticker]],Industries!$A$2:$A$150,0),0)</f>
        <v>Consumer Discretionary Distribution and Retail</v>
      </c>
      <c r="D1954" t="str">
        <f ca="1">OFFSET(Industries!E$1,MATCH(Table1[[#This Row],[Ticker]],Industries!$A$2:$A$150,0),0)</f>
        <v>Specialty Retail</v>
      </c>
      <c r="E1954" t="s">
        <v>892</v>
      </c>
      <c r="F1954" t="str">
        <f ca="1">OFFSET(Industries!B$1,MATCH(Table1[[#This Row],[Ticker]],Industries!$A$2:$A$140,0),0)</f>
        <v>Large-Cap</v>
      </c>
      <c r="G1954" t="str">
        <f ca="1">OFFSET(Industries!F$1,MATCH(Table1[[#This Row],[Ticker]],Industries!$A$2:$A$140,0),0)</f>
        <v>BBB</v>
      </c>
      <c r="H1954" t="s">
        <v>1434</v>
      </c>
      <c r="I1954" t="s">
        <v>1434</v>
      </c>
      <c r="J1954" s="2">
        <v>45377</v>
      </c>
      <c r="K1954" t="s">
        <v>21</v>
      </c>
      <c r="L1954" t="s">
        <v>1710</v>
      </c>
      <c r="M1954" t="s">
        <v>1709</v>
      </c>
      <c r="N1954" s="1"/>
      <c r="O1954" t="s">
        <v>476</v>
      </c>
      <c r="P1954" s="1">
        <f t="shared" ref="P1954:P1955" si="38">0.47*0.5</f>
        <v>0.23499999999999999</v>
      </c>
      <c r="Q1954" s="1" t="s">
        <v>1636</v>
      </c>
      <c r="R1954" t="s">
        <v>24</v>
      </c>
      <c r="S1954" t="s">
        <v>1089</v>
      </c>
      <c r="T1954" t="s">
        <v>1205</v>
      </c>
      <c r="U1954" s="1">
        <v>0.5</v>
      </c>
    </row>
    <row r="1955" spans="1:22" x14ac:dyDescent="0.3">
      <c r="A1955" t="s">
        <v>1201</v>
      </c>
      <c r="B1955" t="str">
        <f ca="1">OFFSET(Industries!C$1,MATCH(Table1[[#This Row],[Ticker]],Industries!$A$2:$A$150,0),0)</f>
        <v>Consumer Discretionary</v>
      </c>
      <c r="C1955" t="str">
        <f ca="1">OFFSET(Industries!D$1,MATCH(Table1[[#This Row],[Ticker]],Industries!$A$2:$A$150,0),0)</f>
        <v>Consumer Discretionary Distribution and Retail</v>
      </c>
      <c r="D1955" t="str">
        <f ca="1">OFFSET(Industries!E$1,MATCH(Table1[[#This Row],[Ticker]],Industries!$A$2:$A$150,0),0)</f>
        <v>Specialty Retail</v>
      </c>
      <c r="E1955" t="s">
        <v>892</v>
      </c>
      <c r="F1955" t="str">
        <f ca="1">OFFSET(Industries!B$1,MATCH(Table1[[#This Row],[Ticker]],Industries!$A$2:$A$140,0),0)</f>
        <v>Large-Cap</v>
      </c>
      <c r="G1955" t="str">
        <f ca="1">OFFSET(Industries!F$1,MATCH(Table1[[#This Row],[Ticker]],Industries!$A$2:$A$140,0),0)</f>
        <v>BBB</v>
      </c>
      <c r="H1955" t="s">
        <v>1434</v>
      </c>
      <c r="I1955" t="s">
        <v>1434</v>
      </c>
      <c r="J1955" s="2">
        <v>45377</v>
      </c>
      <c r="K1955" t="s">
        <v>21</v>
      </c>
      <c r="L1955" t="s">
        <v>1710</v>
      </c>
      <c r="M1955" t="s">
        <v>1709</v>
      </c>
      <c r="N1955" s="1"/>
      <c r="O1955" t="s">
        <v>476</v>
      </c>
      <c r="P1955" s="1">
        <f t="shared" si="38"/>
        <v>0.23499999999999999</v>
      </c>
      <c r="R1955" t="s">
        <v>28</v>
      </c>
      <c r="S1955" t="s">
        <v>1085</v>
      </c>
      <c r="T1955" t="s">
        <v>30</v>
      </c>
    </row>
    <row r="1956" spans="1:22" x14ac:dyDescent="0.3">
      <c r="A1956" t="s">
        <v>1201</v>
      </c>
      <c r="B1956" t="str">
        <f ca="1">OFFSET(Industries!C$1,MATCH(Table1[[#This Row],[Ticker]],Industries!$A$2:$A$150,0),0)</f>
        <v>Consumer Discretionary</v>
      </c>
      <c r="C1956" t="str">
        <f ca="1">OFFSET(Industries!D$1,MATCH(Table1[[#This Row],[Ticker]],Industries!$A$2:$A$150,0),0)</f>
        <v>Consumer Discretionary Distribution and Retail</v>
      </c>
      <c r="D1956" t="str">
        <f ca="1">OFFSET(Industries!E$1,MATCH(Table1[[#This Row],[Ticker]],Industries!$A$2:$A$150,0),0)</f>
        <v>Specialty Retail</v>
      </c>
      <c r="E1956" t="s">
        <v>892</v>
      </c>
      <c r="F1956" t="str">
        <f ca="1">OFFSET(Industries!B$1,MATCH(Table1[[#This Row],[Ticker]],Industries!$A$2:$A$140,0),0)</f>
        <v>Large-Cap</v>
      </c>
      <c r="G1956" t="str">
        <f ca="1">OFFSET(Industries!F$1,MATCH(Table1[[#This Row],[Ticker]],Industries!$A$2:$A$140,0),0)</f>
        <v>BBB</v>
      </c>
      <c r="H1956" t="s">
        <v>1434</v>
      </c>
      <c r="I1956" t="s">
        <v>1434</v>
      </c>
      <c r="J1956" s="2">
        <v>45377</v>
      </c>
      <c r="K1956" t="s">
        <v>21</v>
      </c>
      <c r="L1956" t="s">
        <v>1710</v>
      </c>
      <c r="M1956" t="s">
        <v>1711</v>
      </c>
      <c r="N1956" s="1">
        <f>Table1[[#This Row],[Consideration Weight]]</f>
        <v>0.11749999999999999</v>
      </c>
      <c r="O1956" t="s">
        <v>194</v>
      </c>
      <c r="P1956" s="1">
        <f>0.47*0.25</f>
        <v>0.11749999999999999</v>
      </c>
    </row>
    <row r="1957" spans="1:22" x14ac:dyDescent="0.3">
      <c r="A1957" t="s">
        <v>1201</v>
      </c>
      <c r="B1957" t="str">
        <f ca="1">OFFSET(Industries!C$1,MATCH(Table1[[#This Row],[Ticker]],Industries!$A$2:$A$150,0),0)</f>
        <v>Consumer Discretionary</v>
      </c>
      <c r="C1957" t="str">
        <f ca="1">OFFSET(Industries!D$1,MATCH(Table1[[#This Row],[Ticker]],Industries!$A$2:$A$150,0),0)</f>
        <v>Consumer Discretionary Distribution and Retail</v>
      </c>
      <c r="D1957" t="str">
        <f ca="1">OFFSET(Industries!E$1,MATCH(Table1[[#This Row],[Ticker]],Industries!$A$2:$A$150,0),0)</f>
        <v>Specialty Retail</v>
      </c>
      <c r="E1957" t="s">
        <v>892</v>
      </c>
      <c r="F1957" t="str">
        <f ca="1">OFFSET(Industries!B$1,MATCH(Table1[[#This Row],[Ticker]],Industries!$A$2:$A$140,0),0)</f>
        <v>Large-Cap</v>
      </c>
      <c r="G1957" t="str">
        <f ca="1">OFFSET(Industries!F$1,MATCH(Table1[[#This Row],[Ticker]],Industries!$A$2:$A$140,0),0)</f>
        <v>BBB</v>
      </c>
      <c r="H1957" t="s">
        <v>1434</v>
      </c>
      <c r="I1957" t="s">
        <v>1434</v>
      </c>
      <c r="J1957" s="2">
        <v>45377</v>
      </c>
      <c r="K1957" t="s">
        <v>21</v>
      </c>
      <c r="L1957" t="s">
        <v>1710</v>
      </c>
      <c r="M1957" t="s">
        <v>1711</v>
      </c>
      <c r="N1957" s="1">
        <f>Table1[[#This Row],[Consideration Weight]]</f>
        <v>0.11749999999999999</v>
      </c>
      <c r="O1957" t="s">
        <v>87</v>
      </c>
      <c r="P1957" s="1">
        <f>0.47*0.25</f>
        <v>0.11749999999999999</v>
      </c>
    </row>
    <row r="1958" spans="1:22" x14ac:dyDescent="0.3">
      <c r="A1958" t="s">
        <v>1208</v>
      </c>
      <c r="B1958" t="str">
        <f ca="1">OFFSET(Industries!C$1,MATCH(Table1[[#This Row],[Ticker]],Industries!$A$2:$A$150,0),0)</f>
        <v>Financials</v>
      </c>
      <c r="C1958" t="str">
        <f ca="1">OFFSET(Industries!D$1,MATCH(Table1[[#This Row],[Ticker]],Industries!$A$2:$A$150,0),0)</f>
        <v>Financial Services</v>
      </c>
      <c r="D1958" t="str">
        <f ca="1">OFFSET(Industries!E$1,MATCH(Table1[[#This Row],[Ticker]],Industries!$A$2:$A$150,0),0)</f>
        <v>Financial Services</v>
      </c>
      <c r="E1958" t="s">
        <v>481</v>
      </c>
      <c r="F1958" t="str">
        <f ca="1">OFFSET(Industries!B$1,MATCH(Table1[[#This Row],[Ticker]],Industries!$A$2:$A$140,0),0)</f>
        <v>Ultra-Cap</v>
      </c>
      <c r="G1958" t="str">
        <f ca="1">OFFSET(Industries!F$1,MATCH(Table1[[#This Row],[Ticker]],Industries!$A$2:$A$140,0),0)</f>
        <v>BBB</v>
      </c>
      <c r="H1958" t="s">
        <v>1434</v>
      </c>
      <c r="I1958" t="s">
        <v>1434</v>
      </c>
      <c r="J1958" s="2">
        <v>45385</v>
      </c>
      <c r="K1958" t="s">
        <v>2</v>
      </c>
      <c r="L1958" t="s">
        <v>3</v>
      </c>
      <c r="M1958" t="s">
        <v>1711</v>
      </c>
      <c r="N1958" s="1">
        <f>Table1[[#This Row],[Consideration Weight]]</f>
        <v>0.06</v>
      </c>
      <c r="O1958" t="s">
        <v>3</v>
      </c>
      <c r="P1958" s="1">
        <v>0.06</v>
      </c>
      <c r="V1958" t="s">
        <v>1210</v>
      </c>
    </row>
    <row r="1959" spans="1:22" x14ac:dyDescent="0.3">
      <c r="A1959" t="s">
        <v>1208</v>
      </c>
      <c r="B1959" t="str">
        <f ca="1">OFFSET(Industries!C$1,MATCH(Table1[[#This Row],[Ticker]],Industries!$A$2:$A$150,0),0)</f>
        <v>Financials</v>
      </c>
      <c r="C1959" t="str">
        <f ca="1">OFFSET(Industries!D$1,MATCH(Table1[[#This Row],[Ticker]],Industries!$A$2:$A$150,0),0)</f>
        <v>Financial Services</v>
      </c>
      <c r="D1959" t="str">
        <f ca="1">OFFSET(Industries!E$1,MATCH(Table1[[#This Row],[Ticker]],Industries!$A$2:$A$150,0),0)</f>
        <v>Financial Services</v>
      </c>
      <c r="E1959" t="s">
        <v>481</v>
      </c>
      <c r="F1959" t="str">
        <f ca="1">OFFSET(Industries!B$1,MATCH(Table1[[#This Row],[Ticker]],Industries!$A$2:$A$140,0),0)</f>
        <v>Ultra-Cap</v>
      </c>
      <c r="G1959" t="str">
        <f ca="1">OFFSET(Industries!F$1,MATCH(Table1[[#This Row],[Ticker]],Industries!$A$2:$A$140,0),0)</f>
        <v>BBB</v>
      </c>
      <c r="H1959" t="s">
        <v>1434</v>
      </c>
      <c r="I1959" t="s">
        <v>1434</v>
      </c>
      <c r="J1959" s="2">
        <v>45385</v>
      </c>
      <c r="K1959" t="s">
        <v>2</v>
      </c>
      <c r="L1959" t="s">
        <v>1708</v>
      </c>
      <c r="M1959" t="s">
        <v>1709</v>
      </c>
      <c r="N1959" s="1">
        <f>Table1[[#This Row],[Consideration Weight]]</f>
        <v>0.1</v>
      </c>
      <c r="O1959" t="s">
        <v>4</v>
      </c>
      <c r="P1959" s="1">
        <v>0.1</v>
      </c>
      <c r="Q1959" s="1" t="s">
        <v>1636</v>
      </c>
      <c r="R1959" t="s">
        <v>23</v>
      </c>
      <c r="S1959" t="s">
        <v>1083</v>
      </c>
      <c r="T1959" t="s">
        <v>7</v>
      </c>
      <c r="U1959" s="1">
        <v>0.5</v>
      </c>
      <c r="V1959" t="s">
        <v>1211</v>
      </c>
    </row>
    <row r="1960" spans="1:22" x14ac:dyDescent="0.3">
      <c r="A1960" t="s">
        <v>1208</v>
      </c>
      <c r="B1960" t="str">
        <f ca="1">OFFSET(Industries!C$1,MATCH(Table1[[#This Row],[Ticker]],Industries!$A$2:$A$150,0),0)</f>
        <v>Financials</v>
      </c>
      <c r="C1960" t="str">
        <f ca="1">OFFSET(Industries!D$1,MATCH(Table1[[#This Row],[Ticker]],Industries!$A$2:$A$150,0),0)</f>
        <v>Financial Services</v>
      </c>
      <c r="D1960" t="str">
        <f ca="1">OFFSET(Industries!E$1,MATCH(Table1[[#This Row],[Ticker]],Industries!$A$2:$A$150,0),0)</f>
        <v>Financial Services</v>
      </c>
      <c r="E1960" t="s">
        <v>481</v>
      </c>
      <c r="F1960" t="str">
        <f ca="1">OFFSET(Industries!B$1,MATCH(Table1[[#This Row],[Ticker]],Industries!$A$2:$A$140,0),0)</f>
        <v>Ultra-Cap</v>
      </c>
      <c r="G1960" t="str">
        <f ca="1">OFFSET(Industries!F$1,MATCH(Table1[[#This Row],[Ticker]],Industries!$A$2:$A$140,0),0)</f>
        <v>BBB</v>
      </c>
      <c r="H1960" t="s">
        <v>1434</v>
      </c>
      <c r="I1960" t="s">
        <v>1434</v>
      </c>
      <c r="J1960" s="2">
        <v>45385</v>
      </c>
      <c r="K1960" t="s">
        <v>2</v>
      </c>
      <c r="L1960" t="s">
        <v>1708</v>
      </c>
      <c r="M1960" t="s">
        <v>1709</v>
      </c>
      <c r="N1960" s="1"/>
      <c r="O1960" t="s">
        <v>4</v>
      </c>
      <c r="P1960" s="1">
        <v>0.1</v>
      </c>
      <c r="Q1960" s="1" t="s">
        <v>1636</v>
      </c>
      <c r="R1960" t="s">
        <v>24</v>
      </c>
      <c r="S1960" t="s">
        <v>90</v>
      </c>
      <c r="T1960" t="s">
        <v>8</v>
      </c>
      <c r="U1960" s="1">
        <v>0.5</v>
      </c>
      <c r="V1960" t="s">
        <v>1209</v>
      </c>
    </row>
    <row r="1961" spans="1:22" x14ac:dyDescent="0.3">
      <c r="A1961" t="s">
        <v>1208</v>
      </c>
      <c r="B1961" t="str">
        <f ca="1">OFFSET(Industries!C$1,MATCH(Table1[[#This Row],[Ticker]],Industries!$A$2:$A$150,0),0)</f>
        <v>Financials</v>
      </c>
      <c r="C1961" t="str">
        <f ca="1">OFFSET(Industries!D$1,MATCH(Table1[[#This Row],[Ticker]],Industries!$A$2:$A$150,0),0)</f>
        <v>Financial Services</v>
      </c>
      <c r="D1961" t="str">
        <f ca="1">OFFSET(Industries!E$1,MATCH(Table1[[#This Row],[Ticker]],Industries!$A$2:$A$150,0),0)</f>
        <v>Financial Services</v>
      </c>
      <c r="E1961" t="s">
        <v>481</v>
      </c>
      <c r="F1961" t="str">
        <f ca="1">OFFSET(Industries!B$1,MATCH(Table1[[#This Row],[Ticker]],Industries!$A$2:$A$140,0),0)</f>
        <v>Ultra-Cap</v>
      </c>
      <c r="G1961" t="str">
        <f ca="1">OFFSET(Industries!F$1,MATCH(Table1[[#This Row],[Ticker]],Industries!$A$2:$A$140,0),0)</f>
        <v>BBB</v>
      </c>
      <c r="H1961" t="s">
        <v>1434</v>
      </c>
      <c r="I1961" t="s">
        <v>1434</v>
      </c>
      <c r="J1961" s="2">
        <v>45385</v>
      </c>
      <c r="K1961" t="s">
        <v>2</v>
      </c>
      <c r="L1961" t="s">
        <v>1708</v>
      </c>
      <c r="M1961" t="s">
        <v>1709</v>
      </c>
      <c r="N1961" s="1"/>
      <c r="O1961" t="s">
        <v>4</v>
      </c>
      <c r="P1961" s="1">
        <v>0.1</v>
      </c>
      <c r="R1961" t="s">
        <v>28</v>
      </c>
      <c r="S1961" t="s">
        <v>1110</v>
      </c>
      <c r="T1961" t="s">
        <v>172</v>
      </c>
      <c r="V1961" t="s">
        <v>367</v>
      </c>
    </row>
    <row r="1962" spans="1:22" x14ac:dyDescent="0.3">
      <c r="A1962" t="s">
        <v>1208</v>
      </c>
      <c r="B1962" t="str">
        <f ca="1">OFFSET(Industries!C$1,MATCH(Table1[[#This Row],[Ticker]],Industries!$A$2:$A$150,0),0)</f>
        <v>Financials</v>
      </c>
      <c r="C1962" t="str">
        <f ca="1">OFFSET(Industries!D$1,MATCH(Table1[[#This Row],[Ticker]],Industries!$A$2:$A$150,0),0)</f>
        <v>Financial Services</v>
      </c>
      <c r="D1962" t="str">
        <f ca="1">OFFSET(Industries!E$1,MATCH(Table1[[#This Row],[Ticker]],Industries!$A$2:$A$150,0),0)</f>
        <v>Financial Services</v>
      </c>
      <c r="E1962" t="s">
        <v>481</v>
      </c>
      <c r="F1962" t="str">
        <f ca="1">OFFSET(Industries!B$1,MATCH(Table1[[#This Row],[Ticker]],Industries!$A$2:$A$140,0),0)</f>
        <v>Ultra-Cap</v>
      </c>
      <c r="G1962" t="str">
        <f ca="1">OFFSET(Industries!F$1,MATCH(Table1[[#This Row],[Ticker]],Industries!$A$2:$A$140,0),0)</f>
        <v>BBB</v>
      </c>
      <c r="H1962" t="s">
        <v>1434</v>
      </c>
      <c r="I1962" t="s">
        <v>1434</v>
      </c>
      <c r="J1962" s="2">
        <v>45385</v>
      </c>
      <c r="K1962" t="s">
        <v>2</v>
      </c>
      <c r="L1962" t="s">
        <v>1710</v>
      </c>
      <c r="M1962" t="s">
        <v>1709</v>
      </c>
      <c r="N1962" s="1">
        <f>Table1[[#This Row],[Consideration Weight]]</f>
        <v>0.5</v>
      </c>
      <c r="O1962" t="s">
        <v>476</v>
      </c>
      <c r="P1962" s="1">
        <v>0.5</v>
      </c>
      <c r="Q1962" s="1" t="s">
        <v>1646</v>
      </c>
      <c r="R1962" t="s">
        <v>35</v>
      </c>
      <c r="S1962" t="s">
        <v>29</v>
      </c>
      <c r="T1962" t="s">
        <v>30</v>
      </c>
      <c r="U1962" s="1">
        <v>0.4</v>
      </c>
      <c r="V1962" t="s">
        <v>1212</v>
      </c>
    </row>
    <row r="1963" spans="1:22" x14ac:dyDescent="0.3">
      <c r="A1963" t="s">
        <v>1208</v>
      </c>
      <c r="B1963" t="str">
        <f ca="1">OFFSET(Industries!C$1,MATCH(Table1[[#This Row],[Ticker]],Industries!$A$2:$A$150,0),0)</f>
        <v>Financials</v>
      </c>
      <c r="C1963" t="str">
        <f ca="1">OFFSET(Industries!D$1,MATCH(Table1[[#This Row],[Ticker]],Industries!$A$2:$A$150,0),0)</f>
        <v>Financial Services</v>
      </c>
      <c r="D1963" t="str">
        <f ca="1">OFFSET(Industries!E$1,MATCH(Table1[[#This Row],[Ticker]],Industries!$A$2:$A$150,0),0)</f>
        <v>Financial Services</v>
      </c>
      <c r="E1963" t="s">
        <v>481</v>
      </c>
      <c r="F1963" t="str">
        <f ca="1">OFFSET(Industries!B$1,MATCH(Table1[[#This Row],[Ticker]],Industries!$A$2:$A$140,0),0)</f>
        <v>Ultra-Cap</v>
      </c>
      <c r="G1963" t="str">
        <f ca="1">OFFSET(Industries!F$1,MATCH(Table1[[#This Row],[Ticker]],Industries!$A$2:$A$140,0),0)</f>
        <v>BBB</v>
      </c>
      <c r="H1963" t="s">
        <v>1434</v>
      </c>
      <c r="I1963" t="s">
        <v>1434</v>
      </c>
      <c r="J1963" s="2">
        <v>45385</v>
      </c>
      <c r="K1963" t="s">
        <v>2</v>
      </c>
      <c r="L1963" t="s">
        <v>1710</v>
      </c>
      <c r="M1963" t="s">
        <v>1709</v>
      </c>
      <c r="N1963" s="1"/>
      <c r="O1963" t="s">
        <v>476</v>
      </c>
      <c r="P1963" s="1">
        <v>0.5</v>
      </c>
      <c r="Q1963" s="1" t="s">
        <v>1636</v>
      </c>
      <c r="R1963" t="s">
        <v>23</v>
      </c>
      <c r="S1963" t="s">
        <v>1083</v>
      </c>
      <c r="T1963" t="s">
        <v>226</v>
      </c>
      <c r="U1963" s="1">
        <v>0.4</v>
      </c>
      <c r="V1963" t="s">
        <v>1213</v>
      </c>
    </row>
    <row r="1964" spans="1:22" x14ac:dyDescent="0.3">
      <c r="A1964" t="s">
        <v>1208</v>
      </c>
      <c r="B1964" t="str">
        <f ca="1">OFFSET(Industries!C$1,MATCH(Table1[[#This Row],[Ticker]],Industries!$A$2:$A$150,0),0)</f>
        <v>Financials</v>
      </c>
      <c r="C1964" t="str">
        <f ca="1">OFFSET(Industries!D$1,MATCH(Table1[[#This Row],[Ticker]],Industries!$A$2:$A$150,0),0)</f>
        <v>Financial Services</v>
      </c>
      <c r="D1964" t="str">
        <f ca="1">OFFSET(Industries!E$1,MATCH(Table1[[#This Row],[Ticker]],Industries!$A$2:$A$150,0),0)</f>
        <v>Financial Services</v>
      </c>
      <c r="E1964" t="s">
        <v>481</v>
      </c>
      <c r="F1964" t="str">
        <f ca="1">OFFSET(Industries!B$1,MATCH(Table1[[#This Row],[Ticker]],Industries!$A$2:$A$140,0),0)</f>
        <v>Ultra-Cap</v>
      </c>
      <c r="G1964" t="str">
        <f ca="1">OFFSET(Industries!F$1,MATCH(Table1[[#This Row],[Ticker]],Industries!$A$2:$A$140,0),0)</f>
        <v>BBB</v>
      </c>
      <c r="H1964" t="s">
        <v>1434</v>
      </c>
      <c r="I1964" t="s">
        <v>1434</v>
      </c>
      <c r="J1964" s="2">
        <v>45385</v>
      </c>
      <c r="K1964" t="s">
        <v>2</v>
      </c>
      <c r="L1964" t="s">
        <v>1710</v>
      </c>
      <c r="M1964" t="s">
        <v>1709</v>
      </c>
      <c r="N1964" s="1"/>
      <c r="O1964" t="s">
        <v>476</v>
      </c>
      <c r="P1964" s="1">
        <v>0.5</v>
      </c>
      <c r="Q1964" s="1" t="s">
        <v>1636</v>
      </c>
      <c r="R1964" t="s">
        <v>24</v>
      </c>
      <c r="S1964" t="s">
        <v>1089</v>
      </c>
      <c r="T1964" t="s">
        <v>50</v>
      </c>
      <c r="U1964" s="1">
        <v>0.2</v>
      </c>
      <c r="V1964" t="s">
        <v>1772</v>
      </c>
    </row>
    <row r="1965" spans="1:22" x14ac:dyDescent="0.3">
      <c r="A1965" t="s">
        <v>1208</v>
      </c>
      <c r="B1965" t="str">
        <f ca="1">OFFSET(Industries!C$1,MATCH(Table1[[#This Row],[Ticker]],Industries!$A$2:$A$150,0),0)</f>
        <v>Financials</v>
      </c>
      <c r="C1965" t="str">
        <f ca="1">OFFSET(Industries!D$1,MATCH(Table1[[#This Row],[Ticker]],Industries!$A$2:$A$150,0),0)</f>
        <v>Financial Services</v>
      </c>
      <c r="D1965" t="str">
        <f ca="1">OFFSET(Industries!E$1,MATCH(Table1[[#This Row],[Ticker]],Industries!$A$2:$A$150,0),0)</f>
        <v>Financial Services</v>
      </c>
      <c r="E1965" t="s">
        <v>481</v>
      </c>
      <c r="F1965" t="str">
        <f ca="1">OFFSET(Industries!B$1,MATCH(Table1[[#This Row],[Ticker]],Industries!$A$2:$A$140,0),0)</f>
        <v>Ultra-Cap</v>
      </c>
      <c r="G1965" t="str">
        <f ca="1">OFFSET(Industries!F$1,MATCH(Table1[[#This Row],[Ticker]],Industries!$A$2:$A$140,0),0)</f>
        <v>BBB</v>
      </c>
      <c r="H1965" t="s">
        <v>1434</v>
      </c>
      <c r="I1965" t="s">
        <v>1434</v>
      </c>
      <c r="J1965" s="2">
        <v>45385</v>
      </c>
      <c r="K1965" t="s">
        <v>2</v>
      </c>
      <c r="L1965" t="s">
        <v>1710</v>
      </c>
      <c r="M1965" t="s">
        <v>1709</v>
      </c>
      <c r="N1965" s="1"/>
      <c r="O1965" t="s">
        <v>476</v>
      </c>
      <c r="P1965" s="1">
        <v>0.5</v>
      </c>
      <c r="R1965" t="s">
        <v>28</v>
      </c>
      <c r="S1965" t="s">
        <v>1095</v>
      </c>
      <c r="T1965" t="s">
        <v>55</v>
      </c>
    </row>
    <row r="1966" spans="1:22" x14ac:dyDescent="0.3">
      <c r="A1966" t="s">
        <v>1208</v>
      </c>
      <c r="B1966" t="str">
        <f ca="1">OFFSET(Industries!C$1,MATCH(Table1[[#This Row],[Ticker]],Industries!$A$2:$A$150,0),0)</f>
        <v>Financials</v>
      </c>
      <c r="C1966" t="str">
        <f ca="1">OFFSET(Industries!D$1,MATCH(Table1[[#This Row],[Ticker]],Industries!$A$2:$A$150,0),0)</f>
        <v>Financial Services</v>
      </c>
      <c r="D1966" t="str">
        <f ca="1">OFFSET(Industries!E$1,MATCH(Table1[[#This Row],[Ticker]],Industries!$A$2:$A$150,0),0)</f>
        <v>Financial Services</v>
      </c>
      <c r="E1966" t="s">
        <v>481</v>
      </c>
      <c r="F1966" t="str">
        <f ca="1">OFFSET(Industries!B$1,MATCH(Table1[[#This Row],[Ticker]],Industries!$A$2:$A$140,0),0)</f>
        <v>Ultra-Cap</v>
      </c>
      <c r="G1966" t="str">
        <f ca="1">OFFSET(Industries!F$1,MATCH(Table1[[#This Row],[Ticker]],Industries!$A$2:$A$140,0),0)</f>
        <v>BBB</v>
      </c>
      <c r="H1966" t="s">
        <v>1434</v>
      </c>
      <c r="I1966" t="s">
        <v>1434</v>
      </c>
      <c r="J1966" s="2">
        <v>45385</v>
      </c>
      <c r="K1966" t="s">
        <v>2</v>
      </c>
      <c r="L1966" t="s">
        <v>1710</v>
      </c>
      <c r="M1966" t="s">
        <v>1711</v>
      </c>
      <c r="N1966" s="1">
        <f>Table1[[#This Row],[Consideration Weight]]</f>
        <v>0.34</v>
      </c>
      <c r="O1966" t="s">
        <v>194</v>
      </c>
      <c r="P1966" s="1">
        <v>0.34</v>
      </c>
    </row>
    <row r="1967" spans="1:22" x14ac:dyDescent="0.3">
      <c r="A1967" t="s">
        <v>1208</v>
      </c>
      <c r="B1967" t="str">
        <f ca="1">OFFSET(Industries!C$1,MATCH(Table1[[#This Row],[Ticker]],Industries!$A$2:$A$150,0),0)</f>
        <v>Financials</v>
      </c>
      <c r="C1967" t="str">
        <f ca="1">OFFSET(Industries!D$1,MATCH(Table1[[#This Row],[Ticker]],Industries!$A$2:$A$150,0),0)</f>
        <v>Financial Services</v>
      </c>
      <c r="D1967" t="str">
        <f ca="1">OFFSET(Industries!E$1,MATCH(Table1[[#This Row],[Ticker]],Industries!$A$2:$A$150,0),0)</f>
        <v>Financial Services</v>
      </c>
      <c r="E1967" t="s">
        <v>481</v>
      </c>
      <c r="F1967" t="str">
        <f ca="1">OFFSET(Industries!B$1,MATCH(Table1[[#This Row],[Ticker]],Industries!$A$2:$A$140,0),0)</f>
        <v>Ultra-Cap</v>
      </c>
      <c r="G1967" t="str">
        <f ca="1">OFFSET(Industries!F$1,MATCH(Table1[[#This Row],[Ticker]],Industries!$A$2:$A$140,0),0)</f>
        <v>BBB</v>
      </c>
      <c r="H1967" t="s">
        <v>1434</v>
      </c>
      <c r="I1967" t="s">
        <v>1434</v>
      </c>
      <c r="J1967" s="2">
        <v>45385</v>
      </c>
      <c r="K1967" t="s">
        <v>21</v>
      </c>
      <c r="L1967" t="s">
        <v>3</v>
      </c>
      <c r="M1967" t="s">
        <v>1711</v>
      </c>
      <c r="N1967" s="1">
        <f>Table1[[#This Row],[Consideration Weight]]</f>
        <v>0.12</v>
      </c>
      <c r="O1967" t="s">
        <v>3</v>
      </c>
      <c r="P1967" s="1">
        <v>0.12</v>
      </c>
    </row>
    <row r="1968" spans="1:22" x14ac:dyDescent="0.3">
      <c r="A1968" t="s">
        <v>1208</v>
      </c>
      <c r="B1968" t="str">
        <f ca="1">OFFSET(Industries!C$1,MATCH(Table1[[#This Row],[Ticker]],Industries!$A$2:$A$150,0),0)</f>
        <v>Financials</v>
      </c>
      <c r="C1968" t="str">
        <f ca="1">OFFSET(Industries!D$1,MATCH(Table1[[#This Row],[Ticker]],Industries!$A$2:$A$150,0),0)</f>
        <v>Financial Services</v>
      </c>
      <c r="D1968" t="str">
        <f ca="1">OFFSET(Industries!E$1,MATCH(Table1[[#This Row],[Ticker]],Industries!$A$2:$A$150,0),0)</f>
        <v>Financial Services</v>
      </c>
      <c r="E1968" t="s">
        <v>481</v>
      </c>
      <c r="F1968" t="str">
        <f ca="1">OFFSET(Industries!B$1,MATCH(Table1[[#This Row],[Ticker]],Industries!$A$2:$A$140,0),0)</f>
        <v>Ultra-Cap</v>
      </c>
      <c r="G1968" t="str">
        <f ca="1">OFFSET(Industries!F$1,MATCH(Table1[[#This Row],[Ticker]],Industries!$A$2:$A$140,0),0)</f>
        <v>BBB</v>
      </c>
      <c r="H1968" t="s">
        <v>1434</v>
      </c>
      <c r="I1968" t="s">
        <v>1434</v>
      </c>
      <c r="J1968" s="2">
        <v>45385</v>
      </c>
      <c r="K1968" t="s">
        <v>21</v>
      </c>
      <c r="L1968" t="s">
        <v>1708</v>
      </c>
      <c r="M1968" t="s">
        <v>1709</v>
      </c>
      <c r="N1968" s="1">
        <f>Table1[[#This Row],[Consideration Weight]]</f>
        <v>0.12</v>
      </c>
      <c r="O1968" t="s">
        <v>4</v>
      </c>
      <c r="P1968" s="1">
        <v>0.12</v>
      </c>
      <c r="Q1968" s="1" t="s">
        <v>1636</v>
      </c>
      <c r="R1968" t="s">
        <v>23</v>
      </c>
      <c r="S1968" t="s">
        <v>1083</v>
      </c>
      <c r="T1968" t="s">
        <v>7</v>
      </c>
      <c r="U1968" s="1">
        <v>0.5</v>
      </c>
    </row>
    <row r="1969" spans="1:22" x14ac:dyDescent="0.3">
      <c r="A1969" t="s">
        <v>1208</v>
      </c>
      <c r="B1969" t="str">
        <f ca="1">OFFSET(Industries!C$1,MATCH(Table1[[#This Row],[Ticker]],Industries!$A$2:$A$150,0),0)</f>
        <v>Financials</v>
      </c>
      <c r="C1969" t="str">
        <f ca="1">OFFSET(Industries!D$1,MATCH(Table1[[#This Row],[Ticker]],Industries!$A$2:$A$150,0),0)</f>
        <v>Financial Services</v>
      </c>
      <c r="D1969" t="str">
        <f ca="1">OFFSET(Industries!E$1,MATCH(Table1[[#This Row],[Ticker]],Industries!$A$2:$A$150,0),0)</f>
        <v>Financial Services</v>
      </c>
      <c r="E1969" t="s">
        <v>481</v>
      </c>
      <c r="F1969" t="str">
        <f ca="1">OFFSET(Industries!B$1,MATCH(Table1[[#This Row],[Ticker]],Industries!$A$2:$A$140,0),0)</f>
        <v>Ultra-Cap</v>
      </c>
      <c r="G1969" t="str">
        <f ca="1">OFFSET(Industries!F$1,MATCH(Table1[[#This Row],[Ticker]],Industries!$A$2:$A$140,0),0)</f>
        <v>BBB</v>
      </c>
      <c r="H1969" t="s">
        <v>1434</v>
      </c>
      <c r="I1969" t="s">
        <v>1434</v>
      </c>
      <c r="J1969" s="2">
        <v>45385</v>
      </c>
      <c r="K1969" t="s">
        <v>21</v>
      </c>
      <c r="L1969" t="s">
        <v>1708</v>
      </c>
      <c r="M1969" t="s">
        <v>1709</v>
      </c>
      <c r="N1969" s="1"/>
      <c r="O1969" t="s">
        <v>4</v>
      </c>
      <c r="P1969" s="1">
        <v>0.12</v>
      </c>
      <c r="Q1969" s="1" t="s">
        <v>1636</v>
      </c>
      <c r="R1969" t="s">
        <v>24</v>
      </c>
      <c r="S1969" t="s">
        <v>90</v>
      </c>
      <c r="T1969" t="s">
        <v>8</v>
      </c>
      <c r="U1969" s="1">
        <v>0.5</v>
      </c>
    </row>
    <row r="1970" spans="1:22" x14ac:dyDescent="0.3">
      <c r="A1970" t="s">
        <v>1208</v>
      </c>
      <c r="B1970" t="str">
        <f ca="1">OFFSET(Industries!C$1,MATCH(Table1[[#This Row],[Ticker]],Industries!$A$2:$A$150,0),0)</f>
        <v>Financials</v>
      </c>
      <c r="C1970" t="str">
        <f ca="1">OFFSET(Industries!D$1,MATCH(Table1[[#This Row],[Ticker]],Industries!$A$2:$A$150,0),0)</f>
        <v>Financial Services</v>
      </c>
      <c r="D1970" t="str">
        <f ca="1">OFFSET(Industries!E$1,MATCH(Table1[[#This Row],[Ticker]],Industries!$A$2:$A$150,0),0)</f>
        <v>Financial Services</v>
      </c>
      <c r="E1970" t="s">
        <v>481</v>
      </c>
      <c r="F1970" t="str">
        <f ca="1">OFFSET(Industries!B$1,MATCH(Table1[[#This Row],[Ticker]],Industries!$A$2:$A$140,0),0)</f>
        <v>Ultra-Cap</v>
      </c>
      <c r="G1970" t="str">
        <f ca="1">OFFSET(Industries!F$1,MATCH(Table1[[#This Row],[Ticker]],Industries!$A$2:$A$140,0),0)</f>
        <v>BBB</v>
      </c>
      <c r="H1970" t="s">
        <v>1434</v>
      </c>
      <c r="I1970" t="s">
        <v>1434</v>
      </c>
      <c r="J1970" s="2">
        <v>45385</v>
      </c>
      <c r="K1970" t="s">
        <v>21</v>
      </c>
      <c r="L1970" t="s">
        <v>1708</v>
      </c>
      <c r="M1970" t="s">
        <v>1709</v>
      </c>
      <c r="N1970" s="1"/>
      <c r="O1970" t="s">
        <v>4</v>
      </c>
      <c r="P1970" s="1">
        <v>0.12</v>
      </c>
      <c r="R1970" t="s">
        <v>28</v>
      </c>
      <c r="S1970" t="s">
        <v>1110</v>
      </c>
      <c r="T1970" t="s">
        <v>172</v>
      </c>
    </row>
    <row r="1971" spans="1:22" x14ac:dyDescent="0.3">
      <c r="A1971" t="s">
        <v>1208</v>
      </c>
      <c r="B1971" t="str">
        <f ca="1">OFFSET(Industries!C$1,MATCH(Table1[[#This Row],[Ticker]],Industries!$A$2:$A$150,0),0)</f>
        <v>Financials</v>
      </c>
      <c r="C1971" t="str">
        <f ca="1">OFFSET(Industries!D$1,MATCH(Table1[[#This Row],[Ticker]],Industries!$A$2:$A$150,0),0)</f>
        <v>Financial Services</v>
      </c>
      <c r="D1971" t="str">
        <f ca="1">OFFSET(Industries!E$1,MATCH(Table1[[#This Row],[Ticker]],Industries!$A$2:$A$150,0),0)</f>
        <v>Financial Services</v>
      </c>
      <c r="E1971" t="s">
        <v>481</v>
      </c>
      <c r="F1971" t="str">
        <f ca="1">OFFSET(Industries!B$1,MATCH(Table1[[#This Row],[Ticker]],Industries!$A$2:$A$140,0),0)</f>
        <v>Ultra-Cap</v>
      </c>
      <c r="G1971" t="str">
        <f ca="1">OFFSET(Industries!F$1,MATCH(Table1[[#This Row],[Ticker]],Industries!$A$2:$A$140,0),0)</f>
        <v>BBB</v>
      </c>
      <c r="H1971" t="s">
        <v>1434</v>
      </c>
      <c r="I1971" t="s">
        <v>1434</v>
      </c>
      <c r="J1971" s="2">
        <v>45385</v>
      </c>
      <c r="K1971" t="s">
        <v>21</v>
      </c>
      <c r="L1971" t="s">
        <v>1710</v>
      </c>
      <c r="M1971" t="s">
        <v>1709</v>
      </c>
      <c r="N1971" s="1">
        <f>Table1[[#This Row],[Consideration Weight]]</f>
        <v>0.38</v>
      </c>
      <c r="O1971" t="s">
        <v>476</v>
      </c>
      <c r="P1971" s="1">
        <v>0.38</v>
      </c>
      <c r="Q1971" s="1" t="s">
        <v>1646</v>
      </c>
      <c r="R1971" t="s">
        <v>35</v>
      </c>
      <c r="S1971" t="s">
        <v>29</v>
      </c>
      <c r="T1971" t="s">
        <v>30</v>
      </c>
      <c r="U1971" s="1">
        <v>0.4</v>
      </c>
    </row>
    <row r="1972" spans="1:22" x14ac:dyDescent="0.3">
      <c r="A1972" t="s">
        <v>1208</v>
      </c>
      <c r="B1972" t="str">
        <f ca="1">OFFSET(Industries!C$1,MATCH(Table1[[#This Row],[Ticker]],Industries!$A$2:$A$150,0),0)</f>
        <v>Financials</v>
      </c>
      <c r="C1972" t="str">
        <f ca="1">OFFSET(Industries!D$1,MATCH(Table1[[#This Row],[Ticker]],Industries!$A$2:$A$150,0),0)</f>
        <v>Financial Services</v>
      </c>
      <c r="D1972" t="str">
        <f ca="1">OFFSET(Industries!E$1,MATCH(Table1[[#This Row],[Ticker]],Industries!$A$2:$A$150,0),0)</f>
        <v>Financial Services</v>
      </c>
      <c r="E1972" t="s">
        <v>481</v>
      </c>
      <c r="F1972" t="str">
        <f ca="1">OFFSET(Industries!B$1,MATCH(Table1[[#This Row],[Ticker]],Industries!$A$2:$A$140,0),0)</f>
        <v>Ultra-Cap</v>
      </c>
      <c r="G1972" t="str">
        <f ca="1">OFFSET(Industries!F$1,MATCH(Table1[[#This Row],[Ticker]],Industries!$A$2:$A$140,0),0)</f>
        <v>BBB</v>
      </c>
      <c r="H1972" t="s">
        <v>1434</v>
      </c>
      <c r="I1972" t="s">
        <v>1434</v>
      </c>
      <c r="J1972" s="2">
        <v>45385</v>
      </c>
      <c r="K1972" t="s">
        <v>21</v>
      </c>
      <c r="L1972" t="s">
        <v>1710</v>
      </c>
      <c r="M1972" t="s">
        <v>1709</v>
      </c>
      <c r="N1972" s="1"/>
      <c r="O1972" t="s">
        <v>476</v>
      </c>
      <c r="P1972" s="1">
        <v>0.38</v>
      </c>
      <c r="Q1972" s="1" t="s">
        <v>1636</v>
      </c>
      <c r="R1972" t="s">
        <v>23</v>
      </c>
      <c r="S1972" t="s">
        <v>1083</v>
      </c>
      <c r="T1972" t="s">
        <v>226</v>
      </c>
      <c r="U1972" s="1">
        <v>0.4</v>
      </c>
    </row>
    <row r="1973" spans="1:22" x14ac:dyDescent="0.3">
      <c r="A1973" t="s">
        <v>1208</v>
      </c>
      <c r="B1973" t="str">
        <f ca="1">OFFSET(Industries!C$1,MATCH(Table1[[#This Row],[Ticker]],Industries!$A$2:$A$150,0),0)</f>
        <v>Financials</v>
      </c>
      <c r="C1973" t="str">
        <f ca="1">OFFSET(Industries!D$1,MATCH(Table1[[#This Row],[Ticker]],Industries!$A$2:$A$150,0),0)</f>
        <v>Financial Services</v>
      </c>
      <c r="D1973" t="str">
        <f ca="1">OFFSET(Industries!E$1,MATCH(Table1[[#This Row],[Ticker]],Industries!$A$2:$A$150,0),0)</f>
        <v>Financial Services</v>
      </c>
      <c r="E1973" t="s">
        <v>481</v>
      </c>
      <c r="F1973" t="str">
        <f ca="1">OFFSET(Industries!B$1,MATCH(Table1[[#This Row],[Ticker]],Industries!$A$2:$A$140,0),0)</f>
        <v>Ultra-Cap</v>
      </c>
      <c r="G1973" t="str">
        <f ca="1">OFFSET(Industries!F$1,MATCH(Table1[[#This Row],[Ticker]],Industries!$A$2:$A$140,0),0)</f>
        <v>BBB</v>
      </c>
      <c r="H1973" t="s">
        <v>1434</v>
      </c>
      <c r="I1973" t="s">
        <v>1434</v>
      </c>
      <c r="J1973" s="2">
        <v>45385</v>
      </c>
      <c r="K1973" t="s">
        <v>21</v>
      </c>
      <c r="L1973" t="s">
        <v>1710</v>
      </c>
      <c r="M1973" t="s">
        <v>1709</v>
      </c>
      <c r="N1973" s="1"/>
      <c r="O1973" t="s">
        <v>476</v>
      </c>
      <c r="P1973" s="1">
        <v>0.38</v>
      </c>
      <c r="Q1973" s="1" t="s">
        <v>1636</v>
      </c>
      <c r="R1973" t="s">
        <v>24</v>
      </c>
      <c r="S1973" t="s">
        <v>1089</v>
      </c>
      <c r="T1973" t="s">
        <v>50</v>
      </c>
      <c r="U1973" s="1">
        <v>0.2</v>
      </c>
    </row>
    <row r="1974" spans="1:22" x14ac:dyDescent="0.3">
      <c r="A1974" t="s">
        <v>1208</v>
      </c>
      <c r="B1974" t="str">
        <f ca="1">OFFSET(Industries!C$1,MATCH(Table1[[#This Row],[Ticker]],Industries!$A$2:$A$150,0),0)</f>
        <v>Financials</v>
      </c>
      <c r="C1974" t="str">
        <f ca="1">OFFSET(Industries!D$1,MATCH(Table1[[#This Row],[Ticker]],Industries!$A$2:$A$150,0),0)</f>
        <v>Financial Services</v>
      </c>
      <c r="D1974" t="str">
        <f ca="1">OFFSET(Industries!E$1,MATCH(Table1[[#This Row],[Ticker]],Industries!$A$2:$A$150,0),0)</f>
        <v>Financial Services</v>
      </c>
      <c r="E1974" t="s">
        <v>481</v>
      </c>
      <c r="F1974" t="str">
        <f ca="1">OFFSET(Industries!B$1,MATCH(Table1[[#This Row],[Ticker]],Industries!$A$2:$A$140,0),0)</f>
        <v>Ultra-Cap</v>
      </c>
      <c r="G1974" t="str">
        <f ca="1">OFFSET(Industries!F$1,MATCH(Table1[[#This Row],[Ticker]],Industries!$A$2:$A$140,0),0)</f>
        <v>BBB</v>
      </c>
      <c r="H1974" t="s">
        <v>1434</v>
      </c>
      <c r="I1974" t="s">
        <v>1434</v>
      </c>
      <c r="J1974" s="2">
        <v>45385</v>
      </c>
      <c r="K1974" t="s">
        <v>21</v>
      </c>
      <c r="L1974" t="s">
        <v>1710</v>
      </c>
      <c r="M1974" t="s">
        <v>1709</v>
      </c>
      <c r="N1974" s="1"/>
      <c r="O1974" t="s">
        <v>476</v>
      </c>
      <c r="P1974" s="1">
        <v>0.38</v>
      </c>
      <c r="R1974" t="s">
        <v>28</v>
      </c>
      <c r="S1974" t="s">
        <v>1095</v>
      </c>
      <c r="T1974" t="s">
        <v>55</v>
      </c>
    </row>
    <row r="1975" spans="1:22" x14ac:dyDescent="0.3">
      <c r="A1975" t="s">
        <v>1208</v>
      </c>
      <c r="B1975" t="str">
        <f ca="1">OFFSET(Industries!C$1,MATCH(Table1[[#This Row],[Ticker]],Industries!$A$2:$A$150,0),0)</f>
        <v>Financials</v>
      </c>
      <c r="C1975" t="str">
        <f ca="1">OFFSET(Industries!D$1,MATCH(Table1[[#This Row],[Ticker]],Industries!$A$2:$A$150,0),0)</f>
        <v>Financial Services</v>
      </c>
      <c r="D1975" t="str">
        <f ca="1">OFFSET(Industries!E$1,MATCH(Table1[[#This Row],[Ticker]],Industries!$A$2:$A$150,0),0)</f>
        <v>Financial Services</v>
      </c>
      <c r="E1975" t="s">
        <v>481</v>
      </c>
      <c r="F1975" t="str">
        <f ca="1">OFFSET(Industries!B$1,MATCH(Table1[[#This Row],[Ticker]],Industries!$A$2:$A$140,0),0)</f>
        <v>Ultra-Cap</v>
      </c>
      <c r="G1975" t="str">
        <f ca="1">OFFSET(Industries!F$1,MATCH(Table1[[#This Row],[Ticker]],Industries!$A$2:$A$140,0),0)</f>
        <v>BBB</v>
      </c>
      <c r="H1975" t="s">
        <v>1434</v>
      </c>
      <c r="I1975" t="s">
        <v>1434</v>
      </c>
      <c r="J1975" s="2">
        <v>45385</v>
      </c>
      <c r="K1975" t="s">
        <v>21</v>
      </c>
      <c r="L1975" t="s">
        <v>1710</v>
      </c>
      <c r="M1975" t="s">
        <v>1711</v>
      </c>
      <c r="N1975" s="1">
        <f>Table1[[#This Row],[Consideration Weight]]</f>
        <v>0.38</v>
      </c>
      <c r="O1975" t="s">
        <v>194</v>
      </c>
      <c r="P1975" s="1">
        <v>0.38</v>
      </c>
    </row>
    <row r="1976" spans="1:22" x14ac:dyDescent="0.3">
      <c r="A1976" t="s">
        <v>1214</v>
      </c>
      <c r="B1976" t="str">
        <f ca="1">OFFSET(Industries!C$1,MATCH(Table1[[#This Row],[Ticker]],Industries!$A$2:$A$150,0),0)</f>
        <v>Financials</v>
      </c>
      <c r="C1976" t="str">
        <f ca="1">OFFSET(Industries!D$1,MATCH(Table1[[#This Row],[Ticker]],Industries!$A$2:$A$150,0),0)</f>
        <v>Insurance</v>
      </c>
      <c r="D1976" t="str">
        <f ca="1">OFFSET(Industries!E$1,MATCH(Table1[[#This Row],[Ticker]],Industries!$A$2:$A$150,0),0)</f>
        <v>Insurance</v>
      </c>
      <c r="E1976" t="s">
        <v>496</v>
      </c>
      <c r="F1976" t="str">
        <f ca="1">OFFSET(Industries!B$1,MATCH(Table1[[#This Row],[Ticker]],Industries!$A$2:$A$140,0),0)</f>
        <v>Mega-Cap</v>
      </c>
      <c r="G1976" t="str">
        <f ca="1">OFFSET(Industries!F$1,MATCH(Table1[[#This Row],[Ticker]],Industries!$A$2:$A$140,0),0)</f>
        <v>A</v>
      </c>
      <c r="H1976" t="s">
        <v>1434</v>
      </c>
      <c r="I1976" t="s">
        <v>1434</v>
      </c>
      <c r="J1976" s="2">
        <v>45376</v>
      </c>
      <c r="K1976" t="s">
        <v>2</v>
      </c>
      <c r="L1976" t="s">
        <v>3</v>
      </c>
      <c r="M1976" t="s">
        <v>1711</v>
      </c>
      <c r="N1976" s="1">
        <f>Table1[[#This Row],[Consideration Weight]]</f>
        <v>7.0000000000000007E-2</v>
      </c>
      <c r="O1976" t="s">
        <v>3</v>
      </c>
      <c r="P1976" s="1">
        <v>7.0000000000000007E-2</v>
      </c>
      <c r="V1976" t="s">
        <v>1655</v>
      </c>
    </row>
    <row r="1977" spans="1:22" x14ac:dyDescent="0.3">
      <c r="A1977" t="s">
        <v>1214</v>
      </c>
      <c r="B1977" t="str">
        <f ca="1">OFFSET(Industries!C$1,MATCH(Table1[[#This Row],[Ticker]],Industries!$A$2:$A$150,0),0)</f>
        <v>Financials</v>
      </c>
      <c r="C1977" t="str">
        <f ca="1">OFFSET(Industries!D$1,MATCH(Table1[[#This Row],[Ticker]],Industries!$A$2:$A$150,0),0)</f>
        <v>Insurance</v>
      </c>
      <c r="D1977" t="str">
        <f ca="1">OFFSET(Industries!E$1,MATCH(Table1[[#This Row],[Ticker]],Industries!$A$2:$A$150,0),0)</f>
        <v>Insurance</v>
      </c>
      <c r="E1977" t="s">
        <v>496</v>
      </c>
      <c r="F1977" t="str">
        <f ca="1">OFFSET(Industries!B$1,MATCH(Table1[[#This Row],[Ticker]],Industries!$A$2:$A$140,0),0)</f>
        <v>Mega-Cap</v>
      </c>
      <c r="G1977" t="str">
        <f ca="1">OFFSET(Industries!F$1,MATCH(Table1[[#This Row],[Ticker]],Industries!$A$2:$A$140,0),0)</f>
        <v>A</v>
      </c>
      <c r="H1977" t="s">
        <v>1434</v>
      </c>
      <c r="I1977" t="s">
        <v>1434</v>
      </c>
      <c r="J1977" s="2">
        <v>45376</v>
      </c>
      <c r="K1977" t="s">
        <v>2</v>
      </c>
      <c r="L1977" t="s">
        <v>1708</v>
      </c>
      <c r="M1977" t="s">
        <v>1709</v>
      </c>
      <c r="N1977" s="1">
        <f>Table1[[#This Row],[Consideration Weight]]</f>
        <v>0.19</v>
      </c>
      <c r="O1977" t="s">
        <v>4</v>
      </c>
      <c r="P1977" s="1">
        <v>0.19</v>
      </c>
      <c r="Q1977" s="1" t="s">
        <v>1636</v>
      </c>
      <c r="R1977" t="s">
        <v>23</v>
      </c>
      <c r="S1977" t="s">
        <v>1090</v>
      </c>
      <c r="T1977" t="s">
        <v>1215</v>
      </c>
      <c r="U1977" s="1">
        <v>0.5</v>
      </c>
    </row>
    <row r="1978" spans="1:22" x14ac:dyDescent="0.3">
      <c r="A1978" t="s">
        <v>1214</v>
      </c>
      <c r="B1978" t="str">
        <f ca="1">OFFSET(Industries!C$1,MATCH(Table1[[#This Row],[Ticker]],Industries!$A$2:$A$150,0),0)</f>
        <v>Financials</v>
      </c>
      <c r="C1978" t="str">
        <f ca="1">OFFSET(Industries!D$1,MATCH(Table1[[#This Row],[Ticker]],Industries!$A$2:$A$150,0),0)</f>
        <v>Insurance</v>
      </c>
      <c r="D1978" t="str">
        <f ca="1">OFFSET(Industries!E$1,MATCH(Table1[[#This Row],[Ticker]],Industries!$A$2:$A$150,0),0)</f>
        <v>Insurance</v>
      </c>
      <c r="E1978" t="s">
        <v>496</v>
      </c>
      <c r="F1978" t="str">
        <f ca="1">OFFSET(Industries!B$1,MATCH(Table1[[#This Row],[Ticker]],Industries!$A$2:$A$140,0),0)</f>
        <v>Mega-Cap</v>
      </c>
      <c r="G1978" t="str">
        <f ca="1">OFFSET(Industries!F$1,MATCH(Table1[[#This Row],[Ticker]],Industries!$A$2:$A$140,0),0)</f>
        <v>A</v>
      </c>
      <c r="H1978" t="s">
        <v>1434</v>
      </c>
      <c r="I1978" t="s">
        <v>1434</v>
      </c>
      <c r="J1978" s="2">
        <v>45376</v>
      </c>
      <c r="K1978" t="s">
        <v>2</v>
      </c>
      <c r="L1978" t="s">
        <v>1708</v>
      </c>
      <c r="M1978" t="s">
        <v>1709</v>
      </c>
      <c r="N1978" s="1"/>
      <c r="O1978" t="s">
        <v>4</v>
      </c>
      <c r="P1978" s="1">
        <v>0.19</v>
      </c>
      <c r="Q1978" s="1" t="s">
        <v>1636</v>
      </c>
      <c r="R1978" t="s">
        <v>24</v>
      </c>
      <c r="S1978" t="s">
        <v>1086</v>
      </c>
      <c r="T1978" t="s">
        <v>1216</v>
      </c>
      <c r="U1978" s="1">
        <v>0.5</v>
      </c>
      <c r="V1978" t="s">
        <v>1217</v>
      </c>
    </row>
    <row r="1979" spans="1:22" x14ac:dyDescent="0.3">
      <c r="A1979" t="s">
        <v>1214</v>
      </c>
      <c r="B1979" t="str">
        <f ca="1">OFFSET(Industries!C$1,MATCH(Table1[[#This Row],[Ticker]],Industries!$A$2:$A$150,0),0)</f>
        <v>Financials</v>
      </c>
      <c r="C1979" t="str">
        <f ca="1">OFFSET(Industries!D$1,MATCH(Table1[[#This Row],[Ticker]],Industries!$A$2:$A$150,0),0)</f>
        <v>Insurance</v>
      </c>
      <c r="D1979" t="str">
        <f ca="1">OFFSET(Industries!E$1,MATCH(Table1[[#This Row],[Ticker]],Industries!$A$2:$A$150,0),0)</f>
        <v>Insurance</v>
      </c>
      <c r="E1979" t="s">
        <v>496</v>
      </c>
      <c r="F1979" t="str">
        <f ca="1">OFFSET(Industries!B$1,MATCH(Table1[[#This Row],[Ticker]],Industries!$A$2:$A$140,0),0)</f>
        <v>Mega-Cap</v>
      </c>
      <c r="G1979" t="str">
        <f ca="1">OFFSET(Industries!F$1,MATCH(Table1[[#This Row],[Ticker]],Industries!$A$2:$A$140,0),0)</f>
        <v>A</v>
      </c>
      <c r="H1979" t="s">
        <v>1434</v>
      </c>
      <c r="I1979" t="s">
        <v>1434</v>
      </c>
      <c r="J1979" s="2">
        <v>45376</v>
      </c>
      <c r="K1979" t="s">
        <v>2</v>
      </c>
      <c r="L1979" t="s">
        <v>1708</v>
      </c>
      <c r="M1979" t="s">
        <v>1709</v>
      </c>
      <c r="N1979" s="1"/>
      <c r="O1979" t="s">
        <v>4</v>
      </c>
      <c r="P1979" s="1">
        <v>0.19</v>
      </c>
      <c r="R1979" t="s">
        <v>28</v>
      </c>
      <c r="S1979" t="s">
        <v>1110</v>
      </c>
      <c r="T1979" t="s">
        <v>172</v>
      </c>
      <c r="V1979" t="s">
        <v>1696</v>
      </c>
    </row>
    <row r="1980" spans="1:22" x14ac:dyDescent="0.3">
      <c r="A1980" t="s">
        <v>1214</v>
      </c>
      <c r="B1980" t="str">
        <f ca="1">OFFSET(Industries!C$1,MATCH(Table1[[#This Row],[Ticker]],Industries!$A$2:$A$150,0),0)</f>
        <v>Financials</v>
      </c>
      <c r="C1980" t="str">
        <f ca="1">OFFSET(Industries!D$1,MATCH(Table1[[#This Row],[Ticker]],Industries!$A$2:$A$150,0),0)</f>
        <v>Insurance</v>
      </c>
      <c r="D1980" t="str">
        <f ca="1">OFFSET(Industries!E$1,MATCH(Table1[[#This Row],[Ticker]],Industries!$A$2:$A$150,0),0)</f>
        <v>Insurance</v>
      </c>
      <c r="E1980" t="s">
        <v>496</v>
      </c>
      <c r="F1980" t="str">
        <f ca="1">OFFSET(Industries!B$1,MATCH(Table1[[#This Row],[Ticker]],Industries!$A$2:$A$140,0),0)</f>
        <v>Mega-Cap</v>
      </c>
      <c r="G1980" t="str">
        <f ca="1">OFFSET(Industries!F$1,MATCH(Table1[[#This Row],[Ticker]],Industries!$A$2:$A$140,0),0)</f>
        <v>A</v>
      </c>
      <c r="H1980" t="s">
        <v>1434</v>
      </c>
      <c r="I1980" t="s">
        <v>1434</v>
      </c>
      <c r="J1980" s="2">
        <v>45376</v>
      </c>
      <c r="K1980" t="s">
        <v>2</v>
      </c>
      <c r="L1980" t="s">
        <v>1710</v>
      </c>
      <c r="M1980" t="s">
        <v>1709</v>
      </c>
      <c r="N1980" s="1">
        <f>Table1[[#This Row],[Consideration Weight]]</f>
        <v>0.67</v>
      </c>
      <c r="O1980" t="s">
        <v>476</v>
      </c>
      <c r="P1980" s="1">
        <v>0.67</v>
      </c>
      <c r="Q1980" s="1" t="s">
        <v>1636</v>
      </c>
      <c r="R1980" t="s">
        <v>23</v>
      </c>
      <c r="S1980" t="s">
        <v>1086</v>
      </c>
      <c r="T1980" t="s">
        <v>1219</v>
      </c>
      <c r="U1980" s="1">
        <v>0.89</v>
      </c>
      <c r="V1980" t="s">
        <v>1218</v>
      </c>
    </row>
    <row r="1981" spans="1:22" x14ac:dyDescent="0.3">
      <c r="A1981" t="s">
        <v>1214</v>
      </c>
      <c r="B1981" t="str">
        <f ca="1">OFFSET(Industries!C$1,MATCH(Table1[[#This Row],[Ticker]],Industries!$A$2:$A$150,0),0)</f>
        <v>Financials</v>
      </c>
      <c r="C1981" t="str">
        <f ca="1">OFFSET(Industries!D$1,MATCH(Table1[[#This Row],[Ticker]],Industries!$A$2:$A$150,0),0)</f>
        <v>Insurance</v>
      </c>
      <c r="D1981" t="str">
        <f ca="1">OFFSET(Industries!E$1,MATCH(Table1[[#This Row],[Ticker]],Industries!$A$2:$A$150,0),0)</f>
        <v>Insurance</v>
      </c>
      <c r="E1981" t="s">
        <v>496</v>
      </c>
      <c r="F1981" t="str">
        <f ca="1">OFFSET(Industries!B$1,MATCH(Table1[[#This Row],[Ticker]],Industries!$A$2:$A$140,0),0)</f>
        <v>Mega-Cap</v>
      </c>
      <c r="G1981" t="str">
        <f ca="1">OFFSET(Industries!F$1,MATCH(Table1[[#This Row],[Ticker]],Industries!$A$2:$A$140,0),0)</f>
        <v>A</v>
      </c>
      <c r="H1981" t="s">
        <v>1434</v>
      </c>
      <c r="I1981" t="s">
        <v>1434</v>
      </c>
      <c r="J1981" s="2">
        <v>45376</v>
      </c>
      <c r="K1981" t="s">
        <v>2</v>
      </c>
      <c r="L1981" t="s">
        <v>1710</v>
      </c>
      <c r="M1981" t="s">
        <v>1709</v>
      </c>
      <c r="N1981" s="1"/>
      <c r="O1981" t="s">
        <v>476</v>
      </c>
      <c r="P1981" s="1">
        <v>0.67</v>
      </c>
      <c r="Q1981" s="1" t="s">
        <v>1636</v>
      </c>
      <c r="R1981" t="s">
        <v>25</v>
      </c>
      <c r="S1981" t="s">
        <v>1086</v>
      </c>
      <c r="T1981" t="s">
        <v>1220</v>
      </c>
      <c r="U1981" s="1">
        <v>0.11</v>
      </c>
      <c r="V1981" t="s">
        <v>1756</v>
      </c>
    </row>
    <row r="1982" spans="1:22" x14ac:dyDescent="0.3">
      <c r="A1982" t="s">
        <v>1214</v>
      </c>
      <c r="B1982" t="str">
        <f ca="1">OFFSET(Industries!C$1,MATCH(Table1[[#This Row],[Ticker]],Industries!$A$2:$A$150,0),0)</f>
        <v>Financials</v>
      </c>
      <c r="C1982" t="str">
        <f ca="1">OFFSET(Industries!D$1,MATCH(Table1[[#This Row],[Ticker]],Industries!$A$2:$A$150,0),0)</f>
        <v>Insurance</v>
      </c>
      <c r="D1982" t="str">
        <f ca="1">OFFSET(Industries!E$1,MATCH(Table1[[#This Row],[Ticker]],Industries!$A$2:$A$150,0),0)</f>
        <v>Insurance</v>
      </c>
      <c r="E1982" t="s">
        <v>496</v>
      </c>
      <c r="F1982" t="str">
        <f ca="1">OFFSET(Industries!B$1,MATCH(Table1[[#This Row],[Ticker]],Industries!$A$2:$A$140,0),0)</f>
        <v>Mega-Cap</v>
      </c>
      <c r="G1982" t="str">
        <f ca="1">OFFSET(Industries!F$1,MATCH(Table1[[#This Row],[Ticker]],Industries!$A$2:$A$140,0),0)</f>
        <v>A</v>
      </c>
      <c r="H1982" t="s">
        <v>1434</v>
      </c>
      <c r="I1982" t="s">
        <v>1434</v>
      </c>
      <c r="J1982" s="2">
        <v>45376</v>
      </c>
      <c r="K1982" t="s">
        <v>2</v>
      </c>
      <c r="L1982" t="s">
        <v>1710</v>
      </c>
      <c r="M1982" t="s">
        <v>1709</v>
      </c>
      <c r="N1982" s="1"/>
      <c r="O1982" t="s">
        <v>476</v>
      </c>
      <c r="P1982" s="1">
        <v>0.67</v>
      </c>
      <c r="R1982" t="s">
        <v>28</v>
      </c>
      <c r="S1982" t="s">
        <v>1152</v>
      </c>
      <c r="T1982" t="s">
        <v>1216</v>
      </c>
      <c r="V1982" t="s">
        <v>1217</v>
      </c>
    </row>
    <row r="1983" spans="1:22" x14ac:dyDescent="0.3">
      <c r="A1983" t="s">
        <v>1214</v>
      </c>
      <c r="B1983" t="str">
        <f ca="1">OFFSET(Industries!C$1,MATCH(Table1[[#This Row],[Ticker]],Industries!$A$2:$A$150,0),0)</f>
        <v>Financials</v>
      </c>
      <c r="C1983" t="str">
        <f ca="1">OFFSET(Industries!D$1,MATCH(Table1[[#This Row],[Ticker]],Industries!$A$2:$A$150,0),0)</f>
        <v>Insurance</v>
      </c>
      <c r="D1983" t="str">
        <f ca="1">OFFSET(Industries!E$1,MATCH(Table1[[#This Row],[Ticker]],Industries!$A$2:$A$150,0),0)</f>
        <v>Insurance</v>
      </c>
      <c r="E1983" t="s">
        <v>496</v>
      </c>
      <c r="F1983" t="str">
        <f ca="1">OFFSET(Industries!B$1,MATCH(Table1[[#This Row],[Ticker]],Industries!$A$2:$A$140,0),0)</f>
        <v>Mega-Cap</v>
      </c>
      <c r="G1983" t="str">
        <f ca="1">OFFSET(Industries!F$1,MATCH(Table1[[#This Row],[Ticker]],Industries!$A$2:$A$140,0),0)</f>
        <v>A</v>
      </c>
      <c r="H1983" t="s">
        <v>1434</v>
      </c>
      <c r="I1983" t="s">
        <v>1434</v>
      </c>
      <c r="J1983" s="2">
        <v>45376</v>
      </c>
      <c r="K1983" t="s">
        <v>2</v>
      </c>
      <c r="L1983" t="s">
        <v>1710</v>
      </c>
      <c r="M1983" t="s">
        <v>1709</v>
      </c>
      <c r="N1983" s="1"/>
      <c r="O1983" t="s">
        <v>476</v>
      </c>
      <c r="P1983" s="1">
        <v>0.67</v>
      </c>
      <c r="R1983" t="s">
        <v>28</v>
      </c>
      <c r="S1983" t="s">
        <v>1110</v>
      </c>
      <c r="T1983" t="s">
        <v>172</v>
      </c>
    </row>
    <row r="1984" spans="1:22" x14ac:dyDescent="0.3">
      <c r="A1984" t="s">
        <v>1214</v>
      </c>
      <c r="B1984" t="str">
        <f ca="1">OFFSET(Industries!C$1,MATCH(Table1[[#This Row],[Ticker]],Industries!$A$2:$A$150,0),0)</f>
        <v>Financials</v>
      </c>
      <c r="C1984" t="str">
        <f ca="1">OFFSET(Industries!D$1,MATCH(Table1[[#This Row],[Ticker]],Industries!$A$2:$A$150,0),0)</f>
        <v>Insurance</v>
      </c>
      <c r="D1984" t="str">
        <f ca="1">OFFSET(Industries!E$1,MATCH(Table1[[#This Row],[Ticker]],Industries!$A$2:$A$150,0),0)</f>
        <v>Insurance</v>
      </c>
      <c r="E1984" t="s">
        <v>496</v>
      </c>
      <c r="F1984" t="str">
        <f ca="1">OFFSET(Industries!B$1,MATCH(Table1[[#This Row],[Ticker]],Industries!$A$2:$A$140,0),0)</f>
        <v>Mega-Cap</v>
      </c>
      <c r="G1984" t="str">
        <f ca="1">OFFSET(Industries!F$1,MATCH(Table1[[#This Row],[Ticker]],Industries!$A$2:$A$140,0),0)</f>
        <v>A</v>
      </c>
      <c r="H1984" t="s">
        <v>1434</v>
      </c>
      <c r="I1984" t="s">
        <v>1434</v>
      </c>
      <c r="J1984" s="2">
        <v>45376</v>
      </c>
      <c r="K1984" t="s">
        <v>2</v>
      </c>
      <c r="L1984" t="s">
        <v>1710</v>
      </c>
      <c r="M1984" t="s">
        <v>1711</v>
      </c>
      <c r="N1984" s="1">
        <f>Table1[[#This Row],[Consideration Weight]]</f>
        <v>7.0000000000000007E-2</v>
      </c>
      <c r="O1984" t="s">
        <v>194</v>
      </c>
      <c r="P1984" s="1">
        <v>7.0000000000000007E-2</v>
      </c>
    </row>
    <row r="1985" spans="1:22" x14ac:dyDescent="0.3">
      <c r="A1985" t="s">
        <v>1214</v>
      </c>
      <c r="B1985" t="str">
        <f ca="1">OFFSET(Industries!C$1,MATCH(Table1[[#This Row],[Ticker]],Industries!$A$2:$A$150,0),0)</f>
        <v>Financials</v>
      </c>
      <c r="C1985" t="str">
        <f ca="1">OFFSET(Industries!D$1,MATCH(Table1[[#This Row],[Ticker]],Industries!$A$2:$A$150,0),0)</f>
        <v>Insurance</v>
      </c>
      <c r="D1985" t="str">
        <f ca="1">OFFSET(Industries!E$1,MATCH(Table1[[#This Row],[Ticker]],Industries!$A$2:$A$150,0),0)</f>
        <v>Insurance</v>
      </c>
      <c r="E1985" t="s">
        <v>496</v>
      </c>
      <c r="F1985" t="str">
        <f ca="1">OFFSET(Industries!B$1,MATCH(Table1[[#This Row],[Ticker]],Industries!$A$2:$A$140,0),0)</f>
        <v>Mega-Cap</v>
      </c>
      <c r="G1985" t="str">
        <f ca="1">OFFSET(Industries!F$1,MATCH(Table1[[#This Row],[Ticker]],Industries!$A$2:$A$140,0),0)</f>
        <v>A</v>
      </c>
      <c r="H1985" t="s">
        <v>1434</v>
      </c>
      <c r="I1985" t="s">
        <v>1434</v>
      </c>
      <c r="J1985" s="2">
        <v>45376</v>
      </c>
      <c r="K1985" t="s">
        <v>21</v>
      </c>
      <c r="L1985" t="s">
        <v>3</v>
      </c>
      <c r="M1985" t="s">
        <v>1711</v>
      </c>
      <c r="N1985" s="1">
        <f>Table1[[#This Row],[Consideration Weight]]</f>
        <v>0.19</v>
      </c>
      <c r="O1985" t="s">
        <v>3</v>
      </c>
      <c r="P1985" s="1">
        <v>0.19</v>
      </c>
    </row>
    <row r="1986" spans="1:22" x14ac:dyDescent="0.3">
      <c r="A1986" t="s">
        <v>1214</v>
      </c>
      <c r="B1986" t="str">
        <f ca="1">OFFSET(Industries!C$1,MATCH(Table1[[#This Row],[Ticker]],Industries!$A$2:$A$150,0),0)</f>
        <v>Financials</v>
      </c>
      <c r="C1986" t="str">
        <f ca="1">OFFSET(Industries!D$1,MATCH(Table1[[#This Row],[Ticker]],Industries!$A$2:$A$150,0),0)</f>
        <v>Insurance</v>
      </c>
      <c r="D1986" t="str">
        <f ca="1">OFFSET(Industries!E$1,MATCH(Table1[[#This Row],[Ticker]],Industries!$A$2:$A$150,0),0)</f>
        <v>Insurance</v>
      </c>
      <c r="E1986" t="s">
        <v>496</v>
      </c>
      <c r="F1986" t="str">
        <f ca="1">OFFSET(Industries!B$1,MATCH(Table1[[#This Row],[Ticker]],Industries!$A$2:$A$140,0),0)</f>
        <v>Mega-Cap</v>
      </c>
      <c r="G1986" t="str">
        <f ca="1">OFFSET(Industries!F$1,MATCH(Table1[[#This Row],[Ticker]],Industries!$A$2:$A$140,0),0)</f>
        <v>A</v>
      </c>
      <c r="H1986" t="s">
        <v>1434</v>
      </c>
      <c r="I1986" t="s">
        <v>1434</v>
      </c>
      <c r="J1986" s="2">
        <v>45376</v>
      </c>
      <c r="K1986" t="s">
        <v>21</v>
      </c>
      <c r="L1986" t="s">
        <v>1710</v>
      </c>
      <c r="M1986" t="s">
        <v>1709</v>
      </c>
      <c r="N1986" s="1">
        <f>Table1[[#This Row],[Consideration Weight]]</f>
        <v>0.23</v>
      </c>
      <c r="O1986" t="s">
        <v>4</v>
      </c>
      <c r="P1986" s="1">
        <v>0.23</v>
      </c>
      <c r="Q1986" s="1" t="s">
        <v>1636</v>
      </c>
      <c r="R1986" t="s">
        <v>23</v>
      </c>
      <c r="S1986" t="s">
        <v>1090</v>
      </c>
      <c r="T1986" t="s">
        <v>1215</v>
      </c>
      <c r="U1986" s="1">
        <v>0.5</v>
      </c>
    </row>
    <row r="1987" spans="1:22" x14ac:dyDescent="0.3">
      <c r="A1987" t="s">
        <v>1214</v>
      </c>
      <c r="B1987" t="str">
        <f ca="1">OFFSET(Industries!C$1,MATCH(Table1[[#This Row],[Ticker]],Industries!$A$2:$A$150,0),0)</f>
        <v>Financials</v>
      </c>
      <c r="C1987" t="str">
        <f ca="1">OFFSET(Industries!D$1,MATCH(Table1[[#This Row],[Ticker]],Industries!$A$2:$A$150,0),0)</f>
        <v>Insurance</v>
      </c>
      <c r="D1987" t="str">
        <f ca="1">OFFSET(Industries!E$1,MATCH(Table1[[#This Row],[Ticker]],Industries!$A$2:$A$150,0),0)</f>
        <v>Insurance</v>
      </c>
      <c r="E1987" t="s">
        <v>496</v>
      </c>
      <c r="F1987" t="str">
        <f ca="1">OFFSET(Industries!B$1,MATCH(Table1[[#This Row],[Ticker]],Industries!$A$2:$A$140,0),0)</f>
        <v>Mega-Cap</v>
      </c>
      <c r="G1987" t="str">
        <f ca="1">OFFSET(Industries!F$1,MATCH(Table1[[#This Row],[Ticker]],Industries!$A$2:$A$140,0),0)</f>
        <v>A</v>
      </c>
      <c r="H1987" t="s">
        <v>1434</v>
      </c>
      <c r="I1987" t="s">
        <v>1434</v>
      </c>
      <c r="J1987" s="2">
        <v>45376</v>
      </c>
      <c r="K1987" t="s">
        <v>21</v>
      </c>
      <c r="L1987" t="s">
        <v>1710</v>
      </c>
      <c r="M1987" t="s">
        <v>1709</v>
      </c>
      <c r="N1987" s="1"/>
      <c r="O1987" t="s">
        <v>4</v>
      </c>
      <c r="P1987" s="1">
        <v>0.23</v>
      </c>
      <c r="Q1987" s="1" t="s">
        <v>1636</v>
      </c>
      <c r="R1987" t="s">
        <v>24</v>
      </c>
      <c r="S1987" t="s">
        <v>1086</v>
      </c>
      <c r="T1987" t="s">
        <v>1216</v>
      </c>
      <c r="U1987" s="1">
        <v>0.5</v>
      </c>
    </row>
    <row r="1988" spans="1:22" x14ac:dyDescent="0.3">
      <c r="A1988" t="s">
        <v>1214</v>
      </c>
      <c r="B1988" t="str">
        <f ca="1">OFFSET(Industries!C$1,MATCH(Table1[[#This Row],[Ticker]],Industries!$A$2:$A$150,0),0)</f>
        <v>Financials</v>
      </c>
      <c r="C1988" t="str">
        <f ca="1">OFFSET(Industries!D$1,MATCH(Table1[[#This Row],[Ticker]],Industries!$A$2:$A$150,0),0)</f>
        <v>Insurance</v>
      </c>
      <c r="D1988" t="str">
        <f ca="1">OFFSET(Industries!E$1,MATCH(Table1[[#This Row],[Ticker]],Industries!$A$2:$A$150,0),0)</f>
        <v>Insurance</v>
      </c>
      <c r="E1988" t="s">
        <v>496</v>
      </c>
      <c r="F1988" t="str">
        <f ca="1">OFFSET(Industries!B$1,MATCH(Table1[[#This Row],[Ticker]],Industries!$A$2:$A$140,0),0)</f>
        <v>Mega-Cap</v>
      </c>
      <c r="G1988" t="str">
        <f ca="1">OFFSET(Industries!F$1,MATCH(Table1[[#This Row],[Ticker]],Industries!$A$2:$A$140,0),0)</f>
        <v>A</v>
      </c>
      <c r="H1988" t="s">
        <v>1434</v>
      </c>
      <c r="I1988" t="s">
        <v>1434</v>
      </c>
      <c r="J1988" s="2">
        <v>45376</v>
      </c>
      <c r="K1988" t="s">
        <v>21</v>
      </c>
      <c r="L1988" t="s">
        <v>1710</v>
      </c>
      <c r="M1988" t="s">
        <v>1709</v>
      </c>
      <c r="N1988" s="1"/>
      <c r="O1988" t="s">
        <v>4</v>
      </c>
      <c r="P1988" s="1">
        <v>0.23</v>
      </c>
      <c r="R1988" t="s">
        <v>28</v>
      </c>
      <c r="S1988" t="s">
        <v>1110</v>
      </c>
      <c r="T1988" t="s">
        <v>172</v>
      </c>
    </row>
    <row r="1989" spans="1:22" x14ac:dyDescent="0.3">
      <c r="A1989" t="s">
        <v>1214</v>
      </c>
      <c r="B1989" t="str">
        <f ca="1">OFFSET(Industries!C$1,MATCH(Table1[[#This Row],[Ticker]],Industries!$A$2:$A$150,0),0)</f>
        <v>Financials</v>
      </c>
      <c r="C1989" t="str">
        <f ca="1">OFFSET(Industries!D$1,MATCH(Table1[[#This Row],[Ticker]],Industries!$A$2:$A$150,0),0)</f>
        <v>Insurance</v>
      </c>
      <c r="D1989" t="str">
        <f ca="1">OFFSET(Industries!E$1,MATCH(Table1[[#This Row],[Ticker]],Industries!$A$2:$A$150,0),0)</f>
        <v>Insurance</v>
      </c>
      <c r="E1989" t="s">
        <v>496</v>
      </c>
      <c r="F1989" t="str">
        <f ca="1">OFFSET(Industries!B$1,MATCH(Table1[[#This Row],[Ticker]],Industries!$A$2:$A$140,0),0)</f>
        <v>Mega-Cap</v>
      </c>
      <c r="G1989" t="str">
        <f ca="1">OFFSET(Industries!F$1,MATCH(Table1[[#This Row],[Ticker]],Industries!$A$2:$A$140,0),0)</f>
        <v>A</v>
      </c>
      <c r="H1989" t="s">
        <v>1434</v>
      </c>
      <c r="I1989" t="s">
        <v>1434</v>
      </c>
      <c r="J1989" s="2">
        <v>45376</v>
      </c>
      <c r="K1989" t="s">
        <v>21</v>
      </c>
      <c r="L1989" t="s">
        <v>1710</v>
      </c>
      <c r="M1989" t="s">
        <v>1709</v>
      </c>
      <c r="N1989" s="1">
        <f>Table1[[#This Row],[Consideration Weight]]</f>
        <v>0.39</v>
      </c>
      <c r="O1989" t="s">
        <v>476</v>
      </c>
      <c r="P1989" s="1">
        <v>0.39</v>
      </c>
      <c r="Q1989" s="1" t="s">
        <v>1636</v>
      </c>
      <c r="R1989" t="s">
        <v>23</v>
      </c>
      <c r="S1989" t="s">
        <v>1086</v>
      </c>
      <c r="T1989" t="s">
        <v>1219</v>
      </c>
      <c r="U1989" s="1">
        <v>0.96</v>
      </c>
    </row>
    <row r="1990" spans="1:22" x14ac:dyDescent="0.3">
      <c r="A1990" t="s">
        <v>1214</v>
      </c>
      <c r="B1990" t="str">
        <f ca="1">OFFSET(Industries!C$1,MATCH(Table1[[#This Row],[Ticker]],Industries!$A$2:$A$150,0),0)</f>
        <v>Financials</v>
      </c>
      <c r="C1990" t="str">
        <f ca="1">OFFSET(Industries!D$1,MATCH(Table1[[#This Row],[Ticker]],Industries!$A$2:$A$150,0),0)</f>
        <v>Insurance</v>
      </c>
      <c r="D1990" t="str">
        <f ca="1">OFFSET(Industries!E$1,MATCH(Table1[[#This Row],[Ticker]],Industries!$A$2:$A$150,0),0)</f>
        <v>Insurance</v>
      </c>
      <c r="E1990" t="s">
        <v>496</v>
      </c>
      <c r="F1990" t="str">
        <f ca="1">OFFSET(Industries!B$1,MATCH(Table1[[#This Row],[Ticker]],Industries!$A$2:$A$140,0),0)</f>
        <v>Mega-Cap</v>
      </c>
      <c r="G1990" t="str">
        <f ca="1">OFFSET(Industries!F$1,MATCH(Table1[[#This Row],[Ticker]],Industries!$A$2:$A$140,0),0)</f>
        <v>A</v>
      </c>
      <c r="H1990" t="s">
        <v>1434</v>
      </c>
      <c r="I1990" t="s">
        <v>1434</v>
      </c>
      <c r="J1990" s="2">
        <v>45376</v>
      </c>
      <c r="K1990" t="s">
        <v>21</v>
      </c>
      <c r="L1990" t="s">
        <v>1710</v>
      </c>
      <c r="M1990" t="s">
        <v>1709</v>
      </c>
      <c r="N1990" s="1"/>
      <c r="O1990" t="s">
        <v>476</v>
      </c>
      <c r="P1990" s="1">
        <v>0.39</v>
      </c>
      <c r="Q1990" s="1" t="s">
        <v>1636</v>
      </c>
      <c r="R1990" t="s">
        <v>25</v>
      </c>
      <c r="S1990" t="s">
        <v>1086</v>
      </c>
      <c r="T1990" t="s">
        <v>1220</v>
      </c>
      <c r="U1990" s="1">
        <v>0.04</v>
      </c>
      <c r="V1990" t="s">
        <v>1756</v>
      </c>
    </row>
    <row r="1991" spans="1:22" x14ac:dyDescent="0.3">
      <c r="A1991" t="s">
        <v>1214</v>
      </c>
      <c r="B1991" t="str">
        <f ca="1">OFFSET(Industries!C$1,MATCH(Table1[[#This Row],[Ticker]],Industries!$A$2:$A$150,0),0)</f>
        <v>Financials</v>
      </c>
      <c r="C1991" t="str">
        <f ca="1">OFFSET(Industries!D$1,MATCH(Table1[[#This Row],[Ticker]],Industries!$A$2:$A$150,0),0)</f>
        <v>Insurance</v>
      </c>
      <c r="D1991" t="str">
        <f ca="1">OFFSET(Industries!E$1,MATCH(Table1[[#This Row],[Ticker]],Industries!$A$2:$A$150,0),0)</f>
        <v>Insurance</v>
      </c>
      <c r="E1991" t="s">
        <v>496</v>
      </c>
      <c r="F1991" t="str">
        <f ca="1">OFFSET(Industries!B$1,MATCH(Table1[[#This Row],[Ticker]],Industries!$A$2:$A$140,0),0)</f>
        <v>Mega-Cap</v>
      </c>
      <c r="G1991" t="str">
        <f ca="1">OFFSET(Industries!F$1,MATCH(Table1[[#This Row],[Ticker]],Industries!$A$2:$A$140,0),0)</f>
        <v>A</v>
      </c>
      <c r="H1991" t="s">
        <v>1434</v>
      </c>
      <c r="I1991" t="s">
        <v>1434</v>
      </c>
      <c r="J1991" s="2">
        <v>45376</v>
      </c>
      <c r="K1991" t="s">
        <v>21</v>
      </c>
      <c r="L1991" t="s">
        <v>1710</v>
      </c>
      <c r="M1991" t="s">
        <v>1709</v>
      </c>
      <c r="N1991" s="1"/>
      <c r="O1991" t="s">
        <v>476</v>
      </c>
      <c r="P1991" s="1">
        <v>0.39</v>
      </c>
      <c r="R1991" t="s">
        <v>28</v>
      </c>
      <c r="S1991" t="s">
        <v>1152</v>
      </c>
      <c r="T1991" t="s">
        <v>1216</v>
      </c>
    </row>
    <row r="1992" spans="1:22" x14ac:dyDescent="0.3">
      <c r="A1992" t="s">
        <v>1214</v>
      </c>
      <c r="B1992" t="str">
        <f ca="1">OFFSET(Industries!C$1,MATCH(Table1[[#This Row],[Ticker]],Industries!$A$2:$A$150,0),0)</f>
        <v>Financials</v>
      </c>
      <c r="C1992" t="str">
        <f ca="1">OFFSET(Industries!D$1,MATCH(Table1[[#This Row],[Ticker]],Industries!$A$2:$A$150,0),0)</f>
        <v>Insurance</v>
      </c>
      <c r="D1992" t="str">
        <f ca="1">OFFSET(Industries!E$1,MATCH(Table1[[#This Row],[Ticker]],Industries!$A$2:$A$150,0),0)</f>
        <v>Insurance</v>
      </c>
      <c r="E1992" t="s">
        <v>496</v>
      </c>
      <c r="F1992" t="str">
        <f ca="1">OFFSET(Industries!B$1,MATCH(Table1[[#This Row],[Ticker]],Industries!$A$2:$A$140,0),0)</f>
        <v>Mega-Cap</v>
      </c>
      <c r="G1992" t="str">
        <f ca="1">OFFSET(Industries!F$1,MATCH(Table1[[#This Row],[Ticker]],Industries!$A$2:$A$140,0),0)</f>
        <v>A</v>
      </c>
      <c r="H1992" t="s">
        <v>1434</v>
      </c>
      <c r="I1992" t="s">
        <v>1434</v>
      </c>
      <c r="J1992" s="2">
        <v>45376</v>
      </c>
      <c r="K1992" t="s">
        <v>21</v>
      </c>
      <c r="L1992" t="s">
        <v>1710</v>
      </c>
      <c r="M1992" t="s">
        <v>1709</v>
      </c>
      <c r="N1992" s="1"/>
      <c r="O1992" t="s">
        <v>476</v>
      </c>
      <c r="P1992" s="1">
        <v>0.39</v>
      </c>
      <c r="R1992" t="s">
        <v>28</v>
      </c>
      <c r="S1992" t="s">
        <v>1110</v>
      </c>
      <c r="T1992" t="s">
        <v>172</v>
      </c>
    </row>
    <row r="1993" spans="1:22" x14ac:dyDescent="0.3">
      <c r="A1993" t="s">
        <v>1214</v>
      </c>
      <c r="B1993" t="str">
        <f ca="1">OFFSET(Industries!C$1,MATCH(Table1[[#This Row],[Ticker]],Industries!$A$2:$A$150,0),0)</f>
        <v>Financials</v>
      </c>
      <c r="C1993" t="str">
        <f ca="1">OFFSET(Industries!D$1,MATCH(Table1[[#This Row],[Ticker]],Industries!$A$2:$A$150,0),0)</f>
        <v>Insurance</v>
      </c>
      <c r="D1993" t="str">
        <f ca="1">OFFSET(Industries!E$1,MATCH(Table1[[#This Row],[Ticker]],Industries!$A$2:$A$150,0),0)</f>
        <v>Insurance</v>
      </c>
      <c r="E1993" t="s">
        <v>496</v>
      </c>
      <c r="F1993" t="str">
        <f ca="1">OFFSET(Industries!B$1,MATCH(Table1[[#This Row],[Ticker]],Industries!$A$2:$A$140,0),0)</f>
        <v>Mega-Cap</v>
      </c>
      <c r="G1993" t="str">
        <f ca="1">OFFSET(Industries!F$1,MATCH(Table1[[#This Row],[Ticker]],Industries!$A$2:$A$140,0),0)</f>
        <v>A</v>
      </c>
      <c r="H1993" t="s">
        <v>1434</v>
      </c>
      <c r="I1993" t="s">
        <v>1434</v>
      </c>
      <c r="J1993" s="2">
        <v>45376</v>
      </c>
      <c r="K1993" t="s">
        <v>21</v>
      </c>
      <c r="L1993" t="s">
        <v>1710</v>
      </c>
      <c r="M1993" t="s">
        <v>1711</v>
      </c>
      <c r="N1993" s="1">
        <f>Table1[[#This Row],[Consideration Weight]]</f>
        <v>0.19</v>
      </c>
      <c r="O1993" t="s">
        <v>194</v>
      </c>
      <c r="P1993" s="1">
        <v>0.19</v>
      </c>
    </row>
    <row r="1994" spans="1:22" x14ac:dyDescent="0.3">
      <c r="A1994" t="s">
        <v>1221</v>
      </c>
      <c r="B1994" t="str">
        <f ca="1">OFFSET(Industries!C$1,MATCH(Table1[[#This Row],[Ticker]],Industries!$A$2:$A$150,0),0)</f>
        <v>Utilities</v>
      </c>
      <c r="C1994" t="str">
        <f ca="1">OFFSET(Industries!D$1,MATCH(Table1[[#This Row],[Ticker]],Industries!$A$2:$A$150,0),0)</f>
        <v>Utilities</v>
      </c>
      <c r="D1994" t="str">
        <f ca="1">OFFSET(Industries!E$1,MATCH(Table1[[#This Row],[Ticker]],Industries!$A$2:$A$150,0),0)</f>
        <v>Multi-Utilities</v>
      </c>
      <c r="E1994" t="s">
        <v>444</v>
      </c>
      <c r="F1994" t="str">
        <f ca="1">OFFSET(Industries!B$1,MATCH(Table1[[#This Row],[Ticker]],Industries!$A$2:$A$140,0),0)</f>
        <v>Large-Cap</v>
      </c>
      <c r="G1994" t="str">
        <f ca="1">OFFSET(Industries!F$1,MATCH(Table1[[#This Row],[Ticker]],Industries!$A$2:$A$140,0),0)</f>
        <v>BBB+</v>
      </c>
      <c r="H1994" t="s">
        <v>1434</v>
      </c>
      <c r="I1994" t="s">
        <v>1434</v>
      </c>
      <c r="J1994" s="2">
        <v>45366</v>
      </c>
      <c r="K1994" t="s">
        <v>2</v>
      </c>
      <c r="L1994" t="s">
        <v>3</v>
      </c>
      <c r="M1994" t="s">
        <v>1711</v>
      </c>
      <c r="N1994" s="1">
        <f>Table1[[#This Row],[Consideration Weight]]</f>
        <v>0.14000000000000001</v>
      </c>
      <c r="O1994" t="s">
        <v>3</v>
      </c>
      <c r="P1994" s="1">
        <v>0.14000000000000001</v>
      </c>
      <c r="V1994" t="s">
        <v>1222</v>
      </c>
    </row>
    <row r="1995" spans="1:22" x14ac:dyDescent="0.3">
      <c r="A1995" t="s">
        <v>1221</v>
      </c>
      <c r="B1995" t="str">
        <f ca="1">OFFSET(Industries!C$1,MATCH(Table1[[#This Row],[Ticker]],Industries!$A$2:$A$150,0),0)</f>
        <v>Utilities</v>
      </c>
      <c r="C1995" t="str">
        <f ca="1">OFFSET(Industries!D$1,MATCH(Table1[[#This Row],[Ticker]],Industries!$A$2:$A$150,0),0)</f>
        <v>Utilities</v>
      </c>
      <c r="D1995" t="str">
        <f ca="1">OFFSET(Industries!E$1,MATCH(Table1[[#This Row],[Ticker]],Industries!$A$2:$A$150,0),0)</f>
        <v>Multi-Utilities</v>
      </c>
      <c r="E1995" t="s">
        <v>444</v>
      </c>
      <c r="F1995" t="str">
        <f ca="1">OFFSET(Industries!B$1,MATCH(Table1[[#This Row],[Ticker]],Industries!$A$2:$A$140,0),0)</f>
        <v>Large-Cap</v>
      </c>
      <c r="G1995" t="str">
        <f ca="1">OFFSET(Industries!F$1,MATCH(Table1[[#This Row],[Ticker]],Industries!$A$2:$A$140,0),0)</f>
        <v>BBB+</v>
      </c>
      <c r="H1995" t="s">
        <v>1434</v>
      </c>
      <c r="I1995" t="s">
        <v>1434</v>
      </c>
      <c r="J1995" s="2">
        <v>45366</v>
      </c>
      <c r="K1995" t="s">
        <v>2</v>
      </c>
      <c r="L1995" t="s">
        <v>1708</v>
      </c>
      <c r="M1995" t="s">
        <v>1709</v>
      </c>
      <c r="N1995" s="1">
        <f>Table1[[#This Row],[Consideration Weight]]</f>
        <v>0.17</v>
      </c>
      <c r="O1995" t="s">
        <v>4</v>
      </c>
      <c r="P1995" s="1">
        <v>0.17</v>
      </c>
      <c r="Q1995" s="1" t="s">
        <v>1636</v>
      </c>
      <c r="R1995" t="s">
        <v>24</v>
      </c>
      <c r="S1995" t="s">
        <v>1089</v>
      </c>
      <c r="T1995" t="s">
        <v>50</v>
      </c>
      <c r="U1995" s="1">
        <v>1</v>
      </c>
      <c r="V1995" t="s">
        <v>1228</v>
      </c>
    </row>
    <row r="1996" spans="1:22" x14ac:dyDescent="0.3">
      <c r="A1996" t="s">
        <v>1221</v>
      </c>
      <c r="B1996" t="str">
        <f ca="1">OFFSET(Industries!C$1,MATCH(Table1[[#This Row],[Ticker]],Industries!$A$2:$A$150,0),0)</f>
        <v>Utilities</v>
      </c>
      <c r="C1996" t="str">
        <f ca="1">OFFSET(Industries!D$1,MATCH(Table1[[#This Row],[Ticker]],Industries!$A$2:$A$150,0),0)</f>
        <v>Utilities</v>
      </c>
      <c r="D1996" t="str">
        <f ca="1">OFFSET(Industries!E$1,MATCH(Table1[[#This Row],[Ticker]],Industries!$A$2:$A$150,0),0)</f>
        <v>Multi-Utilities</v>
      </c>
      <c r="E1996" t="s">
        <v>444</v>
      </c>
      <c r="F1996" t="str">
        <f ca="1">OFFSET(Industries!B$1,MATCH(Table1[[#This Row],[Ticker]],Industries!$A$2:$A$140,0),0)</f>
        <v>Large-Cap</v>
      </c>
      <c r="G1996" t="str">
        <f ca="1">OFFSET(Industries!F$1,MATCH(Table1[[#This Row],[Ticker]],Industries!$A$2:$A$140,0),0)</f>
        <v>BBB+</v>
      </c>
      <c r="H1996" t="s">
        <v>1434</v>
      </c>
      <c r="I1996" t="s">
        <v>1434</v>
      </c>
      <c r="J1996" s="2">
        <v>45366</v>
      </c>
      <c r="K1996" t="s">
        <v>2</v>
      </c>
      <c r="L1996" t="s">
        <v>1708</v>
      </c>
      <c r="M1996" t="s">
        <v>1709</v>
      </c>
      <c r="N1996" s="1"/>
      <c r="O1996" t="s">
        <v>4</v>
      </c>
      <c r="P1996" s="1">
        <v>0.17</v>
      </c>
      <c r="R1996" t="s">
        <v>28</v>
      </c>
      <c r="S1996" t="s">
        <v>1093</v>
      </c>
      <c r="T1996" t="s">
        <v>1174</v>
      </c>
      <c r="V1996" t="s">
        <v>1223</v>
      </c>
    </row>
    <row r="1997" spans="1:22" x14ac:dyDescent="0.3">
      <c r="A1997" t="s">
        <v>1221</v>
      </c>
      <c r="B1997" t="str">
        <f ca="1">OFFSET(Industries!C$1,MATCH(Table1[[#This Row],[Ticker]],Industries!$A$2:$A$150,0),0)</f>
        <v>Utilities</v>
      </c>
      <c r="C1997" t="str">
        <f ca="1">OFFSET(Industries!D$1,MATCH(Table1[[#This Row],[Ticker]],Industries!$A$2:$A$150,0),0)</f>
        <v>Utilities</v>
      </c>
      <c r="D1997" t="str">
        <f ca="1">OFFSET(Industries!E$1,MATCH(Table1[[#This Row],[Ticker]],Industries!$A$2:$A$150,0),0)</f>
        <v>Multi-Utilities</v>
      </c>
      <c r="E1997" t="s">
        <v>444</v>
      </c>
      <c r="F1997" t="str">
        <f ca="1">OFFSET(Industries!B$1,MATCH(Table1[[#This Row],[Ticker]],Industries!$A$2:$A$140,0),0)</f>
        <v>Large-Cap</v>
      </c>
      <c r="G1997" t="str">
        <f ca="1">OFFSET(Industries!F$1,MATCH(Table1[[#This Row],[Ticker]],Industries!$A$2:$A$140,0),0)</f>
        <v>BBB+</v>
      </c>
      <c r="H1997" t="s">
        <v>1434</v>
      </c>
      <c r="I1997" t="s">
        <v>1434</v>
      </c>
      <c r="J1997" s="2">
        <v>45366</v>
      </c>
      <c r="K1997" t="s">
        <v>2</v>
      </c>
      <c r="L1997" t="s">
        <v>1708</v>
      </c>
      <c r="M1997" t="s">
        <v>1709</v>
      </c>
      <c r="N1997" s="1"/>
      <c r="O1997" t="s">
        <v>4</v>
      </c>
      <c r="P1997" s="1">
        <v>0.17</v>
      </c>
      <c r="R1997" t="s">
        <v>28</v>
      </c>
      <c r="S1997" t="s">
        <v>1110</v>
      </c>
      <c r="T1997" t="s">
        <v>172</v>
      </c>
      <c r="V1997" t="s">
        <v>506</v>
      </c>
    </row>
    <row r="1998" spans="1:22" x14ac:dyDescent="0.3">
      <c r="A1998" t="s">
        <v>1221</v>
      </c>
      <c r="B1998" t="str">
        <f ca="1">OFFSET(Industries!C$1,MATCH(Table1[[#This Row],[Ticker]],Industries!$A$2:$A$150,0),0)</f>
        <v>Utilities</v>
      </c>
      <c r="C1998" t="str">
        <f ca="1">OFFSET(Industries!D$1,MATCH(Table1[[#This Row],[Ticker]],Industries!$A$2:$A$150,0),0)</f>
        <v>Utilities</v>
      </c>
      <c r="D1998" t="str">
        <f ca="1">OFFSET(Industries!E$1,MATCH(Table1[[#This Row],[Ticker]],Industries!$A$2:$A$150,0),0)</f>
        <v>Multi-Utilities</v>
      </c>
      <c r="E1998" t="s">
        <v>444</v>
      </c>
      <c r="F1998" t="str">
        <f ca="1">OFFSET(Industries!B$1,MATCH(Table1[[#This Row],[Ticker]],Industries!$A$2:$A$140,0),0)</f>
        <v>Large-Cap</v>
      </c>
      <c r="G1998" t="str">
        <f ca="1">OFFSET(Industries!F$1,MATCH(Table1[[#This Row],[Ticker]],Industries!$A$2:$A$140,0),0)</f>
        <v>BBB+</v>
      </c>
      <c r="H1998" t="s">
        <v>1434</v>
      </c>
      <c r="I1998" t="s">
        <v>1434</v>
      </c>
      <c r="J1998" s="2">
        <v>45366</v>
      </c>
      <c r="K1998" t="s">
        <v>2</v>
      </c>
      <c r="L1998" t="s">
        <v>1710</v>
      </c>
      <c r="M1998" t="s">
        <v>1709</v>
      </c>
      <c r="N1998" s="1">
        <f>Table1[[#This Row],[Consideration Weight]]</f>
        <v>0.51749999999999996</v>
      </c>
      <c r="O1998" t="s">
        <v>476</v>
      </c>
      <c r="P1998" s="1">
        <f>0.69*0.75</f>
        <v>0.51749999999999996</v>
      </c>
      <c r="Q1998" s="1" t="s">
        <v>1646</v>
      </c>
      <c r="R1998" t="s">
        <v>35</v>
      </c>
      <c r="S1998" t="s">
        <v>29</v>
      </c>
      <c r="T1998" t="s">
        <v>30</v>
      </c>
      <c r="U1998" s="1">
        <f>35/75</f>
        <v>0.46666666666666667</v>
      </c>
      <c r="V1998" t="s">
        <v>231</v>
      </c>
    </row>
    <row r="1999" spans="1:22" x14ac:dyDescent="0.3">
      <c r="A1999" t="s">
        <v>1221</v>
      </c>
      <c r="B1999" t="str">
        <f ca="1">OFFSET(Industries!C$1,MATCH(Table1[[#This Row],[Ticker]],Industries!$A$2:$A$150,0),0)</f>
        <v>Utilities</v>
      </c>
      <c r="C1999" t="str">
        <f ca="1">OFFSET(Industries!D$1,MATCH(Table1[[#This Row],[Ticker]],Industries!$A$2:$A$150,0),0)</f>
        <v>Utilities</v>
      </c>
      <c r="D1999" t="str">
        <f ca="1">OFFSET(Industries!E$1,MATCH(Table1[[#This Row],[Ticker]],Industries!$A$2:$A$150,0),0)</f>
        <v>Multi-Utilities</v>
      </c>
      <c r="E1999" t="s">
        <v>444</v>
      </c>
      <c r="F1999" t="str">
        <f ca="1">OFFSET(Industries!B$1,MATCH(Table1[[#This Row],[Ticker]],Industries!$A$2:$A$140,0),0)</f>
        <v>Large-Cap</v>
      </c>
      <c r="G1999" t="str">
        <f ca="1">OFFSET(Industries!F$1,MATCH(Table1[[#This Row],[Ticker]],Industries!$A$2:$A$140,0),0)</f>
        <v>BBB+</v>
      </c>
      <c r="H1999" t="s">
        <v>1434</v>
      </c>
      <c r="I1999" t="s">
        <v>1434</v>
      </c>
      <c r="J1999" s="2">
        <v>45366</v>
      </c>
      <c r="K1999" t="s">
        <v>2</v>
      </c>
      <c r="L1999" t="s">
        <v>1710</v>
      </c>
      <c r="M1999" t="s">
        <v>1709</v>
      </c>
      <c r="N1999" s="1"/>
      <c r="O1999" t="s">
        <v>476</v>
      </c>
      <c r="P1999" s="1">
        <f t="shared" ref="P1999:P2001" si="39">0.69*0.75</f>
        <v>0.51749999999999996</v>
      </c>
      <c r="Q1999" s="1" t="s">
        <v>1636</v>
      </c>
      <c r="R1999" t="s">
        <v>24</v>
      </c>
      <c r="S1999" t="s">
        <v>1089</v>
      </c>
      <c r="T1999" t="s">
        <v>86</v>
      </c>
      <c r="U1999" s="1">
        <f>35/75</f>
        <v>0.46666666666666667</v>
      </c>
      <c r="V1999" t="s">
        <v>1227</v>
      </c>
    </row>
    <row r="2000" spans="1:22" x14ac:dyDescent="0.3">
      <c r="A2000" t="s">
        <v>1221</v>
      </c>
      <c r="B2000" t="str">
        <f ca="1">OFFSET(Industries!C$1,MATCH(Table1[[#This Row],[Ticker]],Industries!$A$2:$A$150,0),0)</f>
        <v>Utilities</v>
      </c>
      <c r="C2000" t="str">
        <f ca="1">OFFSET(Industries!D$1,MATCH(Table1[[#This Row],[Ticker]],Industries!$A$2:$A$150,0),0)</f>
        <v>Utilities</v>
      </c>
      <c r="D2000" t="str">
        <f ca="1">OFFSET(Industries!E$1,MATCH(Table1[[#This Row],[Ticker]],Industries!$A$2:$A$150,0),0)</f>
        <v>Multi-Utilities</v>
      </c>
      <c r="E2000" t="s">
        <v>444</v>
      </c>
      <c r="F2000" t="str">
        <f ca="1">OFFSET(Industries!B$1,MATCH(Table1[[#This Row],[Ticker]],Industries!$A$2:$A$140,0),0)</f>
        <v>Large-Cap</v>
      </c>
      <c r="G2000" t="str">
        <f ca="1">OFFSET(Industries!F$1,MATCH(Table1[[#This Row],[Ticker]],Industries!$A$2:$A$140,0),0)</f>
        <v>BBB+</v>
      </c>
      <c r="H2000" t="s">
        <v>1434</v>
      </c>
      <c r="I2000" t="s">
        <v>1434</v>
      </c>
      <c r="J2000" s="2">
        <v>45366</v>
      </c>
      <c r="K2000" t="s">
        <v>2</v>
      </c>
      <c r="L2000" t="s">
        <v>1710</v>
      </c>
      <c r="M2000" t="s">
        <v>1709</v>
      </c>
      <c r="N2000" s="1"/>
      <c r="O2000" t="s">
        <v>476</v>
      </c>
      <c r="P2000" s="1">
        <f t="shared" si="39"/>
        <v>0.51749999999999996</v>
      </c>
      <c r="Q2000" s="1" t="s">
        <v>1637</v>
      </c>
      <c r="R2000" t="s">
        <v>26</v>
      </c>
      <c r="S2000" t="s">
        <v>26</v>
      </c>
      <c r="T2000" t="s">
        <v>1224</v>
      </c>
      <c r="U2000" s="1">
        <f>5/75</f>
        <v>6.6666666666666666E-2</v>
      </c>
      <c r="V2000" t="s">
        <v>1226</v>
      </c>
    </row>
    <row r="2001" spans="1:22" x14ac:dyDescent="0.3">
      <c r="A2001" t="s">
        <v>1221</v>
      </c>
      <c r="B2001" t="str">
        <f ca="1">OFFSET(Industries!C$1,MATCH(Table1[[#This Row],[Ticker]],Industries!$A$2:$A$150,0),0)</f>
        <v>Utilities</v>
      </c>
      <c r="C2001" t="str">
        <f ca="1">OFFSET(Industries!D$1,MATCH(Table1[[#This Row],[Ticker]],Industries!$A$2:$A$150,0),0)</f>
        <v>Utilities</v>
      </c>
      <c r="D2001" t="str">
        <f ca="1">OFFSET(Industries!E$1,MATCH(Table1[[#This Row],[Ticker]],Industries!$A$2:$A$150,0),0)</f>
        <v>Multi-Utilities</v>
      </c>
      <c r="E2001" t="s">
        <v>444</v>
      </c>
      <c r="F2001" t="str">
        <f ca="1">OFFSET(Industries!B$1,MATCH(Table1[[#This Row],[Ticker]],Industries!$A$2:$A$140,0),0)</f>
        <v>Large-Cap</v>
      </c>
      <c r="G2001" t="str">
        <f ca="1">OFFSET(Industries!F$1,MATCH(Table1[[#This Row],[Ticker]],Industries!$A$2:$A$140,0),0)</f>
        <v>BBB+</v>
      </c>
      <c r="H2001" t="s">
        <v>1434</v>
      </c>
      <c r="I2001" t="s">
        <v>1434</v>
      </c>
      <c r="J2001" s="2">
        <v>45366</v>
      </c>
      <c r="K2001" t="s">
        <v>2</v>
      </c>
      <c r="L2001" t="s">
        <v>1710</v>
      </c>
      <c r="M2001" t="s">
        <v>1709</v>
      </c>
      <c r="N2001" s="1"/>
      <c r="O2001" t="s">
        <v>476</v>
      </c>
      <c r="P2001" s="1">
        <f t="shared" si="39"/>
        <v>0.51749999999999996</v>
      </c>
      <c r="R2001" t="s">
        <v>28</v>
      </c>
      <c r="S2001" t="s">
        <v>1086</v>
      </c>
      <c r="T2001" t="s">
        <v>1225</v>
      </c>
    </row>
    <row r="2002" spans="1:22" x14ac:dyDescent="0.3">
      <c r="A2002" t="s">
        <v>1221</v>
      </c>
      <c r="B2002" t="str">
        <f ca="1">OFFSET(Industries!C$1,MATCH(Table1[[#This Row],[Ticker]],Industries!$A$2:$A$150,0),0)</f>
        <v>Utilities</v>
      </c>
      <c r="C2002" t="str">
        <f ca="1">OFFSET(Industries!D$1,MATCH(Table1[[#This Row],[Ticker]],Industries!$A$2:$A$150,0),0)</f>
        <v>Utilities</v>
      </c>
      <c r="D2002" t="str">
        <f ca="1">OFFSET(Industries!E$1,MATCH(Table1[[#This Row],[Ticker]],Industries!$A$2:$A$150,0),0)</f>
        <v>Multi-Utilities</v>
      </c>
      <c r="E2002" t="s">
        <v>444</v>
      </c>
      <c r="F2002" t="str">
        <f ca="1">OFFSET(Industries!B$1,MATCH(Table1[[#This Row],[Ticker]],Industries!$A$2:$A$140,0),0)</f>
        <v>Large-Cap</v>
      </c>
      <c r="G2002" t="str">
        <f ca="1">OFFSET(Industries!F$1,MATCH(Table1[[#This Row],[Ticker]],Industries!$A$2:$A$140,0),0)</f>
        <v>BBB+</v>
      </c>
      <c r="H2002" t="s">
        <v>1434</v>
      </c>
      <c r="I2002" t="s">
        <v>1434</v>
      </c>
      <c r="J2002" s="2">
        <v>45366</v>
      </c>
      <c r="K2002" t="s">
        <v>2</v>
      </c>
      <c r="L2002" t="s">
        <v>1710</v>
      </c>
      <c r="M2002" t="s">
        <v>1711</v>
      </c>
      <c r="N2002" s="1">
        <f>Table1[[#This Row],[Consideration Weight]]</f>
        <v>0.17249999999999999</v>
      </c>
      <c r="O2002" t="s">
        <v>194</v>
      </c>
      <c r="P2002" s="1">
        <f>0.69*0.25</f>
        <v>0.17249999999999999</v>
      </c>
    </row>
    <row r="2003" spans="1:22" x14ac:dyDescent="0.3">
      <c r="A2003" t="s">
        <v>1221</v>
      </c>
      <c r="B2003" t="str">
        <f ca="1">OFFSET(Industries!C$1,MATCH(Table1[[#This Row],[Ticker]],Industries!$A$2:$A$150,0),0)</f>
        <v>Utilities</v>
      </c>
      <c r="C2003" t="str">
        <f ca="1">OFFSET(Industries!D$1,MATCH(Table1[[#This Row],[Ticker]],Industries!$A$2:$A$150,0),0)</f>
        <v>Utilities</v>
      </c>
      <c r="D2003" t="str">
        <f ca="1">OFFSET(Industries!E$1,MATCH(Table1[[#This Row],[Ticker]],Industries!$A$2:$A$150,0),0)</f>
        <v>Multi-Utilities</v>
      </c>
      <c r="E2003" t="s">
        <v>444</v>
      </c>
      <c r="F2003" t="str">
        <f ca="1">OFFSET(Industries!B$1,MATCH(Table1[[#This Row],[Ticker]],Industries!$A$2:$A$140,0),0)</f>
        <v>Large-Cap</v>
      </c>
      <c r="G2003" t="str">
        <f ca="1">OFFSET(Industries!F$1,MATCH(Table1[[#This Row],[Ticker]],Industries!$A$2:$A$140,0),0)</f>
        <v>BBB+</v>
      </c>
      <c r="H2003" t="s">
        <v>1434</v>
      </c>
      <c r="I2003" t="s">
        <v>1434</v>
      </c>
      <c r="J2003" s="2">
        <v>45366</v>
      </c>
      <c r="K2003" t="s">
        <v>21</v>
      </c>
      <c r="L2003" t="s">
        <v>3</v>
      </c>
      <c r="M2003" t="s">
        <v>1711</v>
      </c>
      <c r="N2003" s="1">
        <f>Table1[[#This Row],[Consideration Weight]]</f>
        <v>0.23</v>
      </c>
      <c r="O2003" t="s">
        <v>3</v>
      </c>
      <c r="P2003" s="1">
        <v>0.23</v>
      </c>
    </row>
    <row r="2004" spans="1:22" x14ac:dyDescent="0.3">
      <c r="A2004" t="s">
        <v>1221</v>
      </c>
      <c r="B2004" t="str">
        <f ca="1">OFFSET(Industries!C$1,MATCH(Table1[[#This Row],[Ticker]],Industries!$A$2:$A$150,0),0)</f>
        <v>Utilities</v>
      </c>
      <c r="C2004" t="str">
        <f ca="1">OFFSET(Industries!D$1,MATCH(Table1[[#This Row],[Ticker]],Industries!$A$2:$A$150,0),0)</f>
        <v>Utilities</v>
      </c>
      <c r="D2004" t="str">
        <f ca="1">OFFSET(Industries!E$1,MATCH(Table1[[#This Row],[Ticker]],Industries!$A$2:$A$150,0),0)</f>
        <v>Multi-Utilities</v>
      </c>
      <c r="E2004" t="s">
        <v>444</v>
      </c>
      <c r="F2004" t="str">
        <f ca="1">OFFSET(Industries!B$1,MATCH(Table1[[#This Row],[Ticker]],Industries!$A$2:$A$140,0),0)</f>
        <v>Large-Cap</v>
      </c>
      <c r="G2004" t="str">
        <f ca="1">OFFSET(Industries!F$1,MATCH(Table1[[#This Row],[Ticker]],Industries!$A$2:$A$140,0),0)</f>
        <v>BBB+</v>
      </c>
      <c r="H2004" t="s">
        <v>1434</v>
      </c>
      <c r="I2004" t="s">
        <v>1434</v>
      </c>
      <c r="J2004" s="2">
        <v>45366</v>
      </c>
      <c r="K2004" t="s">
        <v>21</v>
      </c>
      <c r="L2004" t="s">
        <v>1708</v>
      </c>
      <c r="M2004" t="s">
        <v>1709</v>
      </c>
      <c r="N2004" s="1">
        <f>Table1[[#This Row],[Consideration Weight]]</f>
        <v>0.19</v>
      </c>
      <c r="O2004" t="s">
        <v>4</v>
      </c>
      <c r="P2004" s="1">
        <v>0.19</v>
      </c>
      <c r="Q2004" s="1" t="s">
        <v>1636</v>
      </c>
      <c r="R2004" t="s">
        <v>24</v>
      </c>
      <c r="S2004" t="s">
        <v>1089</v>
      </c>
      <c r="T2004" t="s">
        <v>50</v>
      </c>
      <c r="U2004" s="1">
        <v>1</v>
      </c>
    </row>
    <row r="2005" spans="1:22" x14ac:dyDescent="0.3">
      <c r="A2005" t="s">
        <v>1221</v>
      </c>
      <c r="B2005" t="str">
        <f ca="1">OFFSET(Industries!C$1,MATCH(Table1[[#This Row],[Ticker]],Industries!$A$2:$A$150,0),0)</f>
        <v>Utilities</v>
      </c>
      <c r="C2005" t="str">
        <f ca="1">OFFSET(Industries!D$1,MATCH(Table1[[#This Row],[Ticker]],Industries!$A$2:$A$150,0),0)</f>
        <v>Utilities</v>
      </c>
      <c r="D2005" t="str">
        <f ca="1">OFFSET(Industries!E$1,MATCH(Table1[[#This Row],[Ticker]],Industries!$A$2:$A$150,0),0)</f>
        <v>Multi-Utilities</v>
      </c>
      <c r="E2005" t="s">
        <v>444</v>
      </c>
      <c r="F2005" t="str">
        <f ca="1">OFFSET(Industries!B$1,MATCH(Table1[[#This Row],[Ticker]],Industries!$A$2:$A$140,0),0)</f>
        <v>Large-Cap</v>
      </c>
      <c r="G2005" t="str">
        <f ca="1">OFFSET(Industries!F$1,MATCH(Table1[[#This Row],[Ticker]],Industries!$A$2:$A$140,0),0)</f>
        <v>BBB+</v>
      </c>
      <c r="H2005" t="s">
        <v>1434</v>
      </c>
      <c r="I2005" t="s">
        <v>1434</v>
      </c>
      <c r="J2005" s="2">
        <v>45366</v>
      </c>
      <c r="K2005" t="s">
        <v>21</v>
      </c>
      <c r="L2005" t="s">
        <v>1708</v>
      </c>
      <c r="M2005" t="s">
        <v>1709</v>
      </c>
      <c r="N2005" s="1"/>
      <c r="O2005" t="s">
        <v>4</v>
      </c>
      <c r="P2005" s="1">
        <v>0.19</v>
      </c>
      <c r="R2005" t="s">
        <v>28</v>
      </c>
      <c r="S2005" t="s">
        <v>1093</v>
      </c>
      <c r="T2005" t="s">
        <v>1174</v>
      </c>
    </row>
    <row r="2006" spans="1:22" x14ac:dyDescent="0.3">
      <c r="A2006" t="s">
        <v>1221</v>
      </c>
      <c r="B2006" t="str">
        <f ca="1">OFFSET(Industries!C$1,MATCH(Table1[[#This Row],[Ticker]],Industries!$A$2:$A$150,0),0)</f>
        <v>Utilities</v>
      </c>
      <c r="C2006" t="str">
        <f ca="1">OFFSET(Industries!D$1,MATCH(Table1[[#This Row],[Ticker]],Industries!$A$2:$A$150,0),0)</f>
        <v>Utilities</v>
      </c>
      <c r="D2006" t="str">
        <f ca="1">OFFSET(Industries!E$1,MATCH(Table1[[#This Row],[Ticker]],Industries!$A$2:$A$150,0),0)</f>
        <v>Multi-Utilities</v>
      </c>
      <c r="E2006" t="s">
        <v>444</v>
      </c>
      <c r="F2006" t="str">
        <f ca="1">OFFSET(Industries!B$1,MATCH(Table1[[#This Row],[Ticker]],Industries!$A$2:$A$140,0),0)</f>
        <v>Large-Cap</v>
      </c>
      <c r="G2006" t="str">
        <f ca="1">OFFSET(Industries!F$1,MATCH(Table1[[#This Row],[Ticker]],Industries!$A$2:$A$140,0),0)</f>
        <v>BBB+</v>
      </c>
      <c r="H2006" t="s">
        <v>1434</v>
      </c>
      <c r="I2006" t="s">
        <v>1434</v>
      </c>
      <c r="J2006" s="2">
        <v>45366</v>
      </c>
      <c r="K2006" t="s">
        <v>21</v>
      </c>
      <c r="L2006" t="s">
        <v>1708</v>
      </c>
      <c r="M2006" t="s">
        <v>1709</v>
      </c>
      <c r="N2006" s="1"/>
      <c r="O2006" t="s">
        <v>4</v>
      </c>
      <c r="P2006" s="1">
        <v>0.19</v>
      </c>
      <c r="R2006" t="s">
        <v>28</v>
      </c>
      <c r="S2006" t="s">
        <v>1110</v>
      </c>
      <c r="T2006" t="s">
        <v>172</v>
      </c>
    </row>
    <row r="2007" spans="1:22" x14ac:dyDescent="0.3">
      <c r="A2007" t="s">
        <v>1221</v>
      </c>
      <c r="B2007" t="str">
        <f ca="1">OFFSET(Industries!C$1,MATCH(Table1[[#This Row],[Ticker]],Industries!$A$2:$A$150,0),0)</f>
        <v>Utilities</v>
      </c>
      <c r="C2007" t="str">
        <f ca="1">OFFSET(Industries!D$1,MATCH(Table1[[#This Row],[Ticker]],Industries!$A$2:$A$150,0),0)</f>
        <v>Utilities</v>
      </c>
      <c r="D2007" t="str">
        <f ca="1">OFFSET(Industries!E$1,MATCH(Table1[[#This Row],[Ticker]],Industries!$A$2:$A$150,0),0)</f>
        <v>Multi-Utilities</v>
      </c>
      <c r="E2007" t="s">
        <v>444</v>
      </c>
      <c r="F2007" t="str">
        <f ca="1">OFFSET(Industries!B$1,MATCH(Table1[[#This Row],[Ticker]],Industries!$A$2:$A$140,0),0)</f>
        <v>Large-Cap</v>
      </c>
      <c r="G2007" t="str">
        <f ca="1">OFFSET(Industries!F$1,MATCH(Table1[[#This Row],[Ticker]],Industries!$A$2:$A$140,0),0)</f>
        <v>BBB+</v>
      </c>
      <c r="H2007" t="s">
        <v>1434</v>
      </c>
      <c r="I2007" t="s">
        <v>1434</v>
      </c>
      <c r="J2007" s="2">
        <v>45366</v>
      </c>
      <c r="K2007" t="s">
        <v>21</v>
      </c>
      <c r="L2007" t="s">
        <v>1710</v>
      </c>
      <c r="M2007" t="s">
        <v>1709</v>
      </c>
      <c r="N2007" s="1">
        <f>Table1[[#This Row],[Consideration Weight]]</f>
        <v>0.43499999999999994</v>
      </c>
      <c r="O2007" t="s">
        <v>476</v>
      </c>
      <c r="P2007" s="1">
        <f>0.58*0.75</f>
        <v>0.43499999999999994</v>
      </c>
      <c r="Q2007" s="1" t="s">
        <v>1646</v>
      </c>
      <c r="R2007" t="s">
        <v>35</v>
      </c>
      <c r="S2007" t="s">
        <v>29</v>
      </c>
      <c r="T2007" t="s">
        <v>30</v>
      </c>
      <c r="U2007" s="1">
        <f>35/75</f>
        <v>0.46666666666666667</v>
      </c>
    </row>
    <row r="2008" spans="1:22" x14ac:dyDescent="0.3">
      <c r="A2008" t="s">
        <v>1221</v>
      </c>
      <c r="B2008" t="str">
        <f ca="1">OFFSET(Industries!C$1,MATCH(Table1[[#This Row],[Ticker]],Industries!$A$2:$A$150,0),0)</f>
        <v>Utilities</v>
      </c>
      <c r="C2008" t="str">
        <f ca="1">OFFSET(Industries!D$1,MATCH(Table1[[#This Row],[Ticker]],Industries!$A$2:$A$150,0),0)</f>
        <v>Utilities</v>
      </c>
      <c r="D2008" t="str">
        <f ca="1">OFFSET(Industries!E$1,MATCH(Table1[[#This Row],[Ticker]],Industries!$A$2:$A$150,0),0)</f>
        <v>Multi-Utilities</v>
      </c>
      <c r="E2008" t="s">
        <v>444</v>
      </c>
      <c r="F2008" t="str">
        <f ca="1">OFFSET(Industries!B$1,MATCH(Table1[[#This Row],[Ticker]],Industries!$A$2:$A$140,0),0)</f>
        <v>Large-Cap</v>
      </c>
      <c r="G2008" t="str">
        <f ca="1">OFFSET(Industries!F$1,MATCH(Table1[[#This Row],[Ticker]],Industries!$A$2:$A$140,0),0)</f>
        <v>BBB+</v>
      </c>
      <c r="H2008" t="s">
        <v>1434</v>
      </c>
      <c r="I2008" t="s">
        <v>1434</v>
      </c>
      <c r="J2008" s="2">
        <v>45366</v>
      </c>
      <c r="K2008" t="s">
        <v>21</v>
      </c>
      <c r="L2008" t="s">
        <v>1710</v>
      </c>
      <c r="M2008" t="s">
        <v>1709</v>
      </c>
      <c r="N2008" s="1"/>
      <c r="O2008" t="s">
        <v>476</v>
      </c>
      <c r="P2008" s="1">
        <f t="shared" ref="P2008:P2010" si="40">0.58*0.75</f>
        <v>0.43499999999999994</v>
      </c>
      <c r="Q2008" s="1" t="s">
        <v>1636</v>
      </c>
      <c r="R2008" t="s">
        <v>24</v>
      </c>
      <c r="S2008" t="s">
        <v>1089</v>
      </c>
      <c r="T2008" t="s">
        <v>86</v>
      </c>
      <c r="U2008" s="1">
        <f>35/75</f>
        <v>0.46666666666666667</v>
      </c>
    </row>
    <row r="2009" spans="1:22" x14ac:dyDescent="0.3">
      <c r="A2009" t="s">
        <v>1221</v>
      </c>
      <c r="B2009" t="str">
        <f ca="1">OFFSET(Industries!C$1,MATCH(Table1[[#This Row],[Ticker]],Industries!$A$2:$A$150,0),0)</f>
        <v>Utilities</v>
      </c>
      <c r="C2009" t="str">
        <f ca="1">OFFSET(Industries!D$1,MATCH(Table1[[#This Row],[Ticker]],Industries!$A$2:$A$150,0),0)</f>
        <v>Utilities</v>
      </c>
      <c r="D2009" t="str">
        <f ca="1">OFFSET(Industries!E$1,MATCH(Table1[[#This Row],[Ticker]],Industries!$A$2:$A$150,0),0)</f>
        <v>Multi-Utilities</v>
      </c>
      <c r="E2009" t="s">
        <v>444</v>
      </c>
      <c r="F2009" t="str">
        <f ca="1">OFFSET(Industries!B$1,MATCH(Table1[[#This Row],[Ticker]],Industries!$A$2:$A$140,0),0)</f>
        <v>Large-Cap</v>
      </c>
      <c r="G2009" t="str">
        <f ca="1">OFFSET(Industries!F$1,MATCH(Table1[[#This Row],[Ticker]],Industries!$A$2:$A$140,0),0)</f>
        <v>BBB+</v>
      </c>
      <c r="H2009" t="s">
        <v>1434</v>
      </c>
      <c r="I2009" t="s">
        <v>1434</v>
      </c>
      <c r="J2009" s="2">
        <v>45366</v>
      </c>
      <c r="K2009" t="s">
        <v>21</v>
      </c>
      <c r="L2009" t="s">
        <v>1710</v>
      </c>
      <c r="M2009" t="s">
        <v>1709</v>
      </c>
      <c r="N2009" s="1"/>
      <c r="O2009" t="s">
        <v>476</v>
      </c>
      <c r="P2009" s="1">
        <f t="shared" si="40"/>
        <v>0.43499999999999994</v>
      </c>
      <c r="Q2009" s="1" t="s">
        <v>1637</v>
      </c>
      <c r="R2009" t="s">
        <v>26</v>
      </c>
      <c r="S2009" t="s">
        <v>26</v>
      </c>
      <c r="T2009" t="s">
        <v>1224</v>
      </c>
      <c r="U2009" s="1">
        <f>5/75</f>
        <v>6.6666666666666666E-2</v>
      </c>
    </row>
    <row r="2010" spans="1:22" x14ac:dyDescent="0.3">
      <c r="A2010" t="s">
        <v>1221</v>
      </c>
      <c r="B2010" t="str">
        <f ca="1">OFFSET(Industries!C$1,MATCH(Table1[[#This Row],[Ticker]],Industries!$A$2:$A$150,0),0)</f>
        <v>Utilities</v>
      </c>
      <c r="C2010" t="str">
        <f ca="1">OFFSET(Industries!D$1,MATCH(Table1[[#This Row],[Ticker]],Industries!$A$2:$A$150,0),0)</f>
        <v>Utilities</v>
      </c>
      <c r="D2010" t="str">
        <f ca="1">OFFSET(Industries!E$1,MATCH(Table1[[#This Row],[Ticker]],Industries!$A$2:$A$150,0),0)</f>
        <v>Multi-Utilities</v>
      </c>
      <c r="E2010" t="s">
        <v>444</v>
      </c>
      <c r="F2010" t="str">
        <f ca="1">OFFSET(Industries!B$1,MATCH(Table1[[#This Row],[Ticker]],Industries!$A$2:$A$140,0),0)</f>
        <v>Large-Cap</v>
      </c>
      <c r="G2010" t="str">
        <f ca="1">OFFSET(Industries!F$1,MATCH(Table1[[#This Row],[Ticker]],Industries!$A$2:$A$140,0),0)</f>
        <v>BBB+</v>
      </c>
      <c r="H2010" t="s">
        <v>1434</v>
      </c>
      <c r="I2010" t="s">
        <v>1434</v>
      </c>
      <c r="J2010" s="2">
        <v>45366</v>
      </c>
      <c r="K2010" t="s">
        <v>21</v>
      </c>
      <c r="L2010" t="s">
        <v>1710</v>
      </c>
      <c r="M2010" t="s">
        <v>1709</v>
      </c>
      <c r="N2010" s="1"/>
      <c r="O2010" t="s">
        <v>476</v>
      </c>
      <c r="P2010" s="1">
        <f t="shared" si="40"/>
        <v>0.43499999999999994</v>
      </c>
      <c r="R2010" t="s">
        <v>28</v>
      </c>
      <c r="S2010" t="s">
        <v>1086</v>
      </c>
      <c r="T2010" t="s">
        <v>1225</v>
      </c>
    </row>
    <row r="2011" spans="1:22" x14ac:dyDescent="0.3">
      <c r="A2011" t="s">
        <v>1221</v>
      </c>
      <c r="B2011" t="str">
        <f ca="1">OFFSET(Industries!C$1,MATCH(Table1[[#This Row],[Ticker]],Industries!$A$2:$A$150,0),0)</f>
        <v>Utilities</v>
      </c>
      <c r="C2011" t="str">
        <f ca="1">OFFSET(Industries!D$1,MATCH(Table1[[#This Row],[Ticker]],Industries!$A$2:$A$150,0),0)</f>
        <v>Utilities</v>
      </c>
      <c r="D2011" t="str">
        <f ca="1">OFFSET(Industries!E$1,MATCH(Table1[[#This Row],[Ticker]],Industries!$A$2:$A$150,0),0)</f>
        <v>Multi-Utilities</v>
      </c>
      <c r="E2011" t="s">
        <v>444</v>
      </c>
      <c r="F2011" t="str">
        <f ca="1">OFFSET(Industries!B$1,MATCH(Table1[[#This Row],[Ticker]],Industries!$A$2:$A$140,0),0)</f>
        <v>Large-Cap</v>
      </c>
      <c r="G2011" t="str">
        <f ca="1">OFFSET(Industries!F$1,MATCH(Table1[[#This Row],[Ticker]],Industries!$A$2:$A$140,0),0)</f>
        <v>BBB+</v>
      </c>
      <c r="H2011" t="s">
        <v>1434</v>
      </c>
      <c r="I2011" t="s">
        <v>1434</v>
      </c>
      <c r="J2011" s="2">
        <v>45366</v>
      </c>
      <c r="K2011" t="s">
        <v>21</v>
      </c>
      <c r="L2011" t="s">
        <v>1710</v>
      </c>
      <c r="M2011" t="s">
        <v>1711</v>
      </c>
      <c r="N2011" s="1">
        <f>Table1[[#This Row],[Consideration Weight]]</f>
        <v>0.14499999999999999</v>
      </c>
      <c r="O2011" t="s">
        <v>194</v>
      </c>
      <c r="P2011" s="1">
        <f>0.25*0.58</f>
        <v>0.14499999999999999</v>
      </c>
    </row>
    <row r="2012" spans="1:22" x14ac:dyDescent="0.3">
      <c r="A2012" t="s">
        <v>1229</v>
      </c>
      <c r="B2012" t="str">
        <f ca="1">OFFSET(Industries!C$1,MATCH(Table1[[#This Row],[Ticker]],Industries!$A$2:$A$150,0),0)</f>
        <v>Consumer Discretionary</v>
      </c>
      <c r="C2012" t="str">
        <f ca="1">OFFSET(Industries!D$1,MATCH(Table1[[#This Row],[Ticker]],Industries!$A$2:$A$150,0),0)</f>
        <v>Automobiles and Components</v>
      </c>
      <c r="D2012" t="str">
        <f ca="1">OFFSET(Industries!E$1,MATCH(Table1[[#This Row],[Ticker]],Industries!$A$2:$A$150,0),0)</f>
        <v>Automobiles</v>
      </c>
      <c r="E2012" t="s">
        <v>259</v>
      </c>
      <c r="F2012" t="str">
        <f ca="1">OFFSET(Industries!B$1,MATCH(Table1[[#This Row],[Ticker]],Industries!$A$2:$A$140,0),0)</f>
        <v>Ultra-Cap</v>
      </c>
      <c r="G2012" t="str">
        <f ca="1">OFFSET(Industries!F$1,MATCH(Table1[[#This Row],[Ticker]],Industries!$A$2:$A$140,0),0)</f>
        <v>BBB</v>
      </c>
      <c r="H2012" t="s">
        <v>1434</v>
      </c>
      <c r="I2012" t="s">
        <v>1434</v>
      </c>
      <c r="J2012" s="2">
        <v>45406</v>
      </c>
      <c r="K2012" t="s">
        <v>2</v>
      </c>
      <c r="L2012" t="s">
        <v>3</v>
      </c>
      <c r="M2012" t="s">
        <v>1711</v>
      </c>
      <c r="N2012" s="1">
        <f>Table1[[#This Row],[Consideration Weight]]</f>
        <v>0.08</v>
      </c>
      <c r="O2012" t="s">
        <v>3</v>
      </c>
      <c r="P2012" s="1">
        <v>0.08</v>
      </c>
      <c r="V2012" t="s">
        <v>1238</v>
      </c>
    </row>
    <row r="2013" spans="1:22" x14ac:dyDescent="0.3">
      <c r="A2013" t="s">
        <v>1229</v>
      </c>
      <c r="B2013" t="str">
        <f ca="1">OFFSET(Industries!C$1,MATCH(Table1[[#This Row],[Ticker]],Industries!$A$2:$A$150,0),0)</f>
        <v>Consumer Discretionary</v>
      </c>
      <c r="C2013" t="str">
        <f ca="1">OFFSET(Industries!D$1,MATCH(Table1[[#This Row],[Ticker]],Industries!$A$2:$A$150,0),0)</f>
        <v>Automobiles and Components</v>
      </c>
      <c r="D2013" t="str">
        <f ca="1">OFFSET(Industries!E$1,MATCH(Table1[[#This Row],[Ticker]],Industries!$A$2:$A$150,0),0)</f>
        <v>Automobiles</v>
      </c>
      <c r="E2013" t="s">
        <v>259</v>
      </c>
      <c r="F2013" t="str">
        <f ca="1">OFFSET(Industries!B$1,MATCH(Table1[[#This Row],[Ticker]],Industries!$A$2:$A$140,0),0)</f>
        <v>Ultra-Cap</v>
      </c>
      <c r="G2013" t="str">
        <f ca="1">OFFSET(Industries!F$1,MATCH(Table1[[#This Row],[Ticker]],Industries!$A$2:$A$140,0),0)</f>
        <v>BBB</v>
      </c>
      <c r="H2013" t="s">
        <v>1434</v>
      </c>
      <c r="I2013" t="s">
        <v>1434</v>
      </c>
      <c r="J2013" s="2">
        <v>45406</v>
      </c>
      <c r="K2013" t="s">
        <v>2</v>
      </c>
      <c r="L2013" t="s">
        <v>1708</v>
      </c>
      <c r="M2013" t="s">
        <v>1709</v>
      </c>
      <c r="N2013" s="1">
        <f>Table1[[#This Row],[Consideration Weight]]</f>
        <v>0.16</v>
      </c>
      <c r="O2013" t="s">
        <v>4</v>
      </c>
      <c r="P2013" s="1">
        <v>0.16</v>
      </c>
      <c r="Q2013" s="1" t="s">
        <v>1636</v>
      </c>
      <c r="R2013" t="s">
        <v>24</v>
      </c>
      <c r="S2013" t="s">
        <v>90</v>
      </c>
      <c r="T2013" t="s">
        <v>8</v>
      </c>
      <c r="U2013" s="1">
        <v>0.35</v>
      </c>
      <c r="V2013" t="s">
        <v>1239</v>
      </c>
    </row>
    <row r="2014" spans="1:22" x14ac:dyDescent="0.3">
      <c r="A2014" t="s">
        <v>1229</v>
      </c>
      <c r="B2014" t="str">
        <f ca="1">OFFSET(Industries!C$1,MATCH(Table1[[#This Row],[Ticker]],Industries!$A$2:$A$150,0),0)</f>
        <v>Consumer Discretionary</v>
      </c>
      <c r="C2014" t="str">
        <f ca="1">OFFSET(Industries!D$1,MATCH(Table1[[#This Row],[Ticker]],Industries!$A$2:$A$150,0),0)</f>
        <v>Automobiles and Components</v>
      </c>
      <c r="D2014" t="str">
        <f ca="1">OFFSET(Industries!E$1,MATCH(Table1[[#This Row],[Ticker]],Industries!$A$2:$A$150,0),0)</f>
        <v>Automobiles</v>
      </c>
      <c r="E2014" t="s">
        <v>259</v>
      </c>
      <c r="F2014" t="str">
        <f ca="1">OFFSET(Industries!B$1,MATCH(Table1[[#This Row],[Ticker]],Industries!$A$2:$A$140,0),0)</f>
        <v>Ultra-Cap</v>
      </c>
      <c r="G2014" t="str">
        <f ca="1">OFFSET(Industries!F$1,MATCH(Table1[[#This Row],[Ticker]],Industries!$A$2:$A$140,0),0)</f>
        <v>BBB</v>
      </c>
      <c r="H2014" t="s">
        <v>1434</v>
      </c>
      <c r="I2014" t="s">
        <v>1434</v>
      </c>
      <c r="J2014" s="2">
        <v>45406</v>
      </c>
      <c r="K2014" t="s">
        <v>2</v>
      </c>
      <c r="L2014" t="s">
        <v>1708</v>
      </c>
      <c r="M2014" t="s">
        <v>1709</v>
      </c>
      <c r="N2014" s="1"/>
      <c r="O2014" t="s">
        <v>4</v>
      </c>
      <c r="P2014" s="1">
        <v>0.16</v>
      </c>
      <c r="Q2014" s="1" t="s">
        <v>1636</v>
      </c>
      <c r="R2014" t="s">
        <v>62</v>
      </c>
      <c r="S2014" t="s">
        <v>129</v>
      </c>
      <c r="T2014" t="s">
        <v>1230</v>
      </c>
      <c r="U2014" s="1">
        <v>0.25</v>
      </c>
      <c r="V2014" t="s">
        <v>1240</v>
      </c>
    </row>
    <row r="2015" spans="1:22" x14ac:dyDescent="0.3">
      <c r="A2015" t="s">
        <v>1229</v>
      </c>
      <c r="B2015" t="str">
        <f ca="1">OFFSET(Industries!C$1,MATCH(Table1[[#This Row],[Ticker]],Industries!$A$2:$A$150,0),0)</f>
        <v>Consumer Discretionary</v>
      </c>
      <c r="C2015" t="str">
        <f ca="1">OFFSET(Industries!D$1,MATCH(Table1[[#This Row],[Ticker]],Industries!$A$2:$A$150,0),0)</f>
        <v>Automobiles and Components</v>
      </c>
      <c r="D2015" t="str">
        <f ca="1">OFFSET(Industries!E$1,MATCH(Table1[[#This Row],[Ticker]],Industries!$A$2:$A$150,0),0)</f>
        <v>Automobiles</v>
      </c>
      <c r="E2015" t="s">
        <v>259</v>
      </c>
      <c r="F2015" t="str">
        <f ca="1">OFFSET(Industries!B$1,MATCH(Table1[[#This Row],[Ticker]],Industries!$A$2:$A$140,0),0)</f>
        <v>Ultra-Cap</v>
      </c>
      <c r="G2015" t="str">
        <f ca="1">OFFSET(Industries!F$1,MATCH(Table1[[#This Row],[Ticker]],Industries!$A$2:$A$140,0),0)</f>
        <v>BBB</v>
      </c>
      <c r="H2015" t="s">
        <v>1434</v>
      </c>
      <c r="I2015" t="s">
        <v>1434</v>
      </c>
      <c r="J2015" s="2">
        <v>45406</v>
      </c>
      <c r="K2015" t="s">
        <v>2</v>
      </c>
      <c r="L2015" t="s">
        <v>1708</v>
      </c>
      <c r="M2015" t="s">
        <v>1709</v>
      </c>
      <c r="N2015" s="1"/>
      <c r="O2015" t="s">
        <v>4</v>
      </c>
      <c r="P2015" s="1">
        <v>0.16</v>
      </c>
      <c r="Q2015" s="1" t="s">
        <v>1637</v>
      </c>
      <c r="R2015" t="s">
        <v>25</v>
      </c>
      <c r="S2015" t="s">
        <v>1086</v>
      </c>
      <c r="T2015" t="s">
        <v>1231</v>
      </c>
      <c r="U2015" s="1">
        <v>0.25</v>
      </c>
      <c r="V2015" t="s">
        <v>1240</v>
      </c>
    </row>
    <row r="2016" spans="1:22" x14ac:dyDescent="0.3">
      <c r="A2016" t="s">
        <v>1229</v>
      </c>
      <c r="B2016" t="str">
        <f ca="1">OFFSET(Industries!C$1,MATCH(Table1[[#This Row],[Ticker]],Industries!$A$2:$A$150,0),0)</f>
        <v>Consumer Discretionary</v>
      </c>
      <c r="C2016" t="str">
        <f ca="1">OFFSET(Industries!D$1,MATCH(Table1[[#This Row],[Ticker]],Industries!$A$2:$A$150,0),0)</f>
        <v>Automobiles and Components</v>
      </c>
      <c r="D2016" t="str">
        <f ca="1">OFFSET(Industries!E$1,MATCH(Table1[[#This Row],[Ticker]],Industries!$A$2:$A$150,0),0)</f>
        <v>Automobiles</v>
      </c>
      <c r="E2016" t="s">
        <v>259</v>
      </c>
      <c r="F2016" t="str">
        <f ca="1">OFFSET(Industries!B$1,MATCH(Table1[[#This Row],[Ticker]],Industries!$A$2:$A$140,0),0)</f>
        <v>Ultra-Cap</v>
      </c>
      <c r="G2016" t="str">
        <f ca="1">OFFSET(Industries!F$1,MATCH(Table1[[#This Row],[Ticker]],Industries!$A$2:$A$140,0),0)</f>
        <v>BBB</v>
      </c>
      <c r="H2016" t="s">
        <v>1434</v>
      </c>
      <c r="I2016" t="s">
        <v>1434</v>
      </c>
      <c r="J2016" s="2">
        <v>45406</v>
      </c>
      <c r="K2016" t="s">
        <v>2</v>
      </c>
      <c r="L2016" t="s">
        <v>1708</v>
      </c>
      <c r="M2016" t="s">
        <v>1709</v>
      </c>
      <c r="N2016" s="1"/>
      <c r="O2016" t="s">
        <v>4</v>
      </c>
      <c r="P2016" s="1">
        <v>0.16</v>
      </c>
      <c r="Q2016" s="1" t="s">
        <v>1637</v>
      </c>
      <c r="R2016" t="s">
        <v>25</v>
      </c>
      <c r="S2016" t="s">
        <v>1086</v>
      </c>
      <c r="T2016" t="s">
        <v>1232</v>
      </c>
      <c r="U2016" s="1">
        <v>0.1</v>
      </c>
      <c r="V2016" t="s">
        <v>1240</v>
      </c>
    </row>
    <row r="2017" spans="1:22" x14ac:dyDescent="0.3">
      <c r="A2017" t="s">
        <v>1229</v>
      </c>
      <c r="B2017" t="str">
        <f ca="1">OFFSET(Industries!C$1,MATCH(Table1[[#This Row],[Ticker]],Industries!$A$2:$A$150,0),0)</f>
        <v>Consumer Discretionary</v>
      </c>
      <c r="C2017" t="str">
        <f ca="1">OFFSET(Industries!D$1,MATCH(Table1[[#This Row],[Ticker]],Industries!$A$2:$A$150,0),0)</f>
        <v>Automobiles and Components</v>
      </c>
      <c r="D2017" t="str">
        <f ca="1">OFFSET(Industries!E$1,MATCH(Table1[[#This Row],[Ticker]],Industries!$A$2:$A$150,0),0)</f>
        <v>Automobiles</v>
      </c>
      <c r="E2017" t="s">
        <v>259</v>
      </c>
      <c r="F2017" t="str">
        <f ca="1">OFFSET(Industries!B$1,MATCH(Table1[[#This Row],[Ticker]],Industries!$A$2:$A$140,0),0)</f>
        <v>Ultra-Cap</v>
      </c>
      <c r="G2017" t="str">
        <f ca="1">OFFSET(Industries!F$1,MATCH(Table1[[#This Row],[Ticker]],Industries!$A$2:$A$140,0),0)</f>
        <v>BBB</v>
      </c>
      <c r="H2017" t="s">
        <v>1434</v>
      </c>
      <c r="I2017" t="s">
        <v>1434</v>
      </c>
      <c r="J2017" s="2">
        <v>45406</v>
      </c>
      <c r="K2017" t="s">
        <v>2</v>
      </c>
      <c r="L2017" t="s">
        <v>1708</v>
      </c>
      <c r="M2017" t="s">
        <v>1709</v>
      </c>
      <c r="N2017" s="1"/>
      <c r="O2017" t="s">
        <v>4</v>
      </c>
      <c r="P2017" s="1">
        <v>0.16</v>
      </c>
      <c r="Q2017" s="1" t="s">
        <v>1637</v>
      </c>
      <c r="R2017" t="s">
        <v>25</v>
      </c>
      <c r="S2017" t="s">
        <v>1086</v>
      </c>
      <c r="T2017" t="s">
        <v>1233</v>
      </c>
      <c r="U2017" s="1">
        <v>0.05</v>
      </c>
      <c r="V2017" t="s">
        <v>1234</v>
      </c>
    </row>
    <row r="2018" spans="1:22" x14ac:dyDescent="0.3">
      <c r="A2018" t="s">
        <v>1229</v>
      </c>
      <c r="B2018" t="str">
        <f ca="1">OFFSET(Industries!C$1,MATCH(Table1[[#This Row],[Ticker]],Industries!$A$2:$A$150,0),0)</f>
        <v>Consumer Discretionary</v>
      </c>
      <c r="C2018" t="str">
        <f ca="1">OFFSET(Industries!D$1,MATCH(Table1[[#This Row],[Ticker]],Industries!$A$2:$A$150,0),0)</f>
        <v>Automobiles and Components</v>
      </c>
      <c r="D2018" t="str">
        <f ca="1">OFFSET(Industries!E$1,MATCH(Table1[[#This Row],[Ticker]],Industries!$A$2:$A$150,0),0)</f>
        <v>Automobiles</v>
      </c>
      <c r="E2018" t="s">
        <v>259</v>
      </c>
      <c r="F2018" t="str">
        <f ca="1">OFFSET(Industries!B$1,MATCH(Table1[[#This Row],[Ticker]],Industries!$A$2:$A$140,0),0)</f>
        <v>Ultra-Cap</v>
      </c>
      <c r="G2018" t="str">
        <f ca="1">OFFSET(Industries!F$1,MATCH(Table1[[#This Row],[Ticker]],Industries!$A$2:$A$140,0),0)</f>
        <v>BBB</v>
      </c>
      <c r="H2018" t="s">
        <v>1434</v>
      </c>
      <c r="I2018" t="s">
        <v>1434</v>
      </c>
      <c r="J2018" s="2">
        <v>45406</v>
      </c>
      <c r="K2018" t="s">
        <v>2</v>
      </c>
      <c r="L2018" t="s">
        <v>1708</v>
      </c>
      <c r="M2018" t="s">
        <v>1709</v>
      </c>
      <c r="N2018" s="1"/>
      <c r="O2018" t="s">
        <v>4</v>
      </c>
      <c r="P2018" s="1">
        <v>0.16</v>
      </c>
      <c r="R2018" t="s">
        <v>28</v>
      </c>
      <c r="S2018" t="s">
        <v>1087</v>
      </c>
      <c r="T2018" t="s">
        <v>40</v>
      </c>
      <c r="V2018" t="s">
        <v>1563</v>
      </c>
    </row>
    <row r="2019" spans="1:22" x14ac:dyDescent="0.3">
      <c r="A2019" t="s">
        <v>1229</v>
      </c>
      <c r="B2019" t="str">
        <f ca="1">OFFSET(Industries!C$1,MATCH(Table1[[#This Row],[Ticker]],Industries!$A$2:$A$150,0),0)</f>
        <v>Consumer Discretionary</v>
      </c>
      <c r="C2019" t="str">
        <f ca="1">OFFSET(Industries!D$1,MATCH(Table1[[#This Row],[Ticker]],Industries!$A$2:$A$150,0),0)</f>
        <v>Automobiles and Components</v>
      </c>
      <c r="D2019" t="str">
        <f ca="1">OFFSET(Industries!E$1,MATCH(Table1[[#This Row],[Ticker]],Industries!$A$2:$A$150,0),0)</f>
        <v>Automobiles</v>
      </c>
      <c r="E2019" t="s">
        <v>259</v>
      </c>
      <c r="F2019" t="str">
        <f ca="1">OFFSET(Industries!B$1,MATCH(Table1[[#This Row],[Ticker]],Industries!$A$2:$A$140,0),0)</f>
        <v>Ultra-Cap</v>
      </c>
      <c r="G2019" t="str">
        <f ca="1">OFFSET(Industries!F$1,MATCH(Table1[[#This Row],[Ticker]],Industries!$A$2:$A$140,0),0)</f>
        <v>BBB</v>
      </c>
      <c r="H2019" t="s">
        <v>1434</v>
      </c>
      <c r="I2019" t="s">
        <v>1434</v>
      </c>
      <c r="J2019" s="2">
        <v>45406</v>
      </c>
      <c r="K2019" t="s">
        <v>2</v>
      </c>
      <c r="L2019" t="s">
        <v>1708</v>
      </c>
      <c r="M2019" t="s">
        <v>1709</v>
      </c>
      <c r="N2019" s="1"/>
      <c r="O2019" t="s">
        <v>4</v>
      </c>
      <c r="P2019" s="1">
        <v>0.16</v>
      </c>
      <c r="R2019" t="s">
        <v>28</v>
      </c>
      <c r="S2019" t="s">
        <v>1086</v>
      </c>
      <c r="T2019" t="s">
        <v>1562</v>
      </c>
      <c r="V2019" t="s">
        <v>1241</v>
      </c>
    </row>
    <row r="2020" spans="1:22" x14ac:dyDescent="0.3">
      <c r="A2020" t="s">
        <v>1229</v>
      </c>
      <c r="B2020" t="str">
        <f ca="1">OFFSET(Industries!C$1,MATCH(Table1[[#This Row],[Ticker]],Industries!$A$2:$A$150,0),0)</f>
        <v>Consumer Discretionary</v>
      </c>
      <c r="C2020" t="str">
        <f ca="1">OFFSET(Industries!D$1,MATCH(Table1[[#This Row],[Ticker]],Industries!$A$2:$A$150,0),0)</f>
        <v>Automobiles and Components</v>
      </c>
      <c r="D2020" t="str">
        <f ca="1">OFFSET(Industries!E$1,MATCH(Table1[[#This Row],[Ticker]],Industries!$A$2:$A$150,0),0)</f>
        <v>Automobiles</v>
      </c>
      <c r="E2020" t="s">
        <v>259</v>
      </c>
      <c r="F2020" t="str">
        <f ca="1">OFFSET(Industries!B$1,MATCH(Table1[[#This Row],[Ticker]],Industries!$A$2:$A$140,0),0)</f>
        <v>Ultra-Cap</v>
      </c>
      <c r="G2020" t="str">
        <f ca="1">OFFSET(Industries!F$1,MATCH(Table1[[#This Row],[Ticker]],Industries!$A$2:$A$140,0),0)</f>
        <v>BBB</v>
      </c>
      <c r="H2020" t="s">
        <v>1434</v>
      </c>
      <c r="I2020" t="s">
        <v>1434</v>
      </c>
      <c r="J2020" s="2">
        <v>45406</v>
      </c>
      <c r="K2020" t="s">
        <v>2</v>
      </c>
      <c r="L2020" t="s">
        <v>1710</v>
      </c>
      <c r="M2020" t="s">
        <v>1709</v>
      </c>
      <c r="N2020" s="1">
        <f>Table1[[#This Row],[Consideration Weight]]</f>
        <v>0.57000000000000006</v>
      </c>
      <c r="O2020" t="s">
        <v>476</v>
      </c>
      <c r="P2020" s="1">
        <f>0.76*0.75</f>
        <v>0.57000000000000006</v>
      </c>
      <c r="Q2020" s="1" t="s">
        <v>1636</v>
      </c>
      <c r="R2020" t="s">
        <v>62</v>
      </c>
      <c r="S2020" t="s">
        <v>63</v>
      </c>
      <c r="T2020" t="s">
        <v>1235</v>
      </c>
      <c r="U2020" s="1">
        <v>0.4</v>
      </c>
      <c r="V2020" t="s">
        <v>506</v>
      </c>
    </row>
    <row r="2021" spans="1:22" x14ac:dyDescent="0.3">
      <c r="A2021" t="s">
        <v>1229</v>
      </c>
      <c r="B2021" t="str">
        <f ca="1">OFFSET(Industries!C$1,MATCH(Table1[[#This Row],[Ticker]],Industries!$A$2:$A$150,0),0)</f>
        <v>Consumer Discretionary</v>
      </c>
      <c r="C2021" t="str">
        <f ca="1">OFFSET(Industries!D$1,MATCH(Table1[[#This Row],[Ticker]],Industries!$A$2:$A$150,0),0)</f>
        <v>Automobiles and Components</v>
      </c>
      <c r="D2021" t="str">
        <f ca="1">OFFSET(Industries!E$1,MATCH(Table1[[#This Row],[Ticker]],Industries!$A$2:$A$150,0),0)</f>
        <v>Automobiles</v>
      </c>
      <c r="E2021" t="s">
        <v>259</v>
      </c>
      <c r="F2021" t="str">
        <f ca="1">OFFSET(Industries!B$1,MATCH(Table1[[#This Row],[Ticker]],Industries!$A$2:$A$140,0),0)</f>
        <v>Ultra-Cap</v>
      </c>
      <c r="G2021" t="str">
        <f ca="1">OFFSET(Industries!F$1,MATCH(Table1[[#This Row],[Ticker]],Industries!$A$2:$A$140,0),0)</f>
        <v>BBB</v>
      </c>
      <c r="H2021" t="s">
        <v>1434</v>
      </c>
      <c r="I2021" t="s">
        <v>1434</v>
      </c>
      <c r="J2021" s="2">
        <v>45406</v>
      </c>
      <c r="K2021" t="s">
        <v>2</v>
      </c>
      <c r="L2021" t="s">
        <v>1710</v>
      </c>
      <c r="M2021" t="s">
        <v>1709</v>
      </c>
      <c r="N2021" s="1"/>
      <c r="O2021" t="s">
        <v>476</v>
      </c>
      <c r="P2021" s="1">
        <f t="shared" ref="P2021:P2023" si="41">0.76*0.75</f>
        <v>0.57000000000000006</v>
      </c>
      <c r="Q2021" s="1" t="s">
        <v>1646</v>
      </c>
      <c r="R2021" t="s">
        <v>35</v>
      </c>
      <c r="S2021" t="s">
        <v>29</v>
      </c>
      <c r="T2021" t="s">
        <v>30</v>
      </c>
      <c r="U2021" s="1">
        <v>0.4</v>
      </c>
      <c r="V2021" t="s">
        <v>1242</v>
      </c>
    </row>
    <row r="2022" spans="1:22" x14ac:dyDescent="0.3">
      <c r="A2022" t="s">
        <v>1229</v>
      </c>
      <c r="B2022" t="str">
        <f ca="1">OFFSET(Industries!C$1,MATCH(Table1[[#This Row],[Ticker]],Industries!$A$2:$A$150,0),0)</f>
        <v>Consumer Discretionary</v>
      </c>
      <c r="C2022" t="str">
        <f ca="1">OFFSET(Industries!D$1,MATCH(Table1[[#This Row],[Ticker]],Industries!$A$2:$A$150,0),0)</f>
        <v>Automobiles and Components</v>
      </c>
      <c r="D2022" t="str">
        <f ca="1">OFFSET(Industries!E$1,MATCH(Table1[[#This Row],[Ticker]],Industries!$A$2:$A$150,0),0)</f>
        <v>Automobiles</v>
      </c>
      <c r="E2022" t="s">
        <v>259</v>
      </c>
      <c r="F2022" t="str">
        <f ca="1">OFFSET(Industries!B$1,MATCH(Table1[[#This Row],[Ticker]],Industries!$A$2:$A$140,0),0)</f>
        <v>Ultra-Cap</v>
      </c>
      <c r="G2022" t="str">
        <f ca="1">OFFSET(Industries!F$1,MATCH(Table1[[#This Row],[Ticker]],Industries!$A$2:$A$140,0),0)</f>
        <v>BBB</v>
      </c>
      <c r="H2022" t="s">
        <v>1434</v>
      </c>
      <c r="I2022" t="s">
        <v>1434</v>
      </c>
      <c r="J2022" s="2">
        <v>45406</v>
      </c>
      <c r="K2022" t="s">
        <v>2</v>
      </c>
      <c r="L2022" t="s">
        <v>1710</v>
      </c>
      <c r="M2022" t="s">
        <v>1709</v>
      </c>
      <c r="N2022" s="1"/>
      <c r="O2022" t="s">
        <v>476</v>
      </c>
      <c r="P2022" s="1">
        <f t="shared" si="41"/>
        <v>0.57000000000000006</v>
      </c>
      <c r="Q2022" s="1" t="s">
        <v>1636</v>
      </c>
      <c r="R2022" t="s">
        <v>24</v>
      </c>
      <c r="S2022" t="s">
        <v>509</v>
      </c>
      <c r="T2022" t="s">
        <v>1236</v>
      </c>
      <c r="U2022" s="1">
        <v>0.2</v>
      </c>
      <c r="V2022" t="s">
        <v>1237</v>
      </c>
    </row>
    <row r="2023" spans="1:22" x14ac:dyDescent="0.3">
      <c r="A2023" t="s">
        <v>1229</v>
      </c>
      <c r="B2023" t="str">
        <f ca="1">OFFSET(Industries!C$1,MATCH(Table1[[#This Row],[Ticker]],Industries!$A$2:$A$150,0),0)</f>
        <v>Consumer Discretionary</v>
      </c>
      <c r="C2023" t="str">
        <f ca="1">OFFSET(Industries!D$1,MATCH(Table1[[#This Row],[Ticker]],Industries!$A$2:$A$150,0),0)</f>
        <v>Automobiles and Components</v>
      </c>
      <c r="D2023" t="str">
        <f ca="1">OFFSET(Industries!E$1,MATCH(Table1[[#This Row],[Ticker]],Industries!$A$2:$A$150,0),0)</f>
        <v>Automobiles</v>
      </c>
      <c r="E2023" t="s">
        <v>259</v>
      </c>
      <c r="F2023" t="str">
        <f ca="1">OFFSET(Industries!B$1,MATCH(Table1[[#This Row],[Ticker]],Industries!$A$2:$A$140,0),0)</f>
        <v>Ultra-Cap</v>
      </c>
      <c r="G2023" t="str">
        <f ca="1">OFFSET(Industries!F$1,MATCH(Table1[[#This Row],[Ticker]],Industries!$A$2:$A$140,0),0)</f>
        <v>BBB</v>
      </c>
      <c r="H2023" t="s">
        <v>1434</v>
      </c>
      <c r="I2023" t="s">
        <v>1434</v>
      </c>
      <c r="J2023" s="2">
        <v>45406</v>
      </c>
      <c r="K2023" t="s">
        <v>2</v>
      </c>
      <c r="L2023" t="s">
        <v>1710</v>
      </c>
      <c r="M2023" t="s">
        <v>1709</v>
      </c>
      <c r="N2023" s="1"/>
      <c r="O2023" t="s">
        <v>476</v>
      </c>
      <c r="P2023" s="1">
        <f t="shared" si="41"/>
        <v>0.57000000000000006</v>
      </c>
      <c r="R2023" t="s">
        <v>28</v>
      </c>
      <c r="S2023" t="s">
        <v>1095</v>
      </c>
      <c r="T2023" t="s">
        <v>55</v>
      </c>
    </row>
    <row r="2024" spans="1:22" x14ac:dyDescent="0.3">
      <c r="A2024" t="s">
        <v>1229</v>
      </c>
      <c r="B2024" t="str">
        <f ca="1">OFFSET(Industries!C$1,MATCH(Table1[[#This Row],[Ticker]],Industries!$A$2:$A$150,0),0)</f>
        <v>Consumer Discretionary</v>
      </c>
      <c r="C2024" t="str">
        <f ca="1">OFFSET(Industries!D$1,MATCH(Table1[[#This Row],[Ticker]],Industries!$A$2:$A$150,0),0)</f>
        <v>Automobiles and Components</v>
      </c>
      <c r="D2024" t="str">
        <f ca="1">OFFSET(Industries!E$1,MATCH(Table1[[#This Row],[Ticker]],Industries!$A$2:$A$150,0),0)</f>
        <v>Automobiles</v>
      </c>
      <c r="E2024" t="s">
        <v>259</v>
      </c>
      <c r="F2024" t="str">
        <f ca="1">OFFSET(Industries!B$1,MATCH(Table1[[#This Row],[Ticker]],Industries!$A$2:$A$140,0),0)</f>
        <v>Ultra-Cap</v>
      </c>
      <c r="G2024" t="str">
        <f ca="1">OFFSET(Industries!F$1,MATCH(Table1[[#This Row],[Ticker]],Industries!$A$2:$A$140,0),0)</f>
        <v>BBB</v>
      </c>
      <c r="H2024" t="s">
        <v>1434</v>
      </c>
      <c r="I2024" t="s">
        <v>1434</v>
      </c>
      <c r="J2024" s="2">
        <v>45406</v>
      </c>
      <c r="K2024" t="s">
        <v>2</v>
      </c>
      <c r="L2024" t="s">
        <v>1710</v>
      </c>
      <c r="M2024" t="s">
        <v>1711</v>
      </c>
      <c r="N2024" s="1">
        <f>Table1[[#This Row],[Consideration Weight]]</f>
        <v>0.19</v>
      </c>
      <c r="O2024" t="s">
        <v>194</v>
      </c>
      <c r="P2024" s="1">
        <f>0.76*0.25</f>
        <v>0.19</v>
      </c>
    </row>
    <row r="2025" spans="1:22" x14ac:dyDescent="0.3">
      <c r="A2025" t="s">
        <v>1229</v>
      </c>
      <c r="B2025" t="str">
        <f ca="1">OFFSET(Industries!C$1,MATCH(Table1[[#This Row],[Ticker]],Industries!$A$2:$A$150,0),0)</f>
        <v>Consumer Discretionary</v>
      </c>
      <c r="C2025" t="str">
        <f ca="1">OFFSET(Industries!D$1,MATCH(Table1[[#This Row],[Ticker]],Industries!$A$2:$A$150,0),0)</f>
        <v>Automobiles and Components</v>
      </c>
      <c r="D2025" t="str">
        <f ca="1">OFFSET(Industries!E$1,MATCH(Table1[[#This Row],[Ticker]],Industries!$A$2:$A$150,0),0)</f>
        <v>Automobiles</v>
      </c>
      <c r="E2025" t="s">
        <v>259</v>
      </c>
      <c r="F2025" t="str">
        <f ca="1">OFFSET(Industries!B$1,MATCH(Table1[[#This Row],[Ticker]],Industries!$A$2:$A$140,0),0)</f>
        <v>Ultra-Cap</v>
      </c>
      <c r="G2025" t="str">
        <f ca="1">OFFSET(Industries!F$1,MATCH(Table1[[#This Row],[Ticker]],Industries!$A$2:$A$140,0),0)</f>
        <v>BBB</v>
      </c>
      <c r="H2025" t="s">
        <v>1434</v>
      </c>
      <c r="I2025" t="s">
        <v>1434</v>
      </c>
      <c r="J2025" s="2">
        <v>45406</v>
      </c>
      <c r="K2025" t="s">
        <v>21</v>
      </c>
      <c r="L2025" t="s">
        <v>3</v>
      </c>
      <c r="M2025" t="s">
        <v>1711</v>
      </c>
      <c r="N2025" s="1">
        <f>Table1[[#This Row],[Consideration Weight]]</f>
        <v>0.09</v>
      </c>
      <c r="O2025" t="s">
        <v>3</v>
      </c>
      <c r="P2025" s="1">
        <v>0.09</v>
      </c>
    </row>
    <row r="2026" spans="1:22" x14ac:dyDescent="0.3">
      <c r="A2026" t="s">
        <v>1229</v>
      </c>
      <c r="B2026" t="str">
        <f ca="1">OFFSET(Industries!C$1,MATCH(Table1[[#This Row],[Ticker]],Industries!$A$2:$A$150,0),0)</f>
        <v>Consumer Discretionary</v>
      </c>
      <c r="C2026" t="str">
        <f ca="1">OFFSET(Industries!D$1,MATCH(Table1[[#This Row],[Ticker]],Industries!$A$2:$A$150,0),0)</f>
        <v>Automobiles and Components</v>
      </c>
      <c r="D2026" t="str">
        <f ca="1">OFFSET(Industries!E$1,MATCH(Table1[[#This Row],[Ticker]],Industries!$A$2:$A$150,0),0)</f>
        <v>Automobiles</v>
      </c>
      <c r="E2026" t="s">
        <v>259</v>
      </c>
      <c r="F2026" t="str">
        <f ca="1">OFFSET(Industries!B$1,MATCH(Table1[[#This Row],[Ticker]],Industries!$A$2:$A$140,0),0)</f>
        <v>Ultra-Cap</v>
      </c>
      <c r="G2026" t="str">
        <f ca="1">OFFSET(Industries!F$1,MATCH(Table1[[#This Row],[Ticker]],Industries!$A$2:$A$140,0),0)</f>
        <v>BBB</v>
      </c>
      <c r="H2026" t="s">
        <v>1434</v>
      </c>
      <c r="I2026" t="s">
        <v>1434</v>
      </c>
      <c r="J2026" s="2">
        <v>45406</v>
      </c>
      <c r="K2026" t="s">
        <v>21</v>
      </c>
      <c r="L2026" t="s">
        <v>1708</v>
      </c>
      <c r="M2026" t="s">
        <v>1709</v>
      </c>
      <c r="N2026" s="1">
        <f>Table1[[#This Row],[Consideration Weight]]</f>
        <v>0.11</v>
      </c>
      <c r="O2026" t="s">
        <v>4</v>
      </c>
      <c r="P2026" s="1">
        <v>0.11</v>
      </c>
      <c r="Q2026" s="1" t="s">
        <v>1636</v>
      </c>
      <c r="R2026" t="s">
        <v>24</v>
      </c>
      <c r="S2026" t="s">
        <v>90</v>
      </c>
      <c r="T2026" t="s">
        <v>8</v>
      </c>
      <c r="U2026" s="1">
        <v>0.35</v>
      </c>
    </row>
    <row r="2027" spans="1:22" x14ac:dyDescent="0.3">
      <c r="A2027" t="s">
        <v>1229</v>
      </c>
      <c r="B2027" t="str">
        <f ca="1">OFFSET(Industries!C$1,MATCH(Table1[[#This Row],[Ticker]],Industries!$A$2:$A$150,0),0)</f>
        <v>Consumer Discretionary</v>
      </c>
      <c r="C2027" t="str">
        <f ca="1">OFFSET(Industries!D$1,MATCH(Table1[[#This Row],[Ticker]],Industries!$A$2:$A$150,0),0)</f>
        <v>Automobiles and Components</v>
      </c>
      <c r="D2027" t="str">
        <f ca="1">OFFSET(Industries!E$1,MATCH(Table1[[#This Row],[Ticker]],Industries!$A$2:$A$150,0),0)</f>
        <v>Automobiles</v>
      </c>
      <c r="E2027" t="s">
        <v>259</v>
      </c>
      <c r="F2027" t="str">
        <f ca="1">OFFSET(Industries!B$1,MATCH(Table1[[#This Row],[Ticker]],Industries!$A$2:$A$140,0),0)</f>
        <v>Ultra-Cap</v>
      </c>
      <c r="G2027" t="str">
        <f ca="1">OFFSET(Industries!F$1,MATCH(Table1[[#This Row],[Ticker]],Industries!$A$2:$A$140,0),0)</f>
        <v>BBB</v>
      </c>
      <c r="H2027" t="s">
        <v>1434</v>
      </c>
      <c r="I2027" t="s">
        <v>1434</v>
      </c>
      <c r="J2027" s="2">
        <v>45406</v>
      </c>
      <c r="K2027" t="s">
        <v>21</v>
      </c>
      <c r="L2027" t="s">
        <v>1708</v>
      </c>
      <c r="M2027" t="s">
        <v>1709</v>
      </c>
      <c r="N2027" s="1"/>
      <c r="O2027" t="s">
        <v>4</v>
      </c>
      <c r="P2027" s="1">
        <v>0.11</v>
      </c>
      <c r="Q2027" s="1" t="s">
        <v>1636</v>
      </c>
      <c r="R2027" t="s">
        <v>62</v>
      </c>
      <c r="S2027" t="s">
        <v>129</v>
      </c>
      <c r="T2027" t="s">
        <v>1230</v>
      </c>
      <c r="U2027" s="1">
        <v>0.25</v>
      </c>
    </row>
    <row r="2028" spans="1:22" x14ac:dyDescent="0.3">
      <c r="A2028" t="s">
        <v>1229</v>
      </c>
      <c r="B2028" t="str">
        <f ca="1">OFFSET(Industries!C$1,MATCH(Table1[[#This Row],[Ticker]],Industries!$A$2:$A$150,0),0)</f>
        <v>Consumer Discretionary</v>
      </c>
      <c r="C2028" t="str">
        <f ca="1">OFFSET(Industries!D$1,MATCH(Table1[[#This Row],[Ticker]],Industries!$A$2:$A$150,0),0)</f>
        <v>Automobiles and Components</v>
      </c>
      <c r="D2028" t="str">
        <f ca="1">OFFSET(Industries!E$1,MATCH(Table1[[#This Row],[Ticker]],Industries!$A$2:$A$150,0),0)</f>
        <v>Automobiles</v>
      </c>
      <c r="E2028" t="s">
        <v>259</v>
      </c>
      <c r="F2028" t="str">
        <f ca="1">OFFSET(Industries!B$1,MATCH(Table1[[#This Row],[Ticker]],Industries!$A$2:$A$140,0),0)</f>
        <v>Ultra-Cap</v>
      </c>
      <c r="G2028" t="str">
        <f ca="1">OFFSET(Industries!F$1,MATCH(Table1[[#This Row],[Ticker]],Industries!$A$2:$A$140,0),0)</f>
        <v>BBB</v>
      </c>
      <c r="H2028" t="s">
        <v>1434</v>
      </c>
      <c r="I2028" t="s">
        <v>1434</v>
      </c>
      <c r="J2028" s="2">
        <v>45406</v>
      </c>
      <c r="K2028" t="s">
        <v>21</v>
      </c>
      <c r="L2028" t="s">
        <v>1708</v>
      </c>
      <c r="M2028" t="s">
        <v>1709</v>
      </c>
      <c r="N2028" s="1"/>
      <c r="O2028" t="s">
        <v>4</v>
      </c>
      <c r="P2028" s="1">
        <v>0.11</v>
      </c>
      <c r="Q2028" s="1" t="s">
        <v>1637</v>
      </c>
      <c r="R2028" t="s">
        <v>25</v>
      </c>
      <c r="S2028" t="s">
        <v>1086</v>
      </c>
      <c r="T2028" t="s">
        <v>1231</v>
      </c>
      <c r="U2028" s="1">
        <v>0.25</v>
      </c>
    </row>
    <row r="2029" spans="1:22" x14ac:dyDescent="0.3">
      <c r="A2029" t="s">
        <v>1229</v>
      </c>
      <c r="B2029" t="str">
        <f ca="1">OFFSET(Industries!C$1,MATCH(Table1[[#This Row],[Ticker]],Industries!$A$2:$A$150,0),0)</f>
        <v>Consumer Discretionary</v>
      </c>
      <c r="C2029" t="str">
        <f ca="1">OFFSET(Industries!D$1,MATCH(Table1[[#This Row],[Ticker]],Industries!$A$2:$A$150,0),0)</f>
        <v>Automobiles and Components</v>
      </c>
      <c r="D2029" t="str">
        <f ca="1">OFFSET(Industries!E$1,MATCH(Table1[[#This Row],[Ticker]],Industries!$A$2:$A$150,0),0)</f>
        <v>Automobiles</v>
      </c>
      <c r="E2029" t="s">
        <v>259</v>
      </c>
      <c r="F2029" t="str">
        <f ca="1">OFFSET(Industries!B$1,MATCH(Table1[[#This Row],[Ticker]],Industries!$A$2:$A$140,0),0)</f>
        <v>Ultra-Cap</v>
      </c>
      <c r="G2029" t="str">
        <f ca="1">OFFSET(Industries!F$1,MATCH(Table1[[#This Row],[Ticker]],Industries!$A$2:$A$140,0),0)</f>
        <v>BBB</v>
      </c>
      <c r="H2029" t="s">
        <v>1434</v>
      </c>
      <c r="I2029" t="s">
        <v>1434</v>
      </c>
      <c r="J2029" s="2">
        <v>45406</v>
      </c>
      <c r="K2029" t="s">
        <v>21</v>
      </c>
      <c r="L2029" t="s">
        <v>1708</v>
      </c>
      <c r="M2029" t="s">
        <v>1709</v>
      </c>
      <c r="N2029" s="1"/>
      <c r="O2029" t="s">
        <v>4</v>
      </c>
      <c r="P2029" s="1">
        <v>0.11</v>
      </c>
      <c r="Q2029" s="1" t="s">
        <v>1637</v>
      </c>
      <c r="R2029" t="s">
        <v>25</v>
      </c>
      <c r="S2029" t="s">
        <v>1086</v>
      </c>
      <c r="T2029" t="s">
        <v>1232</v>
      </c>
      <c r="U2029" s="1">
        <v>0.1</v>
      </c>
    </row>
    <row r="2030" spans="1:22" x14ac:dyDescent="0.3">
      <c r="A2030" t="s">
        <v>1229</v>
      </c>
      <c r="B2030" t="str">
        <f ca="1">OFFSET(Industries!C$1,MATCH(Table1[[#This Row],[Ticker]],Industries!$A$2:$A$150,0),0)</f>
        <v>Consumer Discretionary</v>
      </c>
      <c r="C2030" t="str">
        <f ca="1">OFFSET(Industries!D$1,MATCH(Table1[[#This Row],[Ticker]],Industries!$A$2:$A$150,0),0)</f>
        <v>Automobiles and Components</v>
      </c>
      <c r="D2030" t="str">
        <f ca="1">OFFSET(Industries!E$1,MATCH(Table1[[#This Row],[Ticker]],Industries!$A$2:$A$150,0),0)</f>
        <v>Automobiles</v>
      </c>
      <c r="E2030" t="s">
        <v>259</v>
      </c>
      <c r="F2030" t="str">
        <f ca="1">OFFSET(Industries!B$1,MATCH(Table1[[#This Row],[Ticker]],Industries!$A$2:$A$140,0),0)</f>
        <v>Ultra-Cap</v>
      </c>
      <c r="G2030" t="str">
        <f ca="1">OFFSET(Industries!F$1,MATCH(Table1[[#This Row],[Ticker]],Industries!$A$2:$A$140,0),0)</f>
        <v>BBB</v>
      </c>
      <c r="H2030" t="s">
        <v>1434</v>
      </c>
      <c r="I2030" t="s">
        <v>1434</v>
      </c>
      <c r="J2030" s="2">
        <v>45406</v>
      </c>
      <c r="K2030" t="s">
        <v>21</v>
      </c>
      <c r="L2030" t="s">
        <v>1708</v>
      </c>
      <c r="M2030" t="s">
        <v>1709</v>
      </c>
      <c r="N2030" s="1"/>
      <c r="O2030" t="s">
        <v>4</v>
      </c>
      <c r="P2030" s="1">
        <v>0.11</v>
      </c>
      <c r="Q2030" s="1" t="s">
        <v>1637</v>
      </c>
      <c r="R2030" t="s">
        <v>25</v>
      </c>
      <c r="S2030" t="s">
        <v>1086</v>
      </c>
      <c r="T2030" t="s">
        <v>1233</v>
      </c>
      <c r="U2030" s="1">
        <v>0.05</v>
      </c>
    </row>
    <row r="2031" spans="1:22" x14ac:dyDescent="0.3">
      <c r="A2031" t="s">
        <v>1229</v>
      </c>
      <c r="B2031" t="str">
        <f ca="1">OFFSET(Industries!C$1,MATCH(Table1[[#This Row],[Ticker]],Industries!$A$2:$A$150,0),0)</f>
        <v>Consumer Discretionary</v>
      </c>
      <c r="C2031" t="str">
        <f ca="1">OFFSET(Industries!D$1,MATCH(Table1[[#This Row],[Ticker]],Industries!$A$2:$A$150,0),0)</f>
        <v>Automobiles and Components</v>
      </c>
      <c r="D2031" t="str">
        <f ca="1">OFFSET(Industries!E$1,MATCH(Table1[[#This Row],[Ticker]],Industries!$A$2:$A$150,0),0)</f>
        <v>Automobiles</v>
      </c>
      <c r="E2031" t="s">
        <v>259</v>
      </c>
      <c r="F2031" t="str">
        <f ca="1">OFFSET(Industries!B$1,MATCH(Table1[[#This Row],[Ticker]],Industries!$A$2:$A$140,0),0)</f>
        <v>Ultra-Cap</v>
      </c>
      <c r="G2031" t="str">
        <f ca="1">OFFSET(Industries!F$1,MATCH(Table1[[#This Row],[Ticker]],Industries!$A$2:$A$140,0),0)</f>
        <v>BBB</v>
      </c>
      <c r="H2031" t="s">
        <v>1434</v>
      </c>
      <c r="I2031" t="s">
        <v>1434</v>
      </c>
      <c r="J2031" s="2">
        <v>45406</v>
      </c>
      <c r="K2031" t="s">
        <v>21</v>
      </c>
      <c r="L2031" t="s">
        <v>1708</v>
      </c>
      <c r="M2031" t="s">
        <v>1709</v>
      </c>
      <c r="N2031" s="1"/>
      <c r="O2031" t="s">
        <v>4</v>
      </c>
      <c r="P2031" s="1">
        <v>0.11</v>
      </c>
      <c r="R2031" t="s">
        <v>28</v>
      </c>
      <c r="S2031" t="s">
        <v>1087</v>
      </c>
      <c r="T2031" t="s">
        <v>40</v>
      </c>
    </row>
    <row r="2032" spans="1:22" x14ac:dyDescent="0.3">
      <c r="A2032" t="s">
        <v>1229</v>
      </c>
      <c r="B2032" t="str">
        <f ca="1">OFFSET(Industries!C$1,MATCH(Table1[[#This Row],[Ticker]],Industries!$A$2:$A$150,0),0)</f>
        <v>Consumer Discretionary</v>
      </c>
      <c r="C2032" t="str">
        <f ca="1">OFFSET(Industries!D$1,MATCH(Table1[[#This Row],[Ticker]],Industries!$A$2:$A$150,0),0)</f>
        <v>Automobiles and Components</v>
      </c>
      <c r="D2032" t="str">
        <f ca="1">OFFSET(Industries!E$1,MATCH(Table1[[#This Row],[Ticker]],Industries!$A$2:$A$150,0),0)</f>
        <v>Automobiles</v>
      </c>
      <c r="E2032" t="s">
        <v>259</v>
      </c>
      <c r="F2032" t="str">
        <f ca="1">OFFSET(Industries!B$1,MATCH(Table1[[#This Row],[Ticker]],Industries!$A$2:$A$140,0),0)</f>
        <v>Ultra-Cap</v>
      </c>
      <c r="G2032" t="str">
        <f ca="1">OFFSET(Industries!F$1,MATCH(Table1[[#This Row],[Ticker]],Industries!$A$2:$A$140,0),0)</f>
        <v>BBB</v>
      </c>
      <c r="H2032" t="s">
        <v>1434</v>
      </c>
      <c r="I2032" t="s">
        <v>1434</v>
      </c>
      <c r="J2032" s="2">
        <v>45406</v>
      </c>
      <c r="K2032" t="s">
        <v>21</v>
      </c>
      <c r="L2032" t="s">
        <v>1708</v>
      </c>
      <c r="M2032" t="s">
        <v>1709</v>
      </c>
      <c r="N2032" s="1"/>
      <c r="O2032" t="s">
        <v>4</v>
      </c>
      <c r="P2032" s="1">
        <v>0.11</v>
      </c>
      <c r="R2032" t="s">
        <v>28</v>
      </c>
      <c r="S2032" t="s">
        <v>1086</v>
      </c>
      <c r="T2032" t="s">
        <v>1562</v>
      </c>
    </row>
    <row r="2033" spans="1:22" x14ac:dyDescent="0.3">
      <c r="A2033" t="s">
        <v>1229</v>
      </c>
      <c r="B2033" t="str">
        <f ca="1">OFFSET(Industries!C$1,MATCH(Table1[[#This Row],[Ticker]],Industries!$A$2:$A$150,0),0)</f>
        <v>Consumer Discretionary</v>
      </c>
      <c r="C2033" t="str">
        <f ca="1">OFFSET(Industries!D$1,MATCH(Table1[[#This Row],[Ticker]],Industries!$A$2:$A$150,0),0)</f>
        <v>Automobiles and Components</v>
      </c>
      <c r="D2033" t="str">
        <f ca="1">OFFSET(Industries!E$1,MATCH(Table1[[#This Row],[Ticker]],Industries!$A$2:$A$150,0),0)</f>
        <v>Automobiles</v>
      </c>
      <c r="E2033" t="s">
        <v>259</v>
      </c>
      <c r="F2033" t="str">
        <f ca="1">OFFSET(Industries!B$1,MATCH(Table1[[#This Row],[Ticker]],Industries!$A$2:$A$140,0),0)</f>
        <v>Ultra-Cap</v>
      </c>
      <c r="G2033" t="str">
        <f ca="1">OFFSET(Industries!F$1,MATCH(Table1[[#This Row],[Ticker]],Industries!$A$2:$A$140,0),0)</f>
        <v>BBB</v>
      </c>
      <c r="H2033" t="s">
        <v>1434</v>
      </c>
      <c r="I2033" t="s">
        <v>1434</v>
      </c>
      <c r="J2033" s="2">
        <v>45406</v>
      </c>
      <c r="K2033" t="s">
        <v>21</v>
      </c>
      <c r="L2033" t="s">
        <v>1710</v>
      </c>
      <c r="M2033" t="s">
        <v>1709</v>
      </c>
      <c r="N2033" s="1">
        <f>Table1[[#This Row],[Consideration Weight]]</f>
        <v>0.60000000000000009</v>
      </c>
      <c r="O2033" t="s">
        <v>476</v>
      </c>
      <c r="P2033" s="1">
        <f>0.8*0.75</f>
        <v>0.60000000000000009</v>
      </c>
      <c r="Q2033" s="1" t="s">
        <v>1636</v>
      </c>
      <c r="R2033" t="s">
        <v>62</v>
      </c>
      <c r="S2033" t="s">
        <v>63</v>
      </c>
      <c r="T2033" t="s">
        <v>1235</v>
      </c>
      <c r="U2033" s="1">
        <v>0.4</v>
      </c>
    </row>
    <row r="2034" spans="1:22" x14ac:dyDescent="0.3">
      <c r="A2034" t="s">
        <v>1229</v>
      </c>
      <c r="B2034" t="str">
        <f ca="1">OFFSET(Industries!C$1,MATCH(Table1[[#This Row],[Ticker]],Industries!$A$2:$A$150,0),0)</f>
        <v>Consumer Discretionary</v>
      </c>
      <c r="C2034" t="str">
        <f ca="1">OFFSET(Industries!D$1,MATCH(Table1[[#This Row],[Ticker]],Industries!$A$2:$A$150,0),0)</f>
        <v>Automobiles and Components</v>
      </c>
      <c r="D2034" t="str">
        <f ca="1">OFFSET(Industries!E$1,MATCH(Table1[[#This Row],[Ticker]],Industries!$A$2:$A$150,0),0)</f>
        <v>Automobiles</v>
      </c>
      <c r="E2034" t="s">
        <v>259</v>
      </c>
      <c r="F2034" t="str">
        <f ca="1">OFFSET(Industries!B$1,MATCH(Table1[[#This Row],[Ticker]],Industries!$A$2:$A$140,0),0)</f>
        <v>Ultra-Cap</v>
      </c>
      <c r="G2034" t="str">
        <f ca="1">OFFSET(Industries!F$1,MATCH(Table1[[#This Row],[Ticker]],Industries!$A$2:$A$140,0),0)</f>
        <v>BBB</v>
      </c>
      <c r="H2034" t="s">
        <v>1434</v>
      </c>
      <c r="I2034" t="s">
        <v>1434</v>
      </c>
      <c r="J2034" s="2">
        <v>45406</v>
      </c>
      <c r="K2034" t="s">
        <v>21</v>
      </c>
      <c r="L2034" t="s">
        <v>1710</v>
      </c>
      <c r="M2034" t="s">
        <v>1709</v>
      </c>
      <c r="N2034" s="1"/>
      <c r="O2034" t="s">
        <v>476</v>
      </c>
      <c r="P2034" s="1">
        <f t="shared" ref="P2034:P2036" si="42">0.8*0.75</f>
        <v>0.60000000000000009</v>
      </c>
      <c r="Q2034" s="1" t="s">
        <v>1646</v>
      </c>
      <c r="R2034" t="s">
        <v>35</v>
      </c>
      <c r="S2034" t="s">
        <v>29</v>
      </c>
      <c r="T2034" t="s">
        <v>30</v>
      </c>
      <c r="U2034" s="1">
        <v>0.4</v>
      </c>
    </row>
    <row r="2035" spans="1:22" x14ac:dyDescent="0.3">
      <c r="A2035" t="s">
        <v>1229</v>
      </c>
      <c r="B2035" t="str">
        <f ca="1">OFFSET(Industries!C$1,MATCH(Table1[[#This Row],[Ticker]],Industries!$A$2:$A$150,0),0)</f>
        <v>Consumer Discretionary</v>
      </c>
      <c r="C2035" t="str">
        <f ca="1">OFFSET(Industries!D$1,MATCH(Table1[[#This Row],[Ticker]],Industries!$A$2:$A$150,0),0)</f>
        <v>Automobiles and Components</v>
      </c>
      <c r="D2035" t="str">
        <f ca="1">OFFSET(Industries!E$1,MATCH(Table1[[#This Row],[Ticker]],Industries!$A$2:$A$150,0),0)</f>
        <v>Automobiles</v>
      </c>
      <c r="E2035" t="s">
        <v>259</v>
      </c>
      <c r="F2035" t="str">
        <f ca="1">OFFSET(Industries!B$1,MATCH(Table1[[#This Row],[Ticker]],Industries!$A$2:$A$140,0),0)</f>
        <v>Ultra-Cap</v>
      </c>
      <c r="G2035" t="str">
        <f ca="1">OFFSET(Industries!F$1,MATCH(Table1[[#This Row],[Ticker]],Industries!$A$2:$A$140,0),0)</f>
        <v>BBB</v>
      </c>
      <c r="H2035" t="s">
        <v>1434</v>
      </c>
      <c r="I2035" t="s">
        <v>1434</v>
      </c>
      <c r="J2035" s="2">
        <v>45406</v>
      </c>
      <c r="K2035" t="s">
        <v>21</v>
      </c>
      <c r="L2035" t="s">
        <v>1710</v>
      </c>
      <c r="M2035" t="s">
        <v>1709</v>
      </c>
      <c r="N2035" s="1"/>
      <c r="O2035" t="s">
        <v>476</v>
      </c>
      <c r="P2035" s="1">
        <f t="shared" si="42"/>
        <v>0.60000000000000009</v>
      </c>
      <c r="Q2035" s="1" t="s">
        <v>1636</v>
      </c>
      <c r="R2035" t="s">
        <v>24</v>
      </c>
      <c r="S2035" t="s">
        <v>509</v>
      </c>
      <c r="T2035" t="s">
        <v>1236</v>
      </c>
      <c r="U2035" s="1">
        <v>0.2</v>
      </c>
    </row>
    <row r="2036" spans="1:22" x14ac:dyDescent="0.3">
      <c r="A2036" t="s">
        <v>1229</v>
      </c>
      <c r="B2036" t="str">
        <f ca="1">OFFSET(Industries!C$1,MATCH(Table1[[#This Row],[Ticker]],Industries!$A$2:$A$150,0),0)</f>
        <v>Consumer Discretionary</v>
      </c>
      <c r="C2036" t="str">
        <f ca="1">OFFSET(Industries!D$1,MATCH(Table1[[#This Row],[Ticker]],Industries!$A$2:$A$150,0),0)</f>
        <v>Automobiles and Components</v>
      </c>
      <c r="D2036" t="str">
        <f ca="1">OFFSET(Industries!E$1,MATCH(Table1[[#This Row],[Ticker]],Industries!$A$2:$A$150,0),0)</f>
        <v>Automobiles</v>
      </c>
      <c r="E2036" t="s">
        <v>259</v>
      </c>
      <c r="F2036" t="str">
        <f ca="1">OFFSET(Industries!B$1,MATCH(Table1[[#This Row],[Ticker]],Industries!$A$2:$A$140,0),0)</f>
        <v>Ultra-Cap</v>
      </c>
      <c r="G2036" t="str">
        <f ca="1">OFFSET(Industries!F$1,MATCH(Table1[[#This Row],[Ticker]],Industries!$A$2:$A$140,0),0)</f>
        <v>BBB</v>
      </c>
      <c r="H2036" t="s">
        <v>1434</v>
      </c>
      <c r="I2036" t="s">
        <v>1434</v>
      </c>
      <c r="J2036" s="2">
        <v>45406</v>
      </c>
      <c r="K2036" t="s">
        <v>21</v>
      </c>
      <c r="L2036" t="s">
        <v>1710</v>
      </c>
      <c r="M2036" t="s">
        <v>1709</v>
      </c>
      <c r="N2036" s="1"/>
      <c r="O2036" t="s">
        <v>476</v>
      </c>
      <c r="P2036" s="1">
        <f t="shared" si="42"/>
        <v>0.60000000000000009</v>
      </c>
      <c r="R2036" t="s">
        <v>28</v>
      </c>
      <c r="S2036" t="s">
        <v>1095</v>
      </c>
      <c r="T2036" t="s">
        <v>55</v>
      </c>
    </row>
    <row r="2037" spans="1:22" x14ac:dyDescent="0.3">
      <c r="A2037" t="s">
        <v>1229</v>
      </c>
      <c r="B2037" t="str">
        <f ca="1">OFFSET(Industries!C$1,MATCH(Table1[[#This Row],[Ticker]],Industries!$A$2:$A$150,0),0)</f>
        <v>Consumer Discretionary</v>
      </c>
      <c r="C2037" t="str">
        <f ca="1">OFFSET(Industries!D$1,MATCH(Table1[[#This Row],[Ticker]],Industries!$A$2:$A$150,0),0)</f>
        <v>Automobiles and Components</v>
      </c>
      <c r="D2037" t="str">
        <f ca="1">OFFSET(Industries!E$1,MATCH(Table1[[#This Row],[Ticker]],Industries!$A$2:$A$150,0),0)</f>
        <v>Automobiles</v>
      </c>
      <c r="E2037" t="s">
        <v>259</v>
      </c>
      <c r="F2037" t="str">
        <f ca="1">OFFSET(Industries!B$1,MATCH(Table1[[#This Row],[Ticker]],Industries!$A$2:$A$140,0),0)</f>
        <v>Ultra-Cap</v>
      </c>
      <c r="G2037" t="str">
        <f ca="1">OFFSET(Industries!F$1,MATCH(Table1[[#This Row],[Ticker]],Industries!$A$2:$A$140,0),0)</f>
        <v>BBB</v>
      </c>
      <c r="H2037" t="s">
        <v>1434</v>
      </c>
      <c r="I2037" t="s">
        <v>1434</v>
      </c>
      <c r="J2037" s="2">
        <v>45406</v>
      </c>
      <c r="K2037" t="s">
        <v>21</v>
      </c>
      <c r="L2037" t="s">
        <v>1710</v>
      </c>
      <c r="M2037" t="s">
        <v>1711</v>
      </c>
      <c r="N2037" s="1">
        <f>Table1[[#This Row],[Consideration Weight]]</f>
        <v>0.2</v>
      </c>
      <c r="O2037" t="s">
        <v>194</v>
      </c>
      <c r="P2037" s="1">
        <f>0.8*0.25</f>
        <v>0.2</v>
      </c>
    </row>
    <row r="2038" spans="1:22" x14ac:dyDescent="0.3">
      <c r="A2038" t="s">
        <v>1243</v>
      </c>
      <c r="B2038" t="str">
        <f ca="1">OFFSET(Industries!C$1,MATCH(Table1[[#This Row],[Ticker]],Industries!$A$2:$A$150,0),0)</f>
        <v>Industrials</v>
      </c>
      <c r="C2038" t="str">
        <f ca="1">OFFSET(Industries!D$1,MATCH(Table1[[#This Row],[Ticker]],Industries!$A$2:$A$150,0),0)</f>
        <v>Capital Goods</v>
      </c>
      <c r="D2038" t="str">
        <f ca="1">OFFSET(Industries!E$1,MATCH(Table1[[#This Row],[Ticker]],Industries!$A$2:$A$150,0),0)</f>
        <v>Aerospace and Defense</v>
      </c>
      <c r="E2038" t="s">
        <v>116</v>
      </c>
      <c r="F2038" t="str">
        <f ca="1">OFFSET(Industries!B$1,MATCH(Table1[[#This Row],[Ticker]],Industries!$A$2:$A$140,0),0)</f>
        <v>Large-Cap</v>
      </c>
      <c r="G2038" t="str">
        <f ca="1">OFFSET(Industries!F$1,MATCH(Table1[[#This Row],[Ticker]],Industries!$A$2:$A$140,0),0)</f>
        <v>BBB</v>
      </c>
      <c r="H2038" t="s">
        <v>1434</v>
      </c>
      <c r="I2038" t="s">
        <v>1434</v>
      </c>
      <c r="J2038" s="2">
        <v>45359</v>
      </c>
      <c r="K2038" t="s">
        <v>2</v>
      </c>
      <c r="L2038" t="s">
        <v>3</v>
      </c>
      <c r="M2038" t="s">
        <v>1711</v>
      </c>
      <c r="N2038" s="1">
        <f>Table1[[#This Row],[Consideration Weight]]</f>
        <v>0.08</v>
      </c>
      <c r="O2038" t="s">
        <v>3</v>
      </c>
      <c r="P2038" s="1">
        <v>0.08</v>
      </c>
      <c r="V2038" t="s">
        <v>1247</v>
      </c>
    </row>
    <row r="2039" spans="1:22" x14ac:dyDescent="0.3">
      <c r="A2039" t="s">
        <v>1243</v>
      </c>
      <c r="B2039" t="str">
        <f ca="1">OFFSET(Industries!C$1,MATCH(Table1[[#This Row],[Ticker]],Industries!$A$2:$A$150,0),0)</f>
        <v>Industrials</v>
      </c>
      <c r="C2039" t="str">
        <f ca="1">OFFSET(Industries!D$1,MATCH(Table1[[#This Row],[Ticker]],Industries!$A$2:$A$150,0),0)</f>
        <v>Capital Goods</v>
      </c>
      <c r="D2039" t="str">
        <f ca="1">OFFSET(Industries!E$1,MATCH(Table1[[#This Row],[Ticker]],Industries!$A$2:$A$150,0),0)</f>
        <v>Aerospace and Defense</v>
      </c>
      <c r="E2039" t="s">
        <v>116</v>
      </c>
      <c r="F2039" t="str">
        <f ca="1">OFFSET(Industries!B$1,MATCH(Table1[[#This Row],[Ticker]],Industries!$A$2:$A$140,0),0)</f>
        <v>Large-Cap</v>
      </c>
      <c r="G2039" t="str">
        <f ca="1">OFFSET(Industries!F$1,MATCH(Table1[[#This Row],[Ticker]],Industries!$A$2:$A$140,0),0)</f>
        <v>BBB</v>
      </c>
      <c r="H2039" t="s">
        <v>1434</v>
      </c>
      <c r="I2039" t="s">
        <v>1434</v>
      </c>
      <c r="J2039" s="2">
        <v>45359</v>
      </c>
      <c r="K2039" t="s">
        <v>2</v>
      </c>
      <c r="L2039" t="s">
        <v>1708</v>
      </c>
      <c r="M2039" t="s">
        <v>1709</v>
      </c>
      <c r="N2039" s="1">
        <f>Table1[[#This Row],[Consideration Weight]]</f>
        <v>0.16</v>
      </c>
      <c r="O2039" t="s">
        <v>4</v>
      </c>
      <c r="P2039" s="1">
        <v>0.16</v>
      </c>
      <c r="Q2039" s="1" t="s">
        <v>1636</v>
      </c>
      <c r="R2039" t="s">
        <v>62</v>
      </c>
      <c r="S2039" t="s">
        <v>129</v>
      </c>
      <c r="T2039" t="s">
        <v>117</v>
      </c>
      <c r="U2039" s="1">
        <v>0.5</v>
      </c>
      <c r="V2039" t="s">
        <v>1248</v>
      </c>
    </row>
    <row r="2040" spans="1:22" x14ac:dyDescent="0.3">
      <c r="A2040" t="s">
        <v>1243</v>
      </c>
      <c r="B2040" t="str">
        <f ca="1">OFFSET(Industries!C$1,MATCH(Table1[[#This Row],[Ticker]],Industries!$A$2:$A$150,0),0)</f>
        <v>Industrials</v>
      </c>
      <c r="C2040" t="str">
        <f ca="1">OFFSET(Industries!D$1,MATCH(Table1[[#This Row],[Ticker]],Industries!$A$2:$A$150,0),0)</f>
        <v>Capital Goods</v>
      </c>
      <c r="D2040" t="str">
        <f ca="1">OFFSET(Industries!E$1,MATCH(Table1[[#This Row],[Ticker]],Industries!$A$2:$A$150,0),0)</f>
        <v>Aerospace and Defense</v>
      </c>
      <c r="E2040" t="s">
        <v>116</v>
      </c>
      <c r="F2040" t="str">
        <f ca="1">OFFSET(Industries!B$1,MATCH(Table1[[#This Row],[Ticker]],Industries!$A$2:$A$140,0),0)</f>
        <v>Large-Cap</v>
      </c>
      <c r="G2040" t="str">
        <f ca="1">OFFSET(Industries!F$1,MATCH(Table1[[#This Row],[Ticker]],Industries!$A$2:$A$140,0),0)</f>
        <v>BBB</v>
      </c>
      <c r="H2040" t="s">
        <v>1434</v>
      </c>
      <c r="I2040" t="s">
        <v>1434</v>
      </c>
      <c r="J2040" s="2">
        <v>45359</v>
      </c>
      <c r="K2040" t="s">
        <v>2</v>
      </c>
      <c r="L2040" t="s">
        <v>1708</v>
      </c>
      <c r="M2040" t="s">
        <v>1709</v>
      </c>
      <c r="N2040" s="1"/>
      <c r="O2040" t="s">
        <v>4</v>
      </c>
      <c r="P2040" s="1">
        <v>0.16</v>
      </c>
      <c r="Q2040" s="1" t="s">
        <v>1636</v>
      </c>
      <c r="R2040" t="s">
        <v>24</v>
      </c>
      <c r="S2040" t="s">
        <v>90</v>
      </c>
      <c r="T2040" t="s">
        <v>8</v>
      </c>
      <c r="U2040" s="1">
        <v>0.2</v>
      </c>
      <c r="V2040" t="s">
        <v>1249</v>
      </c>
    </row>
    <row r="2041" spans="1:22" x14ac:dyDescent="0.3">
      <c r="A2041" t="s">
        <v>1243</v>
      </c>
      <c r="B2041" t="str">
        <f ca="1">OFFSET(Industries!C$1,MATCH(Table1[[#This Row],[Ticker]],Industries!$A$2:$A$150,0),0)</f>
        <v>Industrials</v>
      </c>
      <c r="C2041" t="str">
        <f ca="1">OFFSET(Industries!D$1,MATCH(Table1[[#This Row],[Ticker]],Industries!$A$2:$A$150,0),0)</f>
        <v>Capital Goods</v>
      </c>
      <c r="D2041" t="str">
        <f ca="1">OFFSET(Industries!E$1,MATCH(Table1[[#This Row],[Ticker]],Industries!$A$2:$A$150,0),0)</f>
        <v>Aerospace and Defense</v>
      </c>
      <c r="E2041" t="s">
        <v>116</v>
      </c>
      <c r="F2041" t="str">
        <f ca="1">OFFSET(Industries!B$1,MATCH(Table1[[#This Row],[Ticker]],Industries!$A$2:$A$140,0),0)</f>
        <v>Large-Cap</v>
      </c>
      <c r="G2041" t="str">
        <f ca="1">OFFSET(Industries!F$1,MATCH(Table1[[#This Row],[Ticker]],Industries!$A$2:$A$140,0),0)</f>
        <v>BBB</v>
      </c>
      <c r="H2041" t="s">
        <v>1434</v>
      </c>
      <c r="I2041" t="s">
        <v>1434</v>
      </c>
      <c r="J2041" s="2">
        <v>45359</v>
      </c>
      <c r="K2041" t="s">
        <v>2</v>
      </c>
      <c r="L2041" t="s">
        <v>1708</v>
      </c>
      <c r="M2041" t="s">
        <v>1709</v>
      </c>
      <c r="N2041" s="1"/>
      <c r="O2041" t="s">
        <v>4</v>
      </c>
      <c r="P2041" s="1">
        <v>0.16</v>
      </c>
      <c r="Q2041" s="1" t="s">
        <v>1636</v>
      </c>
      <c r="R2041" t="s">
        <v>24</v>
      </c>
      <c r="S2041" t="s">
        <v>509</v>
      </c>
      <c r="T2041" t="s">
        <v>38</v>
      </c>
      <c r="U2041" s="1">
        <v>0.1</v>
      </c>
      <c r="V2041" t="s">
        <v>1247</v>
      </c>
    </row>
    <row r="2042" spans="1:22" x14ac:dyDescent="0.3">
      <c r="A2042" t="s">
        <v>1243</v>
      </c>
      <c r="B2042" t="str">
        <f ca="1">OFFSET(Industries!C$1,MATCH(Table1[[#This Row],[Ticker]],Industries!$A$2:$A$150,0),0)</f>
        <v>Industrials</v>
      </c>
      <c r="C2042" t="str">
        <f ca="1">OFFSET(Industries!D$1,MATCH(Table1[[#This Row],[Ticker]],Industries!$A$2:$A$150,0),0)</f>
        <v>Capital Goods</v>
      </c>
      <c r="D2042" t="str">
        <f ca="1">OFFSET(Industries!E$1,MATCH(Table1[[#This Row],[Ticker]],Industries!$A$2:$A$150,0),0)</f>
        <v>Aerospace and Defense</v>
      </c>
      <c r="E2042" t="s">
        <v>116</v>
      </c>
      <c r="F2042" t="str">
        <f ca="1">OFFSET(Industries!B$1,MATCH(Table1[[#This Row],[Ticker]],Industries!$A$2:$A$140,0),0)</f>
        <v>Large-Cap</v>
      </c>
      <c r="G2042" t="str">
        <f ca="1">OFFSET(Industries!F$1,MATCH(Table1[[#This Row],[Ticker]],Industries!$A$2:$A$140,0),0)</f>
        <v>BBB</v>
      </c>
      <c r="H2042" t="s">
        <v>1434</v>
      </c>
      <c r="I2042" t="s">
        <v>1434</v>
      </c>
      <c r="J2042" s="2">
        <v>45359</v>
      </c>
      <c r="K2042" t="s">
        <v>2</v>
      </c>
      <c r="L2042" t="s">
        <v>1708</v>
      </c>
      <c r="M2042" t="s">
        <v>1709</v>
      </c>
      <c r="N2042" s="1"/>
      <c r="O2042" t="s">
        <v>4</v>
      </c>
      <c r="P2042" s="1">
        <v>0.16</v>
      </c>
      <c r="Q2042" s="1" t="s">
        <v>1636</v>
      </c>
      <c r="R2042" t="s">
        <v>23</v>
      </c>
      <c r="S2042" t="s">
        <v>1083</v>
      </c>
      <c r="T2042" t="s">
        <v>7</v>
      </c>
      <c r="U2042" s="1">
        <v>0.1</v>
      </c>
    </row>
    <row r="2043" spans="1:22" x14ac:dyDescent="0.3">
      <c r="A2043" t="s">
        <v>1243</v>
      </c>
      <c r="B2043" t="str">
        <f ca="1">OFFSET(Industries!C$1,MATCH(Table1[[#This Row],[Ticker]],Industries!$A$2:$A$150,0),0)</f>
        <v>Industrials</v>
      </c>
      <c r="C2043" t="str">
        <f ca="1">OFFSET(Industries!D$1,MATCH(Table1[[#This Row],[Ticker]],Industries!$A$2:$A$150,0),0)</f>
        <v>Capital Goods</v>
      </c>
      <c r="D2043" t="str">
        <f ca="1">OFFSET(Industries!E$1,MATCH(Table1[[#This Row],[Ticker]],Industries!$A$2:$A$150,0),0)</f>
        <v>Aerospace and Defense</v>
      </c>
      <c r="E2043" t="s">
        <v>116</v>
      </c>
      <c r="F2043" t="str">
        <f ca="1">OFFSET(Industries!B$1,MATCH(Table1[[#This Row],[Ticker]],Industries!$A$2:$A$140,0),0)</f>
        <v>Large-Cap</v>
      </c>
      <c r="G2043" t="str">
        <f ca="1">OFFSET(Industries!F$1,MATCH(Table1[[#This Row],[Ticker]],Industries!$A$2:$A$140,0),0)</f>
        <v>BBB</v>
      </c>
      <c r="H2043" t="s">
        <v>1434</v>
      </c>
      <c r="I2043" t="s">
        <v>1434</v>
      </c>
      <c r="J2043" s="2">
        <v>45359</v>
      </c>
      <c r="K2043" t="s">
        <v>2</v>
      </c>
      <c r="L2043" t="s">
        <v>1708</v>
      </c>
      <c r="M2043" t="s">
        <v>1709</v>
      </c>
      <c r="N2043" s="1"/>
      <c r="O2043" t="s">
        <v>4</v>
      </c>
      <c r="P2043" s="1">
        <v>0.16</v>
      </c>
      <c r="Q2043" s="1" t="s">
        <v>1636</v>
      </c>
      <c r="R2043" t="s">
        <v>25</v>
      </c>
      <c r="S2043" t="s">
        <v>1086</v>
      </c>
      <c r="T2043" t="s">
        <v>1244</v>
      </c>
      <c r="U2043" s="1">
        <v>0.1</v>
      </c>
      <c r="V2043" t="s">
        <v>1251</v>
      </c>
    </row>
    <row r="2044" spans="1:22" x14ac:dyDescent="0.3">
      <c r="A2044" t="s">
        <v>1243</v>
      </c>
      <c r="B2044" t="str">
        <f ca="1">OFFSET(Industries!C$1,MATCH(Table1[[#This Row],[Ticker]],Industries!$A$2:$A$150,0),0)</f>
        <v>Industrials</v>
      </c>
      <c r="C2044" t="str">
        <f ca="1">OFFSET(Industries!D$1,MATCH(Table1[[#This Row],[Ticker]],Industries!$A$2:$A$150,0),0)</f>
        <v>Capital Goods</v>
      </c>
      <c r="D2044" t="str">
        <f ca="1">OFFSET(Industries!E$1,MATCH(Table1[[#This Row],[Ticker]],Industries!$A$2:$A$150,0),0)</f>
        <v>Aerospace and Defense</v>
      </c>
      <c r="E2044" t="s">
        <v>116</v>
      </c>
      <c r="F2044" t="str">
        <f ca="1">OFFSET(Industries!B$1,MATCH(Table1[[#This Row],[Ticker]],Industries!$A$2:$A$140,0),0)</f>
        <v>Large-Cap</v>
      </c>
      <c r="G2044" t="str">
        <f ca="1">OFFSET(Industries!F$1,MATCH(Table1[[#This Row],[Ticker]],Industries!$A$2:$A$140,0),0)</f>
        <v>BBB</v>
      </c>
      <c r="H2044" t="s">
        <v>1434</v>
      </c>
      <c r="I2044" t="s">
        <v>1434</v>
      </c>
      <c r="J2044" s="2">
        <v>45359</v>
      </c>
      <c r="K2044" t="s">
        <v>2</v>
      </c>
      <c r="L2044" t="s">
        <v>1708</v>
      </c>
      <c r="M2044" t="s">
        <v>1709</v>
      </c>
      <c r="N2044" s="1"/>
      <c r="O2044" t="s">
        <v>4</v>
      </c>
      <c r="P2044" s="1">
        <v>0.16</v>
      </c>
      <c r="R2044" t="s">
        <v>28</v>
      </c>
      <c r="S2044" t="s">
        <v>1110</v>
      </c>
      <c r="T2044" t="s">
        <v>172</v>
      </c>
      <c r="V2044" t="s">
        <v>1250</v>
      </c>
    </row>
    <row r="2045" spans="1:22" x14ac:dyDescent="0.3">
      <c r="A2045" t="s">
        <v>1243</v>
      </c>
      <c r="B2045" t="str">
        <f ca="1">OFFSET(Industries!C$1,MATCH(Table1[[#This Row],[Ticker]],Industries!$A$2:$A$150,0),0)</f>
        <v>Industrials</v>
      </c>
      <c r="C2045" t="str">
        <f ca="1">OFFSET(Industries!D$1,MATCH(Table1[[#This Row],[Ticker]],Industries!$A$2:$A$150,0),0)</f>
        <v>Capital Goods</v>
      </c>
      <c r="D2045" t="str">
        <f ca="1">OFFSET(Industries!E$1,MATCH(Table1[[#This Row],[Ticker]],Industries!$A$2:$A$150,0),0)</f>
        <v>Aerospace and Defense</v>
      </c>
      <c r="E2045" t="s">
        <v>116</v>
      </c>
      <c r="F2045" t="str">
        <f ca="1">OFFSET(Industries!B$1,MATCH(Table1[[#This Row],[Ticker]],Industries!$A$2:$A$140,0),0)</f>
        <v>Large-Cap</v>
      </c>
      <c r="G2045" t="str">
        <f ca="1">OFFSET(Industries!F$1,MATCH(Table1[[#This Row],[Ticker]],Industries!$A$2:$A$140,0),0)</f>
        <v>BBB</v>
      </c>
      <c r="H2045" t="s">
        <v>1434</v>
      </c>
      <c r="I2045" t="s">
        <v>1434</v>
      </c>
      <c r="J2045" s="2">
        <v>45359</v>
      </c>
      <c r="K2045" t="s">
        <v>2</v>
      </c>
      <c r="L2045" t="s">
        <v>1710</v>
      </c>
      <c r="M2045" t="s">
        <v>1709</v>
      </c>
      <c r="N2045" s="1">
        <f>Table1[[#This Row],[Consideration Weight]]</f>
        <v>0.38</v>
      </c>
      <c r="O2045" t="s">
        <v>476</v>
      </c>
      <c r="P2045" s="1">
        <v>0.38</v>
      </c>
      <c r="Q2045" s="1" t="s">
        <v>1646</v>
      </c>
      <c r="R2045" t="s">
        <v>35</v>
      </c>
      <c r="S2045" t="s">
        <v>29</v>
      </c>
      <c r="T2045" t="s">
        <v>30</v>
      </c>
      <c r="U2045" s="1">
        <f>1/3</f>
        <v>0.33333333333333331</v>
      </c>
      <c r="V2045" t="s">
        <v>724</v>
      </c>
    </row>
    <row r="2046" spans="1:22" x14ac:dyDescent="0.3">
      <c r="A2046" t="s">
        <v>1243</v>
      </c>
      <c r="B2046" t="str">
        <f ca="1">OFFSET(Industries!C$1,MATCH(Table1[[#This Row],[Ticker]],Industries!$A$2:$A$150,0),0)</f>
        <v>Industrials</v>
      </c>
      <c r="C2046" t="str">
        <f ca="1">OFFSET(Industries!D$1,MATCH(Table1[[#This Row],[Ticker]],Industries!$A$2:$A$150,0),0)</f>
        <v>Capital Goods</v>
      </c>
      <c r="D2046" t="str">
        <f ca="1">OFFSET(Industries!E$1,MATCH(Table1[[#This Row],[Ticker]],Industries!$A$2:$A$150,0),0)</f>
        <v>Aerospace and Defense</v>
      </c>
      <c r="E2046" t="s">
        <v>116</v>
      </c>
      <c r="F2046" t="str">
        <f ca="1">OFFSET(Industries!B$1,MATCH(Table1[[#This Row],[Ticker]],Industries!$A$2:$A$140,0),0)</f>
        <v>Large-Cap</v>
      </c>
      <c r="G2046" t="str">
        <f ca="1">OFFSET(Industries!F$1,MATCH(Table1[[#This Row],[Ticker]],Industries!$A$2:$A$140,0),0)</f>
        <v>BBB</v>
      </c>
      <c r="H2046" t="s">
        <v>1434</v>
      </c>
      <c r="I2046" t="s">
        <v>1434</v>
      </c>
      <c r="J2046" s="2">
        <v>45359</v>
      </c>
      <c r="K2046" t="s">
        <v>2</v>
      </c>
      <c r="L2046" t="s">
        <v>1710</v>
      </c>
      <c r="M2046" t="s">
        <v>1709</v>
      </c>
      <c r="N2046" s="1"/>
      <c r="O2046" t="s">
        <v>476</v>
      </c>
      <c r="P2046" s="1">
        <v>0.38</v>
      </c>
      <c r="Q2046" s="1" t="s">
        <v>1636</v>
      </c>
      <c r="R2046" t="s">
        <v>24</v>
      </c>
      <c r="S2046" t="s">
        <v>1089</v>
      </c>
      <c r="T2046" t="s">
        <v>86</v>
      </c>
      <c r="U2046" s="1">
        <f t="shared" ref="U2046:U2047" si="43">1/3</f>
        <v>0.33333333333333331</v>
      </c>
      <c r="V2046" t="s">
        <v>724</v>
      </c>
    </row>
    <row r="2047" spans="1:22" x14ac:dyDescent="0.3">
      <c r="A2047" t="s">
        <v>1243</v>
      </c>
      <c r="B2047" t="str">
        <f ca="1">OFFSET(Industries!C$1,MATCH(Table1[[#This Row],[Ticker]],Industries!$A$2:$A$150,0),0)</f>
        <v>Industrials</v>
      </c>
      <c r="C2047" t="str">
        <f ca="1">OFFSET(Industries!D$1,MATCH(Table1[[#This Row],[Ticker]],Industries!$A$2:$A$150,0),0)</f>
        <v>Capital Goods</v>
      </c>
      <c r="D2047" t="str">
        <f ca="1">OFFSET(Industries!E$1,MATCH(Table1[[#This Row],[Ticker]],Industries!$A$2:$A$150,0),0)</f>
        <v>Aerospace and Defense</v>
      </c>
      <c r="E2047" t="s">
        <v>116</v>
      </c>
      <c r="F2047" t="str">
        <f ca="1">OFFSET(Industries!B$1,MATCH(Table1[[#This Row],[Ticker]],Industries!$A$2:$A$140,0),0)</f>
        <v>Large-Cap</v>
      </c>
      <c r="G2047" t="str">
        <f ca="1">OFFSET(Industries!F$1,MATCH(Table1[[#This Row],[Ticker]],Industries!$A$2:$A$140,0),0)</f>
        <v>BBB</v>
      </c>
      <c r="H2047" t="s">
        <v>1434</v>
      </c>
      <c r="I2047" t="s">
        <v>1434</v>
      </c>
      <c r="J2047" s="2">
        <v>45359</v>
      </c>
      <c r="K2047" t="s">
        <v>2</v>
      </c>
      <c r="L2047" t="s">
        <v>1710</v>
      </c>
      <c r="M2047" t="s">
        <v>1709</v>
      </c>
      <c r="N2047" s="1"/>
      <c r="O2047" t="s">
        <v>476</v>
      </c>
      <c r="P2047" s="1">
        <v>0.38</v>
      </c>
      <c r="Q2047" s="1" t="s">
        <v>1636</v>
      </c>
      <c r="R2047" t="s">
        <v>1059</v>
      </c>
      <c r="S2047" t="s">
        <v>1101</v>
      </c>
      <c r="T2047" t="s">
        <v>1252</v>
      </c>
      <c r="U2047" s="1">
        <f t="shared" si="43"/>
        <v>0.33333333333333331</v>
      </c>
      <c r="V2047" t="s">
        <v>1246</v>
      </c>
    </row>
    <row r="2048" spans="1:22" x14ac:dyDescent="0.3">
      <c r="A2048" t="s">
        <v>1243</v>
      </c>
      <c r="B2048" t="str">
        <f ca="1">OFFSET(Industries!C$1,MATCH(Table1[[#This Row],[Ticker]],Industries!$A$2:$A$150,0),0)</f>
        <v>Industrials</v>
      </c>
      <c r="C2048" t="str">
        <f ca="1">OFFSET(Industries!D$1,MATCH(Table1[[#This Row],[Ticker]],Industries!$A$2:$A$150,0),0)</f>
        <v>Capital Goods</v>
      </c>
      <c r="D2048" t="str">
        <f ca="1">OFFSET(Industries!E$1,MATCH(Table1[[#This Row],[Ticker]],Industries!$A$2:$A$150,0),0)</f>
        <v>Aerospace and Defense</v>
      </c>
      <c r="E2048" t="s">
        <v>116</v>
      </c>
      <c r="F2048" t="str">
        <f ca="1">OFFSET(Industries!B$1,MATCH(Table1[[#This Row],[Ticker]],Industries!$A$2:$A$140,0),0)</f>
        <v>Large-Cap</v>
      </c>
      <c r="G2048" t="str">
        <f ca="1">OFFSET(Industries!F$1,MATCH(Table1[[#This Row],[Ticker]],Industries!$A$2:$A$140,0),0)</f>
        <v>BBB</v>
      </c>
      <c r="H2048" t="s">
        <v>1434</v>
      </c>
      <c r="I2048" t="s">
        <v>1434</v>
      </c>
      <c r="J2048" s="2">
        <v>45359</v>
      </c>
      <c r="K2048" t="s">
        <v>2</v>
      </c>
      <c r="L2048" t="s">
        <v>1710</v>
      </c>
      <c r="M2048" t="s">
        <v>1709</v>
      </c>
      <c r="N2048" s="1"/>
      <c r="O2048" t="s">
        <v>476</v>
      </c>
      <c r="P2048" s="1">
        <v>0.38</v>
      </c>
      <c r="R2048" t="s">
        <v>28</v>
      </c>
      <c r="S2048" t="s">
        <v>1245</v>
      </c>
      <c r="T2048" t="s">
        <v>38</v>
      </c>
    </row>
    <row r="2049" spans="1:22" x14ac:dyDescent="0.3">
      <c r="A2049" t="s">
        <v>1243</v>
      </c>
      <c r="B2049" t="str">
        <f ca="1">OFFSET(Industries!C$1,MATCH(Table1[[#This Row],[Ticker]],Industries!$A$2:$A$150,0),0)</f>
        <v>Industrials</v>
      </c>
      <c r="C2049" t="str">
        <f ca="1">OFFSET(Industries!D$1,MATCH(Table1[[#This Row],[Ticker]],Industries!$A$2:$A$150,0),0)</f>
        <v>Capital Goods</v>
      </c>
      <c r="D2049" t="str">
        <f ca="1">OFFSET(Industries!E$1,MATCH(Table1[[#This Row],[Ticker]],Industries!$A$2:$A$150,0),0)</f>
        <v>Aerospace and Defense</v>
      </c>
      <c r="E2049" t="s">
        <v>116</v>
      </c>
      <c r="F2049" t="str">
        <f ca="1">OFFSET(Industries!B$1,MATCH(Table1[[#This Row],[Ticker]],Industries!$A$2:$A$140,0),0)</f>
        <v>Large-Cap</v>
      </c>
      <c r="G2049" t="str">
        <f ca="1">OFFSET(Industries!F$1,MATCH(Table1[[#This Row],[Ticker]],Industries!$A$2:$A$140,0),0)</f>
        <v>BBB</v>
      </c>
      <c r="H2049" t="s">
        <v>1434</v>
      </c>
      <c r="I2049" t="s">
        <v>1434</v>
      </c>
      <c r="J2049" s="2">
        <v>45359</v>
      </c>
      <c r="K2049" t="s">
        <v>2</v>
      </c>
      <c r="L2049" t="s">
        <v>1710</v>
      </c>
      <c r="M2049" t="s">
        <v>1711</v>
      </c>
      <c r="N2049" s="1">
        <f>Table1[[#This Row],[Consideration Weight]]</f>
        <v>0.19</v>
      </c>
      <c r="O2049" t="s">
        <v>194</v>
      </c>
      <c r="P2049" s="1">
        <v>0.19</v>
      </c>
    </row>
    <row r="2050" spans="1:22" x14ac:dyDescent="0.3">
      <c r="A2050" t="s">
        <v>1243</v>
      </c>
      <c r="B2050" t="str">
        <f ca="1">OFFSET(Industries!C$1,MATCH(Table1[[#This Row],[Ticker]],Industries!$A$2:$A$150,0),0)</f>
        <v>Industrials</v>
      </c>
      <c r="C2050" t="str">
        <f ca="1">OFFSET(Industries!D$1,MATCH(Table1[[#This Row],[Ticker]],Industries!$A$2:$A$150,0),0)</f>
        <v>Capital Goods</v>
      </c>
      <c r="D2050" t="str">
        <f ca="1">OFFSET(Industries!E$1,MATCH(Table1[[#This Row],[Ticker]],Industries!$A$2:$A$150,0),0)</f>
        <v>Aerospace and Defense</v>
      </c>
      <c r="E2050" t="s">
        <v>116</v>
      </c>
      <c r="F2050" t="str">
        <f ca="1">OFFSET(Industries!B$1,MATCH(Table1[[#This Row],[Ticker]],Industries!$A$2:$A$140,0),0)</f>
        <v>Large-Cap</v>
      </c>
      <c r="G2050" t="str">
        <f ca="1">OFFSET(Industries!F$1,MATCH(Table1[[#This Row],[Ticker]],Industries!$A$2:$A$140,0),0)</f>
        <v>BBB</v>
      </c>
      <c r="H2050" t="s">
        <v>1434</v>
      </c>
      <c r="I2050" t="s">
        <v>1434</v>
      </c>
      <c r="J2050" s="2">
        <v>45359</v>
      </c>
      <c r="K2050" t="s">
        <v>2</v>
      </c>
      <c r="L2050" t="s">
        <v>1710</v>
      </c>
      <c r="M2050" t="s">
        <v>1711</v>
      </c>
      <c r="N2050" s="1">
        <f>Table1[[#This Row],[Consideration Weight]]</f>
        <v>0.19</v>
      </c>
      <c r="O2050" t="s">
        <v>87</v>
      </c>
      <c r="P2050" s="1">
        <v>0.19</v>
      </c>
    </row>
    <row r="2051" spans="1:22" x14ac:dyDescent="0.3">
      <c r="A2051" t="s">
        <v>1243</v>
      </c>
      <c r="B2051" t="str">
        <f ca="1">OFFSET(Industries!C$1,MATCH(Table1[[#This Row],[Ticker]],Industries!$A$2:$A$150,0),0)</f>
        <v>Industrials</v>
      </c>
      <c r="C2051" t="str">
        <f ca="1">OFFSET(Industries!D$1,MATCH(Table1[[#This Row],[Ticker]],Industries!$A$2:$A$150,0),0)</f>
        <v>Capital Goods</v>
      </c>
      <c r="D2051" t="str">
        <f ca="1">OFFSET(Industries!E$1,MATCH(Table1[[#This Row],[Ticker]],Industries!$A$2:$A$150,0),0)</f>
        <v>Aerospace and Defense</v>
      </c>
      <c r="E2051" t="s">
        <v>116</v>
      </c>
      <c r="F2051" t="str">
        <f ca="1">OFFSET(Industries!B$1,MATCH(Table1[[#This Row],[Ticker]],Industries!$A$2:$A$140,0),0)</f>
        <v>Large-Cap</v>
      </c>
      <c r="G2051" t="str">
        <f ca="1">OFFSET(Industries!F$1,MATCH(Table1[[#This Row],[Ticker]],Industries!$A$2:$A$140,0),0)</f>
        <v>BBB</v>
      </c>
      <c r="H2051" t="s">
        <v>1434</v>
      </c>
      <c r="I2051" t="s">
        <v>1434</v>
      </c>
      <c r="J2051" s="2">
        <v>45359</v>
      </c>
      <c r="K2051" t="s">
        <v>21</v>
      </c>
      <c r="L2051" t="s">
        <v>3</v>
      </c>
      <c r="M2051" t="s">
        <v>1711</v>
      </c>
      <c r="N2051" s="1">
        <f>Table1[[#This Row],[Consideration Weight]]</f>
        <v>0.18</v>
      </c>
      <c r="O2051" t="s">
        <v>3</v>
      </c>
      <c r="P2051" s="1">
        <v>0.18</v>
      </c>
    </row>
    <row r="2052" spans="1:22" x14ac:dyDescent="0.3">
      <c r="A2052" t="s">
        <v>1243</v>
      </c>
      <c r="B2052" t="str">
        <f ca="1">OFFSET(Industries!C$1,MATCH(Table1[[#This Row],[Ticker]],Industries!$A$2:$A$150,0),0)</f>
        <v>Industrials</v>
      </c>
      <c r="C2052" t="str">
        <f ca="1">OFFSET(Industries!D$1,MATCH(Table1[[#This Row],[Ticker]],Industries!$A$2:$A$150,0),0)</f>
        <v>Capital Goods</v>
      </c>
      <c r="D2052" t="str">
        <f ca="1">OFFSET(Industries!E$1,MATCH(Table1[[#This Row],[Ticker]],Industries!$A$2:$A$150,0),0)</f>
        <v>Aerospace and Defense</v>
      </c>
      <c r="E2052" t="s">
        <v>116</v>
      </c>
      <c r="F2052" t="str">
        <f ca="1">OFFSET(Industries!B$1,MATCH(Table1[[#This Row],[Ticker]],Industries!$A$2:$A$140,0),0)</f>
        <v>Large-Cap</v>
      </c>
      <c r="G2052" t="str">
        <f ca="1">OFFSET(Industries!F$1,MATCH(Table1[[#This Row],[Ticker]],Industries!$A$2:$A$140,0),0)</f>
        <v>BBB</v>
      </c>
      <c r="H2052" t="s">
        <v>1434</v>
      </c>
      <c r="I2052" t="s">
        <v>1434</v>
      </c>
      <c r="J2052" s="2">
        <v>45359</v>
      </c>
      <c r="K2052" t="s">
        <v>21</v>
      </c>
      <c r="L2052" t="s">
        <v>1708</v>
      </c>
      <c r="M2052" t="s">
        <v>1709</v>
      </c>
      <c r="N2052" s="1">
        <f>Table1[[#This Row],[Consideration Weight]]</f>
        <v>0.18</v>
      </c>
      <c r="O2052" t="s">
        <v>4</v>
      </c>
      <c r="P2052" s="1">
        <v>0.18</v>
      </c>
      <c r="Q2052" s="1" t="s">
        <v>1636</v>
      </c>
      <c r="R2052" t="s">
        <v>62</v>
      </c>
      <c r="S2052" t="s">
        <v>129</v>
      </c>
      <c r="T2052" t="s">
        <v>117</v>
      </c>
      <c r="U2052" s="1">
        <v>0.5</v>
      </c>
    </row>
    <row r="2053" spans="1:22" x14ac:dyDescent="0.3">
      <c r="A2053" t="s">
        <v>1243</v>
      </c>
      <c r="B2053" t="str">
        <f ca="1">OFFSET(Industries!C$1,MATCH(Table1[[#This Row],[Ticker]],Industries!$A$2:$A$150,0),0)</f>
        <v>Industrials</v>
      </c>
      <c r="C2053" t="str">
        <f ca="1">OFFSET(Industries!D$1,MATCH(Table1[[#This Row],[Ticker]],Industries!$A$2:$A$150,0),0)</f>
        <v>Capital Goods</v>
      </c>
      <c r="D2053" t="str">
        <f ca="1">OFFSET(Industries!E$1,MATCH(Table1[[#This Row],[Ticker]],Industries!$A$2:$A$150,0),0)</f>
        <v>Aerospace and Defense</v>
      </c>
      <c r="E2053" t="s">
        <v>116</v>
      </c>
      <c r="F2053" t="str">
        <f ca="1">OFFSET(Industries!B$1,MATCH(Table1[[#This Row],[Ticker]],Industries!$A$2:$A$140,0),0)</f>
        <v>Large-Cap</v>
      </c>
      <c r="G2053" t="str">
        <f ca="1">OFFSET(Industries!F$1,MATCH(Table1[[#This Row],[Ticker]],Industries!$A$2:$A$140,0),0)</f>
        <v>BBB</v>
      </c>
      <c r="H2053" t="s">
        <v>1434</v>
      </c>
      <c r="I2053" t="s">
        <v>1434</v>
      </c>
      <c r="J2053" s="2">
        <v>45359</v>
      </c>
      <c r="K2053" t="s">
        <v>21</v>
      </c>
      <c r="L2053" t="s">
        <v>1708</v>
      </c>
      <c r="M2053" t="s">
        <v>1709</v>
      </c>
      <c r="N2053" s="1"/>
      <c r="O2053" t="s">
        <v>4</v>
      </c>
      <c r="P2053" s="1">
        <v>0.18</v>
      </c>
      <c r="Q2053" s="1" t="s">
        <v>1636</v>
      </c>
      <c r="R2053" t="s">
        <v>24</v>
      </c>
      <c r="S2053" t="s">
        <v>90</v>
      </c>
      <c r="T2053" t="s">
        <v>8</v>
      </c>
      <c r="U2053" s="1">
        <v>0.2</v>
      </c>
    </row>
    <row r="2054" spans="1:22" x14ac:dyDescent="0.3">
      <c r="A2054" t="s">
        <v>1243</v>
      </c>
      <c r="B2054" t="str">
        <f ca="1">OFFSET(Industries!C$1,MATCH(Table1[[#This Row],[Ticker]],Industries!$A$2:$A$150,0),0)</f>
        <v>Industrials</v>
      </c>
      <c r="C2054" t="str">
        <f ca="1">OFFSET(Industries!D$1,MATCH(Table1[[#This Row],[Ticker]],Industries!$A$2:$A$150,0),0)</f>
        <v>Capital Goods</v>
      </c>
      <c r="D2054" t="str">
        <f ca="1">OFFSET(Industries!E$1,MATCH(Table1[[#This Row],[Ticker]],Industries!$A$2:$A$150,0),0)</f>
        <v>Aerospace and Defense</v>
      </c>
      <c r="E2054" t="s">
        <v>116</v>
      </c>
      <c r="F2054" t="str">
        <f ca="1">OFFSET(Industries!B$1,MATCH(Table1[[#This Row],[Ticker]],Industries!$A$2:$A$140,0),0)</f>
        <v>Large-Cap</v>
      </c>
      <c r="G2054" t="str">
        <f ca="1">OFFSET(Industries!F$1,MATCH(Table1[[#This Row],[Ticker]],Industries!$A$2:$A$140,0),0)</f>
        <v>BBB</v>
      </c>
      <c r="H2054" t="s">
        <v>1434</v>
      </c>
      <c r="I2054" t="s">
        <v>1434</v>
      </c>
      <c r="J2054" s="2">
        <v>45359</v>
      </c>
      <c r="K2054" t="s">
        <v>21</v>
      </c>
      <c r="L2054" t="s">
        <v>1708</v>
      </c>
      <c r="M2054" t="s">
        <v>1709</v>
      </c>
      <c r="N2054" s="1"/>
      <c r="O2054" t="s">
        <v>4</v>
      </c>
      <c r="P2054" s="1">
        <v>0.18</v>
      </c>
      <c r="Q2054" s="1" t="s">
        <v>1636</v>
      </c>
      <c r="R2054" t="s">
        <v>24</v>
      </c>
      <c r="S2054" t="s">
        <v>509</v>
      </c>
      <c r="T2054" t="s">
        <v>38</v>
      </c>
      <c r="U2054" s="1">
        <v>0.1</v>
      </c>
    </row>
    <row r="2055" spans="1:22" x14ac:dyDescent="0.3">
      <c r="A2055" t="s">
        <v>1243</v>
      </c>
      <c r="B2055" t="str">
        <f ca="1">OFFSET(Industries!C$1,MATCH(Table1[[#This Row],[Ticker]],Industries!$A$2:$A$150,0),0)</f>
        <v>Industrials</v>
      </c>
      <c r="C2055" t="str">
        <f ca="1">OFFSET(Industries!D$1,MATCH(Table1[[#This Row],[Ticker]],Industries!$A$2:$A$150,0),0)</f>
        <v>Capital Goods</v>
      </c>
      <c r="D2055" t="str">
        <f ca="1">OFFSET(Industries!E$1,MATCH(Table1[[#This Row],[Ticker]],Industries!$A$2:$A$150,0),0)</f>
        <v>Aerospace and Defense</v>
      </c>
      <c r="E2055" t="s">
        <v>116</v>
      </c>
      <c r="F2055" t="str">
        <f ca="1">OFFSET(Industries!B$1,MATCH(Table1[[#This Row],[Ticker]],Industries!$A$2:$A$140,0),0)</f>
        <v>Large-Cap</v>
      </c>
      <c r="G2055" t="str">
        <f ca="1">OFFSET(Industries!F$1,MATCH(Table1[[#This Row],[Ticker]],Industries!$A$2:$A$140,0),0)</f>
        <v>BBB</v>
      </c>
      <c r="H2055" t="s">
        <v>1434</v>
      </c>
      <c r="I2055" t="s">
        <v>1434</v>
      </c>
      <c r="J2055" s="2">
        <v>45359</v>
      </c>
      <c r="K2055" t="s">
        <v>21</v>
      </c>
      <c r="L2055" t="s">
        <v>1708</v>
      </c>
      <c r="M2055" t="s">
        <v>1709</v>
      </c>
      <c r="N2055" s="1"/>
      <c r="O2055" t="s">
        <v>4</v>
      </c>
      <c r="P2055" s="1">
        <v>0.18</v>
      </c>
      <c r="Q2055" s="1" t="s">
        <v>1636</v>
      </c>
      <c r="R2055" t="s">
        <v>23</v>
      </c>
      <c r="S2055" t="s">
        <v>1083</v>
      </c>
      <c r="T2055" t="s">
        <v>7</v>
      </c>
      <c r="U2055" s="1">
        <v>0.1</v>
      </c>
    </row>
    <row r="2056" spans="1:22" x14ac:dyDescent="0.3">
      <c r="A2056" t="s">
        <v>1243</v>
      </c>
      <c r="B2056" t="str">
        <f ca="1">OFFSET(Industries!C$1,MATCH(Table1[[#This Row],[Ticker]],Industries!$A$2:$A$150,0),0)</f>
        <v>Industrials</v>
      </c>
      <c r="C2056" t="str">
        <f ca="1">OFFSET(Industries!D$1,MATCH(Table1[[#This Row],[Ticker]],Industries!$A$2:$A$150,0),0)</f>
        <v>Capital Goods</v>
      </c>
      <c r="D2056" t="str">
        <f ca="1">OFFSET(Industries!E$1,MATCH(Table1[[#This Row],[Ticker]],Industries!$A$2:$A$150,0),0)</f>
        <v>Aerospace and Defense</v>
      </c>
      <c r="E2056" t="s">
        <v>116</v>
      </c>
      <c r="F2056" t="str">
        <f ca="1">OFFSET(Industries!B$1,MATCH(Table1[[#This Row],[Ticker]],Industries!$A$2:$A$140,0),0)</f>
        <v>Large-Cap</v>
      </c>
      <c r="G2056" t="str">
        <f ca="1">OFFSET(Industries!F$1,MATCH(Table1[[#This Row],[Ticker]],Industries!$A$2:$A$140,0),0)</f>
        <v>BBB</v>
      </c>
      <c r="H2056" t="s">
        <v>1434</v>
      </c>
      <c r="I2056" t="s">
        <v>1434</v>
      </c>
      <c r="J2056" s="2">
        <v>45359</v>
      </c>
      <c r="K2056" t="s">
        <v>21</v>
      </c>
      <c r="L2056" t="s">
        <v>1708</v>
      </c>
      <c r="M2056" t="s">
        <v>1709</v>
      </c>
      <c r="N2056" s="1"/>
      <c r="O2056" t="s">
        <v>4</v>
      </c>
      <c r="P2056" s="1">
        <v>0.18</v>
      </c>
      <c r="Q2056" s="1" t="s">
        <v>1636</v>
      </c>
      <c r="R2056" t="s">
        <v>25</v>
      </c>
      <c r="S2056" t="s">
        <v>1086</v>
      </c>
      <c r="T2056" t="s">
        <v>1244</v>
      </c>
      <c r="U2056" s="1">
        <v>0.1</v>
      </c>
    </row>
    <row r="2057" spans="1:22" x14ac:dyDescent="0.3">
      <c r="A2057" t="s">
        <v>1243</v>
      </c>
      <c r="B2057" t="str">
        <f ca="1">OFFSET(Industries!C$1,MATCH(Table1[[#This Row],[Ticker]],Industries!$A$2:$A$150,0),0)</f>
        <v>Industrials</v>
      </c>
      <c r="C2057" t="str">
        <f ca="1">OFFSET(Industries!D$1,MATCH(Table1[[#This Row],[Ticker]],Industries!$A$2:$A$150,0),0)</f>
        <v>Capital Goods</v>
      </c>
      <c r="D2057" t="str">
        <f ca="1">OFFSET(Industries!E$1,MATCH(Table1[[#This Row],[Ticker]],Industries!$A$2:$A$150,0),0)</f>
        <v>Aerospace and Defense</v>
      </c>
      <c r="E2057" t="s">
        <v>116</v>
      </c>
      <c r="F2057" t="str">
        <f ca="1">OFFSET(Industries!B$1,MATCH(Table1[[#This Row],[Ticker]],Industries!$A$2:$A$140,0),0)</f>
        <v>Large-Cap</v>
      </c>
      <c r="G2057" t="str">
        <f ca="1">OFFSET(Industries!F$1,MATCH(Table1[[#This Row],[Ticker]],Industries!$A$2:$A$140,0),0)</f>
        <v>BBB</v>
      </c>
      <c r="H2057" t="s">
        <v>1434</v>
      </c>
      <c r="I2057" t="s">
        <v>1434</v>
      </c>
      <c r="J2057" s="2">
        <v>45359</v>
      </c>
      <c r="K2057" t="s">
        <v>21</v>
      </c>
      <c r="L2057" t="s">
        <v>1708</v>
      </c>
      <c r="M2057" t="s">
        <v>1709</v>
      </c>
      <c r="N2057" s="1"/>
      <c r="O2057" t="s">
        <v>4</v>
      </c>
      <c r="P2057" s="1">
        <v>0.18</v>
      </c>
      <c r="R2057" t="s">
        <v>28</v>
      </c>
      <c r="S2057" t="s">
        <v>1110</v>
      </c>
      <c r="T2057" t="s">
        <v>172</v>
      </c>
    </row>
    <row r="2058" spans="1:22" x14ac:dyDescent="0.3">
      <c r="A2058" t="s">
        <v>1243</v>
      </c>
      <c r="B2058" t="str">
        <f ca="1">OFFSET(Industries!C$1,MATCH(Table1[[#This Row],[Ticker]],Industries!$A$2:$A$150,0),0)</f>
        <v>Industrials</v>
      </c>
      <c r="C2058" t="str">
        <f ca="1">OFFSET(Industries!D$1,MATCH(Table1[[#This Row],[Ticker]],Industries!$A$2:$A$150,0),0)</f>
        <v>Capital Goods</v>
      </c>
      <c r="D2058" t="str">
        <f ca="1">OFFSET(Industries!E$1,MATCH(Table1[[#This Row],[Ticker]],Industries!$A$2:$A$150,0),0)</f>
        <v>Aerospace and Defense</v>
      </c>
      <c r="E2058" t="s">
        <v>116</v>
      </c>
      <c r="F2058" t="str">
        <f ca="1">OFFSET(Industries!B$1,MATCH(Table1[[#This Row],[Ticker]],Industries!$A$2:$A$140,0),0)</f>
        <v>Large-Cap</v>
      </c>
      <c r="G2058" t="str">
        <f ca="1">OFFSET(Industries!F$1,MATCH(Table1[[#This Row],[Ticker]],Industries!$A$2:$A$140,0),0)</f>
        <v>BBB</v>
      </c>
      <c r="H2058" t="s">
        <v>1434</v>
      </c>
      <c r="I2058" t="s">
        <v>1434</v>
      </c>
      <c r="J2058" s="2">
        <v>45359</v>
      </c>
      <c r="K2058" t="s">
        <v>21</v>
      </c>
      <c r="L2058" t="s">
        <v>1710</v>
      </c>
      <c r="M2058" t="s">
        <v>1709</v>
      </c>
      <c r="N2058" s="1">
        <f>Table1[[#This Row],[Consideration Weight]]</f>
        <v>0.32</v>
      </c>
      <c r="O2058" t="s">
        <v>476</v>
      </c>
      <c r="P2058" s="1">
        <v>0.32</v>
      </c>
      <c r="Q2058" s="1" t="s">
        <v>1646</v>
      </c>
      <c r="R2058" t="s">
        <v>35</v>
      </c>
      <c r="S2058" t="s">
        <v>29</v>
      </c>
      <c r="T2058" t="s">
        <v>30</v>
      </c>
      <c r="U2058" s="1">
        <f>1/3</f>
        <v>0.33333333333333331</v>
      </c>
    </row>
    <row r="2059" spans="1:22" x14ac:dyDescent="0.3">
      <c r="A2059" t="s">
        <v>1243</v>
      </c>
      <c r="B2059" t="str">
        <f ca="1">OFFSET(Industries!C$1,MATCH(Table1[[#This Row],[Ticker]],Industries!$A$2:$A$150,0),0)</f>
        <v>Industrials</v>
      </c>
      <c r="C2059" t="str">
        <f ca="1">OFFSET(Industries!D$1,MATCH(Table1[[#This Row],[Ticker]],Industries!$A$2:$A$150,0),0)</f>
        <v>Capital Goods</v>
      </c>
      <c r="D2059" t="str">
        <f ca="1">OFFSET(Industries!E$1,MATCH(Table1[[#This Row],[Ticker]],Industries!$A$2:$A$150,0),0)</f>
        <v>Aerospace and Defense</v>
      </c>
      <c r="E2059" t="s">
        <v>116</v>
      </c>
      <c r="F2059" t="str">
        <f ca="1">OFFSET(Industries!B$1,MATCH(Table1[[#This Row],[Ticker]],Industries!$A$2:$A$140,0),0)</f>
        <v>Large-Cap</v>
      </c>
      <c r="G2059" t="str">
        <f ca="1">OFFSET(Industries!F$1,MATCH(Table1[[#This Row],[Ticker]],Industries!$A$2:$A$140,0),0)</f>
        <v>BBB</v>
      </c>
      <c r="H2059" t="s">
        <v>1434</v>
      </c>
      <c r="I2059" t="s">
        <v>1434</v>
      </c>
      <c r="J2059" s="2">
        <v>45359</v>
      </c>
      <c r="K2059" t="s">
        <v>21</v>
      </c>
      <c r="L2059" t="s">
        <v>1710</v>
      </c>
      <c r="M2059" t="s">
        <v>1709</v>
      </c>
      <c r="N2059" s="1"/>
      <c r="O2059" t="s">
        <v>476</v>
      </c>
      <c r="P2059" s="1">
        <v>0.32</v>
      </c>
      <c r="Q2059" s="1" t="s">
        <v>1636</v>
      </c>
      <c r="R2059" t="s">
        <v>24</v>
      </c>
      <c r="S2059" t="s">
        <v>1089</v>
      </c>
      <c r="T2059" t="s">
        <v>86</v>
      </c>
      <c r="U2059" s="1">
        <f t="shared" ref="U2059:U2060" si="44">1/3</f>
        <v>0.33333333333333331</v>
      </c>
    </row>
    <row r="2060" spans="1:22" x14ac:dyDescent="0.3">
      <c r="A2060" t="s">
        <v>1243</v>
      </c>
      <c r="B2060" t="str">
        <f ca="1">OFFSET(Industries!C$1,MATCH(Table1[[#This Row],[Ticker]],Industries!$A$2:$A$150,0),0)</f>
        <v>Industrials</v>
      </c>
      <c r="C2060" t="str">
        <f ca="1">OFFSET(Industries!D$1,MATCH(Table1[[#This Row],[Ticker]],Industries!$A$2:$A$150,0),0)</f>
        <v>Capital Goods</v>
      </c>
      <c r="D2060" t="str">
        <f ca="1">OFFSET(Industries!E$1,MATCH(Table1[[#This Row],[Ticker]],Industries!$A$2:$A$150,0),0)</f>
        <v>Aerospace and Defense</v>
      </c>
      <c r="E2060" t="s">
        <v>116</v>
      </c>
      <c r="F2060" t="str">
        <f ca="1">OFFSET(Industries!B$1,MATCH(Table1[[#This Row],[Ticker]],Industries!$A$2:$A$140,0),0)</f>
        <v>Large-Cap</v>
      </c>
      <c r="G2060" t="str">
        <f ca="1">OFFSET(Industries!F$1,MATCH(Table1[[#This Row],[Ticker]],Industries!$A$2:$A$140,0),0)</f>
        <v>BBB</v>
      </c>
      <c r="H2060" t="s">
        <v>1434</v>
      </c>
      <c r="I2060" t="s">
        <v>1434</v>
      </c>
      <c r="J2060" s="2">
        <v>45359</v>
      </c>
      <c r="K2060" t="s">
        <v>21</v>
      </c>
      <c r="L2060" t="s">
        <v>1710</v>
      </c>
      <c r="M2060" t="s">
        <v>1709</v>
      </c>
      <c r="N2060" s="1"/>
      <c r="O2060" t="s">
        <v>476</v>
      </c>
      <c r="P2060" s="1">
        <v>0.32</v>
      </c>
      <c r="Q2060" s="1" t="s">
        <v>1636</v>
      </c>
      <c r="R2060" t="s">
        <v>1059</v>
      </c>
      <c r="S2060" t="s">
        <v>1101</v>
      </c>
      <c r="T2060" t="s">
        <v>1252</v>
      </c>
      <c r="U2060" s="1">
        <f t="shared" si="44"/>
        <v>0.33333333333333331</v>
      </c>
    </row>
    <row r="2061" spans="1:22" x14ac:dyDescent="0.3">
      <c r="A2061" t="s">
        <v>1243</v>
      </c>
      <c r="B2061" t="str">
        <f ca="1">OFFSET(Industries!C$1,MATCH(Table1[[#This Row],[Ticker]],Industries!$A$2:$A$150,0),0)</f>
        <v>Industrials</v>
      </c>
      <c r="C2061" t="str">
        <f ca="1">OFFSET(Industries!D$1,MATCH(Table1[[#This Row],[Ticker]],Industries!$A$2:$A$150,0),0)</f>
        <v>Capital Goods</v>
      </c>
      <c r="D2061" t="str">
        <f ca="1">OFFSET(Industries!E$1,MATCH(Table1[[#This Row],[Ticker]],Industries!$A$2:$A$150,0),0)</f>
        <v>Aerospace and Defense</v>
      </c>
      <c r="E2061" t="s">
        <v>116</v>
      </c>
      <c r="F2061" t="str">
        <f ca="1">OFFSET(Industries!B$1,MATCH(Table1[[#This Row],[Ticker]],Industries!$A$2:$A$140,0),0)</f>
        <v>Large-Cap</v>
      </c>
      <c r="G2061" t="str">
        <f ca="1">OFFSET(Industries!F$1,MATCH(Table1[[#This Row],[Ticker]],Industries!$A$2:$A$140,0),0)</f>
        <v>BBB</v>
      </c>
      <c r="H2061" t="s">
        <v>1434</v>
      </c>
      <c r="I2061" t="s">
        <v>1434</v>
      </c>
      <c r="J2061" s="2">
        <v>45359</v>
      </c>
      <c r="K2061" t="s">
        <v>21</v>
      </c>
      <c r="L2061" t="s">
        <v>1710</v>
      </c>
      <c r="M2061" t="s">
        <v>1709</v>
      </c>
      <c r="N2061" s="1"/>
      <c r="O2061" t="s">
        <v>476</v>
      </c>
      <c r="P2061" s="1">
        <v>0.32</v>
      </c>
      <c r="R2061" t="s">
        <v>28</v>
      </c>
      <c r="S2061" t="s">
        <v>1245</v>
      </c>
      <c r="T2061" t="s">
        <v>38</v>
      </c>
    </row>
    <row r="2062" spans="1:22" x14ac:dyDescent="0.3">
      <c r="A2062" t="s">
        <v>1243</v>
      </c>
      <c r="B2062" t="str">
        <f ca="1">OFFSET(Industries!C$1,MATCH(Table1[[#This Row],[Ticker]],Industries!$A$2:$A$150,0),0)</f>
        <v>Industrials</v>
      </c>
      <c r="C2062" t="str">
        <f ca="1">OFFSET(Industries!D$1,MATCH(Table1[[#This Row],[Ticker]],Industries!$A$2:$A$150,0),0)</f>
        <v>Capital Goods</v>
      </c>
      <c r="D2062" t="str">
        <f ca="1">OFFSET(Industries!E$1,MATCH(Table1[[#This Row],[Ticker]],Industries!$A$2:$A$150,0),0)</f>
        <v>Aerospace and Defense</v>
      </c>
      <c r="E2062" t="s">
        <v>116</v>
      </c>
      <c r="F2062" t="str">
        <f ca="1">OFFSET(Industries!B$1,MATCH(Table1[[#This Row],[Ticker]],Industries!$A$2:$A$140,0),0)</f>
        <v>Large-Cap</v>
      </c>
      <c r="G2062" t="str">
        <f ca="1">OFFSET(Industries!F$1,MATCH(Table1[[#This Row],[Ticker]],Industries!$A$2:$A$140,0),0)</f>
        <v>BBB</v>
      </c>
      <c r="H2062" t="s">
        <v>1434</v>
      </c>
      <c r="I2062" t="s">
        <v>1434</v>
      </c>
      <c r="J2062" s="2">
        <v>45359</v>
      </c>
      <c r="K2062" t="s">
        <v>21</v>
      </c>
      <c r="L2062" t="s">
        <v>1710</v>
      </c>
      <c r="M2062" t="s">
        <v>1711</v>
      </c>
      <c r="N2062" s="1">
        <f>Table1[[#This Row],[Consideration Weight]]</f>
        <v>0.16</v>
      </c>
      <c r="O2062" t="s">
        <v>194</v>
      </c>
      <c r="P2062" s="1">
        <v>0.16</v>
      </c>
    </row>
    <row r="2063" spans="1:22" x14ac:dyDescent="0.3">
      <c r="A2063" t="s">
        <v>1243</v>
      </c>
      <c r="B2063" t="str">
        <f ca="1">OFFSET(Industries!C$1,MATCH(Table1[[#This Row],[Ticker]],Industries!$A$2:$A$150,0),0)</f>
        <v>Industrials</v>
      </c>
      <c r="C2063" t="str">
        <f ca="1">OFFSET(Industries!D$1,MATCH(Table1[[#This Row],[Ticker]],Industries!$A$2:$A$150,0),0)</f>
        <v>Capital Goods</v>
      </c>
      <c r="D2063" t="str">
        <f ca="1">OFFSET(Industries!E$1,MATCH(Table1[[#This Row],[Ticker]],Industries!$A$2:$A$150,0),0)</f>
        <v>Aerospace and Defense</v>
      </c>
      <c r="E2063" t="s">
        <v>116</v>
      </c>
      <c r="F2063" t="str">
        <f ca="1">OFFSET(Industries!B$1,MATCH(Table1[[#This Row],[Ticker]],Industries!$A$2:$A$140,0),0)</f>
        <v>Large-Cap</v>
      </c>
      <c r="G2063" t="str">
        <f ca="1">OFFSET(Industries!F$1,MATCH(Table1[[#This Row],[Ticker]],Industries!$A$2:$A$140,0),0)</f>
        <v>BBB</v>
      </c>
      <c r="H2063" t="s">
        <v>1434</v>
      </c>
      <c r="I2063" t="s">
        <v>1434</v>
      </c>
      <c r="J2063" s="2">
        <v>45359</v>
      </c>
      <c r="K2063" t="s">
        <v>21</v>
      </c>
      <c r="L2063" t="s">
        <v>1710</v>
      </c>
      <c r="M2063" t="s">
        <v>1711</v>
      </c>
      <c r="N2063" s="1">
        <f>Table1[[#This Row],[Consideration Weight]]</f>
        <v>0.16</v>
      </c>
      <c r="O2063" t="s">
        <v>87</v>
      </c>
      <c r="P2063" s="1">
        <v>0.16</v>
      </c>
    </row>
    <row r="2064" spans="1:22" x14ac:dyDescent="0.3">
      <c r="A2064" t="s">
        <v>1254</v>
      </c>
      <c r="B2064" t="str">
        <f ca="1">OFFSET(Industries!C$1,MATCH(Table1[[#This Row],[Ticker]],Industries!$A$2:$A$150,0),0)</f>
        <v>Financials</v>
      </c>
      <c r="C2064" t="str">
        <f ca="1">OFFSET(Industries!D$1,MATCH(Table1[[#This Row],[Ticker]],Industries!$A$2:$A$150,0),0)</f>
        <v>Financial Services</v>
      </c>
      <c r="D2064" t="str">
        <f ca="1">OFFSET(Industries!E$1,MATCH(Table1[[#This Row],[Ticker]],Industries!$A$2:$A$150,0),0)</f>
        <v>Capital Markets</v>
      </c>
      <c r="E2064" t="s">
        <v>93</v>
      </c>
      <c r="F2064" t="str">
        <f ca="1">OFFSET(Industries!B$1,MATCH(Table1[[#This Row],[Ticker]],Industries!$A$2:$A$140,0),0)</f>
        <v>Mega-Cap</v>
      </c>
      <c r="G2064" t="str">
        <f ca="1">OFFSET(Industries!F$1,MATCH(Table1[[#This Row],[Ticker]],Industries!$A$2:$A$140,0),0)</f>
        <v>BBB+</v>
      </c>
      <c r="H2064" t="s">
        <v>1434</v>
      </c>
      <c r="I2064" t="s">
        <v>1434</v>
      </c>
      <c r="J2064" s="2">
        <v>45366</v>
      </c>
      <c r="K2064" t="s">
        <v>2</v>
      </c>
      <c r="L2064" t="s">
        <v>3</v>
      </c>
      <c r="M2064" t="s">
        <v>1711</v>
      </c>
      <c r="N2064" s="1">
        <f>Table1[[#This Row],[Consideration Weight]]</f>
        <v>6.4516129032258063E-2</v>
      </c>
      <c r="O2064" t="s">
        <v>3</v>
      </c>
      <c r="P2064" s="1">
        <v>6.4516129032258063E-2</v>
      </c>
      <c r="V2064" t="s">
        <v>1697</v>
      </c>
    </row>
    <row r="2065" spans="1:22" x14ac:dyDescent="0.3">
      <c r="A2065" t="s">
        <v>1254</v>
      </c>
      <c r="B2065" t="str">
        <f ca="1">OFFSET(Industries!C$1,MATCH(Table1[[#This Row],[Ticker]],Industries!$A$2:$A$150,0),0)</f>
        <v>Financials</v>
      </c>
      <c r="C2065" t="str">
        <f ca="1">OFFSET(Industries!D$1,MATCH(Table1[[#This Row],[Ticker]],Industries!$A$2:$A$150,0),0)</f>
        <v>Financial Services</v>
      </c>
      <c r="D2065" t="str">
        <f ca="1">OFFSET(Industries!E$1,MATCH(Table1[[#This Row],[Ticker]],Industries!$A$2:$A$150,0),0)</f>
        <v>Capital Markets</v>
      </c>
      <c r="E2065" t="s">
        <v>93</v>
      </c>
      <c r="F2065" t="str">
        <f ca="1">OFFSET(Industries!B$1,MATCH(Table1[[#This Row],[Ticker]],Industries!$A$2:$A$140,0),0)</f>
        <v>Mega-Cap</v>
      </c>
      <c r="G2065" t="str">
        <f ca="1">OFFSET(Industries!F$1,MATCH(Table1[[#This Row],[Ticker]],Industries!$A$2:$A$140,0),0)</f>
        <v>BBB+</v>
      </c>
      <c r="H2065" t="s">
        <v>1434</v>
      </c>
      <c r="I2065" t="s">
        <v>1434</v>
      </c>
      <c r="J2065" s="2">
        <v>45366</v>
      </c>
      <c r="K2065" t="s">
        <v>2</v>
      </c>
      <c r="L2065" t="s">
        <v>1708</v>
      </c>
      <c r="M2065" t="s">
        <v>1709</v>
      </c>
      <c r="N2065" s="1">
        <f>Table1[[#This Row],[Consideration Weight]]</f>
        <v>0.28064516129032258</v>
      </c>
      <c r="O2065" t="s">
        <v>4</v>
      </c>
      <c r="P2065" s="1">
        <v>0.28064516129032258</v>
      </c>
      <c r="Q2065" s="1" t="s">
        <v>1637</v>
      </c>
      <c r="R2065" t="s">
        <v>25</v>
      </c>
      <c r="S2065" t="s">
        <v>1086</v>
      </c>
      <c r="T2065" t="s">
        <v>411</v>
      </c>
      <c r="U2065" s="1">
        <v>1</v>
      </c>
    </row>
    <row r="2066" spans="1:22" x14ac:dyDescent="0.3">
      <c r="A2066" t="s">
        <v>1254</v>
      </c>
      <c r="B2066" t="str">
        <f ca="1">OFFSET(Industries!C$1,MATCH(Table1[[#This Row],[Ticker]],Industries!$A$2:$A$150,0),0)</f>
        <v>Financials</v>
      </c>
      <c r="C2066" t="str">
        <f ca="1">OFFSET(Industries!D$1,MATCH(Table1[[#This Row],[Ticker]],Industries!$A$2:$A$150,0),0)</f>
        <v>Financial Services</v>
      </c>
      <c r="D2066" t="str">
        <f ca="1">OFFSET(Industries!E$1,MATCH(Table1[[#This Row],[Ticker]],Industries!$A$2:$A$150,0),0)</f>
        <v>Capital Markets</v>
      </c>
      <c r="E2066" t="s">
        <v>93</v>
      </c>
      <c r="F2066" t="str">
        <f ca="1">OFFSET(Industries!B$1,MATCH(Table1[[#This Row],[Ticker]],Industries!$A$2:$A$140,0),0)</f>
        <v>Mega-Cap</v>
      </c>
      <c r="G2066" t="str">
        <f ca="1">OFFSET(Industries!F$1,MATCH(Table1[[#This Row],[Ticker]],Industries!$A$2:$A$140,0),0)</f>
        <v>BBB+</v>
      </c>
      <c r="H2066" t="s">
        <v>1434</v>
      </c>
      <c r="I2066" t="s">
        <v>1434</v>
      </c>
      <c r="J2066" s="2">
        <v>45366</v>
      </c>
      <c r="K2066" t="s">
        <v>2</v>
      </c>
      <c r="L2066" t="s">
        <v>1708</v>
      </c>
      <c r="M2066" t="s">
        <v>1709</v>
      </c>
      <c r="N2066" s="1"/>
      <c r="O2066" t="s">
        <v>4</v>
      </c>
      <c r="P2066" s="1">
        <v>0.28064516129032258</v>
      </c>
      <c r="R2066" t="s">
        <v>28</v>
      </c>
      <c r="S2066" t="s">
        <v>1087</v>
      </c>
      <c r="T2066" t="s">
        <v>40</v>
      </c>
      <c r="V2066" t="s">
        <v>1256</v>
      </c>
    </row>
    <row r="2067" spans="1:22" x14ac:dyDescent="0.3">
      <c r="A2067" t="s">
        <v>1254</v>
      </c>
      <c r="B2067" t="str">
        <f ca="1">OFFSET(Industries!C$1,MATCH(Table1[[#This Row],[Ticker]],Industries!$A$2:$A$150,0),0)</f>
        <v>Financials</v>
      </c>
      <c r="C2067" t="str">
        <f ca="1">OFFSET(Industries!D$1,MATCH(Table1[[#This Row],[Ticker]],Industries!$A$2:$A$150,0),0)</f>
        <v>Financial Services</v>
      </c>
      <c r="D2067" t="str">
        <f ca="1">OFFSET(Industries!E$1,MATCH(Table1[[#This Row],[Ticker]],Industries!$A$2:$A$150,0),0)</f>
        <v>Capital Markets</v>
      </c>
      <c r="E2067" t="s">
        <v>93</v>
      </c>
      <c r="F2067" t="str">
        <f ca="1">OFFSET(Industries!B$1,MATCH(Table1[[#This Row],[Ticker]],Industries!$A$2:$A$140,0),0)</f>
        <v>Mega-Cap</v>
      </c>
      <c r="G2067" t="str">
        <f ca="1">OFFSET(Industries!F$1,MATCH(Table1[[#This Row],[Ticker]],Industries!$A$2:$A$140,0),0)</f>
        <v>BBB+</v>
      </c>
      <c r="H2067" t="s">
        <v>1434</v>
      </c>
      <c r="I2067" t="s">
        <v>1434</v>
      </c>
      <c r="J2067" s="2">
        <v>45366</v>
      </c>
      <c r="K2067" t="s">
        <v>2</v>
      </c>
      <c r="L2067" t="s">
        <v>1710</v>
      </c>
      <c r="M2067" t="s">
        <v>1709</v>
      </c>
      <c r="N2067" s="1">
        <f>Table1[[#This Row],[Consideration Weight]]</f>
        <v>0.65483870967741942</v>
      </c>
      <c r="O2067" t="s">
        <v>476</v>
      </c>
      <c r="P2067" s="1">
        <v>0.65483870967741942</v>
      </c>
      <c r="Q2067" s="1" t="s">
        <v>1636</v>
      </c>
      <c r="R2067" t="s">
        <v>1059</v>
      </c>
      <c r="S2067" t="s">
        <v>1092</v>
      </c>
      <c r="T2067" t="s">
        <v>1255</v>
      </c>
      <c r="U2067" s="1">
        <v>1</v>
      </c>
      <c r="V2067" t="s">
        <v>1698</v>
      </c>
    </row>
    <row r="2068" spans="1:22" x14ac:dyDescent="0.3">
      <c r="A2068" t="s">
        <v>1254</v>
      </c>
      <c r="B2068" t="str">
        <f ca="1">OFFSET(Industries!C$1,MATCH(Table1[[#This Row],[Ticker]],Industries!$A$2:$A$150,0),0)</f>
        <v>Financials</v>
      </c>
      <c r="C2068" t="str">
        <f ca="1">OFFSET(Industries!D$1,MATCH(Table1[[#This Row],[Ticker]],Industries!$A$2:$A$150,0),0)</f>
        <v>Financial Services</v>
      </c>
      <c r="D2068" t="str">
        <f ca="1">OFFSET(Industries!E$1,MATCH(Table1[[#This Row],[Ticker]],Industries!$A$2:$A$150,0),0)</f>
        <v>Capital Markets</v>
      </c>
      <c r="E2068" t="s">
        <v>93</v>
      </c>
      <c r="F2068" t="str">
        <f ca="1">OFFSET(Industries!B$1,MATCH(Table1[[#This Row],[Ticker]],Industries!$A$2:$A$140,0),0)</f>
        <v>Mega-Cap</v>
      </c>
      <c r="G2068" t="str">
        <f ca="1">OFFSET(Industries!F$1,MATCH(Table1[[#This Row],[Ticker]],Industries!$A$2:$A$140,0),0)</f>
        <v>BBB+</v>
      </c>
      <c r="H2068" t="s">
        <v>1434</v>
      </c>
      <c r="I2068" t="s">
        <v>1434</v>
      </c>
      <c r="J2068" s="2">
        <v>45366</v>
      </c>
      <c r="K2068" t="s">
        <v>2</v>
      </c>
      <c r="L2068" t="s">
        <v>1710</v>
      </c>
      <c r="M2068" t="s">
        <v>1709</v>
      </c>
      <c r="N2068" s="1"/>
      <c r="O2068" t="s">
        <v>476</v>
      </c>
      <c r="P2068" s="1">
        <v>0.65483870967741942</v>
      </c>
      <c r="R2068" t="s">
        <v>25</v>
      </c>
      <c r="S2068" t="s">
        <v>1086</v>
      </c>
      <c r="T2068" t="s">
        <v>411</v>
      </c>
    </row>
    <row r="2069" spans="1:22" x14ac:dyDescent="0.3">
      <c r="A2069" t="s">
        <v>1254</v>
      </c>
      <c r="B2069" t="str">
        <f ca="1">OFFSET(Industries!C$1,MATCH(Table1[[#This Row],[Ticker]],Industries!$A$2:$A$150,0),0)</f>
        <v>Financials</v>
      </c>
      <c r="C2069" t="str">
        <f ca="1">OFFSET(Industries!D$1,MATCH(Table1[[#This Row],[Ticker]],Industries!$A$2:$A$150,0),0)</f>
        <v>Financial Services</v>
      </c>
      <c r="D2069" t="str">
        <f ca="1">OFFSET(Industries!E$1,MATCH(Table1[[#This Row],[Ticker]],Industries!$A$2:$A$150,0),0)</f>
        <v>Capital Markets</v>
      </c>
      <c r="E2069" t="s">
        <v>93</v>
      </c>
      <c r="F2069" t="str">
        <f ca="1">OFFSET(Industries!B$1,MATCH(Table1[[#This Row],[Ticker]],Industries!$A$2:$A$140,0),0)</f>
        <v>Mega-Cap</v>
      </c>
      <c r="G2069" t="str">
        <f ca="1">OFFSET(Industries!F$1,MATCH(Table1[[#This Row],[Ticker]],Industries!$A$2:$A$140,0),0)</f>
        <v>BBB+</v>
      </c>
      <c r="H2069" t="s">
        <v>1434</v>
      </c>
      <c r="I2069" t="s">
        <v>1434</v>
      </c>
      <c r="J2069" s="2">
        <v>45366</v>
      </c>
      <c r="K2069" t="s">
        <v>2</v>
      </c>
      <c r="L2069" t="s">
        <v>1710</v>
      </c>
      <c r="M2069" t="s">
        <v>1709</v>
      </c>
      <c r="N2069" s="1"/>
      <c r="O2069" t="s">
        <v>476</v>
      </c>
      <c r="P2069" s="1">
        <v>0.65483870967741942</v>
      </c>
      <c r="R2069" t="s">
        <v>28</v>
      </c>
      <c r="S2069" t="s">
        <v>1087</v>
      </c>
      <c r="T2069" t="s">
        <v>40</v>
      </c>
      <c r="V2069" t="s">
        <v>1259</v>
      </c>
    </row>
    <row r="2070" spans="1:22" x14ac:dyDescent="0.3">
      <c r="A2070" t="s">
        <v>1254</v>
      </c>
      <c r="B2070" t="str">
        <f ca="1">OFFSET(Industries!C$1,MATCH(Table1[[#This Row],[Ticker]],Industries!$A$2:$A$150,0),0)</f>
        <v>Financials</v>
      </c>
      <c r="C2070" t="str">
        <f ca="1">OFFSET(Industries!D$1,MATCH(Table1[[#This Row],[Ticker]],Industries!$A$2:$A$150,0),0)</f>
        <v>Financial Services</v>
      </c>
      <c r="D2070" t="str">
        <f ca="1">OFFSET(Industries!E$1,MATCH(Table1[[#This Row],[Ticker]],Industries!$A$2:$A$150,0),0)</f>
        <v>Capital Markets</v>
      </c>
      <c r="E2070" t="s">
        <v>93</v>
      </c>
      <c r="F2070" t="str">
        <f ca="1">OFFSET(Industries!B$1,MATCH(Table1[[#This Row],[Ticker]],Industries!$A$2:$A$140,0),0)</f>
        <v>Mega-Cap</v>
      </c>
      <c r="G2070" t="str">
        <f ca="1">OFFSET(Industries!F$1,MATCH(Table1[[#This Row],[Ticker]],Industries!$A$2:$A$140,0),0)</f>
        <v>BBB+</v>
      </c>
      <c r="H2070" t="s">
        <v>1434</v>
      </c>
      <c r="I2070" t="s">
        <v>1434</v>
      </c>
      <c r="J2070" s="2">
        <v>45366</v>
      </c>
      <c r="K2070" t="s">
        <v>2</v>
      </c>
      <c r="L2070" t="s">
        <v>1716</v>
      </c>
      <c r="M2070" t="s">
        <v>1709</v>
      </c>
      <c r="N2070" s="1"/>
      <c r="O2070" t="s">
        <v>476</v>
      </c>
      <c r="Q2070" s="1" t="s">
        <v>1646</v>
      </c>
      <c r="R2070" t="s">
        <v>35</v>
      </c>
      <c r="S2070" t="s">
        <v>29</v>
      </c>
      <c r="T2070" t="s">
        <v>1258</v>
      </c>
    </row>
    <row r="2071" spans="1:22" x14ac:dyDescent="0.3">
      <c r="A2071" t="s">
        <v>1254</v>
      </c>
      <c r="B2071" t="str">
        <f ca="1">OFFSET(Industries!C$1,MATCH(Table1[[#This Row],[Ticker]],Industries!$A$2:$A$150,0),0)</f>
        <v>Financials</v>
      </c>
      <c r="C2071" t="str">
        <f ca="1">OFFSET(Industries!D$1,MATCH(Table1[[#This Row],[Ticker]],Industries!$A$2:$A$150,0),0)</f>
        <v>Financial Services</v>
      </c>
      <c r="D2071" t="str">
        <f ca="1">OFFSET(Industries!E$1,MATCH(Table1[[#This Row],[Ticker]],Industries!$A$2:$A$150,0),0)</f>
        <v>Capital Markets</v>
      </c>
      <c r="E2071" t="s">
        <v>93</v>
      </c>
      <c r="F2071" t="str">
        <f ca="1">OFFSET(Industries!B$1,MATCH(Table1[[#This Row],[Ticker]],Industries!$A$2:$A$140,0),0)</f>
        <v>Mega-Cap</v>
      </c>
      <c r="G2071" t="str">
        <f ca="1">OFFSET(Industries!F$1,MATCH(Table1[[#This Row],[Ticker]],Industries!$A$2:$A$140,0),0)</f>
        <v>BBB+</v>
      </c>
      <c r="H2071" t="s">
        <v>1434</v>
      </c>
      <c r="I2071" t="s">
        <v>1434</v>
      </c>
      <c r="J2071" s="2">
        <v>45366</v>
      </c>
      <c r="K2071" t="s">
        <v>2</v>
      </c>
      <c r="L2071" t="s">
        <v>1716</v>
      </c>
      <c r="M2071" t="s">
        <v>1709</v>
      </c>
      <c r="N2071" s="1"/>
      <c r="O2071" t="s">
        <v>476</v>
      </c>
      <c r="Q2071" s="1" t="s">
        <v>1646</v>
      </c>
      <c r="R2071" t="s">
        <v>35</v>
      </c>
      <c r="S2071" t="s">
        <v>1257</v>
      </c>
      <c r="T2071" t="s">
        <v>763</v>
      </c>
    </row>
    <row r="2072" spans="1:22" x14ac:dyDescent="0.3">
      <c r="A2072" t="s">
        <v>1254</v>
      </c>
      <c r="B2072" t="str">
        <f ca="1">OFFSET(Industries!C$1,MATCH(Table1[[#This Row],[Ticker]],Industries!$A$2:$A$150,0),0)</f>
        <v>Financials</v>
      </c>
      <c r="C2072" t="str">
        <f ca="1">OFFSET(Industries!D$1,MATCH(Table1[[#This Row],[Ticker]],Industries!$A$2:$A$150,0),0)</f>
        <v>Financial Services</v>
      </c>
      <c r="D2072" t="str">
        <f ca="1">OFFSET(Industries!E$1,MATCH(Table1[[#This Row],[Ticker]],Industries!$A$2:$A$150,0),0)</f>
        <v>Capital Markets</v>
      </c>
      <c r="E2072" t="s">
        <v>93</v>
      </c>
      <c r="F2072" t="str">
        <f ca="1">OFFSET(Industries!B$1,MATCH(Table1[[#This Row],[Ticker]],Industries!$A$2:$A$140,0),0)</f>
        <v>Mega-Cap</v>
      </c>
      <c r="G2072" t="str">
        <f ca="1">OFFSET(Industries!F$1,MATCH(Table1[[#This Row],[Ticker]],Industries!$A$2:$A$140,0),0)</f>
        <v>BBB+</v>
      </c>
      <c r="H2072" t="s">
        <v>1434</v>
      </c>
      <c r="I2072" t="s">
        <v>1434</v>
      </c>
      <c r="J2072" s="2">
        <v>45366</v>
      </c>
      <c r="K2072" t="s">
        <v>21</v>
      </c>
      <c r="L2072" t="s">
        <v>3</v>
      </c>
      <c r="M2072" t="s">
        <v>1711</v>
      </c>
      <c r="N2072" s="1">
        <f>Table1[[#This Row],[Consideration Weight]]</f>
        <v>9.0825320512820523E-2</v>
      </c>
      <c r="O2072" t="s">
        <v>3</v>
      </c>
      <c r="P2072" s="1">
        <v>9.0825320512820523E-2</v>
      </c>
    </row>
    <row r="2073" spans="1:22" x14ac:dyDescent="0.3">
      <c r="A2073" t="s">
        <v>1254</v>
      </c>
      <c r="B2073" t="str">
        <f ca="1">OFFSET(Industries!C$1,MATCH(Table1[[#This Row],[Ticker]],Industries!$A$2:$A$150,0),0)</f>
        <v>Financials</v>
      </c>
      <c r="C2073" t="str">
        <f ca="1">OFFSET(Industries!D$1,MATCH(Table1[[#This Row],[Ticker]],Industries!$A$2:$A$150,0),0)</f>
        <v>Financial Services</v>
      </c>
      <c r="D2073" t="str">
        <f ca="1">OFFSET(Industries!E$1,MATCH(Table1[[#This Row],[Ticker]],Industries!$A$2:$A$150,0),0)</f>
        <v>Capital Markets</v>
      </c>
      <c r="E2073" t="s">
        <v>93</v>
      </c>
      <c r="F2073" t="str">
        <f ca="1">OFFSET(Industries!B$1,MATCH(Table1[[#This Row],[Ticker]],Industries!$A$2:$A$140,0),0)</f>
        <v>Mega-Cap</v>
      </c>
      <c r="G2073" t="str">
        <f ca="1">OFFSET(Industries!F$1,MATCH(Table1[[#This Row],[Ticker]],Industries!$A$2:$A$140,0),0)</f>
        <v>BBB+</v>
      </c>
      <c r="H2073" t="s">
        <v>1434</v>
      </c>
      <c r="I2073" t="s">
        <v>1434</v>
      </c>
      <c r="J2073" s="2">
        <v>45366</v>
      </c>
      <c r="K2073" t="s">
        <v>21</v>
      </c>
      <c r="L2073" t="s">
        <v>1708</v>
      </c>
      <c r="M2073" t="s">
        <v>1709</v>
      </c>
      <c r="N2073" s="1">
        <f>Table1[[#This Row],[Consideration Weight]]</f>
        <v>0.36366987179487176</v>
      </c>
      <c r="O2073" t="s">
        <v>4</v>
      </c>
      <c r="P2073" s="1">
        <v>0.36366987179487176</v>
      </c>
      <c r="Q2073" s="1" t="s">
        <v>1637</v>
      </c>
      <c r="R2073" t="s">
        <v>25</v>
      </c>
      <c r="S2073" t="s">
        <v>1086</v>
      </c>
      <c r="T2073" t="s">
        <v>411</v>
      </c>
      <c r="U2073" s="1">
        <v>1</v>
      </c>
    </row>
    <row r="2074" spans="1:22" x14ac:dyDescent="0.3">
      <c r="A2074" t="s">
        <v>1254</v>
      </c>
      <c r="B2074" t="str">
        <f ca="1">OFFSET(Industries!C$1,MATCH(Table1[[#This Row],[Ticker]],Industries!$A$2:$A$150,0),0)</f>
        <v>Financials</v>
      </c>
      <c r="C2074" t="str">
        <f ca="1">OFFSET(Industries!D$1,MATCH(Table1[[#This Row],[Ticker]],Industries!$A$2:$A$150,0),0)</f>
        <v>Financial Services</v>
      </c>
      <c r="D2074" t="str">
        <f ca="1">OFFSET(Industries!E$1,MATCH(Table1[[#This Row],[Ticker]],Industries!$A$2:$A$150,0),0)</f>
        <v>Capital Markets</v>
      </c>
      <c r="E2074" t="s">
        <v>93</v>
      </c>
      <c r="F2074" t="str">
        <f ca="1">OFFSET(Industries!B$1,MATCH(Table1[[#This Row],[Ticker]],Industries!$A$2:$A$140,0),0)</f>
        <v>Mega-Cap</v>
      </c>
      <c r="G2074" t="str">
        <f ca="1">OFFSET(Industries!F$1,MATCH(Table1[[#This Row],[Ticker]],Industries!$A$2:$A$140,0),0)</f>
        <v>BBB+</v>
      </c>
      <c r="H2074" t="s">
        <v>1434</v>
      </c>
      <c r="I2074" t="s">
        <v>1434</v>
      </c>
      <c r="J2074" s="2">
        <v>45366</v>
      </c>
      <c r="K2074" t="s">
        <v>21</v>
      </c>
      <c r="L2074" t="s">
        <v>1708</v>
      </c>
      <c r="M2074" t="s">
        <v>1709</v>
      </c>
      <c r="N2074" s="1"/>
      <c r="O2074" t="s">
        <v>4</v>
      </c>
      <c r="P2074" s="1">
        <v>0.36366987179487176</v>
      </c>
      <c r="R2074" t="s">
        <v>28</v>
      </c>
      <c r="S2074" t="s">
        <v>1087</v>
      </c>
      <c r="T2074" t="s">
        <v>40</v>
      </c>
    </row>
    <row r="2075" spans="1:22" x14ac:dyDescent="0.3">
      <c r="A2075" t="s">
        <v>1254</v>
      </c>
      <c r="B2075" t="str">
        <f ca="1">OFFSET(Industries!C$1,MATCH(Table1[[#This Row],[Ticker]],Industries!$A$2:$A$150,0),0)</f>
        <v>Financials</v>
      </c>
      <c r="C2075" t="str">
        <f ca="1">OFFSET(Industries!D$1,MATCH(Table1[[#This Row],[Ticker]],Industries!$A$2:$A$150,0),0)</f>
        <v>Financial Services</v>
      </c>
      <c r="D2075" t="str">
        <f ca="1">OFFSET(Industries!E$1,MATCH(Table1[[#This Row],[Ticker]],Industries!$A$2:$A$150,0),0)</f>
        <v>Capital Markets</v>
      </c>
      <c r="E2075" t="s">
        <v>93</v>
      </c>
      <c r="F2075" t="str">
        <f ca="1">OFFSET(Industries!B$1,MATCH(Table1[[#This Row],[Ticker]],Industries!$A$2:$A$140,0),0)</f>
        <v>Mega-Cap</v>
      </c>
      <c r="G2075" t="str">
        <f ca="1">OFFSET(Industries!F$1,MATCH(Table1[[#This Row],[Ticker]],Industries!$A$2:$A$140,0),0)</f>
        <v>BBB+</v>
      </c>
      <c r="H2075" t="s">
        <v>1434</v>
      </c>
      <c r="I2075" t="s">
        <v>1434</v>
      </c>
      <c r="J2075" s="2">
        <v>45366</v>
      </c>
      <c r="K2075" t="s">
        <v>21</v>
      </c>
      <c r="L2075" t="s">
        <v>1710</v>
      </c>
      <c r="M2075" t="s">
        <v>1709</v>
      </c>
      <c r="N2075" s="1">
        <f>Table1[[#This Row],[Consideration Weight]]</f>
        <v>0.54550480769230769</v>
      </c>
      <c r="O2075" t="s">
        <v>476</v>
      </c>
      <c r="P2075" s="1">
        <v>0.54550480769230769</v>
      </c>
      <c r="Q2075" s="1" t="s">
        <v>1636</v>
      </c>
      <c r="R2075" t="s">
        <v>1059</v>
      </c>
      <c r="S2075" t="s">
        <v>1092</v>
      </c>
      <c r="T2075" t="s">
        <v>1255</v>
      </c>
    </row>
    <row r="2076" spans="1:22" x14ac:dyDescent="0.3">
      <c r="A2076" t="s">
        <v>1254</v>
      </c>
      <c r="B2076" t="str">
        <f ca="1">OFFSET(Industries!C$1,MATCH(Table1[[#This Row],[Ticker]],Industries!$A$2:$A$150,0),0)</f>
        <v>Financials</v>
      </c>
      <c r="C2076" t="str">
        <f ca="1">OFFSET(Industries!D$1,MATCH(Table1[[#This Row],[Ticker]],Industries!$A$2:$A$150,0),0)</f>
        <v>Financial Services</v>
      </c>
      <c r="D2076" t="str">
        <f ca="1">OFFSET(Industries!E$1,MATCH(Table1[[#This Row],[Ticker]],Industries!$A$2:$A$150,0),0)</f>
        <v>Capital Markets</v>
      </c>
      <c r="E2076" t="s">
        <v>93</v>
      </c>
      <c r="F2076" t="str">
        <f ca="1">OFFSET(Industries!B$1,MATCH(Table1[[#This Row],[Ticker]],Industries!$A$2:$A$140,0),0)</f>
        <v>Mega-Cap</v>
      </c>
      <c r="G2076" t="str">
        <f ca="1">OFFSET(Industries!F$1,MATCH(Table1[[#This Row],[Ticker]],Industries!$A$2:$A$140,0),0)</f>
        <v>BBB+</v>
      </c>
      <c r="H2076" t="s">
        <v>1434</v>
      </c>
      <c r="I2076" t="s">
        <v>1434</v>
      </c>
      <c r="J2076" s="2">
        <v>45366</v>
      </c>
      <c r="K2076" t="s">
        <v>21</v>
      </c>
      <c r="L2076" t="s">
        <v>1710</v>
      </c>
      <c r="M2076" t="s">
        <v>1709</v>
      </c>
      <c r="N2076" s="1"/>
      <c r="O2076" t="s">
        <v>476</v>
      </c>
      <c r="P2076" s="1">
        <v>0.54550480769230769</v>
      </c>
      <c r="R2076" t="s">
        <v>25</v>
      </c>
      <c r="S2076" t="s">
        <v>1086</v>
      </c>
      <c r="T2076" t="s">
        <v>411</v>
      </c>
    </row>
    <row r="2077" spans="1:22" x14ac:dyDescent="0.3">
      <c r="A2077" t="s">
        <v>1254</v>
      </c>
      <c r="B2077" t="str">
        <f ca="1">OFFSET(Industries!C$1,MATCH(Table1[[#This Row],[Ticker]],Industries!$A$2:$A$150,0),0)</f>
        <v>Financials</v>
      </c>
      <c r="C2077" t="str">
        <f ca="1">OFFSET(Industries!D$1,MATCH(Table1[[#This Row],[Ticker]],Industries!$A$2:$A$150,0),0)</f>
        <v>Financial Services</v>
      </c>
      <c r="D2077" t="str">
        <f ca="1">OFFSET(Industries!E$1,MATCH(Table1[[#This Row],[Ticker]],Industries!$A$2:$A$150,0),0)</f>
        <v>Capital Markets</v>
      </c>
      <c r="E2077" t="s">
        <v>93</v>
      </c>
      <c r="F2077" t="str">
        <f ca="1">OFFSET(Industries!B$1,MATCH(Table1[[#This Row],[Ticker]],Industries!$A$2:$A$140,0),0)</f>
        <v>Mega-Cap</v>
      </c>
      <c r="G2077" t="str">
        <f ca="1">OFFSET(Industries!F$1,MATCH(Table1[[#This Row],[Ticker]],Industries!$A$2:$A$140,0),0)</f>
        <v>BBB+</v>
      </c>
      <c r="H2077" t="s">
        <v>1434</v>
      </c>
      <c r="I2077" t="s">
        <v>1434</v>
      </c>
      <c r="J2077" s="2">
        <v>45366</v>
      </c>
      <c r="K2077" t="s">
        <v>21</v>
      </c>
      <c r="L2077" t="s">
        <v>1710</v>
      </c>
      <c r="M2077" t="s">
        <v>1709</v>
      </c>
      <c r="N2077" s="1"/>
      <c r="O2077" t="s">
        <v>476</v>
      </c>
      <c r="P2077" s="1">
        <v>0.54550480769230769</v>
      </c>
      <c r="R2077" t="s">
        <v>28</v>
      </c>
      <c r="S2077" t="s">
        <v>1087</v>
      </c>
      <c r="T2077" t="s">
        <v>40</v>
      </c>
      <c r="V2077" t="s">
        <v>1260</v>
      </c>
    </row>
    <row r="2078" spans="1:22" x14ac:dyDescent="0.3">
      <c r="A2078" t="s">
        <v>1254</v>
      </c>
      <c r="B2078" t="str">
        <f ca="1">OFFSET(Industries!C$1,MATCH(Table1[[#This Row],[Ticker]],Industries!$A$2:$A$150,0),0)</f>
        <v>Financials</v>
      </c>
      <c r="C2078" t="str">
        <f ca="1">OFFSET(Industries!D$1,MATCH(Table1[[#This Row],[Ticker]],Industries!$A$2:$A$150,0),0)</f>
        <v>Financial Services</v>
      </c>
      <c r="D2078" t="str">
        <f ca="1">OFFSET(Industries!E$1,MATCH(Table1[[#This Row],[Ticker]],Industries!$A$2:$A$150,0),0)</f>
        <v>Capital Markets</v>
      </c>
      <c r="E2078" t="s">
        <v>93</v>
      </c>
      <c r="F2078" t="str">
        <f ca="1">OFFSET(Industries!B$1,MATCH(Table1[[#This Row],[Ticker]],Industries!$A$2:$A$140,0),0)</f>
        <v>Mega-Cap</v>
      </c>
      <c r="G2078" t="str">
        <f ca="1">OFFSET(Industries!F$1,MATCH(Table1[[#This Row],[Ticker]],Industries!$A$2:$A$140,0),0)</f>
        <v>BBB+</v>
      </c>
      <c r="H2078" t="s">
        <v>1434</v>
      </c>
      <c r="I2078" t="s">
        <v>1434</v>
      </c>
      <c r="J2078" s="2">
        <v>45366</v>
      </c>
      <c r="K2078" t="s">
        <v>21</v>
      </c>
      <c r="L2078" t="s">
        <v>1716</v>
      </c>
      <c r="M2078" t="s">
        <v>1709</v>
      </c>
      <c r="N2078" s="1"/>
      <c r="O2078" t="s">
        <v>476</v>
      </c>
      <c r="R2078" t="s">
        <v>35</v>
      </c>
      <c r="S2078" t="s">
        <v>29</v>
      </c>
      <c r="T2078" t="s">
        <v>1258</v>
      </c>
    </row>
    <row r="2079" spans="1:22" x14ac:dyDescent="0.3">
      <c r="A2079" t="s">
        <v>1254</v>
      </c>
      <c r="B2079" t="str">
        <f ca="1">OFFSET(Industries!C$1,MATCH(Table1[[#This Row],[Ticker]],Industries!$A$2:$A$150,0),0)</f>
        <v>Financials</v>
      </c>
      <c r="C2079" t="str">
        <f ca="1">OFFSET(Industries!D$1,MATCH(Table1[[#This Row],[Ticker]],Industries!$A$2:$A$150,0),0)</f>
        <v>Financial Services</v>
      </c>
      <c r="D2079" t="str">
        <f ca="1">OFFSET(Industries!E$1,MATCH(Table1[[#This Row],[Ticker]],Industries!$A$2:$A$150,0),0)</f>
        <v>Capital Markets</v>
      </c>
      <c r="E2079" t="s">
        <v>93</v>
      </c>
      <c r="F2079" t="str">
        <f ca="1">OFFSET(Industries!B$1,MATCH(Table1[[#This Row],[Ticker]],Industries!$A$2:$A$140,0),0)</f>
        <v>Mega-Cap</v>
      </c>
      <c r="G2079" t="str">
        <f ca="1">OFFSET(Industries!F$1,MATCH(Table1[[#This Row],[Ticker]],Industries!$A$2:$A$140,0),0)</f>
        <v>BBB+</v>
      </c>
      <c r="H2079" t="s">
        <v>1434</v>
      </c>
      <c r="I2079" t="s">
        <v>1434</v>
      </c>
      <c r="J2079" s="2">
        <v>45366</v>
      </c>
      <c r="K2079" t="s">
        <v>21</v>
      </c>
      <c r="L2079" t="s">
        <v>1716</v>
      </c>
      <c r="M2079" t="s">
        <v>1709</v>
      </c>
      <c r="N2079" s="1"/>
      <c r="O2079" t="s">
        <v>476</v>
      </c>
      <c r="R2079" t="s">
        <v>35</v>
      </c>
      <c r="S2079" t="s">
        <v>1257</v>
      </c>
      <c r="T2079" t="s">
        <v>763</v>
      </c>
    </row>
    <row r="2080" spans="1:22" x14ac:dyDescent="0.3">
      <c r="A2080" t="s">
        <v>1261</v>
      </c>
      <c r="B2080" t="str">
        <f ca="1">OFFSET(Industries!C$1,MATCH(Table1[[#This Row],[Ticker]],Industries!$A$2:$A$150,0),0)</f>
        <v>Materials</v>
      </c>
      <c r="C2080" t="str">
        <f ca="1">OFFSET(Industries!D$1,MATCH(Table1[[#This Row],[Ticker]],Industries!$A$2:$A$150,0),0)</f>
        <v>Materials</v>
      </c>
      <c r="D2080" t="str">
        <f ca="1">OFFSET(Industries!E$1,MATCH(Table1[[#This Row],[Ticker]],Industries!$A$2:$A$150,0),0)</f>
        <v>Chemicals</v>
      </c>
      <c r="E2080" t="s">
        <v>195</v>
      </c>
      <c r="F2080" t="str">
        <f ca="1">OFFSET(Industries!B$1,MATCH(Table1[[#This Row],[Ticker]],Industries!$A$2:$A$140,0),0)</f>
        <v>Ultra-Cap</v>
      </c>
      <c r="G2080" t="str">
        <f ca="1">OFFSET(Industries!F$1,MATCH(Table1[[#This Row],[Ticker]],Industries!$A$2:$A$140,0),0)</f>
        <v>A</v>
      </c>
      <c r="H2080" t="s">
        <v>1434</v>
      </c>
      <c r="I2080" t="s">
        <v>1434</v>
      </c>
      <c r="J2080" s="2">
        <v>45268</v>
      </c>
      <c r="K2080" t="s">
        <v>2</v>
      </c>
      <c r="L2080" t="s">
        <v>3</v>
      </c>
      <c r="M2080" t="s">
        <v>1711</v>
      </c>
      <c r="N2080" s="1">
        <f>Table1[[#This Row],[Consideration Weight]]</f>
        <v>0.09</v>
      </c>
      <c r="O2080" t="s">
        <v>3</v>
      </c>
      <c r="P2080" s="1">
        <v>0.09</v>
      </c>
      <c r="V2080" t="s">
        <v>1263</v>
      </c>
    </row>
    <row r="2081" spans="1:22" x14ac:dyDescent="0.3">
      <c r="A2081" t="s">
        <v>1261</v>
      </c>
      <c r="B2081" t="str">
        <f ca="1">OFFSET(Industries!C$1,MATCH(Table1[[#This Row],[Ticker]],Industries!$A$2:$A$150,0),0)</f>
        <v>Materials</v>
      </c>
      <c r="C2081" t="str">
        <f ca="1">OFFSET(Industries!D$1,MATCH(Table1[[#This Row],[Ticker]],Industries!$A$2:$A$150,0),0)</f>
        <v>Materials</v>
      </c>
      <c r="D2081" t="str">
        <f ca="1">OFFSET(Industries!E$1,MATCH(Table1[[#This Row],[Ticker]],Industries!$A$2:$A$150,0),0)</f>
        <v>Chemicals</v>
      </c>
      <c r="E2081" t="s">
        <v>195</v>
      </c>
      <c r="F2081" t="str">
        <f ca="1">OFFSET(Industries!B$1,MATCH(Table1[[#This Row],[Ticker]],Industries!$A$2:$A$140,0),0)</f>
        <v>Ultra-Cap</v>
      </c>
      <c r="G2081" t="str">
        <f ca="1">OFFSET(Industries!F$1,MATCH(Table1[[#This Row],[Ticker]],Industries!$A$2:$A$140,0),0)</f>
        <v>A</v>
      </c>
      <c r="H2081" t="s">
        <v>1434</v>
      </c>
      <c r="I2081" t="s">
        <v>1434</v>
      </c>
      <c r="J2081" s="2">
        <v>45268</v>
      </c>
      <c r="K2081" t="s">
        <v>2</v>
      </c>
      <c r="L2081" t="s">
        <v>1708</v>
      </c>
      <c r="M2081" t="s">
        <v>1709</v>
      </c>
      <c r="N2081" s="1">
        <f>Table1[[#This Row],[Consideration Weight]]</f>
        <v>0.13</v>
      </c>
      <c r="O2081" t="s">
        <v>4</v>
      </c>
      <c r="P2081" s="1">
        <v>0.13</v>
      </c>
      <c r="Q2081" s="1" t="s">
        <v>1636</v>
      </c>
      <c r="R2081" t="s">
        <v>24</v>
      </c>
      <c r="S2081" t="s">
        <v>1089</v>
      </c>
      <c r="T2081" t="s">
        <v>50</v>
      </c>
      <c r="U2081" s="1">
        <v>1</v>
      </c>
      <c r="V2081" t="s">
        <v>1264</v>
      </c>
    </row>
    <row r="2082" spans="1:22" x14ac:dyDescent="0.3">
      <c r="A2082" t="s">
        <v>1261</v>
      </c>
      <c r="B2082" t="str">
        <f ca="1">OFFSET(Industries!C$1,MATCH(Table1[[#This Row],[Ticker]],Industries!$A$2:$A$150,0),0)</f>
        <v>Materials</v>
      </c>
      <c r="C2082" t="str">
        <f ca="1">OFFSET(Industries!D$1,MATCH(Table1[[#This Row],[Ticker]],Industries!$A$2:$A$150,0),0)</f>
        <v>Materials</v>
      </c>
      <c r="D2082" t="str">
        <f ca="1">OFFSET(Industries!E$1,MATCH(Table1[[#This Row],[Ticker]],Industries!$A$2:$A$150,0),0)</f>
        <v>Chemicals</v>
      </c>
      <c r="E2082" t="s">
        <v>195</v>
      </c>
      <c r="F2082" t="str">
        <f ca="1">OFFSET(Industries!B$1,MATCH(Table1[[#This Row],[Ticker]],Industries!$A$2:$A$140,0),0)</f>
        <v>Ultra-Cap</v>
      </c>
      <c r="G2082" t="str">
        <f ca="1">OFFSET(Industries!F$1,MATCH(Table1[[#This Row],[Ticker]],Industries!$A$2:$A$140,0),0)</f>
        <v>A</v>
      </c>
      <c r="H2082" t="s">
        <v>1434</v>
      </c>
      <c r="I2082" t="s">
        <v>1434</v>
      </c>
      <c r="J2082" s="2">
        <v>45268</v>
      </c>
      <c r="K2082" t="s">
        <v>2</v>
      </c>
      <c r="L2082" t="s">
        <v>1708</v>
      </c>
      <c r="M2082" t="s">
        <v>1709</v>
      </c>
      <c r="N2082" s="1"/>
      <c r="O2082" t="s">
        <v>4</v>
      </c>
      <c r="P2082" s="1">
        <v>0.13</v>
      </c>
      <c r="R2082" t="s">
        <v>28</v>
      </c>
      <c r="S2082" t="s">
        <v>1093</v>
      </c>
      <c r="T2082" t="s">
        <v>26</v>
      </c>
      <c r="V2082" t="s">
        <v>367</v>
      </c>
    </row>
    <row r="2083" spans="1:22" x14ac:dyDescent="0.3">
      <c r="A2083" t="s">
        <v>1261</v>
      </c>
      <c r="B2083" t="str">
        <f ca="1">OFFSET(Industries!C$1,MATCH(Table1[[#This Row],[Ticker]],Industries!$A$2:$A$150,0),0)</f>
        <v>Materials</v>
      </c>
      <c r="C2083" t="str">
        <f ca="1">OFFSET(Industries!D$1,MATCH(Table1[[#This Row],[Ticker]],Industries!$A$2:$A$150,0),0)</f>
        <v>Materials</v>
      </c>
      <c r="D2083" t="str">
        <f ca="1">OFFSET(Industries!E$1,MATCH(Table1[[#This Row],[Ticker]],Industries!$A$2:$A$150,0),0)</f>
        <v>Chemicals</v>
      </c>
      <c r="E2083" t="s">
        <v>195</v>
      </c>
      <c r="F2083" t="str">
        <f ca="1">OFFSET(Industries!B$1,MATCH(Table1[[#This Row],[Ticker]],Industries!$A$2:$A$140,0),0)</f>
        <v>Ultra-Cap</v>
      </c>
      <c r="G2083" t="str">
        <f ca="1">OFFSET(Industries!F$1,MATCH(Table1[[#This Row],[Ticker]],Industries!$A$2:$A$140,0),0)</f>
        <v>A</v>
      </c>
      <c r="H2083" t="s">
        <v>1434</v>
      </c>
      <c r="I2083" t="s">
        <v>1434</v>
      </c>
      <c r="J2083" s="2">
        <v>45268</v>
      </c>
      <c r="K2083" t="s">
        <v>2</v>
      </c>
      <c r="L2083" t="s">
        <v>1710</v>
      </c>
      <c r="M2083" t="s">
        <v>1709</v>
      </c>
      <c r="N2083" s="1">
        <f>Table1[[#This Row],[Consideration Weight]]</f>
        <v>0.46799999999999997</v>
      </c>
      <c r="O2083" t="s">
        <v>476</v>
      </c>
      <c r="P2083" s="1">
        <f>0.78*0.6</f>
        <v>0.46799999999999997</v>
      </c>
      <c r="Q2083" s="1" t="s">
        <v>1646</v>
      </c>
      <c r="R2083" t="s">
        <v>35</v>
      </c>
      <c r="S2083" t="s">
        <v>29</v>
      </c>
      <c r="T2083" t="s">
        <v>30</v>
      </c>
      <c r="U2083" s="1">
        <v>1</v>
      </c>
      <c r="V2083" t="s">
        <v>1262</v>
      </c>
    </row>
    <row r="2084" spans="1:22" x14ac:dyDescent="0.3">
      <c r="A2084" t="s">
        <v>1261</v>
      </c>
      <c r="B2084" t="str">
        <f ca="1">OFFSET(Industries!C$1,MATCH(Table1[[#This Row],[Ticker]],Industries!$A$2:$A$150,0),0)</f>
        <v>Materials</v>
      </c>
      <c r="C2084" t="str">
        <f ca="1">OFFSET(Industries!D$1,MATCH(Table1[[#This Row],[Ticker]],Industries!$A$2:$A$150,0),0)</f>
        <v>Materials</v>
      </c>
      <c r="D2084" t="str">
        <f ca="1">OFFSET(Industries!E$1,MATCH(Table1[[#This Row],[Ticker]],Industries!$A$2:$A$150,0),0)</f>
        <v>Chemicals</v>
      </c>
      <c r="E2084" t="s">
        <v>195</v>
      </c>
      <c r="F2084" t="str">
        <f ca="1">OFFSET(Industries!B$1,MATCH(Table1[[#This Row],[Ticker]],Industries!$A$2:$A$140,0),0)</f>
        <v>Ultra-Cap</v>
      </c>
      <c r="G2084" t="str">
        <f ca="1">OFFSET(Industries!F$1,MATCH(Table1[[#This Row],[Ticker]],Industries!$A$2:$A$140,0),0)</f>
        <v>A</v>
      </c>
      <c r="H2084" t="s">
        <v>1434</v>
      </c>
      <c r="I2084" t="s">
        <v>1434</v>
      </c>
      <c r="J2084" s="2">
        <v>45268</v>
      </c>
      <c r="K2084" t="s">
        <v>2</v>
      </c>
      <c r="L2084" t="s">
        <v>1710</v>
      </c>
      <c r="M2084" t="s">
        <v>1709</v>
      </c>
      <c r="N2084" s="1"/>
      <c r="O2084" t="s">
        <v>476</v>
      </c>
      <c r="P2084" s="1">
        <f>0.78*0.6</f>
        <v>0.46799999999999997</v>
      </c>
      <c r="R2084" t="s">
        <v>28</v>
      </c>
      <c r="S2084" t="s">
        <v>1110</v>
      </c>
      <c r="T2084" t="s">
        <v>172</v>
      </c>
    </row>
    <row r="2085" spans="1:22" x14ac:dyDescent="0.3">
      <c r="A2085" t="s">
        <v>1261</v>
      </c>
      <c r="B2085" t="str">
        <f ca="1">OFFSET(Industries!C$1,MATCH(Table1[[#This Row],[Ticker]],Industries!$A$2:$A$150,0),0)</f>
        <v>Materials</v>
      </c>
      <c r="C2085" t="str">
        <f ca="1">OFFSET(Industries!D$1,MATCH(Table1[[#This Row],[Ticker]],Industries!$A$2:$A$150,0),0)</f>
        <v>Materials</v>
      </c>
      <c r="D2085" t="str">
        <f ca="1">OFFSET(Industries!E$1,MATCH(Table1[[#This Row],[Ticker]],Industries!$A$2:$A$150,0),0)</f>
        <v>Chemicals</v>
      </c>
      <c r="E2085" t="s">
        <v>195</v>
      </c>
      <c r="F2085" t="str">
        <f ca="1">OFFSET(Industries!B$1,MATCH(Table1[[#This Row],[Ticker]],Industries!$A$2:$A$140,0),0)</f>
        <v>Ultra-Cap</v>
      </c>
      <c r="G2085" t="str">
        <f ca="1">OFFSET(Industries!F$1,MATCH(Table1[[#This Row],[Ticker]],Industries!$A$2:$A$140,0),0)</f>
        <v>A</v>
      </c>
      <c r="H2085" t="s">
        <v>1434</v>
      </c>
      <c r="I2085" t="s">
        <v>1434</v>
      </c>
      <c r="J2085" s="2">
        <v>45268</v>
      </c>
      <c r="K2085" t="s">
        <v>2</v>
      </c>
      <c r="L2085" t="s">
        <v>1710</v>
      </c>
      <c r="M2085" t="s">
        <v>1711</v>
      </c>
      <c r="N2085" s="1">
        <f>Table1[[#This Row],[Consideration Weight]]</f>
        <v>0.31200000000000006</v>
      </c>
      <c r="O2085" t="s">
        <v>194</v>
      </c>
      <c r="P2085" s="1">
        <f>0.78*0.4</f>
        <v>0.31200000000000006</v>
      </c>
    </row>
    <row r="2086" spans="1:22" x14ac:dyDescent="0.3">
      <c r="A2086" t="s">
        <v>1261</v>
      </c>
      <c r="B2086" t="str">
        <f ca="1">OFFSET(Industries!C$1,MATCH(Table1[[#This Row],[Ticker]],Industries!$A$2:$A$150,0),0)</f>
        <v>Materials</v>
      </c>
      <c r="C2086" t="str">
        <f ca="1">OFFSET(Industries!D$1,MATCH(Table1[[#This Row],[Ticker]],Industries!$A$2:$A$150,0),0)</f>
        <v>Materials</v>
      </c>
      <c r="D2086" t="str">
        <f ca="1">OFFSET(Industries!E$1,MATCH(Table1[[#This Row],[Ticker]],Industries!$A$2:$A$150,0),0)</f>
        <v>Chemicals</v>
      </c>
      <c r="E2086" t="s">
        <v>195</v>
      </c>
      <c r="F2086" t="str">
        <f ca="1">OFFSET(Industries!B$1,MATCH(Table1[[#This Row],[Ticker]],Industries!$A$2:$A$140,0),0)</f>
        <v>Ultra-Cap</v>
      </c>
      <c r="G2086" t="str">
        <f ca="1">OFFSET(Industries!F$1,MATCH(Table1[[#This Row],[Ticker]],Industries!$A$2:$A$140,0),0)</f>
        <v>A</v>
      </c>
      <c r="H2086" t="s">
        <v>1434</v>
      </c>
      <c r="I2086" t="s">
        <v>1434</v>
      </c>
      <c r="J2086" s="2">
        <v>45268</v>
      </c>
      <c r="K2086" t="s">
        <v>21</v>
      </c>
      <c r="L2086" t="s">
        <v>3</v>
      </c>
      <c r="M2086" t="s">
        <v>1711</v>
      </c>
      <c r="N2086" s="1">
        <f>Table1[[#This Row],[Consideration Weight]]</f>
        <v>0.2</v>
      </c>
      <c r="O2086" t="s">
        <v>3</v>
      </c>
      <c r="P2086" s="1">
        <v>0.2</v>
      </c>
    </row>
    <row r="2087" spans="1:22" x14ac:dyDescent="0.3">
      <c r="A2087" t="s">
        <v>1261</v>
      </c>
      <c r="B2087" t="str">
        <f ca="1">OFFSET(Industries!C$1,MATCH(Table1[[#This Row],[Ticker]],Industries!$A$2:$A$150,0),0)</f>
        <v>Materials</v>
      </c>
      <c r="C2087" t="str">
        <f ca="1">OFFSET(Industries!D$1,MATCH(Table1[[#This Row],[Ticker]],Industries!$A$2:$A$150,0),0)</f>
        <v>Materials</v>
      </c>
      <c r="D2087" t="str">
        <f ca="1">OFFSET(Industries!E$1,MATCH(Table1[[#This Row],[Ticker]],Industries!$A$2:$A$150,0),0)</f>
        <v>Chemicals</v>
      </c>
      <c r="E2087" t="s">
        <v>195</v>
      </c>
      <c r="F2087" t="str">
        <f ca="1">OFFSET(Industries!B$1,MATCH(Table1[[#This Row],[Ticker]],Industries!$A$2:$A$140,0),0)</f>
        <v>Ultra-Cap</v>
      </c>
      <c r="G2087" t="str">
        <f ca="1">OFFSET(Industries!F$1,MATCH(Table1[[#This Row],[Ticker]],Industries!$A$2:$A$140,0),0)</f>
        <v>A</v>
      </c>
      <c r="H2087" t="s">
        <v>1434</v>
      </c>
      <c r="I2087" t="s">
        <v>1434</v>
      </c>
      <c r="J2087" s="2">
        <v>45268</v>
      </c>
      <c r="K2087" t="s">
        <v>21</v>
      </c>
      <c r="L2087" t="s">
        <v>1708</v>
      </c>
      <c r="M2087" t="s">
        <v>1709</v>
      </c>
      <c r="N2087" s="1">
        <f>Table1[[#This Row],[Consideration Weight]]</f>
        <v>0.21</v>
      </c>
      <c r="O2087" t="s">
        <v>4</v>
      </c>
      <c r="P2087" s="1">
        <v>0.21</v>
      </c>
      <c r="Q2087" s="1" t="s">
        <v>1636</v>
      </c>
      <c r="R2087" t="s">
        <v>24</v>
      </c>
      <c r="S2087" t="s">
        <v>1089</v>
      </c>
      <c r="T2087" t="s">
        <v>50</v>
      </c>
      <c r="U2087" s="1">
        <v>1</v>
      </c>
    </row>
    <row r="2088" spans="1:22" x14ac:dyDescent="0.3">
      <c r="A2088" t="s">
        <v>1261</v>
      </c>
      <c r="B2088" t="str">
        <f ca="1">OFFSET(Industries!C$1,MATCH(Table1[[#This Row],[Ticker]],Industries!$A$2:$A$150,0),0)</f>
        <v>Materials</v>
      </c>
      <c r="C2088" t="str">
        <f ca="1">OFFSET(Industries!D$1,MATCH(Table1[[#This Row],[Ticker]],Industries!$A$2:$A$150,0),0)</f>
        <v>Materials</v>
      </c>
      <c r="D2088" t="str">
        <f ca="1">OFFSET(Industries!E$1,MATCH(Table1[[#This Row],[Ticker]],Industries!$A$2:$A$150,0),0)</f>
        <v>Chemicals</v>
      </c>
      <c r="E2088" t="s">
        <v>195</v>
      </c>
      <c r="F2088" t="str">
        <f ca="1">OFFSET(Industries!B$1,MATCH(Table1[[#This Row],[Ticker]],Industries!$A$2:$A$140,0),0)</f>
        <v>Ultra-Cap</v>
      </c>
      <c r="G2088" t="str">
        <f ca="1">OFFSET(Industries!F$1,MATCH(Table1[[#This Row],[Ticker]],Industries!$A$2:$A$140,0),0)</f>
        <v>A</v>
      </c>
      <c r="H2088" t="s">
        <v>1434</v>
      </c>
      <c r="I2088" t="s">
        <v>1434</v>
      </c>
      <c r="J2088" s="2">
        <v>45268</v>
      </c>
      <c r="K2088" t="s">
        <v>21</v>
      </c>
      <c r="L2088" t="s">
        <v>1708</v>
      </c>
      <c r="M2088" t="s">
        <v>1709</v>
      </c>
      <c r="N2088" s="1"/>
      <c r="O2088" t="s">
        <v>4</v>
      </c>
      <c r="P2088" s="1">
        <v>0.21</v>
      </c>
      <c r="R2088" t="s">
        <v>28</v>
      </c>
      <c r="S2088" t="s">
        <v>1093</v>
      </c>
      <c r="T2088" t="s">
        <v>26</v>
      </c>
    </row>
    <row r="2089" spans="1:22" x14ac:dyDescent="0.3">
      <c r="A2089" t="s">
        <v>1261</v>
      </c>
      <c r="B2089" t="str">
        <f ca="1">OFFSET(Industries!C$1,MATCH(Table1[[#This Row],[Ticker]],Industries!$A$2:$A$150,0),0)</f>
        <v>Materials</v>
      </c>
      <c r="C2089" t="str">
        <f ca="1">OFFSET(Industries!D$1,MATCH(Table1[[#This Row],[Ticker]],Industries!$A$2:$A$150,0),0)</f>
        <v>Materials</v>
      </c>
      <c r="D2089" t="str">
        <f ca="1">OFFSET(Industries!E$1,MATCH(Table1[[#This Row],[Ticker]],Industries!$A$2:$A$150,0),0)</f>
        <v>Chemicals</v>
      </c>
      <c r="E2089" t="s">
        <v>195</v>
      </c>
      <c r="F2089" t="str">
        <f ca="1">OFFSET(Industries!B$1,MATCH(Table1[[#This Row],[Ticker]],Industries!$A$2:$A$140,0),0)</f>
        <v>Ultra-Cap</v>
      </c>
      <c r="G2089" t="str">
        <f ca="1">OFFSET(Industries!F$1,MATCH(Table1[[#This Row],[Ticker]],Industries!$A$2:$A$140,0),0)</f>
        <v>A</v>
      </c>
      <c r="H2089" t="s">
        <v>1434</v>
      </c>
      <c r="I2089" t="s">
        <v>1434</v>
      </c>
      <c r="J2089" s="2">
        <v>45268</v>
      </c>
      <c r="K2089" t="s">
        <v>21</v>
      </c>
      <c r="L2089" t="s">
        <v>1710</v>
      </c>
      <c r="M2089" t="s">
        <v>1709</v>
      </c>
      <c r="N2089" s="1">
        <f>Table1[[#This Row],[Consideration Weight]]</f>
        <v>0.35399999999999998</v>
      </c>
      <c r="O2089" t="s">
        <v>476</v>
      </c>
      <c r="P2089" s="1">
        <f>0.59*0.6</f>
        <v>0.35399999999999998</v>
      </c>
      <c r="Q2089" s="1" t="s">
        <v>1646</v>
      </c>
      <c r="R2089" t="s">
        <v>35</v>
      </c>
      <c r="S2089" t="s">
        <v>29</v>
      </c>
      <c r="T2089" t="s">
        <v>30</v>
      </c>
      <c r="U2089" s="1">
        <v>1</v>
      </c>
    </row>
    <row r="2090" spans="1:22" x14ac:dyDescent="0.3">
      <c r="A2090" t="s">
        <v>1261</v>
      </c>
      <c r="B2090" t="str">
        <f ca="1">OFFSET(Industries!C$1,MATCH(Table1[[#This Row],[Ticker]],Industries!$A$2:$A$150,0),0)</f>
        <v>Materials</v>
      </c>
      <c r="C2090" t="str">
        <f ca="1">OFFSET(Industries!D$1,MATCH(Table1[[#This Row],[Ticker]],Industries!$A$2:$A$150,0),0)</f>
        <v>Materials</v>
      </c>
      <c r="D2090" t="str">
        <f ca="1">OFFSET(Industries!E$1,MATCH(Table1[[#This Row],[Ticker]],Industries!$A$2:$A$150,0),0)</f>
        <v>Chemicals</v>
      </c>
      <c r="E2090" t="s">
        <v>195</v>
      </c>
      <c r="F2090" t="str">
        <f ca="1">OFFSET(Industries!B$1,MATCH(Table1[[#This Row],[Ticker]],Industries!$A$2:$A$140,0),0)</f>
        <v>Ultra-Cap</v>
      </c>
      <c r="G2090" t="str">
        <f ca="1">OFFSET(Industries!F$1,MATCH(Table1[[#This Row],[Ticker]],Industries!$A$2:$A$140,0),0)</f>
        <v>A</v>
      </c>
      <c r="H2090" t="s">
        <v>1434</v>
      </c>
      <c r="I2090" t="s">
        <v>1434</v>
      </c>
      <c r="J2090" s="2">
        <v>45268</v>
      </c>
      <c r="K2090" t="s">
        <v>21</v>
      </c>
      <c r="L2090" t="s">
        <v>1710</v>
      </c>
      <c r="M2090" t="s">
        <v>1709</v>
      </c>
      <c r="N2090" s="1"/>
      <c r="O2090" t="s">
        <v>476</v>
      </c>
      <c r="P2090" s="1">
        <f>0.59*0.6</f>
        <v>0.35399999999999998</v>
      </c>
      <c r="R2090" t="s">
        <v>28</v>
      </c>
      <c r="S2090" t="s">
        <v>1110</v>
      </c>
      <c r="T2090" t="s">
        <v>172</v>
      </c>
    </row>
    <row r="2091" spans="1:22" x14ac:dyDescent="0.3">
      <c r="A2091" t="s">
        <v>1261</v>
      </c>
      <c r="B2091" t="str">
        <f ca="1">OFFSET(Industries!C$1,MATCH(Table1[[#This Row],[Ticker]],Industries!$A$2:$A$150,0),0)</f>
        <v>Materials</v>
      </c>
      <c r="C2091" t="str">
        <f ca="1">OFFSET(Industries!D$1,MATCH(Table1[[#This Row],[Ticker]],Industries!$A$2:$A$150,0),0)</f>
        <v>Materials</v>
      </c>
      <c r="D2091" t="str">
        <f ca="1">OFFSET(Industries!E$1,MATCH(Table1[[#This Row],[Ticker]],Industries!$A$2:$A$150,0),0)</f>
        <v>Chemicals</v>
      </c>
      <c r="E2091" t="s">
        <v>195</v>
      </c>
      <c r="F2091" t="str">
        <f ca="1">OFFSET(Industries!B$1,MATCH(Table1[[#This Row],[Ticker]],Industries!$A$2:$A$140,0),0)</f>
        <v>Ultra-Cap</v>
      </c>
      <c r="G2091" t="str">
        <f ca="1">OFFSET(Industries!F$1,MATCH(Table1[[#This Row],[Ticker]],Industries!$A$2:$A$140,0),0)</f>
        <v>A</v>
      </c>
      <c r="H2091" t="s">
        <v>1434</v>
      </c>
      <c r="I2091" t="s">
        <v>1434</v>
      </c>
      <c r="J2091" s="2">
        <v>45268</v>
      </c>
      <c r="K2091" t="s">
        <v>21</v>
      </c>
      <c r="L2091" t="s">
        <v>1710</v>
      </c>
      <c r="M2091" t="s">
        <v>1711</v>
      </c>
      <c r="N2091" s="1">
        <f>Table1[[#This Row],[Consideration Weight]]</f>
        <v>0.23599999999999999</v>
      </c>
      <c r="O2091" t="s">
        <v>194</v>
      </c>
      <c r="P2091" s="1">
        <f>0.59*0.4</f>
        <v>0.23599999999999999</v>
      </c>
    </row>
    <row r="2092" spans="1:22" x14ac:dyDescent="0.3">
      <c r="A2092" t="s">
        <v>1265</v>
      </c>
      <c r="B2092" t="str">
        <f ca="1">OFFSET(Industries!C$1,MATCH(Table1[[#This Row],[Ticker]],Industries!$A$2:$A$150,0),0)</f>
        <v>Health Care</v>
      </c>
      <c r="C2092" t="str">
        <f ca="1">OFFSET(Industries!D$1,MATCH(Table1[[#This Row],[Ticker]],Industries!$A$2:$A$150,0),0)</f>
        <v>Pharmaceuticals, Biotechnology and Life Sciences</v>
      </c>
      <c r="D2092" t="str">
        <f ca="1">OFFSET(Industries!E$1,MATCH(Table1[[#This Row],[Ticker]],Industries!$A$2:$A$150,0),0)</f>
        <v>Pharmaceuticals</v>
      </c>
      <c r="E2092" t="s">
        <v>49</v>
      </c>
      <c r="F2092" t="str">
        <f ca="1">OFFSET(Industries!B$1,MATCH(Table1[[#This Row],[Ticker]],Industries!$A$2:$A$140,0),0)</f>
        <v>Mega-Cap</v>
      </c>
      <c r="G2092" t="str">
        <f ca="1">OFFSET(Industries!F$1,MATCH(Table1[[#This Row],[Ticker]],Industries!$A$2:$A$140,0),0)</f>
        <v>A</v>
      </c>
      <c r="H2092" t="s">
        <v>1434</v>
      </c>
      <c r="I2092" t="s">
        <v>1434</v>
      </c>
      <c r="J2092" s="2">
        <v>45365</v>
      </c>
      <c r="K2092" t="s">
        <v>2</v>
      </c>
      <c r="L2092" t="s">
        <v>3</v>
      </c>
      <c r="M2092" t="s">
        <v>1711</v>
      </c>
      <c r="N2092" s="1">
        <f>Table1[[#This Row],[Consideration Weight]]</f>
        <v>0.08</v>
      </c>
      <c r="O2092" t="s">
        <v>3</v>
      </c>
      <c r="P2092" s="1">
        <v>0.08</v>
      </c>
      <c r="V2092" t="s">
        <v>1268</v>
      </c>
    </row>
    <row r="2093" spans="1:22" x14ac:dyDescent="0.3">
      <c r="A2093" t="s">
        <v>1265</v>
      </c>
      <c r="B2093" t="str">
        <f ca="1">OFFSET(Industries!C$1,MATCH(Table1[[#This Row],[Ticker]],Industries!$A$2:$A$150,0),0)</f>
        <v>Health Care</v>
      </c>
      <c r="C2093" t="str">
        <f ca="1">OFFSET(Industries!D$1,MATCH(Table1[[#This Row],[Ticker]],Industries!$A$2:$A$150,0),0)</f>
        <v>Pharmaceuticals, Biotechnology and Life Sciences</v>
      </c>
      <c r="D2093" t="str">
        <f ca="1">OFFSET(Industries!E$1,MATCH(Table1[[#This Row],[Ticker]],Industries!$A$2:$A$150,0),0)</f>
        <v>Pharmaceuticals</v>
      </c>
      <c r="E2093" t="s">
        <v>49</v>
      </c>
      <c r="F2093" t="str">
        <f ca="1">OFFSET(Industries!B$1,MATCH(Table1[[#This Row],[Ticker]],Industries!$A$2:$A$140,0),0)</f>
        <v>Mega-Cap</v>
      </c>
      <c r="G2093" t="str">
        <f ca="1">OFFSET(Industries!F$1,MATCH(Table1[[#This Row],[Ticker]],Industries!$A$2:$A$140,0),0)</f>
        <v>A</v>
      </c>
      <c r="H2093" t="s">
        <v>1434</v>
      </c>
      <c r="I2093" t="s">
        <v>1434</v>
      </c>
      <c r="J2093" s="2">
        <v>45365</v>
      </c>
      <c r="K2093" t="s">
        <v>2</v>
      </c>
      <c r="L2093" t="s">
        <v>1708</v>
      </c>
      <c r="M2093" t="s">
        <v>1709</v>
      </c>
      <c r="N2093" s="1">
        <f>Table1[[#This Row],[Consideration Weight]]</f>
        <v>0.15</v>
      </c>
      <c r="O2093" t="s">
        <v>4</v>
      </c>
      <c r="P2093" s="1">
        <v>0.15</v>
      </c>
      <c r="Q2093" s="1" t="s">
        <v>1636</v>
      </c>
      <c r="R2093" t="s">
        <v>23</v>
      </c>
      <c r="S2093" t="s">
        <v>1083</v>
      </c>
      <c r="T2093" t="s">
        <v>7</v>
      </c>
      <c r="U2093" s="1">
        <v>0.4</v>
      </c>
      <c r="V2093" t="s">
        <v>1269</v>
      </c>
    </row>
    <row r="2094" spans="1:22" x14ac:dyDescent="0.3">
      <c r="A2094" t="s">
        <v>1265</v>
      </c>
      <c r="B2094" t="str">
        <f ca="1">OFFSET(Industries!C$1,MATCH(Table1[[#This Row],[Ticker]],Industries!$A$2:$A$150,0),0)</f>
        <v>Health Care</v>
      </c>
      <c r="C2094" t="str">
        <f ca="1">OFFSET(Industries!D$1,MATCH(Table1[[#This Row],[Ticker]],Industries!$A$2:$A$150,0),0)</f>
        <v>Pharmaceuticals, Biotechnology and Life Sciences</v>
      </c>
      <c r="D2094" t="str">
        <f ca="1">OFFSET(Industries!E$1,MATCH(Table1[[#This Row],[Ticker]],Industries!$A$2:$A$150,0),0)</f>
        <v>Pharmaceuticals</v>
      </c>
      <c r="E2094" t="s">
        <v>49</v>
      </c>
      <c r="F2094" t="str">
        <f ca="1">OFFSET(Industries!B$1,MATCH(Table1[[#This Row],[Ticker]],Industries!$A$2:$A$140,0),0)</f>
        <v>Mega-Cap</v>
      </c>
      <c r="G2094" t="str">
        <f ca="1">OFFSET(Industries!F$1,MATCH(Table1[[#This Row],[Ticker]],Industries!$A$2:$A$140,0),0)</f>
        <v>A</v>
      </c>
      <c r="H2094" t="s">
        <v>1434</v>
      </c>
      <c r="I2094" t="s">
        <v>1434</v>
      </c>
      <c r="J2094" s="2">
        <v>45365</v>
      </c>
      <c r="K2094" t="s">
        <v>2</v>
      </c>
      <c r="L2094" t="s">
        <v>1708</v>
      </c>
      <c r="M2094" t="s">
        <v>1709</v>
      </c>
      <c r="N2094" s="1"/>
      <c r="O2094" t="s">
        <v>4</v>
      </c>
      <c r="P2094" s="1">
        <v>0.15</v>
      </c>
      <c r="Q2094" s="1" t="s">
        <v>1636</v>
      </c>
      <c r="R2094" t="s">
        <v>24</v>
      </c>
      <c r="S2094" t="s">
        <v>1089</v>
      </c>
      <c r="T2094" t="s">
        <v>50</v>
      </c>
      <c r="U2094" s="1">
        <v>0.4</v>
      </c>
      <c r="V2094" t="s">
        <v>1270</v>
      </c>
    </row>
    <row r="2095" spans="1:22" x14ac:dyDescent="0.3">
      <c r="A2095" t="s">
        <v>1265</v>
      </c>
      <c r="B2095" t="str">
        <f ca="1">OFFSET(Industries!C$1,MATCH(Table1[[#This Row],[Ticker]],Industries!$A$2:$A$150,0),0)</f>
        <v>Health Care</v>
      </c>
      <c r="C2095" t="str">
        <f ca="1">OFFSET(Industries!D$1,MATCH(Table1[[#This Row],[Ticker]],Industries!$A$2:$A$150,0),0)</f>
        <v>Pharmaceuticals, Biotechnology and Life Sciences</v>
      </c>
      <c r="D2095" t="str">
        <f ca="1">OFFSET(Industries!E$1,MATCH(Table1[[#This Row],[Ticker]],Industries!$A$2:$A$150,0),0)</f>
        <v>Pharmaceuticals</v>
      </c>
      <c r="E2095" t="s">
        <v>49</v>
      </c>
      <c r="F2095" t="str">
        <f ca="1">OFFSET(Industries!B$1,MATCH(Table1[[#This Row],[Ticker]],Industries!$A$2:$A$140,0),0)</f>
        <v>Mega-Cap</v>
      </c>
      <c r="G2095" t="str">
        <f ca="1">OFFSET(Industries!F$1,MATCH(Table1[[#This Row],[Ticker]],Industries!$A$2:$A$140,0),0)</f>
        <v>A</v>
      </c>
      <c r="H2095" t="s">
        <v>1434</v>
      </c>
      <c r="I2095" t="s">
        <v>1434</v>
      </c>
      <c r="J2095" s="2">
        <v>45365</v>
      </c>
      <c r="K2095" t="s">
        <v>2</v>
      </c>
      <c r="L2095" t="s">
        <v>1708</v>
      </c>
      <c r="M2095" t="s">
        <v>1709</v>
      </c>
      <c r="N2095" s="1"/>
      <c r="O2095" t="s">
        <v>4</v>
      </c>
      <c r="P2095" s="1">
        <v>0.15</v>
      </c>
      <c r="Q2095" s="1" t="s">
        <v>1636</v>
      </c>
      <c r="R2095" t="s">
        <v>62</v>
      </c>
      <c r="S2095" t="s">
        <v>63</v>
      </c>
      <c r="T2095" t="s">
        <v>81</v>
      </c>
      <c r="U2095" s="1">
        <v>0.2</v>
      </c>
      <c r="V2095" t="s">
        <v>1277</v>
      </c>
    </row>
    <row r="2096" spans="1:22" x14ac:dyDescent="0.3">
      <c r="A2096" t="s">
        <v>1265</v>
      </c>
      <c r="B2096" t="str">
        <f ca="1">OFFSET(Industries!C$1,MATCH(Table1[[#This Row],[Ticker]],Industries!$A$2:$A$150,0),0)</f>
        <v>Health Care</v>
      </c>
      <c r="C2096" t="str">
        <f ca="1">OFFSET(Industries!D$1,MATCH(Table1[[#This Row],[Ticker]],Industries!$A$2:$A$150,0),0)</f>
        <v>Pharmaceuticals, Biotechnology and Life Sciences</v>
      </c>
      <c r="D2096" t="str">
        <f ca="1">OFFSET(Industries!E$1,MATCH(Table1[[#This Row],[Ticker]],Industries!$A$2:$A$150,0),0)</f>
        <v>Pharmaceuticals</v>
      </c>
      <c r="E2096" t="s">
        <v>49</v>
      </c>
      <c r="F2096" t="str">
        <f ca="1">OFFSET(Industries!B$1,MATCH(Table1[[#This Row],[Ticker]],Industries!$A$2:$A$140,0),0)</f>
        <v>Mega-Cap</v>
      </c>
      <c r="G2096" t="str">
        <f ca="1">OFFSET(Industries!F$1,MATCH(Table1[[#This Row],[Ticker]],Industries!$A$2:$A$140,0),0)</f>
        <v>A</v>
      </c>
      <c r="H2096" t="s">
        <v>1434</v>
      </c>
      <c r="I2096" t="s">
        <v>1434</v>
      </c>
      <c r="J2096" s="2">
        <v>45365</v>
      </c>
      <c r="K2096" t="s">
        <v>2</v>
      </c>
      <c r="L2096" t="s">
        <v>1708</v>
      </c>
      <c r="M2096" t="s">
        <v>1709</v>
      </c>
      <c r="N2096" s="1"/>
      <c r="O2096" t="s">
        <v>4</v>
      </c>
      <c r="P2096" s="1">
        <v>0.15</v>
      </c>
      <c r="R2096" t="s">
        <v>28</v>
      </c>
      <c r="S2096" t="s">
        <v>1266</v>
      </c>
      <c r="T2096" t="s">
        <v>1267</v>
      </c>
      <c r="V2096" t="s">
        <v>1278</v>
      </c>
    </row>
    <row r="2097" spans="1:22" x14ac:dyDescent="0.3">
      <c r="A2097" t="s">
        <v>1265</v>
      </c>
      <c r="B2097" t="str">
        <f ca="1">OFFSET(Industries!C$1,MATCH(Table1[[#This Row],[Ticker]],Industries!$A$2:$A$150,0),0)</f>
        <v>Health Care</v>
      </c>
      <c r="C2097" t="str">
        <f ca="1">OFFSET(Industries!D$1,MATCH(Table1[[#This Row],[Ticker]],Industries!$A$2:$A$150,0),0)</f>
        <v>Pharmaceuticals, Biotechnology and Life Sciences</v>
      </c>
      <c r="D2097" t="str">
        <f ca="1">OFFSET(Industries!E$1,MATCH(Table1[[#This Row],[Ticker]],Industries!$A$2:$A$150,0),0)</f>
        <v>Pharmaceuticals</v>
      </c>
      <c r="E2097" t="s">
        <v>49</v>
      </c>
      <c r="F2097" t="str">
        <f ca="1">OFFSET(Industries!B$1,MATCH(Table1[[#This Row],[Ticker]],Industries!$A$2:$A$140,0),0)</f>
        <v>Mega-Cap</v>
      </c>
      <c r="G2097" t="str">
        <f ca="1">OFFSET(Industries!F$1,MATCH(Table1[[#This Row],[Ticker]],Industries!$A$2:$A$140,0),0)</f>
        <v>A</v>
      </c>
      <c r="H2097" t="s">
        <v>1434</v>
      </c>
      <c r="I2097" t="s">
        <v>1434</v>
      </c>
      <c r="J2097" s="2">
        <v>45365</v>
      </c>
      <c r="K2097" t="s">
        <v>2</v>
      </c>
      <c r="L2097" t="s">
        <v>1708</v>
      </c>
      <c r="M2097" t="s">
        <v>1709</v>
      </c>
      <c r="N2097" s="1"/>
      <c r="O2097" t="s">
        <v>4</v>
      </c>
      <c r="P2097" s="1">
        <v>0.15</v>
      </c>
      <c r="R2097" t="s">
        <v>28</v>
      </c>
      <c r="S2097" t="s">
        <v>1093</v>
      </c>
      <c r="T2097" t="s">
        <v>941</v>
      </c>
      <c r="V2097" t="s">
        <v>1271</v>
      </c>
    </row>
    <row r="2098" spans="1:22" x14ac:dyDescent="0.3">
      <c r="A2098" t="s">
        <v>1265</v>
      </c>
      <c r="B2098" t="str">
        <f ca="1">OFFSET(Industries!C$1,MATCH(Table1[[#This Row],[Ticker]],Industries!$A$2:$A$150,0),0)</f>
        <v>Health Care</v>
      </c>
      <c r="C2098" t="str">
        <f ca="1">OFFSET(Industries!D$1,MATCH(Table1[[#This Row],[Ticker]],Industries!$A$2:$A$150,0),0)</f>
        <v>Pharmaceuticals, Biotechnology and Life Sciences</v>
      </c>
      <c r="D2098" t="str">
        <f ca="1">OFFSET(Industries!E$1,MATCH(Table1[[#This Row],[Ticker]],Industries!$A$2:$A$150,0),0)</f>
        <v>Pharmaceuticals</v>
      </c>
      <c r="E2098" t="s">
        <v>49</v>
      </c>
      <c r="F2098" t="str">
        <f ca="1">OFFSET(Industries!B$1,MATCH(Table1[[#This Row],[Ticker]],Industries!$A$2:$A$140,0),0)</f>
        <v>Mega-Cap</v>
      </c>
      <c r="G2098" t="str">
        <f ca="1">OFFSET(Industries!F$1,MATCH(Table1[[#This Row],[Ticker]],Industries!$A$2:$A$140,0),0)</f>
        <v>A</v>
      </c>
      <c r="H2098" t="s">
        <v>1434</v>
      </c>
      <c r="I2098" t="s">
        <v>1434</v>
      </c>
      <c r="J2098" s="2">
        <v>45365</v>
      </c>
      <c r="K2098" t="s">
        <v>2</v>
      </c>
      <c r="L2098" t="s">
        <v>1708</v>
      </c>
      <c r="M2098" t="s">
        <v>1709</v>
      </c>
      <c r="N2098" s="1"/>
      <c r="O2098" t="s">
        <v>4</v>
      </c>
      <c r="P2098" s="1">
        <v>0.15</v>
      </c>
      <c r="R2098" t="s">
        <v>28</v>
      </c>
      <c r="S2098" t="s">
        <v>1110</v>
      </c>
      <c r="T2098" t="s">
        <v>172</v>
      </c>
      <c r="V2098" t="s">
        <v>1732</v>
      </c>
    </row>
    <row r="2099" spans="1:22" x14ac:dyDescent="0.3">
      <c r="A2099" t="s">
        <v>1265</v>
      </c>
      <c r="B2099" t="str">
        <f ca="1">OFFSET(Industries!C$1,MATCH(Table1[[#This Row],[Ticker]],Industries!$A$2:$A$150,0),0)</f>
        <v>Health Care</v>
      </c>
      <c r="C2099" t="str">
        <f ca="1">OFFSET(Industries!D$1,MATCH(Table1[[#This Row],[Ticker]],Industries!$A$2:$A$150,0),0)</f>
        <v>Pharmaceuticals, Biotechnology and Life Sciences</v>
      </c>
      <c r="D2099" t="str">
        <f ca="1">OFFSET(Industries!E$1,MATCH(Table1[[#This Row],[Ticker]],Industries!$A$2:$A$150,0),0)</f>
        <v>Pharmaceuticals</v>
      </c>
      <c r="E2099" t="s">
        <v>49</v>
      </c>
      <c r="F2099" t="str">
        <f ca="1">OFFSET(Industries!B$1,MATCH(Table1[[#This Row],[Ticker]],Industries!$A$2:$A$140,0),0)</f>
        <v>Mega-Cap</v>
      </c>
      <c r="G2099" t="str">
        <f ca="1">OFFSET(Industries!F$1,MATCH(Table1[[#This Row],[Ticker]],Industries!$A$2:$A$140,0),0)</f>
        <v>A</v>
      </c>
      <c r="H2099" t="s">
        <v>1434</v>
      </c>
      <c r="I2099" t="s">
        <v>1434</v>
      </c>
      <c r="J2099" s="2">
        <v>45365</v>
      </c>
      <c r="K2099" t="s">
        <v>2</v>
      </c>
      <c r="L2099" t="s">
        <v>1710</v>
      </c>
      <c r="M2099" t="s">
        <v>1709</v>
      </c>
      <c r="N2099" s="1">
        <f>Table1[[#This Row],[Consideration Weight]]</f>
        <v>0.38500000000000001</v>
      </c>
      <c r="O2099" t="s">
        <v>840</v>
      </c>
      <c r="P2099" s="1">
        <f>0.5*0.77</f>
        <v>0.38500000000000001</v>
      </c>
      <c r="V2099" t="s">
        <v>1272</v>
      </c>
    </row>
    <row r="2100" spans="1:22" x14ac:dyDescent="0.3">
      <c r="A2100" t="s">
        <v>1265</v>
      </c>
      <c r="B2100" t="str">
        <f ca="1">OFFSET(Industries!C$1,MATCH(Table1[[#This Row],[Ticker]],Industries!$A$2:$A$150,0),0)</f>
        <v>Health Care</v>
      </c>
      <c r="C2100" t="str">
        <f ca="1">OFFSET(Industries!D$1,MATCH(Table1[[#This Row],[Ticker]],Industries!$A$2:$A$150,0),0)</f>
        <v>Pharmaceuticals, Biotechnology and Life Sciences</v>
      </c>
      <c r="D2100" t="str">
        <f ca="1">OFFSET(Industries!E$1,MATCH(Table1[[#This Row],[Ticker]],Industries!$A$2:$A$150,0),0)</f>
        <v>Pharmaceuticals</v>
      </c>
      <c r="E2100" t="s">
        <v>49</v>
      </c>
      <c r="F2100" t="str">
        <f ca="1">OFFSET(Industries!B$1,MATCH(Table1[[#This Row],[Ticker]],Industries!$A$2:$A$140,0),0)</f>
        <v>Mega-Cap</v>
      </c>
      <c r="G2100" t="str">
        <f ca="1">OFFSET(Industries!F$1,MATCH(Table1[[#This Row],[Ticker]],Industries!$A$2:$A$140,0),0)</f>
        <v>A</v>
      </c>
      <c r="H2100" t="s">
        <v>1434</v>
      </c>
      <c r="I2100" t="s">
        <v>1434</v>
      </c>
      <c r="J2100" s="2">
        <v>45365</v>
      </c>
      <c r="K2100" t="s">
        <v>2</v>
      </c>
      <c r="L2100" t="s">
        <v>1710</v>
      </c>
      <c r="M2100" t="s">
        <v>1709</v>
      </c>
      <c r="N2100" s="1"/>
      <c r="O2100" t="s">
        <v>840</v>
      </c>
      <c r="P2100" s="1">
        <f>0.5*0.77</f>
        <v>0.38500000000000001</v>
      </c>
      <c r="R2100" t="s">
        <v>28</v>
      </c>
      <c r="S2100" t="s">
        <v>1094</v>
      </c>
      <c r="T2100" t="s">
        <v>1273</v>
      </c>
      <c r="V2100" t="s">
        <v>1276</v>
      </c>
    </row>
    <row r="2101" spans="1:22" x14ac:dyDescent="0.3">
      <c r="A2101" t="s">
        <v>1265</v>
      </c>
      <c r="B2101" t="str">
        <f ca="1">OFFSET(Industries!C$1,MATCH(Table1[[#This Row],[Ticker]],Industries!$A$2:$A$150,0),0)</f>
        <v>Health Care</v>
      </c>
      <c r="C2101" t="str">
        <f ca="1">OFFSET(Industries!D$1,MATCH(Table1[[#This Row],[Ticker]],Industries!$A$2:$A$150,0),0)</f>
        <v>Pharmaceuticals, Biotechnology and Life Sciences</v>
      </c>
      <c r="D2101" t="str">
        <f ca="1">OFFSET(Industries!E$1,MATCH(Table1[[#This Row],[Ticker]],Industries!$A$2:$A$150,0),0)</f>
        <v>Pharmaceuticals</v>
      </c>
      <c r="E2101" t="s">
        <v>49</v>
      </c>
      <c r="F2101" t="str">
        <f ca="1">OFFSET(Industries!B$1,MATCH(Table1[[#This Row],[Ticker]],Industries!$A$2:$A$140,0),0)</f>
        <v>Mega-Cap</v>
      </c>
      <c r="G2101" t="str">
        <f ca="1">OFFSET(Industries!F$1,MATCH(Table1[[#This Row],[Ticker]],Industries!$A$2:$A$140,0),0)</f>
        <v>A</v>
      </c>
      <c r="H2101" t="s">
        <v>1434</v>
      </c>
      <c r="I2101" t="s">
        <v>1434</v>
      </c>
      <c r="J2101" s="2">
        <v>45365</v>
      </c>
      <c r="K2101" t="s">
        <v>2</v>
      </c>
      <c r="L2101" t="s">
        <v>1710</v>
      </c>
      <c r="M2101" t="s">
        <v>1709</v>
      </c>
      <c r="N2101" s="1">
        <f>Table1[[#This Row],[Consideration Weight]]</f>
        <v>0.38500000000000001</v>
      </c>
      <c r="O2101" t="s">
        <v>476</v>
      </c>
      <c r="P2101" s="1">
        <f t="shared" ref="P2101:P2103" si="45">0.5*0.77</f>
        <v>0.38500000000000001</v>
      </c>
      <c r="Q2101" s="1" t="s">
        <v>1636</v>
      </c>
      <c r="R2101" t="s">
        <v>24</v>
      </c>
      <c r="S2101" t="s">
        <v>1098</v>
      </c>
      <c r="T2101" t="s">
        <v>107</v>
      </c>
      <c r="U2101" s="1">
        <v>1</v>
      </c>
      <c r="V2101" t="s">
        <v>1274</v>
      </c>
    </row>
    <row r="2102" spans="1:22" x14ac:dyDescent="0.3">
      <c r="A2102" t="s">
        <v>1265</v>
      </c>
      <c r="B2102" t="str">
        <f ca="1">OFFSET(Industries!C$1,MATCH(Table1[[#This Row],[Ticker]],Industries!$A$2:$A$150,0),0)</f>
        <v>Health Care</v>
      </c>
      <c r="C2102" t="str">
        <f ca="1">OFFSET(Industries!D$1,MATCH(Table1[[#This Row],[Ticker]],Industries!$A$2:$A$150,0),0)</f>
        <v>Pharmaceuticals, Biotechnology and Life Sciences</v>
      </c>
      <c r="D2102" t="str">
        <f ca="1">OFFSET(Industries!E$1,MATCH(Table1[[#This Row],[Ticker]],Industries!$A$2:$A$150,0),0)</f>
        <v>Pharmaceuticals</v>
      </c>
      <c r="E2102" t="s">
        <v>49</v>
      </c>
      <c r="F2102" t="str">
        <f ca="1">OFFSET(Industries!B$1,MATCH(Table1[[#This Row],[Ticker]],Industries!$A$2:$A$140,0),0)</f>
        <v>Mega-Cap</v>
      </c>
      <c r="G2102" t="str">
        <f ca="1">OFFSET(Industries!F$1,MATCH(Table1[[#This Row],[Ticker]],Industries!$A$2:$A$140,0),0)</f>
        <v>A</v>
      </c>
      <c r="H2102" t="s">
        <v>1434</v>
      </c>
      <c r="I2102" t="s">
        <v>1434</v>
      </c>
      <c r="J2102" s="2">
        <v>45365</v>
      </c>
      <c r="K2102" t="s">
        <v>2</v>
      </c>
      <c r="L2102" t="s">
        <v>1710</v>
      </c>
      <c r="M2102" t="s">
        <v>1709</v>
      </c>
      <c r="N2102" s="1"/>
      <c r="O2102" t="s">
        <v>476</v>
      </c>
      <c r="P2102" s="1">
        <f t="shared" si="45"/>
        <v>0.38500000000000001</v>
      </c>
      <c r="R2102" t="s">
        <v>28</v>
      </c>
      <c r="S2102" t="s">
        <v>1085</v>
      </c>
      <c r="T2102" t="s">
        <v>30</v>
      </c>
      <c r="V2102" t="s">
        <v>1275</v>
      </c>
    </row>
    <row r="2103" spans="1:22" x14ac:dyDescent="0.3">
      <c r="A2103" t="s">
        <v>1265</v>
      </c>
      <c r="B2103" t="str">
        <f ca="1">OFFSET(Industries!C$1,MATCH(Table1[[#This Row],[Ticker]],Industries!$A$2:$A$150,0),0)</f>
        <v>Health Care</v>
      </c>
      <c r="C2103" t="str">
        <f ca="1">OFFSET(Industries!D$1,MATCH(Table1[[#This Row],[Ticker]],Industries!$A$2:$A$150,0),0)</f>
        <v>Pharmaceuticals, Biotechnology and Life Sciences</v>
      </c>
      <c r="D2103" t="str">
        <f ca="1">OFFSET(Industries!E$1,MATCH(Table1[[#This Row],[Ticker]],Industries!$A$2:$A$150,0),0)</f>
        <v>Pharmaceuticals</v>
      </c>
      <c r="E2103" t="s">
        <v>49</v>
      </c>
      <c r="F2103" t="str">
        <f ca="1">OFFSET(Industries!B$1,MATCH(Table1[[#This Row],[Ticker]],Industries!$A$2:$A$140,0),0)</f>
        <v>Mega-Cap</v>
      </c>
      <c r="G2103" t="str">
        <f ca="1">OFFSET(Industries!F$1,MATCH(Table1[[#This Row],[Ticker]],Industries!$A$2:$A$140,0),0)</f>
        <v>A</v>
      </c>
      <c r="H2103" t="s">
        <v>1434</v>
      </c>
      <c r="I2103" t="s">
        <v>1434</v>
      </c>
      <c r="J2103" s="2">
        <v>45365</v>
      </c>
      <c r="K2103" t="s">
        <v>2</v>
      </c>
      <c r="L2103" t="s">
        <v>1710</v>
      </c>
      <c r="M2103" t="s">
        <v>1709</v>
      </c>
      <c r="N2103" s="1"/>
      <c r="O2103" t="s">
        <v>476</v>
      </c>
      <c r="P2103" s="1">
        <f t="shared" si="45"/>
        <v>0.38500000000000001</v>
      </c>
      <c r="R2103" t="s">
        <v>28</v>
      </c>
      <c r="S2103" t="s">
        <v>1095</v>
      </c>
      <c r="T2103" t="s">
        <v>55</v>
      </c>
    </row>
    <row r="2104" spans="1:22" x14ac:dyDescent="0.3">
      <c r="A2104" t="s">
        <v>1265</v>
      </c>
      <c r="B2104" t="str">
        <f ca="1">OFFSET(Industries!C$1,MATCH(Table1[[#This Row],[Ticker]],Industries!$A$2:$A$150,0),0)</f>
        <v>Health Care</v>
      </c>
      <c r="C2104" t="str">
        <f ca="1">OFFSET(Industries!D$1,MATCH(Table1[[#This Row],[Ticker]],Industries!$A$2:$A$150,0),0)</f>
        <v>Pharmaceuticals, Biotechnology and Life Sciences</v>
      </c>
      <c r="D2104" t="str">
        <f ca="1">OFFSET(Industries!E$1,MATCH(Table1[[#This Row],[Ticker]],Industries!$A$2:$A$150,0),0)</f>
        <v>Pharmaceuticals</v>
      </c>
      <c r="E2104" t="s">
        <v>49</v>
      </c>
      <c r="F2104" t="str">
        <f ca="1">OFFSET(Industries!B$1,MATCH(Table1[[#This Row],[Ticker]],Industries!$A$2:$A$140,0),0)</f>
        <v>Mega-Cap</v>
      </c>
      <c r="G2104" t="str">
        <f ca="1">OFFSET(Industries!F$1,MATCH(Table1[[#This Row],[Ticker]],Industries!$A$2:$A$140,0),0)</f>
        <v>A</v>
      </c>
      <c r="H2104" t="s">
        <v>1434</v>
      </c>
      <c r="I2104" t="s">
        <v>1434</v>
      </c>
      <c r="J2104" s="2">
        <v>45365</v>
      </c>
      <c r="K2104" t="s">
        <v>21</v>
      </c>
      <c r="L2104" t="s">
        <v>3</v>
      </c>
      <c r="M2104" t="s">
        <v>1711</v>
      </c>
      <c r="N2104" s="1">
        <f>Table1[[#This Row],[Consideration Weight]]</f>
        <v>0.19</v>
      </c>
      <c r="O2104" t="s">
        <v>3</v>
      </c>
      <c r="P2104" s="1">
        <v>0.19</v>
      </c>
    </row>
    <row r="2105" spans="1:22" x14ac:dyDescent="0.3">
      <c r="A2105" t="s">
        <v>1265</v>
      </c>
      <c r="B2105" t="str">
        <f ca="1">OFFSET(Industries!C$1,MATCH(Table1[[#This Row],[Ticker]],Industries!$A$2:$A$150,0),0)</f>
        <v>Health Care</v>
      </c>
      <c r="C2105" t="str">
        <f ca="1">OFFSET(Industries!D$1,MATCH(Table1[[#This Row],[Ticker]],Industries!$A$2:$A$150,0),0)</f>
        <v>Pharmaceuticals, Biotechnology and Life Sciences</v>
      </c>
      <c r="D2105" t="str">
        <f ca="1">OFFSET(Industries!E$1,MATCH(Table1[[#This Row],[Ticker]],Industries!$A$2:$A$150,0),0)</f>
        <v>Pharmaceuticals</v>
      </c>
      <c r="E2105" t="s">
        <v>49</v>
      </c>
      <c r="F2105" t="str">
        <f ca="1">OFFSET(Industries!B$1,MATCH(Table1[[#This Row],[Ticker]],Industries!$A$2:$A$140,0),0)</f>
        <v>Mega-Cap</v>
      </c>
      <c r="G2105" t="str">
        <f ca="1">OFFSET(Industries!F$1,MATCH(Table1[[#This Row],[Ticker]],Industries!$A$2:$A$140,0),0)</f>
        <v>A</v>
      </c>
      <c r="H2105" t="s">
        <v>1434</v>
      </c>
      <c r="I2105" t="s">
        <v>1434</v>
      </c>
      <c r="J2105" s="2">
        <v>45365</v>
      </c>
      <c r="K2105" t="s">
        <v>21</v>
      </c>
      <c r="L2105" t="s">
        <v>1708</v>
      </c>
      <c r="M2105" t="s">
        <v>1709</v>
      </c>
      <c r="N2105" s="1">
        <f>Table1[[#This Row],[Consideration Weight]]</f>
        <v>0.18</v>
      </c>
      <c r="O2105" t="s">
        <v>4</v>
      </c>
      <c r="P2105" s="1">
        <v>0.18</v>
      </c>
      <c r="Q2105" s="1" t="s">
        <v>1636</v>
      </c>
      <c r="R2105" t="s">
        <v>23</v>
      </c>
      <c r="S2105" t="s">
        <v>1083</v>
      </c>
      <c r="T2105" t="s">
        <v>7</v>
      </c>
      <c r="U2105" s="1">
        <v>0.4</v>
      </c>
    </row>
    <row r="2106" spans="1:22" x14ac:dyDescent="0.3">
      <c r="A2106" t="s">
        <v>1265</v>
      </c>
      <c r="B2106" t="str">
        <f ca="1">OFFSET(Industries!C$1,MATCH(Table1[[#This Row],[Ticker]],Industries!$A$2:$A$150,0),0)</f>
        <v>Health Care</v>
      </c>
      <c r="C2106" t="str">
        <f ca="1">OFFSET(Industries!D$1,MATCH(Table1[[#This Row],[Ticker]],Industries!$A$2:$A$150,0),0)</f>
        <v>Pharmaceuticals, Biotechnology and Life Sciences</v>
      </c>
      <c r="D2106" t="str">
        <f ca="1">OFFSET(Industries!E$1,MATCH(Table1[[#This Row],[Ticker]],Industries!$A$2:$A$150,0),0)</f>
        <v>Pharmaceuticals</v>
      </c>
      <c r="E2106" t="s">
        <v>49</v>
      </c>
      <c r="F2106" t="str">
        <f ca="1">OFFSET(Industries!B$1,MATCH(Table1[[#This Row],[Ticker]],Industries!$A$2:$A$140,0),0)</f>
        <v>Mega-Cap</v>
      </c>
      <c r="G2106" t="str">
        <f ca="1">OFFSET(Industries!F$1,MATCH(Table1[[#This Row],[Ticker]],Industries!$A$2:$A$140,0),0)</f>
        <v>A</v>
      </c>
      <c r="H2106" t="s">
        <v>1434</v>
      </c>
      <c r="I2106" t="s">
        <v>1434</v>
      </c>
      <c r="J2106" s="2">
        <v>45365</v>
      </c>
      <c r="K2106" t="s">
        <v>21</v>
      </c>
      <c r="L2106" t="s">
        <v>1708</v>
      </c>
      <c r="M2106" t="s">
        <v>1709</v>
      </c>
      <c r="N2106" s="1"/>
      <c r="O2106" t="s">
        <v>4</v>
      </c>
      <c r="P2106" s="1">
        <v>0.18</v>
      </c>
      <c r="Q2106" s="1" t="s">
        <v>1636</v>
      </c>
      <c r="R2106" t="s">
        <v>24</v>
      </c>
      <c r="S2106" t="s">
        <v>1089</v>
      </c>
      <c r="T2106" t="s">
        <v>50</v>
      </c>
      <c r="U2106" s="1">
        <v>0.4</v>
      </c>
    </row>
    <row r="2107" spans="1:22" x14ac:dyDescent="0.3">
      <c r="A2107" t="s">
        <v>1265</v>
      </c>
      <c r="B2107" t="str">
        <f ca="1">OFFSET(Industries!C$1,MATCH(Table1[[#This Row],[Ticker]],Industries!$A$2:$A$150,0),0)</f>
        <v>Health Care</v>
      </c>
      <c r="C2107" t="str">
        <f ca="1">OFFSET(Industries!D$1,MATCH(Table1[[#This Row],[Ticker]],Industries!$A$2:$A$150,0),0)</f>
        <v>Pharmaceuticals, Biotechnology and Life Sciences</v>
      </c>
      <c r="D2107" t="str">
        <f ca="1">OFFSET(Industries!E$1,MATCH(Table1[[#This Row],[Ticker]],Industries!$A$2:$A$150,0),0)</f>
        <v>Pharmaceuticals</v>
      </c>
      <c r="E2107" t="s">
        <v>49</v>
      </c>
      <c r="F2107" t="str">
        <f ca="1">OFFSET(Industries!B$1,MATCH(Table1[[#This Row],[Ticker]],Industries!$A$2:$A$140,0),0)</f>
        <v>Mega-Cap</v>
      </c>
      <c r="G2107" t="str">
        <f ca="1">OFFSET(Industries!F$1,MATCH(Table1[[#This Row],[Ticker]],Industries!$A$2:$A$140,0),0)</f>
        <v>A</v>
      </c>
      <c r="H2107" t="s">
        <v>1434</v>
      </c>
      <c r="I2107" t="s">
        <v>1434</v>
      </c>
      <c r="J2107" s="2">
        <v>45365</v>
      </c>
      <c r="K2107" t="s">
        <v>21</v>
      </c>
      <c r="L2107" t="s">
        <v>1708</v>
      </c>
      <c r="M2107" t="s">
        <v>1709</v>
      </c>
      <c r="N2107" s="1"/>
      <c r="O2107" t="s">
        <v>4</v>
      </c>
      <c r="P2107" s="1">
        <v>0.18</v>
      </c>
      <c r="Q2107" s="1" t="s">
        <v>1636</v>
      </c>
      <c r="R2107" t="s">
        <v>62</v>
      </c>
      <c r="S2107" t="s">
        <v>63</v>
      </c>
      <c r="T2107" t="s">
        <v>81</v>
      </c>
      <c r="U2107" s="1">
        <v>0.2</v>
      </c>
    </row>
    <row r="2108" spans="1:22" x14ac:dyDescent="0.3">
      <c r="A2108" t="s">
        <v>1265</v>
      </c>
      <c r="B2108" t="str">
        <f ca="1">OFFSET(Industries!C$1,MATCH(Table1[[#This Row],[Ticker]],Industries!$A$2:$A$150,0),0)</f>
        <v>Health Care</v>
      </c>
      <c r="C2108" t="str">
        <f ca="1">OFFSET(Industries!D$1,MATCH(Table1[[#This Row],[Ticker]],Industries!$A$2:$A$150,0),0)</f>
        <v>Pharmaceuticals, Biotechnology and Life Sciences</v>
      </c>
      <c r="D2108" t="str">
        <f ca="1">OFFSET(Industries!E$1,MATCH(Table1[[#This Row],[Ticker]],Industries!$A$2:$A$150,0),0)</f>
        <v>Pharmaceuticals</v>
      </c>
      <c r="E2108" t="s">
        <v>49</v>
      </c>
      <c r="F2108" t="str">
        <f ca="1">OFFSET(Industries!B$1,MATCH(Table1[[#This Row],[Ticker]],Industries!$A$2:$A$140,0),0)</f>
        <v>Mega-Cap</v>
      </c>
      <c r="G2108" t="str">
        <f ca="1">OFFSET(Industries!F$1,MATCH(Table1[[#This Row],[Ticker]],Industries!$A$2:$A$140,0),0)</f>
        <v>A</v>
      </c>
      <c r="H2108" t="s">
        <v>1434</v>
      </c>
      <c r="I2108" t="s">
        <v>1434</v>
      </c>
      <c r="J2108" s="2">
        <v>45365</v>
      </c>
      <c r="K2108" t="s">
        <v>21</v>
      </c>
      <c r="L2108" t="s">
        <v>1708</v>
      </c>
      <c r="M2108" t="s">
        <v>1709</v>
      </c>
      <c r="N2108" s="1"/>
      <c r="O2108" t="s">
        <v>4</v>
      </c>
      <c r="P2108" s="1">
        <v>0.18</v>
      </c>
      <c r="R2108" t="s">
        <v>28</v>
      </c>
      <c r="S2108" t="s">
        <v>1266</v>
      </c>
      <c r="T2108" t="s">
        <v>1267</v>
      </c>
    </row>
    <row r="2109" spans="1:22" x14ac:dyDescent="0.3">
      <c r="A2109" t="s">
        <v>1265</v>
      </c>
      <c r="B2109" t="str">
        <f ca="1">OFFSET(Industries!C$1,MATCH(Table1[[#This Row],[Ticker]],Industries!$A$2:$A$150,0),0)</f>
        <v>Health Care</v>
      </c>
      <c r="C2109" t="str">
        <f ca="1">OFFSET(Industries!D$1,MATCH(Table1[[#This Row],[Ticker]],Industries!$A$2:$A$150,0),0)</f>
        <v>Pharmaceuticals, Biotechnology and Life Sciences</v>
      </c>
      <c r="D2109" t="str">
        <f ca="1">OFFSET(Industries!E$1,MATCH(Table1[[#This Row],[Ticker]],Industries!$A$2:$A$150,0),0)</f>
        <v>Pharmaceuticals</v>
      </c>
      <c r="E2109" t="s">
        <v>49</v>
      </c>
      <c r="F2109" t="str">
        <f ca="1">OFFSET(Industries!B$1,MATCH(Table1[[#This Row],[Ticker]],Industries!$A$2:$A$140,0),0)</f>
        <v>Mega-Cap</v>
      </c>
      <c r="G2109" t="str">
        <f ca="1">OFFSET(Industries!F$1,MATCH(Table1[[#This Row],[Ticker]],Industries!$A$2:$A$140,0),0)</f>
        <v>A</v>
      </c>
      <c r="H2109" t="s">
        <v>1434</v>
      </c>
      <c r="I2109" t="s">
        <v>1434</v>
      </c>
      <c r="J2109" s="2">
        <v>45365</v>
      </c>
      <c r="K2109" t="s">
        <v>21</v>
      </c>
      <c r="L2109" t="s">
        <v>1708</v>
      </c>
      <c r="M2109" t="s">
        <v>1709</v>
      </c>
      <c r="N2109" s="1"/>
      <c r="O2109" t="s">
        <v>4</v>
      </c>
      <c r="P2109" s="1">
        <v>0.18</v>
      </c>
      <c r="R2109" t="s">
        <v>28</v>
      </c>
      <c r="S2109" t="s">
        <v>1093</v>
      </c>
      <c r="T2109" t="s">
        <v>941</v>
      </c>
    </row>
    <row r="2110" spans="1:22" x14ac:dyDescent="0.3">
      <c r="A2110" t="s">
        <v>1265</v>
      </c>
      <c r="B2110" t="str">
        <f ca="1">OFFSET(Industries!C$1,MATCH(Table1[[#This Row],[Ticker]],Industries!$A$2:$A$150,0),0)</f>
        <v>Health Care</v>
      </c>
      <c r="C2110" t="str">
        <f ca="1">OFFSET(Industries!D$1,MATCH(Table1[[#This Row],[Ticker]],Industries!$A$2:$A$150,0),0)</f>
        <v>Pharmaceuticals, Biotechnology and Life Sciences</v>
      </c>
      <c r="D2110" t="str">
        <f ca="1">OFFSET(Industries!E$1,MATCH(Table1[[#This Row],[Ticker]],Industries!$A$2:$A$150,0),0)</f>
        <v>Pharmaceuticals</v>
      </c>
      <c r="E2110" t="s">
        <v>49</v>
      </c>
      <c r="F2110" t="str">
        <f ca="1">OFFSET(Industries!B$1,MATCH(Table1[[#This Row],[Ticker]],Industries!$A$2:$A$140,0),0)</f>
        <v>Mega-Cap</v>
      </c>
      <c r="G2110" t="str">
        <f ca="1">OFFSET(Industries!F$1,MATCH(Table1[[#This Row],[Ticker]],Industries!$A$2:$A$140,0),0)</f>
        <v>A</v>
      </c>
      <c r="H2110" t="s">
        <v>1434</v>
      </c>
      <c r="I2110" t="s">
        <v>1434</v>
      </c>
      <c r="J2110" s="2">
        <v>45365</v>
      </c>
      <c r="K2110" t="s">
        <v>21</v>
      </c>
      <c r="L2110" t="s">
        <v>1708</v>
      </c>
      <c r="M2110" t="s">
        <v>1709</v>
      </c>
      <c r="N2110" s="1"/>
      <c r="O2110" t="s">
        <v>4</v>
      </c>
      <c r="P2110" s="1">
        <v>0.18</v>
      </c>
      <c r="R2110" t="s">
        <v>28</v>
      </c>
      <c r="S2110" t="s">
        <v>1110</v>
      </c>
      <c r="T2110" t="s">
        <v>172</v>
      </c>
      <c r="V2110" t="s">
        <v>1732</v>
      </c>
    </row>
    <row r="2111" spans="1:22" x14ac:dyDescent="0.3">
      <c r="A2111" t="s">
        <v>1265</v>
      </c>
      <c r="B2111" t="str">
        <f ca="1">OFFSET(Industries!C$1,MATCH(Table1[[#This Row],[Ticker]],Industries!$A$2:$A$150,0),0)</f>
        <v>Health Care</v>
      </c>
      <c r="C2111" t="str">
        <f ca="1">OFFSET(Industries!D$1,MATCH(Table1[[#This Row],[Ticker]],Industries!$A$2:$A$150,0),0)</f>
        <v>Pharmaceuticals, Biotechnology and Life Sciences</v>
      </c>
      <c r="D2111" t="str">
        <f ca="1">OFFSET(Industries!E$1,MATCH(Table1[[#This Row],[Ticker]],Industries!$A$2:$A$150,0),0)</f>
        <v>Pharmaceuticals</v>
      </c>
      <c r="E2111" t="s">
        <v>49</v>
      </c>
      <c r="F2111" t="str">
        <f ca="1">OFFSET(Industries!B$1,MATCH(Table1[[#This Row],[Ticker]],Industries!$A$2:$A$140,0),0)</f>
        <v>Mega-Cap</v>
      </c>
      <c r="G2111" t="str">
        <f ca="1">OFFSET(Industries!F$1,MATCH(Table1[[#This Row],[Ticker]],Industries!$A$2:$A$140,0),0)</f>
        <v>A</v>
      </c>
      <c r="H2111" t="s">
        <v>1434</v>
      </c>
      <c r="I2111" t="s">
        <v>1434</v>
      </c>
      <c r="J2111" s="2">
        <v>45365</v>
      </c>
      <c r="K2111" t="s">
        <v>21</v>
      </c>
      <c r="L2111" t="s">
        <v>1710</v>
      </c>
      <c r="M2111" t="s">
        <v>1709</v>
      </c>
      <c r="N2111" s="1">
        <f>Table1[[#This Row],[Consideration Weight]]</f>
        <v>0.315</v>
      </c>
      <c r="O2111" t="s">
        <v>840</v>
      </c>
      <c r="P2111" s="1">
        <f>0.63*0.5</f>
        <v>0.315</v>
      </c>
    </row>
    <row r="2112" spans="1:22" x14ac:dyDescent="0.3">
      <c r="A2112" t="s">
        <v>1265</v>
      </c>
      <c r="B2112" t="str">
        <f ca="1">OFFSET(Industries!C$1,MATCH(Table1[[#This Row],[Ticker]],Industries!$A$2:$A$150,0),0)</f>
        <v>Health Care</v>
      </c>
      <c r="C2112" t="str">
        <f ca="1">OFFSET(Industries!D$1,MATCH(Table1[[#This Row],[Ticker]],Industries!$A$2:$A$150,0),0)</f>
        <v>Pharmaceuticals, Biotechnology and Life Sciences</v>
      </c>
      <c r="D2112" t="str">
        <f ca="1">OFFSET(Industries!E$1,MATCH(Table1[[#This Row],[Ticker]],Industries!$A$2:$A$150,0),0)</f>
        <v>Pharmaceuticals</v>
      </c>
      <c r="E2112" t="s">
        <v>49</v>
      </c>
      <c r="F2112" t="str">
        <f ca="1">OFFSET(Industries!B$1,MATCH(Table1[[#This Row],[Ticker]],Industries!$A$2:$A$140,0),0)</f>
        <v>Mega-Cap</v>
      </c>
      <c r="G2112" t="str">
        <f ca="1">OFFSET(Industries!F$1,MATCH(Table1[[#This Row],[Ticker]],Industries!$A$2:$A$140,0),0)</f>
        <v>A</v>
      </c>
      <c r="H2112" t="s">
        <v>1434</v>
      </c>
      <c r="I2112" t="s">
        <v>1434</v>
      </c>
      <c r="J2112" s="2">
        <v>45365</v>
      </c>
      <c r="K2112" t="s">
        <v>21</v>
      </c>
      <c r="L2112" t="s">
        <v>1710</v>
      </c>
      <c r="M2112" t="s">
        <v>1709</v>
      </c>
      <c r="N2112" s="1"/>
      <c r="O2112" t="s">
        <v>840</v>
      </c>
      <c r="P2112" s="1">
        <f t="shared" ref="P2112:P2115" si="46">0.63*0.5</f>
        <v>0.315</v>
      </c>
      <c r="R2112" t="s">
        <v>28</v>
      </c>
      <c r="S2112" t="s">
        <v>1094</v>
      </c>
      <c r="T2112" t="s">
        <v>1273</v>
      </c>
    </row>
    <row r="2113" spans="1:22" x14ac:dyDescent="0.3">
      <c r="A2113" t="s">
        <v>1265</v>
      </c>
      <c r="B2113" t="str">
        <f ca="1">OFFSET(Industries!C$1,MATCH(Table1[[#This Row],[Ticker]],Industries!$A$2:$A$150,0),0)</f>
        <v>Health Care</v>
      </c>
      <c r="C2113" t="str">
        <f ca="1">OFFSET(Industries!D$1,MATCH(Table1[[#This Row],[Ticker]],Industries!$A$2:$A$150,0),0)</f>
        <v>Pharmaceuticals, Biotechnology and Life Sciences</v>
      </c>
      <c r="D2113" t="str">
        <f ca="1">OFFSET(Industries!E$1,MATCH(Table1[[#This Row],[Ticker]],Industries!$A$2:$A$150,0),0)</f>
        <v>Pharmaceuticals</v>
      </c>
      <c r="E2113" t="s">
        <v>49</v>
      </c>
      <c r="F2113" t="str">
        <f ca="1">OFFSET(Industries!B$1,MATCH(Table1[[#This Row],[Ticker]],Industries!$A$2:$A$140,0),0)</f>
        <v>Mega-Cap</v>
      </c>
      <c r="G2113" t="str">
        <f ca="1">OFFSET(Industries!F$1,MATCH(Table1[[#This Row],[Ticker]],Industries!$A$2:$A$140,0),0)</f>
        <v>A</v>
      </c>
      <c r="H2113" t="s">
        <v>1434</v>
      </c>
      <c r="I2113" t="s">
        <v>1434</v>
      </c>
      <c r="J2113" s="2">
        <v>45365</v>
      </c>
      <c r="K2113" t="s">
        <v>21</v>
      </c>
      <c r="L2113" t="s">
        <v>1710</v>
      </c>
      <c r="M2113" t="s">
        <v>1709</v>
      </c>
      <c r="N2113" s="1">
        <f>Table1[[#This Row],[Consideration Weight]]</f>
        <v>0.315</v>
      </c>
      <c r="O2113" t="s">
        <v>476</v>
      </c>
      <c r="P2113" s="1">
        <f t="shared" si="46"/>
        <v>0.315</v>
      </c>
      <c r="Q2113" s="1" t="s">
        <v>1636</v>
      </c>
      <c r="R2113" t="s">
        <v>24</v>
      </c>
      <c r="S2113" t="s">
        <v>1098</v>
      </c>
      <c r="T2113" t="s">
        <v>107</v>
      </c>
      <c r="U2113" s="1">
        <v>1</v>
      </c>
    </row>
    <row r="2114" spans="1:22" x14ac:dyDescent="0.3">
      <c r="A2114" t="s">
        <v>1265</v>
      </c>
      <c r="B2114" t="str">
        <f ca="1">OFFSET(Industries!C$1,MATCH(Table1[[#This Row],[Ticker]],Industries!$A$2:$A$150,0),0)</f>
        <v>Health Care</v>
      </c>
      <c r="C2114" t="str">
        <f ca="1">OFFSET(Industries!D$1,MATCH(Table1[[#This Row],[Ticker]],Industries!$A$2:$A$150,0),0)</f>
        <v>Pharmaceuticals, Biotechnology and Life Sciences</v>
      </c>
      <c r="D2114" t="str">
        <f ca="1">OFFSET(Industries!E$1,MATCH(Table1[[#This Row],[Ticker]],Industries!$A$2:$A$150,0),0)</f>
        <v>Pharmaceuticals</v>
      </c>
      <c r="E2114" t="s">
        <v>49</v>
      </c>
      <c r="F2114" t="str">
        <f ca="1">OFFSET(Industries!B$1,MATCH(Table1[[#This Row],[Ticker]],Industries!$A$2:$A$140,0),0)</f>
        <v>Mega-Cap</v>
      </c>
      <c r="G2114" t="str">
        <f ca="1">OFFSET(Industries!F$1,MATCH(Table1[[#This Row],[Ticker]],Industries!$A$2:$A$140,0),0)</f>
        <v>A</v>
      </c>
      <c r="H2114" t="s">
        <v>1434</v>
      </c>
      <c r="I2114" t="s">
        <v>1434</v>
      </c>
      <c r="J2114" s="2">
        <v>45365</v>
      </c>
      <c r="K2114" t="s">
        <v>21</v>
      </c>
      <c r="L2114" t="s">
        <v>1710</v>
      </c>
      <c r="M2114" t="s">
        <v>1709</v>
      </c>
      <c r="N2114" s="1"/>
      <c r="O2114" t="s">
        <v>476</v>
      </c>
      <c r="P2114" s="1">
        <f t="shared" si="46"/>
        <v>0.315</v>
      </c>
      <c r="R2114" t="s">
        <v>28</v>
      </c>
      <c r="S2114" t="s">
        <v>1085</v>
      </c>
      <c r="T2114" t="s">
        <v>30</v>
      </c>
    </row>
    <row r="2115" spans="1:22" x14ac:dyDescent="0.3">
      <c r="A2115" t="s">
        <v>1265</v>
      </c>
      <c r="B2115" t="str">
        <f ca="1">OFFSET(Industries!C$1,MATCH(Table1[[#This Row],[Ticker]],Industries!$A$2:$A$150,0),0)</f>
        <v>Health Care</v>
      </c>
      <c r="C2115" t="str">
        <f ca="1">OFFSET(Industries!D$1,MATCH(Table1[[#This Row],[Ticker]],Industries!$A$2:$A$150,0),0)</f>
        <v>Pharmaceuticals, Biotechnology and Life Sciences</v>
      </c>
      <c r="D2115" t="str">
        <f ca="1">OFFSET(Industries!E$1,MATCH(Table1[[#This Row],[Ticker]],Industries!$A$2:$A$150,0),0)</f>
        <v>Pharmaceuticals</v>
      </c>
      <c r="E2115" t="s">
        <v>49</v>
      </c>
      <c r="F2115" t="str">
        <f ca="1">OFFSET(Industries!B$1,MATCH(Table1[[#This Row],[Ticker]],Industries!$A$2:$A$140,0),0)</f>
        <v>Mega-Cap</v>
      </c>
      <c r="G2115" t="str">
        <f ca="1">OFFSET(Industries!F$1,MATCH(Table1[[#This Row],[Ticker]],Industries!$A$2:$A$140,0),0)</f>
        <v>A</v>
      </c>
      <c r="H2115" t="s">
        <v>1434</v>
      </c>
      <c r="I2115" t="s">
        <v>1434</v>
      </c>
      <c r="J2115" s="2">
        <v>45365</v>
      </c>
      <c r="K2115" t="s">
        <v>21</v>
      </c>
      <c r="L2115" t="s">
        <v>1710</v>
      </c>
      <c r="M2115" t="s">
        <v>1709</v>
      </c>
      <c r="N2115" s="1"/>
      <c r="O2115" t="s">
        <v>476</v>
      </c>
      <c r="P2115" s="1">
        <f t="shared" si="46"/>
        <v>0.315</v>
      </c>
      <c r="R2115" t="s">
        <v>28</v>
      </c>
      <c r="S2115" t="s">
        <v>1095</v>
      </c>
      <c r="T2115" t="s">
        <v>55</v>
      </c>
      <c r="V2115" t="s">
        <v>1281</v>
      </c>
    </row>
    <row r="2116" spans="1:22" x14ac:dyDescent="0.3">
      <c r="A2116" t="s">
        <v>1279</v>
      </c>
      <c r="B2116" t="str">
        <f ca="1">OFFSET(Industries!C$1,MATCH(Table1[[#This Row],[Ticker]],Industries!$A$2:$A$150,0),0)</f>
        <v>Consumer Discretionary</v>
      </c>
      <c r="C2116" t="str">
        <f ca="1">OFFSET(Industries!D$1,MATCH(Table1[[#This Row],[Ticker]],Industries!$A$2:$A$150,0),0)</f>
        <v>Consumer Services</v>
      </c>
      <c r="D2116" t="str">
        <f ca="1">OFFSET(Industries!E$1,MATCH(Table1[[#This Row],[Ticker]],Industries!$A$2:$A$150,0),0)</f>
        <v>Hotels, Restaurants and Leisure</v>
      </c>
      <c r="E2116" t="s">
        <v>1280</v>
      </c>
      <c r="F2116" t="str">
        <f ca="1">OFFSET(Industries!B$1,MATCH(Table1[[#This Row],[Ticker]],Industries!$A$2:$A$140,0),0)</f>
        <v>Large-Cap</v>
      </c>
      <c r="H2116" t="s">
        <v>1434</v>
      </c>
      <c r="I2116" t="s">
        <v>1434</v>
      </c>
      <c r="J2116" s="2">
        <v>45408</v>
      </c>
      <c r="K2116" t="s">
        <v>2</v>
      </c>
      <c r="L2116" t="s">
        <v>3</v>
      </c>
      <c r="M2116" t="s">
        <v>1711</v>
      </c>
      <c r="N2116" s="1">
        <f>Table1[[#This Row],[Consideration Weight]]</f>
        <v>1</v>
      </c>
      <c r="O2116" t="s">
        <v>3</v>
      </c>
      <c r="P2116" s="1">
        <v>1</v>
      </c>
    </row>
    <row r="2117" spans="1:22" x14ac:dyDescent="0.3">
      <c r="A2117" t="s">
        <v>1279</v>
      </c>
      <c r="B2117" t="str">
        <f ca="1">OFFSET(Industries!C$1,MATCH(Table1[[#This Row],[Ticker]],Industries!$A$2:$A$150,0),0)</f>
        <v>Consumer Discretionary</v>
      </c>
      <c r="C2117" t="str">
        <f ca="1">OFFSET(Industries!D$1,MATCH(Table1[[#This Row],[Ticker]],Industries!$A$2:$A$150,0),0)</f>
        <v>Consumer Services</v>
      </c>
      <c r="D2117" t="str">
        <f ca="1">OFFSET(Industries!E$1,MATCH(Table1[[#This Row],[Ticker]],Industries!$A$2:$A$150,0),0)</f>
        <v>Hotels, Restaurants and Leisure</v>
      </c>
      <c r="E2117" t="s">
        <v>1280</v>
      </c>
      <c r="F2117" t="str">
        <f ca="1">OFFSET(Industries!B$1,MATCH(Table1[[#This Row],[Ticker]],Industries!$A$2:$A$140,0),0)</f>
        <v>Large-Cap</v>
      </c>
      <c r="H2117" t="s">
        <v>1434</v>
      </c>
      <c r="I2117" t="s">
        <v>1434</v>
      </c>
      <c r="J2117" s="2">
        <v>45408</v>
      </c>
      <c r="K2117" t="s">
        <v>21</v>
      </c>
      <c r="L2117" t="s">
        <v>3</v>
      </c>
      <c r="M2117" t="s">
        <v>1711</v>
      </c>
      <c r="N2117" s="1">
        <f>Table1[[#This Row],[Consideration Weight]]</f>
        <v>0.04</v>
      </c>
      <c r="O2117" t="s">
        <v>3</v>
      </c>
      <c r="P2117" s="1">
        <v>0.04</v>
      </c>
      <c r="V2117" t="s">
        <v>1282</v>
      </c>
    </row>
    <row r="2118" spans="1:22" x14ac:dyDescent="0.3">
      <c r="A2118" t="s">
        <v>1279</v>
      </c>
      <c r="B2118" t="str">
        <f ca="1">OFFSET(Industries!C$1,MATCH(Table1[[#This Row],[Ticker]],Industries!$A$2:$A$150,0),0)</f>
        <v>Consumer Discretionary</v>
      </c>
      <c r="C2118" t="str">
        <f ca="1">OFFSET(Industries!D$1,MATCH(Table1[[#This Row],[Ticker]],Industries!$A$2:$A$150,0),0)</f>
        <v>Consumer Services</v>
      </c>
      <c r="D2118" t="str">
        <f ca="1">OFFSET(Industries!E$1,MATCH(Table1[[#This Row],[Ticker]],Industries!$A$2:$A$150,0),0)</f>
        <v>Hotels, Restaurants and Leisure</v>
      </c>
      <c r="E2118" t="s">
        <v>1280</v>
      </c>
      <c r="F2118" t="str">
        <f ca="1">OFFSET(Industries!B$1,MATCH(Table1[[#This Row],[Ticker]],Industries!$A$2:$A$140,0),0)</f>
        <v>Large-Cap</v>
      </c>
      <c r="H2118" t="s">
        <v>1434</v>
      </c>
      <c r="I2118" t="s">
        <v>1434</v>
      </c>
      <c r="J2118" s="2">
        <v>45408</v>
      </c>
      <c r="K2118" t="s">
        <v>21</v>
      </c>
      <c r="L2118" t="s">
        <v>1710</v>
      </c>
      <c r="M2118" t="s">
        <v>1711</v>
      </c>
      <c r="N2118" s="1">
        <f>Table1[[#This Row],[Consideration Weight]]</f>
        <v>0.96</v>
      </c>
      <c r="O2118" t="s">
        <v>194</v>
      </c>
      <c r="P2118" s="1">
        <v>0.96</v>
      </c>
    </row>
    <row r="2119" spans="1:22" x14ac:dyDescent="0.3">
      <c r="A2119" t="s">
        <v>1283</v>
      </c>
      <c r="B2119" t="str">
        <f ca="1">OFFSET(Industries!C$1,MATCH(Table1[[#This Row],[Ticker]],Industries!$A$2:$A$150,0),0)</f>
        <v>Industrials</v>
      </c>
      <c r="C2119" t="str">
        <f ca="1">OFFSET(Industries!D$1,MATCH(Table1[[#This Row],[Ticker]],Industries!$A$2:$A$150,0),0)</f>
        <v>Transportation</v>
      </c>
      <c r="D2119" t="str">
        <f ca="1">OFFSET(Industries!E$1,MATCH(Table1[[#This Row],[Ticker]],Industries!$A$2:$A$150,0),0)</f>
        <v>Air Freight and Logistics</v>
      </c>
      <c r="E2119" t="s">
        <v>710</v>
      </c>
      <c r="F2119" t="str">
        <f ca="1">OFFSET(Industries!B$1,MATCH(Table1[[#This Row],[Ticker]],Industries!$A$2:$A$140,0),0)</f>
        <v>Ultra-Cap</v>
      </c>
      <c r="G2119" t="str">
        <f ca="1">OFFSET(Industries!F$1,MATCH(Table1[[#This Row],[Ticker]],Industries!$A$2:$A$140,0),0)</f>
        <v>BBB</v>
      </c>
      <c r="H2119" t="s">
        <v>1434</v>
      </c>
      <c r="I2119" t="s">
        <v>1434</v>
      </c>
      <c r="J2119" s="2">
        <v>45148</v>
      </c>
      <c r="K2119" t="s">
        <v>2</v>
      </c>
      <c r="L2119" t="s">
        <v>3</v>
      </c>
      <c r="M2119" t="s">
        <v>1711</v>
      </c>
      <c r="N2119" s="1">
        <f>Table1[[#This Row],[Consideration Weight]]</f>
        <v>0.08</v>
      </c>
      <c r="O2119" t="s">
        <v>3</v>
      </c>
      <c r="P2119" s="1">
        <v>0.08</v>
      </c>
      <c r="V2119" t="s">
        <v>245</v>
      </c>
    </row>
    <row r="2120" spans="1:22" x14ac:dyDescent="0.3">
      <c r="A2120" t="s">
        <v>1283</v>
      </c>
      <c r="B2120" t="str">
        <f ca="1">OFFSET(Industries!C$1,MATCH(Table1[[#This Row],[Ticker]],Industries!$A$2:$A$150,0),0)</f>
        <v>Industrials</v>
      </c>
      <c r="C2120" t="str">
        <f ca="1">OFFSET(Industries!D$1,MATCH(Table1[[#This Row],[Ticker]],Industries!$A$2:$A$150,0),0)</f>
        <v>Transportation</v>
      </c>
      <c r="D2120" t="str">
        <f ca="1">OFFSET(Industries!E$1,MATCH(Table1[[#This Row],[Ticker]],Industries!$A$2:$A$150,0),0)</f>
        <v>Air Freight and Logistics</v>
      </c>
      <c r="E2120" t="s">
        <v>710</v>
      </c>
      <c r="F2120" t="str">
        <f ca="1">OFFSET(Industries!B$1,MATCH(Table1[[#This Row],[Ticker]],Industries!$A$2:$A$140,0),0)</f>
        <v>Ultra-Cap</v>
      </c>
      <c r="G2120" t="str">
        <f ca="1">OFFSET(Industries!F$1,MATCH(Table1[[#This Row],[Ticker]],Industries!$A$2:$A$140,0),0)</f>
        <v>BBB</v>
      </c>
      <c r="H2120" t="s">
        <v>1434</v>
      </c>
      <c r="I2120" t="s">
        <v>1434</v>
      </c>
      <c r="J2120" s="2">
        <v>45148</v>
      </c>
      <c r="K2120" t="s">
        <v>2</v>
      </c>
      <c r="L2120" t="s">
        <v>1708</v>
      </c>
      <c r="M2120" t="s">
        <v>1709</v>
      </c>
      <c r="N2120" s="1">
        <f>Table1[[#This Row],[Consideration Weight]]</f>
        <v>0.13</v>
      </c>
      <c r="O2120" t="s">
        <v>4</v>
      </c>
      <c r="P2120" s="1">
        <v>0.13</v>
      </c>
      <c r="Q2120" s="1" t="s">
        <v>1636</v>
      </c>
      <c r="R2120" t="s">
        <v>24</v>
      </c>
      <c r="S2120" t="s">
        <v>90</v>
      </c>
      <c r="T2120" t="s">
        <v>8</v>
      </c>
      <c r="U2120" s="1">
        <v>1</v>
      </c>
      <c r="V2120" t="s">
        <v>1284</v>
      </c>
    </row>
    <row r="2121" spans="1:22" x14ac:dyDescent="0.3">
      <c r="A2121" t="s">
        <v>1283</v>
      </c>
      <c r="B2121" t="str">
        <f ca="1">OFFSET(Industries!C$1,MATCH(Table1[[#This Row],[Ticker]],Industries!$A$2:$A$150,0),0)</f>
        <v>Industrials</v>
      </c>
      <c r="C2121" t="str">
        <f ca="1">OFFSET(Industries!D$1,MATCH(Table1[[#This Row],[Ticker]],Industries!$A$2:$A$150,0),0)</f>
        <v>Transportation</v>
      </c>
      <c r="D2121" t="str">
        <f ca="1">OFFSET(Industries!E$1,MATCH(Table1[[#This Row],[Ticker]],Industries!$A$2:$A$150,0),0)</f>
        <v>Air Freight and Logistics</v>
      </c>
      <c r="E2121" t="s">
        <v>710</v>
      </c>
      <c r="F2121" t="str">
        <f ca="1">OFFSET(Industries!B$1,MATCH(Table1[[#This Row],[Ticker]],Industries!$A$2:$A$140,0),0)</f>
        <v>Ultra-Cap</v>
      </c>
      <c r="G2121" t="str">
        <f ca="1">OFFSET(Industries!F$1,MATCH(Table1[[#This Row],[Ticker]],Industries!$A$2:$A$140,0),0)</f>
        <v>BBB</v>
      </c>
      <c r="H2121" t="s">
        <v>1434</v>
      </c>
      <c r="I2121" t="s">
        <v>1434</v>
      </c>
      <c r="J2121" s="2">
        <v>45148</v>
      </c>
      <c r="K2121" t="s">
        <v>2</v>
      </c>
      <c r="L2121" t="s">
        <v>1708</v>
      </c>
      <c r="M2121" t="s">
        <v>1709</v>
      </c>
      <c r="N2121" s="1"/>
      <c r="O2121" t="s">
        <v>4</v>
      </c>
      <c r="P2121" s="1">
        <v>0.13</v>
      </c>
      <c r="R2121" t="s">
        <v>28</v>
      </c>
      <c r="S2121" t="s">
        <v>1110</v>
      </c>
      <c r="T2121" t="s">
        <v>172</v>
      </c>
      <c r="V2121" t="s">
        <v>1285</v>
      </c>
    </row>
    <row r="2122" spans="1:22" x14ac:dyDescent="0.3">
      <c r="A2122" t="s">
        <v>1283</v>
      </c>
      <c r="B2122" t="str">
        <f ca="1">OFFSET(Industries!C$1,MATCH(Table1[[#This Row],[Ticker]],Industries!$A$2:$A$150,0),0)</f>
        <v>Industrials</v>
      </c>
      <c r="C2122" t="str">
        <f ca="1">OFFSET(Industries!D$1,MATCH(Table1[[#This Row],[Ticker]],Industries!$A$2:$A$150,0),0)</f>
        <v>Transportation</v>
      </c>
      <c r="D2122" t="str">
        <f ca="1">OFFSET(Industries!E$1,MATCH(Table1[[#This Row],[Ticker]],Industries!$A$2:$A$150,0),0)</f>
        <v>Air Freight and Logistics</v>
      </c>
      <c r="E2122" t="s">
        <v>710</v>
      </c>
      <c r="F2122" t="str">
        <f ca="1">OFFSET(Industries!B$1,MATCH(Table1[[#This Row],[Ticker]],Industries!$A$2:$A$140,0),0)</f>
        <v>Ultra-Cap</v>
      </c>
      <c r="G2122" t="str">
        <f ca="1">OFFSET(Industries!F$1,MATCH(Table1[[#This Row],[Ticker]],Industries!$A$2:$A$140,0),0)</f>
        <v>BBB</v>
      </c>
      <c r="H2122" t="s">
        <v>1434</v>
      </c>
      <c r="I2122" t="s">
        <v>1434</v>
      </c>
      <c r="J2122" s="2">
        <v>45148</v>
      </c>
      <c r="K2122" t="s">
        <v>2</v>
      </c>
      <c r="L2122" t="s">
        <v>1710</v>
      </c>
      <c r="M2122" t="s">
        <v>1709</v>
      </c>
      <c r="N2122" s="1">
        <f>Table1[[#This Row],[Consideration Weight]]</f>
        <v>0.34</v>
      </c>
      <c r="O2122" t="s">
        <v>488</v>
      </c>
      <c r="P2122" s="1">
        <v>0.34</v>
      </c>
      <c r="Q2122" s="1" t="s">
        <v>1636</v>
      </c>
      <c r="R2122" t="s">
        <v>24</v>
      </c>
      <c r="S2122" t="s">
        <v>1089</v>
      </c>
      <c r="T2122" t="s">
        <v>86</v>
      </c>
      <c r="U2122" s="1">
        <v>0.5</v>
      </c>
      <c r="V2122" t="s">
        <v>1286</v>
      </c>
    </row>
    <row r="2123" spans="1:22" x14ac:dyDescent="0.3">
      <c r="A2123" t="s">
        <v>1283</v>
      </c>
      <c r="B2123" t="str">
        <f ca="1">OFFSET(Industries!C$1,MATCH(Table1[[#This Row],[Ticker]],Industries!$A$2:$A$150,0),0)</f>
        <v>Industrials</v>
      </c>
      <c r="C2123" t="str">
        <f ca="1">OFFSET(Industries!D$1,MATCH(Table1[[#This Row],[Ticker]],Industries!$A$2:$A$150,0),0)</f>
        <v>Transportation</v>
      </c>
      <c r="D2123" t="str">
        <f ca="1">OFFSET(Industries!E$1,MATCH(Table1[[#This Row],[Ticker]],Industries!$A$2:$A$150,0),0)</f>
        <v>Air Freight and Logistics</v>
      </c>
      <c r="E2123" t="s">
        <v>710</v>
      </c>
      <c r="F2123" t="str">
        <f ca="1">OFFSET(Industries!B$1,MATCH(Table1[[#This Row],[Ticker]],Industries!$A$2:$A$140,0),0)</f>
        <v>Ultra-Cap</v>
      </c>
      <c r="G2123" t="str">
        <f ca="1">OFFSET(Industries!F$1,MATCH(Table1[[#This Row],[Ticker]],Industries!$A$2:$A$140,0),0)</f>
        <v>BBB</v>
      </c>
      <c r="H2123" t="s">
        <v>1434</v>
      </c>
      <c r="I2123" t="s">
        <v>1434</v>
      </c>
      <c r="J2123" s="2">
        <v>45148</v>
      </c>
      <c r="K2123" t="s">
        <v>2</v>
      </c>
      <c r="L2123" t="s">
        <v>1710</v>
      </c>
      <c r="M2123" t="s">
        <v>1709</v>
      </c>
      <c r="N2123" s="1"/>
      <c r="O2123" t="s">
        <v>488</v>
      </c>
      <c r="P2123" s="1">
        <v>0.34</v>
      </c>
      <c r="Q2123" s="1" t="s">
        <v>1636</v>
      </c>
      <c r="R2123" t="s">
        <v>1059</v>
      </c>
      <c r="S2123" t="s">
        <v>1101</v>
      </c>
      <c r="T2123" t="s">
        <v>1252</v>
      </c>
      <c r="U2123" s="1">
        <v>0.25</v>
      </c>
      <c r="V2123" t="s">
        <v>367</v>
      </c>
    </row>
    <row r="2124" spans="1:22" x14ac:dyDescent="0.3">
      <c r="A2124" t="s">
        <v>1283</v>
      </c>
      <c r="B2124" t="str">
        <f ca="1">OFFSET(Industries!C$1,MATCH(Table1[[#This Row],[Ticker]],Industries!$A$2:$A$150,0),0)</f>
        <v>Industrials</v>
      </c>
      <c r="C2124" t="str">
        <f ca="1">OFFSET(Industries!D$1,MATCH(Table1[[#This Row],[Ticker]],Industries!$A$2:$A$150,0),0)</f>
        <v>Transportation</v>
      </c>
      <c r="D2124" t="str">
        <f ca="1">OFFSET(Industries!E$1,MATCH(Table1[[#This Row],[Ticker]],Industries!$A$2:$A$150,0),0)</f>
        <v>Air Freight and Logistics</v>
      </c>
      <c r="E2124" t="s">
        <v>710</v>
      </c>
      <c r="F2124" t="str">
        <f ca="1">OFFSET(Industries!B$1,MATCH(Table1[[#This Row],[Ticker]],Industries!$A$2:$A$140,0),0)</f>
        <v>Ultra-Cap</v>
      </c>
      <c r="G2124" t="str">
        <f ca="1">OFFSET(Industries!F$1,MATCH(Table1[[#This Row],[Ticker]],Industries!$A$2:$A$140,0),0)</f>
        <v>BBB</v>
      </c>
      <c r="H2124" t="s">
        <v>1434</v>
      </c>
      <c r="I2124" t="s">
        <v>1434</v>
      </c>
      <c r="J2124" s="2">
        <v>45148</v>
      </c>
      <c r="K2124" t="s">
        <v>2</v>
      </c>
      <c r="L2124" t="s">
        <v>1710</v>
      </c>
      <c r="M2124" t="s">
        <v>1709</v>
      </c>
      <c r="N2124" s="1"/>
      <c r="O2124" t="s">
        <v>488</v>
      </c>
      <c r="P2124" s="1">
        <v>0.34</v>
      </c>
      <c r="Q2124" s="1" t="s">
        <v>1646</v>
      </c>
      <c r="R2124" t="s">
        <v>35</v>
      </c>
      <c r="S2124" t="s">
        <v>29</v>
      </c>
      <c r="T2124" t="s">
        <v>30</v>
      </c>
      <c r="U2124" s="1">
        <v>0.25</v>
      </c>
      <c r="V2124" t="s">
        <v>1288</v>
      </c>
    </row>
    <row r="2125" spans="1:22" x14ac:dyDescent="0.3">
      <c r="A2125" t="s">
        <v>1283</v>
      </c>
      <c r="B2125" t="str">
        <f ca="1">OFFSET(Industries!C$1,MATCH(Table1[[#This Row],[Ticker]],Industries!$A$2:$A$150,0),0)</f>
        <v>Industrials</v>
      </c>
      <c r="C2125" t="str">
        <f ca="1">OFFSET(Industries!D$1,MATCH(Table1[[#This Row],[Ticker]],Industries!$A$2:$A$150,0),0)</f>
        <v>Transportation</v>
      </c>
      <c r="D2125" t="str">
        <f ca="1">OFFSET(Industries!E$1,MATCH(Table1[[#This Row],[Ticker]],Industries!$A$2:$A$150,0),0)</f>
        <v>Air Freight and Logistics</v>
      </c>
      <c r="E2125" t="s">
        <v>710</v>
      </c>
      <c r="F2125" t="str">
        <f ca="1">OFFSET(Industries!B$1,MATCH(Table1[[#This Row],[Ticker]],Industries!$A$2:$A$140,0),0)</f>
        <v>Ultra-Cap</v>
      </c>
      <c r="G2125" t="str">
        <f ca="1">OFFSET(Industries!F$1,MATCH(Table1[[#This Row],[Ticker]],Industries!$A$2:$A$140,0),0)</f>
        <v>BBB</v>
      </c>
      <c r="H2125" t="s">
        <v>1434</v>
      </c>
      <c r="I2125" t="s">
        <v>1434</v>
      </c>
      <c r="J2125" s="2">
        <v>45148</v>
      </c>
      <c r="K2125" t="s">
        <v>2</v>
      </c>
      <c r="L2125" t="s">
        <v>1710</v>
      </c>
      <c r="M2125" t="s">
        <v>1709</v>
      </c>
      <c r="N2125" s="1"/>
      <c r="O2125" t="s">
        <v>488</v>
      </c>
      <c r="P2125" s="1">
        <v>0.34</v>
      </c>
      <c r="R2125" t="s">
        <v>28</v>
      </c>
      <c r="S2125" t="s">
        <v>1094</v>
      </c>
      <c r="T2125" t="s">
        <v>55</v>
      </c>
    </row>
    <row r="2126" spans="1:22" x14ac:dyDescent="0.3">
      <c r="A2126" t="s">
        <v>1283</v>
      </c>
      <c r="B2126" t="str">
        <f ca="1">OFFSET(Industries!C$1,MATCH(Table1[[#This Row],[Ticker]],Industries!$A$2:$A$150,0),0)</f>
        <v>Industrials</v>
      </c>
      <c r="C2126" t="str">
        <f ca="1">OFFSET(Industries!D$1,MATCH(Table1[[#This Row],[Ticker]],Industries!$A$2:$A$150,0),0)</f>
        <v>Transportation</v>
      </c>
      <c r="D2126" t="str">
        <f ca="1">OFFSET(Industries!E$1,MATCH(Table1[[#This Row],[Ticker]],Industries!$A$2:$A$150,0),0)</f>
        <v>Air Freight and Logistics</v>
      </c>
      <c r="E2126" t="s">
        <v>710</v>
      </c>
      <c r="F2126" t="str">
        <f ca="1">OFFSET(Industries!B$1,MATCH(Table1[[#This Row],[Ticker]],Industries!$A$2:$A$140,0),0)</f>
        <v>Ultra-Cap</v>
      </c>
      <c r="G2126" t="str">
        <f ca="1">OFFSET(Industries!F$1,MATCH(Table1[[#This Row],[Ticker]],Industries!$A$2:$A$140,0),0)</f>
        <v>BBB</v>
      </c>
      <c r="H2126" t="s">
        <v>1434</v>
      </c>
      <c r="I2126" t="s">
        <v>1434</v>
      </c>
      <c r="J2126" s="2">
        <v>45148</v>
      </c>
      <c r="K2126" t="s">
        <v>2</v>
      </c>
      <c r="L2126" t="s">
        <v>1710</v>
      </c>
      <c r="M2126" t="s">
        <v>1711</v>
      </c>
      <c r="N2126" s="1">
        <f>Table1[[#This Row],[Consideration Weight]]</f>
        <v>0.22</v>
      </c>
      <c r="O2126" t="s">
        <v>194</v>
      </c>
      <c r="P2126" s="1">
        <v>0.22</v>
      </c>
    </row>
    <row r="2127" spans="1:22" x14ac:dyDescent="0.3">
      <c r="A2127" t="s">
        <v>1283</v>
      </c>
      <c r="B2127" t="str">
        <f ca="1">OFFSET(Industries!C$1,MATCH(Table1[[#This Row],[Ticker]],Industries!$A$2:$A$150,0),0)</f>
        <v>Industrials</v>
      </c>
      <c r="C2127" t="str">
        <f ca="1">OFFSET(Industries!D$1,MATCH(Table1[[#This Row],[Ticker]],Industries!$A$2:$A$150,0),0)</f>
        <v>Transportation</v>
      </c>
      <c r="D2127" t="str">
        <f ca="1">OFFSET(Industries!E$1,MATCH(Table1[[#This Row],[Ticker]],Industries!$A$2:$A$150,0),0)</f>
        <v>Air Freight and Logistics</v>
      </c>
      <c r="E2127" t="s">
        <v>710</v>
      </c>
      <c r="F2127" t="str">
        <f ca="1">OFFSET(Industries!B$1,MATCH(Table1[[#This Row],[Ticker]],Industries!$A$2:$A$140,0),0)</f>
        <v>Ultra-Cap</v>
      </c>
      <c r="G2127" t="str">
        <f ca="1">OFFSET(Industries!F$1,MATCH(Table1[[#This Row],[Ticker]],Industries!$A$2:$A$140,0),0)</f>
        <v>BBB</v>
      </c>
      <c r="H2127" t="s">
        <v>1434</v>
      </c>
      <c r="I2127" t="s">
        <v>1434</v>
      </c>
      <c r="J2127" s="2">
        <v>45148</v>
      </c>
      <c r="K2127" t="s">
        <v>2</v>
      </c>
      <c r="L2127" t="s">
        <v>1710</v>
      </c>
      <c r="M2127" t="s">
        <v>1711</v>
      </c>
      <c r="N2127" s="1">
        <f>Table1[[#This Row],[Consideration Weight]]</f>
        <v>0.23</v>
      </c>
      <c r="O2127" t="s">
        <v>87</v>
      </c>
      <c r="P2127" s="1">
        <v>0.23</v>
      </c>
    </row>
    <row r="2128" spans="1:22" x14ac:dyDescent="0.3">
      <c r="A2128" t="s">
        <v>1283</v>
      </c>
      <c r="B2128" t="str">
        <f ca="1">OFFSET(Industries!C$1,MATCH(Table1[[#This Row],[Ticker]],Industries!$A$2:$A$150,0),0)</f>
        <v>Industrials</v>
      </c>
      <c r="C2128" t="str">
        <f ca="1">OFFSET(Industries!D$1,MATCH(Table1[[#This Row],[Ticker]],Industries!$A$2:$A$150,0),0)</f>
        <v>Transportation</v>
      </c>
      <c r="D2128" t="str">
        <f ca="1">OFFSET(Industries!E$1,MATCH(Table1[[#This Row],[Ticker]],Industries!$A$2:$A$150,0),0)</f>
        <v>Air Freight and Logistics</v>
      </c>
      <c r="E2128" t="s">
        <v>710</v>
      </c>
      <c r="F2128" t="str">
        <f ca="1">OFFSET(Industries!B$1,MATCH(Table1[[#This Row],[Ticker]],Industries!$A$2:$A$140,0),0)</f>
        <v>Ultra-Cap</v>
      </c>
      <c r="G2128" t="str">
        <f ca="1">OFFSET(Industries!F$1,MATCH(Table1[[#This Row],[Ticker]],Industries!$A$2:$A$140,0),0)</f>
        <v>BBB</v>
      </c>
      <c r="H2128" t="s">
        <v>1434</v>
      </c>
      <c r="I2128" t="s">
        <v>1434</v>
      </c>
      <c r="J2128" s="2">
        <v>45148</v>
      </c>
      <c r="K2128" t="s">
        <v>21</v>
      </c>
      <c r="L2128" t="s">
        <v>3</v>
      </c>
      <c r="M2128" t="s">
        <v>1711</v>
      </c>
      <c r="N2128" s="1">
        <f>Table1[[#This Row],[Consideration Weight]]</f>
        <v>0.13</v>
      </c>
      <c r="O2128" t="s">
        <v>3</v>
      </c>
      <c r="P2128" s="1">
        <v>0.13</v>
      </c>
    </row>
    <row r="2129" spans="1:22" x14ac:dyDescent="0.3">
      <c r="A2129" t="s">
        <v>1283</v>
      </c>
      <c r="B2129" t="str">
        <f ca="1">OFFSET(Industries!C$1,MATCH(Table1[[#This Row],[Ticker]],Industries!$A$2:$A$150,0),0)</f>
        <v>Industrials</v>
      </c>
      <c r="C2129" t="str">
        <f ca="1">OFFSET(Industries!D$1,MATCH(Table1[[#This Row],[Ticker]],Industries!$A$2:$A$150,0),0)</f>
        <v>Transportation</v>
      </c>
      <c r="D2129" t="str">
        <f ca="1">OFFSET(Industries!E$1,MATCH(Table1[[#This Row],[Ticker]],Industries!$A$2:$A$150,0),0)</f>
        <v>Air Freight and Logistics</v>
      </c>
      <c r="E2129" t="s">
        <v>710</v>
      </c>
      <c r="F2129" t="str">
        <f ca="1">OFFSET(Industries!B$1,MATCH(Table1[[#This Row],[Ticker]],Industries!$A$2:$A$140,0),0)</f>
        <v>Ultra-Cap</v>
      </c>
      <c r="G2129" t="str">
        <f ca="1">OFFSET(Industries!F$1,MATCH(Table1[[#This Row],[Ticker]],Industries!$A$2:$A$140,0),0)</f>
        <v>BBB</v>
      </c>
      <c r="H2129" t="s">
        <v>1434</v>
      </c>
      <c r="I2129" t="s">
        <v>1434</v>
      </c>
      <c r="J2129" s="2">
        <v>45148</v>
      </c>
      <c r="K2129" t="s">
        <v>21</v>
      </c>
      <c r="L2129" t="s">
        <v>1708</v>
      </c>
      <c r="M2129" t="s">
        <v>1709</v>
      </c>
      <c r="N2129" s="1">
        <f>Table1[[#This Row],[Consideration Weight]]</f>
        <v>0.16</v>
      </c>
      <c r="O2129" t="s">
        <v>4</v>
      </c>
      <c r="P2129" s="1">
        <v>0.16</v>
      </c>
      <c r="Q2129" s="1" t="s">
        <v>1636</v>
      </c>
      <c r="R2129" t="s">
        <v>24</v>
      </c>
      <c r="S2129" t="s">
        <v>90</v>
      </c>
      <c r="T2129" t="s">
        <v>8</v>
      </c>
      <c r="U2129" s="1">
        <v>1</v>
      </c>
      <c r="V2129" t="s">
        <v>1287</v>
      </c>
    </row>
    <row r="2130" spans="1:22" x14ac:dyDescent="0.3">
      <c r="A2130" t="s">
        <v>1283</v>
      </c>
      <c r="B2130" t="str">
        <f ca="1">OFFSET(Industries!C$1,MATCH(Table1[[#This Row],[Ticker]],Industries!$A$2:$A$150,0),0)</f>
        <v>Industrials</v>
      </c>
      <c r="C2130" t="str">
        <f ca="1">OFFSET(Industries!D$1,MATCH(Table1[[#This Row],[Ticker]],Industries!$A$2:$A$150,0),0)</f>
        <v>Transportation</v>
      </c>
      <c r="D2130" t="str">
        <f ca="1">OFFSET(Industries!E$1,MATCH(Table1[[#This Row],[Ticker]],Industries!$A$2:$A$150,0),0)</f>
        <v>Air Freight and Logistics</v>
      </c>
      <c r="E2130" t="s">
        <v>710</v>
      </c>
      <c r="F2130" t="str">
        <f ca="1">OFFSET(Industries!B$1,MATCH(Table1[[#This Row],[Ticker]],Industries!$A$2:$A$140,0),0)</f>
        <v>Ultra-Cap</v>
      </c>
      <c r="G2130" t="str">
        <f ca="1">OFFSET(Industries!F$1,MATCH(Table1[[#This Row],[Ticker]],Industries!$A$2:$A$140,0),0)</f>
        <v>BBB</v>
      </c>
      <c r="H2130" t="s">
        <v>1434</v>
      </c>
      <c r="I2130" t="s">
        <v>1434</v>
      </c>
      <c r="J2130" s="2">
        <v>45148</v>
      </c>
      <c r="K2130" t="s">
        <v>21</v>
      </c>
      <c r="L2130" t="s">
        <v>1708</v>
      </c>
      <c r="M2130" t="s">
        <v>1709</v>
      </c>
      <c r="N2130" s="1"/>
      <c r="O2130" t="s">
        <v>4</v>
      </c>
      <c r="P2130" s="1">
        <v>0.16</v>
      </c>
      <c r="R2130" t="s">
        <v>28</v>
      </c>
      <c r="S2130" t="s">
        <v>1110</v>
      </c>
      <c r="T2130" t="s">
        <v>172</v>
      </c>
    </row>
    <row r="2131" spans="1:22" x14ac:dyDescent="0.3">
      <c r="A2131" t="s">
        <v>1283</v>
      </c>
      <c r="B2131" t="str">
        <f ca="1">OFFSET(Industries!C$1,MATCH(Table1[[#This Row],[Ticker]],Industries!$A$2:$A$150,0),0)</f>
        <v>Industrials</v>
      </c>
      <c r="C2131" t="str">
        <f ca="1">OFFSET(Industries!D$1,MATCH(Table1[[#This Row],[Ticker]],Industries!$A$2:$A$150,0),0)</f>
        <v>Transportation</v>
      </c>
      <c r="D2131" t="str">
        <f ca="1">OFFSET(Industries!E$1,MATCH(Table1[[#This Row],[Ticker]],Industries!$A$2:$A$150,0),0)</f>
        <v>Air Freight and Logistics</v>
      </c>
      <c r="E2131" t="s">
        <v>710</v>
      </c>
      <c r="F2131" t="str">
        <f ca="1">OFFSET(Industries!B$1,MATCH(Table1[[#This Row],[Ticker]],Industries!$A$2:$A$140,0),0)</f>
        <v>Ultra-Cap</v>
      </c>
      <c r="G2131" t="str">
        <f ca="1">OFFSET(Industries!F$1,MATCH(Table1[[#This Row],[Ticker]],Industries!$A$2:$A$140,0),0)</f>
        <v>BBB</v>
      </c>
      <c r="H2131" t="s">
        <v>1434</v>
      </c>
      <c r="I2131" t="s">
        <v>1434</v>
      </c>
      <c r="J2131" s="2">
        <v>45148</v>
      </c>
      <c r="K2131" t="s">
        <v>21</v>
      </c>
      <c r="L2131" t="s">
        <v>1710</v>
      </c>
      <c r="M2131" t="s">
        <v>1709</v>
      </c>
      <c r="N2131" s="1">
        <f>Table1[[#This Row],[Consideration Weight]]</f>
        <v>0.28000000000000003</v>
      </c>
      <c r="O2131" t="s">
        <v>488</v>
      </c>
      <c r="P2131" s="1">
        <v>0.28000000000000003</v>
      </c>
      <c r="Q2131" s="1" t="s">
        <v>1636</v>
      </c>
      <c r="R2131" t="s">
        <v>24</v>
      </c>
      <c r="S2131" t="s">
        <v>1089</v>
      </c>
      <c r="T2131" t="s">
        <v>86</v>
      </c>
      <c r="U2131" s="1">
        <v>0.5</v>
      </c>
    </row>
    <row r="2132" spans="1:22" x14ac:dyDescent="0.3">
      <c r="A2132" t="s">
        <v>1283</v>
      </c>
      <c r="B2132" t="str">
        <f ca="1">OFFSET(Industries!C$1,MATCH(Table1[[#This Row],[Ticker]],Industries!$A$2:$A$150,0),0)</f>
        <v>Industrials</v>
      </c>
      <c r="C2132" t="str">
        <f ca="1">OFFSET(Industries!D$1,MATCH(Table1[[#This Row],[Ticker]],Industries!$A$2:$A$150,0),0)</f>
        <v>Transportation</v>
      </c>
      <c r="D2132" t="str">
        <f ca="1">OFFSET(Industries!E$1,MATCH(Table1[[#This Row],[Ticker]],Industries!$A$2:$A$150,0),0)</f>
        <v>Air Freight and Logistics</v>
      </c>
      <c r="E2132" t="s">
        <v>710</v>
      </c>
      <c r="F2132" t="str">
        <f ca="1">OFFSET(Industries!B$1,MATCH(Table1[[#This Row],[Ticker]],Industries!$A$2:$A$140,0),0)</f>
        <v>Ultra-Cap</v>
      </c>
      <c r="G2132" t="str">
        <f ca="1">OFFSET(Industries!F$1,MATCH(Table1[[#This Row],[Ticker]],Industries!$A$2:$A$140,0),0)</f>
        <v>BBB</v>
      </c>
      <c r="H2132" t="s">
        <v>1434</v>
      </c>
      <c r="I2132" t="s">
        <v>1434</v>
      </c>
      <c r="J2132" s="2">
        <v>45148</v>
      </c>
      <c r="K2132" t="s">
        <v>21</v>
      </c>
      <c r="L2132" t="s">
        <v>1710</v>
      </c>
      <c r="M2132" t="s">
        <v>1709</v>
      </c>
      <c r="N2132" s="1"/>
      <c r="O2132" t="s">
        <v>488</v>
      </c>
      <c r="P2132" s="1">
        <v>0.28000000000000003</v>
      </c>
      <c r="Q2132" s="1" t="s">
        <v>1636</v>
      </c>
      <c r="R2132" t="s">
        <v>1059</v>
      </c>
      <c r="S2132" t="s">
        <v>1101</v>
      </c>
      <c r="T2132" t="s">
        <v>1252</v>
      </c>
      <c r="U2132" s="1">
        <v>0.25</v>
      </c>
    </row>
    <row r="2133" spans="1:22" x14ac:dyDescent="0.3">
      <c r="A2133" t="s">
        <v>1283</v>
      </c>
      <c r="B2133" t="str">
        <f ca="1">OFFSET(Industries!C$1,MATCH(Table1[[#This Row],[Ticker]],Industries!$A$2:$A$150,0),0)</f>
        <v>Industrials</v>
      </c>
      <c r="C2133" t="str">
        <f ca="1">OFFSET(Industries!D$1,MATCH(Table1[[#This Row],[Ticker]],Industries!$A$2:$A$150,0),0)</f>
        <v>Transportation</v>
      </c>
      <c r="D2133" t="str">
        <f ca="1">OFFSET(Industries!E$1,MATCH(Table1[[#This Row],[Ticker]],Industries!$A$2:$A$150,0),0)</f>
        <v>Air Freight and Logistics</v>
      </c>
      <c r="E2133" t="s">
        <v>710</v>
      </c>
      <c r="F2133" t="str">
        <f ca="1">OFFSET(Industries!B$1,MATCH(Table1[[#This Row],[Ticker]],Industries!$A$2:$A$140,0),0)</f>
        <v>Ultra-Cap</v>
      </c>
      <c r="G2133" t="str">
        <f ca="1">OFFSET(Industries!F$1,MATCH(Table1[[#This Row],[Ticker]],Industries!$A$2:$A$140,0),0)</f>
        <v>BBB</v>
      </c>
      <c r="H2133" t="s">
        <v>1434</v>
      </c>
      <c r="I2133" t="s">
        <v>1434</v>
      </c>
      <c r="J2133" s="2">
        <v>45148</v>
      </c>
      <c r="K2133" t="s">
        <v>21</v>
      </c>
      <c r="L2133" t="s">
        <v>1710</v>
      </c>
      <c r="M2133" t="s">
        <v>1709</v>
      </c>
      <c r="N2133" s="1"/>
      <c r="O2133" t="s">
        <v>488</v>
      </c>
      <c r="P2133" s="1">
        <v>0.28000000000000003</v>
      </c>
      <c r="Q2133" s="1" t="s">
        <v>1646</v>
      </c>
      <c r="R2133" t="s">
        <v>35</v>
      </c>
      <c r="S2133" t="s">
        <v>29</v>
      </c>
      <c r="T2133" t="s">
        <v>30</v>
      </c>
      <c r="U2133" s="1">
        <v>0.25</v>
      </c>
    </row>
    <row r="2134" spans="1:22" x14ac:dyDescent="0.3">
      <c r="A2134" t="s">
        <v>1283</v>
      </c>
      <c r="B2134" t="str">
        <f ca="1">OFFSET(Industries!C$1,MATCH(Table1[[#This Row],[Ticker]],Industries!$A$2:$A$150,0),0)</f>
        <v>Industrials</v>
      </c>
      <c r="C2134" t="str">
        <f ca="1">OFFSET(Industries!D$1,MATCH(Table1[[#This Row],[Ticker]],Industries!$A$2:$A$150,0),0)</f>
        <v>Transportation</v>
      </c>
      <c r="D2134" t="str">
        <f ca="1">OFFSET(Industries!E$1,MATCH(Table1[[#This Row],[Ticker]],Industries!$A$2:$A$150,0),0)</f>
        <v>Air Freight and Logistics</v>
      </c>
      <c r="E2134" t="s">
        <v>710</v>
      </c>
      <c r="F2134" t="str">
        <f ca="1">OFFSET(Industries!B$1,MATCH(Table1[[#This Row],[Ticker]],Industries!$A$2:$A$140,0),0)</f>
        <v>Ultra-Cap</v>
      </c>
      <c r="G2134" t="str">
        <f ca="1">OFFSET(Industries!F$1,MATCH(Table1[[#This Row],[Ticker]],Industries!$A$2:$A$140,0),0)</f>
        <v>BBB</v>
      </c>
      <c r="H2134" t="s">
        <v>1434</v>
      </c>
      <c r="I2134" t="s">
        <v>1434</v>
      </c>
      <c r="J2134" s="2">
        <v>45148</v>
      </c>
      <c r="K2134" t="s">
        <v>21</v>
      </c>
      <c r="L2134" t="s">
        <v>1710</v>
      </c>
      <c r="M2134" t="s">
        <v>1709</v>
      </c>
      <c r="N2134" s="1"/>
      <c r="O2134" t="s">
        <v>488</v>
      </c>
      <c r="P2134" s="1">
        <v>0.28000000000000003</v>
      </c>
      <c r="R2134" t="s">
        <v>28</v>
      </c>
      <c r="S2134" t="s">
        <v>1094</v>
      </c>
      <c r="T2134" t="s">
        <v>55</v>
      </c>
    </row>
    <row r="2135" spans="1:22" x14ac:dyDescent="0.3">
      <c r="A2135" t="s">
        <v>1283</v>
      </c>
      <c r="B2135" t="str">
        <f ca="1">OFFSET(Industries!C$1,MATCH(Table1[[#This Row],[Ticker]],Industries!$A$2:$A$150,0),0)</f>
        <v>Industrials</v>
      </c>
      <c r="C2135" t="str">
        <f ca="1">OFFSET(Industries!D$1,MATCH(Table1[[#This Row],[Ticker]],Industries!$A$2:$A$150,0),0)</f>
        <v>Transportation</v>
      </c>
      <c r="D2135" t="str">
        <f ca="1">OFFSET(Industries!E$1,MATCH(Table1[[#This Row],[Ticker]],Industries!$A$2:$A$150,0),0)</f>
        <v>Air Freight and Logistics</v>
      </c>
      <c r="E2135" t="s">
        <v>710</v>
      </c>
      <c r="F2135" t="str">
        <f ca="1">OFFSET(Industries!B$1,MATCH(Table1[[#This Row],[Ticker]],Industries!$A$2:$A$140,0),0)</f>
        <v>Ultra-Cap</v>
      </c>
      <c r="G2135" t="str">
        <f ca="1">OFFSET(Industries!F$1,MATCH(Table1[[#This Row],[Ticker]],Industries!$A$2:$A$140,0),0)</f>
        <v>BBB</v>
      </c>
      <c r="H2135" t="s">
        <v>1434</v>
      </c>
      <c r="I2135" t="s">
        <v>1434</v>
      </c>
      <c r="J2135" s="2">
        <v>45148</v>
      </c>
      <c r="K2135" t="s">
        <v>21</v>
      </c>
      <c r="L2135" t="s">
        <v>1710</v>
      </c>
      <c r="M2135" t="s">
        <v>1711</v>
      </c>
      <c r="N2135" s="1">
        <f>Table1[[#This Row],[Consideration Weight]]</f>
        <v>0.23</v>
      </c>
      <c r="O2135" t="s">
        <v>194</v>
      </c>
      <c r="P2135" s="1">
        <v>0.23</v>
      </c>
    </row>
    <row r="2136" spans="1:22" x14ac:dyDescent="0.3">
      <c r="A2136" t="s">
        <v>1283</v>
      </c>
      <c r="B2136" t="str">
        <f ca="1">OFFSET(Industries!C$1,MATCH(Table1[[#This Row],[Ticker]],Industries!$A$2:$A$150,0),0)</f>
        <v>Industrials</v>
      </c>
      <c r="C2136" t="str">
        <f ca="1">OFFSET(Industries!D$1,MATCH(Table1[[#This Row],[Ticker]],Industries!$A$2:$A$150,0),0)</f>
        <v>Transportation</v>
      </c>
      <c r="D2136" t="str">
        <f ca="1">OFFSET(Industries!E$1,MATCH(Table1[[#This Row],[Ticker]],Industries!$A$2:$A$150,0),0)</f>
        <v>Air Freight and Logistics</v>
      </c>
      <c r="E2136" t="s">
        <v>710</v>
      </c>
      <c r="F2136" t="str">
        <f ca="1">OFFSET(Industries!B$1,MATCH(Table1[[#This Row],[Ticker]],Industries!$A$2:$A$140,0),0)</f>
        <v>Ultra-Cap</v>
      </c>
      <c r="G2136" t="str">
        <f ca="1">OFFSET(Industries!F$1,MATCH(Table1[[#This Row],[Ticker]],Industries!$A$2:$A$140,0),0)</f>
        <v>BBB</v>
      </c>
      <c r="H2136" t="s">
        <v>1434</v>
      </c>
      <c r="I2136" t="s">
        <v>1434</v>
      </c>
      <c r="J2136" s="2">
        <v>45148</v>
      </c>
      <c r="K2136" t="s">
        <v>21</v>
      </c>
      <c r="L2136" t="s">
        <v>1710</v>
      </c>
      <c r="M2136" t="s">
        <v>1711</v>
      </c>
      <c r="N2136" s="1">
        <f>Table1[[#This Row],[Consideration Weight]]</f>
        <v>0.2</v>
      </c>
      <c r="O2136" t="s">
        <v>87</v>
      </c>
      <c r="P2136" s="1">
        <v>0.2</v>
      </c>
    </row>
    <row r="2137" spans="1:22" x14ac:dyDescent="0.3">
      <c r="A2137" t="s">
        <v>1289</v>
      </c>
      <c r="B2137" t="str">
        <f ca="1">OFFSET(Industries!C$1,MATCH(Table1[[#This Row],[Ticker]],Industries!$A$2:$A$150,0),0)</f>
        <v>Industrials</v>
      </c>
      <c r="C2137" t="str">
        <f ca="1">OFFSET(Industries!D$1,MATCH(Table1[[#This Row],[Ticker]],Industries!$A$2:$A$150,0),0)</f>
        <v>Commercial and Professional Services</v>
      </c>
      <c r="D2137" t="str">
        <f ca="1">OFFSET(Industries!E$1,MATCH(Table1[[#This Row],[Ticker]],Industries!$A$2:$A$150,0),0)</f>
        <v>Professional Services</v>
      </c>
      <c r="E2137" t="s">
        <v>42</v>
      </c>
      <c r="F2137" t="str">
        <f ca="1">OFFSET(Industries!B$1,MATCH(Table1[[#This Row],[Ticker]],Industries!$A$2:$A$140,0),0)</f>
        <v>Mid-Cap</v>
      </c>
      <c r="G2137" t="str">
        <f ca="1">OFFSET(Industries!F$1,MATCH(Table1[[#This Row],[Ticker]],Industries!$A$2:$A$140,0),0)</f>
        <v>BB-</v>
      </c>
      <c r="H2137" t="s">
        <v>1434</v>
      </c>
      <c r="I2137" t="s">
        <v>1434</v>
      </c>
      <c r="J2137" s="2">
        <v>45363</v>
      </c>
      <c r="K2137" t="s">
        <v>2</v>
      </c>
      <c r="L2137" t="s">
        <v>3</v>
      </c>
      <c r="M2137" t="s">
        <v>1711</v>
      </c>
      <c r="N2137" s="1">
        <f>Table1[[#This Row],[Consideration Weight]]</f>
        <v>0.06</v>
      </c>
      <c r="O2137" t="s">
        <v>3</v>
      </c>
      <c r="P2137" s="1">
        <v>0.06</v>
      </c>
      <c r="V2137" t="s">
        <v>1300</v>
      </c>
    </row>
    <row r="2138" spans="1:22" x14ac:dyDescent="0.3">
      <c r="A2138" t="s">
        <v>1289</v>
      </c>
      <c r="B2138" t="str">
        <f ca="1">OFFSET(Industries!C$1,MATCH(Table1[[#This Row],[Ticker]],Industries!$A$2:$A$150,0),0)</f>
        <v>Industrials</v>
      </c>
      <c r="C2138" t="str">
        <f ca="1">OFFSET(Industries!D$1,MATCH(Table1[[#This Row],[Ticker]],Industries!$A$2:$A$150,0),0)</f>
        <v>Commercial and Professional Services</v>
      </c>
      <c r="D2138" t="str">
        <f ca="1">OFFSET(Industries!E$1,MATCH(Table1[[#This Row],[Ticker]],Industries!$A$2:$A$150,0),0)</f>
        <v>Professional Services</v>
      </c>
      <c r="E2138" t="s">
        <v>42</v>
      </c>
      <c r="F2138" t="str">
        <f ca="1">OFFSET(Industries!B$1,MATCH(Table1[[#This Row],[Ticker]],Industries!$A$2:$A$140,0),0)</f>
        <v>Mid-Cap</v>
      </c>
      <c r="G2138" t="str">
        <f ca="1">OFFSET(Industries!F$1,MATCH(Table1[[#This Row],[Ticker]],Industries!$A$2:$A$140,0),0)</f>
        <v>BB-</v>
      </c>
      <c r="H2138" t="s">
        <v>1434</v>
      </c>
      <c r="I2138" t="s">
        <v>1434</v>
      </c>
      <c r="J2138" s="2">
        <v>45363</v>
      </c>
      <c r="K2138" t="s">
        <v>2</v>
      </c>
      <c r="L2138" t="s">
        <v>1708</v>
      </c>
      <c r="M2138" t="s">
        <v>1709</v>
      </c>
      <c r="N2138" s="1">
        <f>Table1[[#This Row],[Consideration Weight]]</f>
        <v>0.06</v>
      </c>
      <c r="O2138" t="s">
        <v>4</v>
      </c>
      <c r="P2138" s="1">
        <v>0.06</v>
      </c>
      <c r="Q2138" s="1" t="s">
        <v>1636</v>
      </c>
      <c r="R2138" t="s">
        <v>23</v>
      </c>
      <c r="S2138" t="s">
        <v>1083</v>
      </c>
      <c r="T2138" t="s">
        <v>1290</v>
      </c>
      <c r="U2138" s="1">
        <f>1/3</f>
        <v>0.33333333333333331</v>
      </c>
      <c r="V2138" t="s">
        <v>1299</v>
      </c>
    </row>
    <row r="2139" spans="1:22" x14ac:dyDescent="0.3">
      <c r="A2139" t="s">
        <v>1289</v>
      </c>
      <c r="B2139" t="str">
        <f ca="1">OFFSET(Industries!C$1,MATCH(Table1[[#This Row],[Ticker]],Industries!$A$2:$A$150,0),0)</f>
        <v>Industrials</v>
      </c>
      <c r="C2139" t="str">
        <f ca="1">OFFSET(Industries!D$1,MATCH(Table1[[#This Row],[Ticker]],Industries!$A$2:$A$150,0),0)</f>
        <v>Commercial and Professional Services</v>
      </c>
      <c r="D2139" t="str">
        <f ca="1">OFFSET(Industries!E$1,MATCH(Table1[[#This Row],[Ticker]],Industries!$A$2:$A$150,0),0)</f>
        <v>Professional Services</v>
      </c>
      <c r="E2139" t="s">
        <v>42</v>
      </c>
      <c r="F2139" t="str">
        <f ca="1">OFFSET(Industries!B$1,MATCH(Table1[[#This Row],[Ticker]],Industries!$A$2:$A$140,0),0)</f>
        <v>Mid-Cap</v>
      </c>
      <c r="G2139" t="str">
        <f ca="1">OFFSET(Industries!F$1,MATCH(Table1[[#This Row],[Ticker]],Industries!$A$2:$A$140,0),0)</f>
        <v>BB-</v>
      </c>
      <c r="H2139" t="s">
        <v>1434</v>
      </c>
      <c r="I2139" t="s">
        <v>1434</v>
      </c>
      <c r="J2139" s="2">
        <v>45363</v>
      </c>
      <c r="K2139" t="s">
        <v>2</v>
      </c>
      <c r="L2139" t="s">
        <v>1708</v>
      </c>
      <c r="M2139" t="s">
        <v>1709</v>
      </c>
      <c r="N2139" s="1"/>
      <c r="O2139" t="s">
        <v>4</v>
      </c>
      <c r="P2139" s="1">
        <v>0.06</v>
      </c>
      <c r="Q2139" s="1" t="s">
        <v>1636</v>
      </c>
      <c r="R2139" t="s">
        <v>24</v>
      </c>
      <c r="S2139" t="s">
        <v>1104</v>
      </c>
      <c r="T2139" t="s">
        <v>153</v>
      </c>
      <c r="U2139" s="1">
        <f t="shared" ref="U2139:U2140" si="47">1/3</f>
        <v>0.33333333333333331</v>
      </c>
    </row>
    <row r="2140" spans="1:22" x14ac:dyDescent="0.3">
      <c r="A2140" t="s">
        <v>1289</v>
      </c>
      <c r="B2140" t="str">
        <f ca="1">OFFSET(Industries!C$1,MATCH(Table1[[#This Row],[Ticker]],Industries!$A$2:$A$150,0),0)</f>
        <v>Industrials</v>
      </c>
      <c r="C2140" t="str">
        <f ca="1">OFFSET(Industries!D$1,MATCH(Table1[[#This Row],[Ticker]],Industries!$A$2:$A$150,0),0)</f>
        <v>Commercial and Professional Services</v>
      </c>
      <c r="D2140" t="str">
        <f ca="1">OFFSET(Industries!E$1,MATCH(Table1[[#This Row],[Ticker]],Industries!$A$2:$A$150,0),0)</f>
        <v>Professional Services</v>
      </c>
      <c r="E2140" t="s">
        <v>42</v>
      </c>
      <c r="F2140" t="str">
        <f ca="1">OFFSET(Industries!B$1,MATCH(Table1[[#This Row],[Ticker]],Industries!$A$2:$A$140,0),0)</f>
        <v>Mid-Cap</v>
      </c>
      <c r="G2140" t="str">
        <f ca="1">OFFSET(Industries!F$1,MATCH(Table1[[#This Row],[Ticker]],Industries!$A$2:$A$140,0),0)</f>
        <v>BB-</v>
      </c>
      <c r="H2140" t="s">
        <v>1434</v>
      </c>
      <c r="I2140" t="s">
        <v>1434</v>
      </c>
      <c r="J2140" s="2">
        <v>45363</v>
      </c>
      <c r="K2140" t="s">
        <v>2</v>
      </c>
      <c r="L2140" t="s">
        <v>1708</v>
      </c>
      <c r="M2140" t="s">
        <v>1709</v>
      </c>
      <c r="N2140" s="1"/>
      <c r="O2140" t="s">
        <v>4</v>
      </c>
      <c r="P2140" s="1">
        <v>0.06</v>
      </c>
      <c r="Q2140" s="1" t="s">
        <v>1636</v>
      </c>
      <c r="R2140" t="s">
        <v>23</v>
      </c>
      <c r="S2140" t="s">
        <v>1086</v>
      </c>
      <c r="T2140" t="s">
        <v>1291</v>
      </c>
      <c r="U2140" s="1">
        <f t="shared" si="47"/>
        <v>0.33333333333333331</v>
      </c>
      <c r="V2140" t="s">
        <v>1271</v>
      </c>
    </row>
    <row r="2141" spans="1:22" x14ac:dyDescent="0.3">
      <c r="A2141" t="s">
        <v>1289</v>
      </c>
      <c r="B2141" t="str">
        <f ca="1">OFFSET(Industries!C$1,MATCH(Table1[[#This Row],[Ticker]],Industries!$A$2:$A$150,0),0)</f>
        <v>Industrials</v>
      </c>
      <c r="C2141" t="str">
        <f ca="1">OFFSET(Industries!D$1,MATCH(Table1[[#This Row],[Ticker]],Industries!$A$2:$A$150,0),0)</f>
        <v>Commercial and Professional Services</v>
      </c>
      <c r="D2141" t="str">
        <f ca="1">OFFSET(Industries!E$1,MATCH(Table1[[#This Row],[Ticker]],Industries!$A$2:$A$150,0),0)</f>
        <v>Professional Services</v>
      </c>
      <c r="E2141" t="s">
        <v>42</v>
      </c>
      <c r="F2141" t="str">
        <f ca="1">OFFSET(Industries!B$1,MATCH(Table1[[#This Row],[Ticker]],Industries!$A$2:$A$140,0),0)</f>
        <v>Mid-Cap</v>
      </c>
      <c r="G2141" t="str">
        <f ca="1">OFFSET(Industries!F$1,MATCH(Table1[[#This Row],[Ticker]],Industries!$A$2:$A$140,0),0)</f>
        <v>BB-</v>
      </c>
      <c r="H2141" t="s">
        <v>1434</v>
      </c>
      <c r="I2141" t="s">
        <v>1434</v>
      </c>
      <c r="J2141" s="2">
        <v>45363</v>
      </c>
      <c r="K2141" t="s">
        <v>2</v>
      </c>
      <c r="L2141" t="s">
        <v>1708</v>
      </c>
      <c r="M2141" t="s">
        <v>1709</v>
      </c>
      <c r="N2141" s="1"/>
      <c r="O2141" t="s">
        <v>4</v>
      </c>
      <c r="P2141" s="1">
        <v>0.06</v>
      </c>
      <c r="R2141" t="s">
        <v>28</v>
      </c>
      <c r="S2141" t="s">
        <v>1110</v>
      </c>
      <c r="T2141" t="s">
        <v>172</v>
      </c>
      <c r="V2141" t="s">
        <v>1297</v>
      </c>
    </row>
    <row r="2142" spans="1:22" x14ac:dyDescent="0.3">
      <c r="A2142" t="s">
        <v>1289</v>
      </c>
      <c r="B2142" t="str">
        <f ca="1">OFFSET(Industries!C$1,MATCH(Table1[[#This Row],[Ticker]],Industries!$A$2:$A$150,0),0)</f>
        <v>Industrials</v>
      </c>
      <c r="C2142" t="str">
        <f ca="1">OFFSET(Industries!D$1,MATCH(Table1[[#This Row],[Ticker]],Industries!$A$2:$A$150,0),0)</f>
        <v>Commercial and Professional Services</v>
      </c>
      <c r="D2142" t="str">
        <f ca="1">OFFSET(Industries!E$1,MATCH(Table1[[#This Row],[Ticker]],Industries!$A$2:$A$150,0),0)</f>
        <v>Professional Services</v>
      </c>
      <c r="E2142" t="s">
        <v>42</v>
      </c>
      <c r="F2142" t="str">
        <f ca="1">OFFSET(Industries!B$1,MATCH(Table1[[#This Row],[Ticker]],Industries!$A$2:$A$140,0),0)</f>
        <v>Mid-Cap</v>
      </c>
      <c r="G2142" t="str">
        <f ca="1">OFFSET(Industries!F$1,MATCH(Table1[[#This Row],[Ticker]],Industries!$A$2:$A$140,0),0)</f>
        <v>BB-</v>
      </c>
      <c r="H2142" t="s">
        <v>1434</v>
      </c>
      <c r="I2142" t="s">
        <v>1434</v>
      </c>
      <c r="J2142" s="2">
        <v>45363</v>
      </c>
      <c r="K2142" t="s">
        <v>2</v>
      </c>
      <c r="L2142" t="s">
        <v>1710</v>
      </c>
      <c r="M2142" t="s">
        <v>1709</v>
      </c>
      <c r="N2142" s="1">
        <f>Table1[[#This Row],[Consideration Weight]]</f>
        <v>0.51</v>
      </c>
      <c r="O2142" t="s">
        <v>476</v>
      </c>
      <c r="P2142" s="1">
        <v>0.51</v>
      </c>
      <c r="Q2142" s="1" t="s">
        <v>1636</v>
      </c>
      <c r="R2142" t="s">
        <v>23</v>
      </c>
      <c r="S2142" t="s">
        <v>1083</v>
      </c>
      <c r="T2142" t="s">
        <v>1292</v>
      </c>
      <c r="U2142" s="1">
        <f>0.71/3</f>
        <v>0.23666666666666666</v>
      </c>
      <c r="V2142" t="s">
        <v>1298</v>
      </c>
    </row>
    <row r="2143" spans="1:22" x14ac:dyDescent="0.3">
      <c r="A2143" t="s">
        <v>1289</v>
      </c>
      <c r="B2143" t="str">
        <f ca="1">OFFSET(Industries!C$1,MATCH(Table1[[#This Row],[Ticker]],Industries!$A$2:$A$150,0),0)</f>
        <v>Industrials</v>
      </c>
      <c r="C2143" t="str">
        <f ca="1">OFFSET(Industries!D$1,MATCH(Table1[[#This Row],[Ticker]],Industries!$A$2:$A$150,0),0)</f>
        <v>Commercial and Professional Services</v>
      </c>
      <c r="D2143" t="str">
        <f ca="1">OFFSET(Industries!E$1,MATCH(Table1[[#This Row],[Ticker]],Industries!$A$2:$A$150,0),0)</f>
        <v>Professional Services</v>
      </c>
      <c r="E2143" t="s">
        <v>42</v>
      </c>
      <c r="F2143" t="str">
        <f ca="1">OFFSET(Industries!B$1,MATCH(Table1[[#This Row],[Ticker]],Industries!$A$2:$A$140,0),0)</f>
        <v>Mid-Cap</v>
      </c>
      <c r="G2143" t="str">
        <f ca="1">OFFSET(Industries!F$1,MATCH(Table1[[#This Row],[Ticker]],Industries!$A$2:$A$140,0),0)</f>
        <v>BB-</v>
      </c>
      <c r="H2143" t="s">
        <v>1434</v>
      </c>
      <c r="I2143" t="s">
        <v>1434</v>
      </c>
      <c r="J2143" s="2">
        <v>45363</v>
      </c>
      <c r="K2143" t="s">
        <v>2</v>
      </c>
      <c r="L2143" t="s">
        <v>1710</v>
      </c>
      <c r="M2143" t="s">
        <v>1709</v>
      </c>
      <c r="N2143" s="1"/>
      <c r="O2143" t="s">
        <v>476</v>
      </c>
      <c r="P2143" s="1">
        <v>0.51</v>
      </c>
      <c r="Q2143" s="1" t="s">
        <v>1636</v>
      </c>
      <c r="R2143" t="s">
        <v>24</v>
      </c>
      <c r="S2143" t="s">
        <v>1105</v>
      </c>
      <c r="T2143" t="s">
        <v>1293</v>
      </c>
      <c r="U2143" s="1">
        <f t="shared" ref="U2143:U2144" si="48">0.71/3</f>
        <v>0.23666666666666666</v>
      </c>
      <c r="V2143" t="s">
        <v>934</v>
      </c>
    </row>
    <row r="2144" spans="1:22" x14ac:dyDescent="0.3">
      <c r="A2144" t="s">
        <v>1289</v>
      </c>
      <c r="B2144" t="str">
        <f ca="1">OFFSET(Industries!C$1,MATCH(Table1[[#This Row],[Ticker]],Industries!$A$2:$A$150,0),0)</f>
        <v>Industrials</v>
      </c>
      <c r="C2144" t="str">
        <f ca="1">OFFSET(Industries!D$1,MATCH(Table1[[#This Row],[Ticker]],Industries!$A$2:$A$150,0),0)</f>
        <v>Commercial and Professional Services</v>
      </c>
      <c r="D2144" t="str">
        <f ca="1">OFFSET(Industries!E$1,MATCH(Table1[[#This Row],[Ticker]],Industries!$A$2:$A$150,0),0)</f>
        <v>Professional Services</v>
      </c>
      <c r="E2144" t="s">
        <v>42</v>
      </c>
      <c r="F2144" t="str">
        <f ca="1">OFFSET(Industries!B$1,MATCH(Table1[[#This Row],[Ticker]],Industries!$A$2:$A$140,0),0)</f>
        <v>Mid-Cap</v>
      </c>
      <c r="G2144" t="str">
        <f ca="1">OFFSET(Industries!F$1,MATCH(Table1[[#This Row],[Ticker]],Industries!$A$2:$A$140,0),0)</f>
        <v>BB-</v>
      </c>
      <c r="H2144" t="s">
        <v>1434</v>
      </c>
      <c r="I2144" t="s">
        <v>1434</v>
      </c>
      <c r="J2144" s="2">
        <v>45363</v>
      </c>
      <c r="K2144" t="s">
        <v>2</v>
      </c>
      <c r="L2144" t="s">
        <v>1710</v>
      </c>
      <c r="M2144" t="s">
        <v>1709</v>
      </c>
      <c r="N2144" s="1"/>
      <c r="O2144" t="s">
        <v>476</v>
      </c>
      <c r="P2144" s="1">
        <v>0.51</v>
      </c>
      <c r="Q2144" s="1" t="s">
        <v>1636</v>
      </c>
      <c r="R2144" t="s">
        <v>23</v>
      </c>
      <c r="S2144" t="s">
        <v>1086</v>
      </c>
      <c r="T2144" t="s">
        <v>1291</v>
      </c>
      <c r="U2144" s="1">
        <f t="shared" si="48"/>
        <v>0.23666666666666666</v>
      </c>
      <c r="V2144" t="s">
        <v>1294</v>
      </c>
    </row>
    <row r="2145" spans="1:22" x14ac:dyDescent="0.3">
      <c r="A2145" t="s">
        <v>1289</v>
      </c>
      <c r="B2145" t="str">
        <f ca="1">OFFSET(Industries!C$1,MATCH(Table1[[#This Row],[Ticker]],Industries!$A$2:$A$150,0),0)</f>
        <v>Industrials</v>
      </c>
      <c r="C2145" t="str">
        <f ca="1">OFFSET(Industries!D$1,MATCH(Table1[[#This Row],[Ticker]],Industries!$A$2:$A$150,0),0)</f>
        <v>Commercial and Professional Services</v>
      </c>
      <c r="D2145" t="str">
        <f ca="1">OFFSET(Industries!E$1,MATCH(Table1[[#This Row],[Ticker]],Industries!$A$2:$A$150,0),0)</f>
        <v>Professional Services</v>
      </c>
      <c r="E2145" t="s">
        <v>42</v>
      </c>
      <c r="F2145" t="str">
        <f ca="1">OFFSET(Industries!B$1,MATCH(Table1[[#This Row],[Ticker]],Industries!$A$2:$A$140,0),0)</f>
        <v>Mid-Cap</v>
      </c>
      <c r="G2145" t="str">
        <f ca="1">OFFSET(Industries!F$1,MATCH(Table1[[#This Row],[Ticker]],Industries!$A$2:$A$140,0),0)</f>
        <v>BB-</v>
      </c>
      <c r="H2145" t="s">
        <v>1434</v>
      </c>
      <c r="I2145" t="s">
        <v>1434</v>
      </c>
      <c r="J2145" s="2">
        <v>45363</v>
      </c>
      <c r="K2145" t="s">
        <v>2</v>
      </c>
      <c r="L2145" t="s">
        <v>1710</v>
      </c>
      <c r="M2145" t="s">
        <v>1709</v>
      </c>
      <c r="N2145" s="1"/>
      <c r="O2145" t="s">
        <v>476</v>
      </c>
      <c r="P2145" s="1">
        <v>0.51</v>
      </c>
      <c r="Q2145" s="1" t="s">
        <v>1646</v>
      </c>
      <c r="R2145" t="s">
        <v>35</v>
      </c>
      <c r="S2145" t="s">
        <v>29</v>
      </c>
      <c r="T2145" t="s">
        <v>30</v>
      </c>
      <c r="U2145" s="1">
        <v>0.28999999999999998</v>
      </c>
      <c r="V2145" t="s">
        <v>1271</v>
      </c>
    </row>
    <row r="2146" spans="1:22" x14ac:dyDescent="0.3">
      <c r="A2146" t="s">
        <v>1289</v>
      </c>
      <c r="B2146" t="str">
        <f ca="1">OFFSET(Industries!C$1,MATCH(Table1[[#This Row],[Ticker]],Industries!$A$2:$A$150,0),0)</f>
        <v>Industrials</v>
      </c>
      <c r="C2146" t="str">
        <f ca="1">OFFSET(Industries!D$1,MATCH(Table1[[#This Row],[Ticker]],Industries!$A$2:$A$150,0),0)</f>
        <v>Commercial and Professional Services</v>
      </c>
      <c r="D2146" t="str">
        <f ca="1">OFFSET(Industries!E$1,MATCH(Table1[[#This Row],[Ticker]],Industries!$A$2:$A$150,0),0)</f>
        <v>Professional Services</v>
      </c>
      <c r="E2146" t="s">
        <v>42</v>
      </c>
      <c r="F2146" t="str">
        <f ca="1">OFFSET(Industries!B$1,MATCH(Table1[[#This Row],[Ticker]],Industries!$A$2:$A$140,0),0)</f>
        <v>Mid-Cap</v>
      </c>
      <c r="G2146" t="str">
        <f ca="1">OFFSET(Industries!F$1,MATCH(Table1[[#This Row],[Ticker]],Industries!$A$2:$A$140,0),0)</f>
        <v>BB-</v>
      </c>
      <c r="H2146" t="s">
        <v>1434</v>
      </c>
      <c r="I2146" t="s">
        <v>1434</v>
      </c>
      <c r="J2146" s="2">
        <v>45363</v>
      </c>
      <c r="K2146" t="s">
        <v>2</v>
      </c>
      <c r="L2146" t="s">
        <v>1710</v>
      </c>
      <c r="M2146" t="s">
        <v>1709</v>
      </c>
      <c r="N2146" s="1"/>
      <c r="O2146" t="s">
        <v>476</v>
      </c>
      <c r="P2146" s="1">
        <v>0.51</v>
      </c>
      <c r="R2146" t="s">
        <v>28</v>
      </c>
      <c r="S2146" t="s">
        <v>1110</v>
      </c>
      <c r="T2146" t="s">
        <v>172</v>
      </c>
    </row>
    <row r="2147" spans="1:22" x14ac:dyDescent="0.3">
      <c r="A2147" t="s">
        <v>1289</v>
      </c>
      <c r="B2147" t="str">
        <f ca="1">OFFSET(Industries!C$1,MATCH(Table1[[#This Row],[Ticker]],Industries!$A$2:$A$150,0),0)</f>
        <v>Industrials</v>
      </c>
      <c r="C2147" t="str">
        <f ca="1">OFFSET(Industries!D$1,MATCH(Table1[[#This Row],[Ticker]],Industries!$A$2:$A$150,0),0)</f>
        <v>Commercial and Professional Services</v>
      </c>
      <c r="D2147" t="str">
        <f ca="1">OFFSET(Industries!E$1,MATCH(Table1[[#This Row],[Ticker]],Industries!$A$2:$A$150,0),0)</f>
        <v>Professional Services</v>
      </c>
      <c r="E2147" t="s">
        <v>42</v>
      </c>
      <c r="F2147" t="str">
        <f ca="1">OFFSET(Industries!B$1,MATCH(Table1[[#This Row],[Ticker]],Industries!$A$2:$A$140,0),0)</f>
        <v>Mid-Cap</v>
      </c>
      <c r="G2147" t="str">
        <f ca="1">OFFSET(Industries!F$1,MATCH(Table1[[#This Row],[Ticker]],Industries!$A$2:$A$140,0),0)</f>
        <v>BB-</v>
      </c>
      <c r="H2147" t="s">
        <v>1434</v>
      </c>
      <c r="I2147" t="s">
        <v>1434</v>
      </c>
      <c r="J2147" s="2">
        <v>45363</v>
      </c>
      <c r="K2147" t="s">
        <v>2</v>
      </c>
      <c r="L2147" t="s">
        <v>1710</v>
      </c>
      <c r="M2147" t="s">
        <v>1711</v>
      </c>
      <c r="N2147" s="1">
        <f>Table1[[#This Row],[Consideration Weight]]</f>
        <v>0.37</v>
      </c>
      <c r="O2147" t="s">
        <v>194</v>
      </c>
      <c r="P2147" s="1">
        <v>0.37</v>
      </c>
    </row>
    <row r="2148" spans="1:22" x14ac:dyDescent="0.3">
      <c r="A2148" t="s">
        <v>1289</v>
      </c>
      <c r="B2148" t="str">
        <f ca="1">OFFSET(Industries!C$1,MATCH(Table1[[#This Row],[Ticker]],Industries!$A$2:$A$150,0),0)</f>
        <v>Industrials</v>
      </c>
      <c r="C2148" t="str">
        <f ca="1">OFFSET(Industries!D$1,MATCH(Table1[[#This Row],[Ticker]],Industries!$A$2:$A$150,0),0)</f>
        <v>Commercial and Professional Services</v>
      </c>
      <c r="D2148" t="str">
        <f ca="1">OFFSET(Industries!E$1,MATCH(Table1[[#This Row],[Ticker]],Industries!$A$2:$A$150,0),0)</f>
        <v>Professional Services</v>
      </c>
      <c r="E2148" t="s">
        <v>42</v>
      </c>
      <c r="F2148" t="str">
        <f ca="1">OFFSET(Industries!B$1,MATCH(Table1[[#This Row],[Ticker]],Industries!$A$2:$A$140,0),0)</f>
        <v>Mid-Cap</v>
      </c>
      <c r="G2148" t="str">
        <f ca="1">OFFSET(Industries!F$1,MATCH(Table1[[#This Row],[Ticker]],Industries!$A$2:$A$140,0),0)</f>
        <v>BB-</v>
      </c>
      <c r="H2148" t="s">
        <v>1434</v>
      </c>
      <c r="I2148" t="s">
        <v>1434</v>
      </c>
      <c r="J2148" s="2">
        <v>45363</v>
      </c>
      <c r="K2148" t="s">
        <v>21</v>
      </c>
      <c r="L2148" t="s">
        <v>3</v>
      </c>
      <c r="M2148" t="s">
        <v>1711</v>
      </c>
      <c r="N2148" s="1">
        <f>Table1[[#This Row],[Consideration Weight]]</f>
        <v>0.14000000000000001</v>
      </c>
      <c r="O2148" t="s">
        <v>3</v>
      </c>
      <c r="P2148" s="1">
        <v>0.14000000000000001</v>
      </c>
    </row>
    <row r="2149" spans="1:22" x14ac:dyDescent="0.3">
      <c r="A2149" t="s">
        <v>1289</v>
      </c>
      <c r="B2149" t="str">
        <f ca="1">OFFSET(Industries!C$1,MATCH(Table1[[#This Row],[Ticker]],Industries!$A$2:$A$150,0),0)</f>
        <v>Industrials</v>
      </c>
      <c r="C2149" t="str">
        <f ca="1">OFFSET(Industries!D$1,MATCH(Table1[[#This Row],[Ticker]],Industries!$A$2:$A$150,0),0)</f>
        <v>Commercial and Professional Services</v>
      </c>
      <c r="D2149" t="str">
        <f ca="1">OFFSET(Industries!E$1,MATCH(Table1[[#This Row],[Ticker]],Industries!$A$2:$A$150,0),0)</f>
        <v>Professional Services</v>
      </c>
      <c r="E2149" t="s">
        <v>42</v>
      </c>
      <c r="F2149" t="str">
        <f ca="1">OFFSET(Industries!B$1,MATCH(Table1[[#This Row],[Ticker]],Industries!$A$2:$A$140,0),0)</f>
        <v>Mid-Cap</v>
      </c>
      <c r="G2149" t="str">
        <f ca="1">OFFSET(Industries!F$1,MATCH(Table1[[#This Row],[Ticker]],Industries!$A$2:$A$140,0),0)</f>
        <v>BB-</v>
      </c>
      <c r="H2149" t="s">
        <v>1434</v>
      </c>
      <c r="I2149" t="s">
        <v>1434</v>
      </c>
      <c r="J2149" s="2">
        <v>45363</v>
      </c>
      <c r="K2149" t="s">
        <v>21</v>
      </c>
      <c r="L2149" t="s">
        <v>1708</v>
      </c>
      <c r="M2149" t="s">
        <v>1709</v>
      </c>
      <c r="N2149" s="1">
        <f>Table1[[#This Row],[Consideration Weight]]</f>
        <v>0.05</v>
      </c>
      <c r="O2149" t="s">
        <v>4</v>
      </c>
      <c r="P2149" s="1">
        <v>0.05</v>
      </c>
      <c r="Q2149" s="1" t="s">
        <v>1636</v>
      </c>
      <c r="R2149" t="s">
        <v>23</v>
      </c>
      <c r="S2149" t="s">
        <v>1083</v>
      </c>
      <c r="T2149" t="s">
        <v>1290</v>
      </c>
      <c r="U2149" s="1">
        <v>0.24</v>
      </c>
    </row>
    <row r="2150" spans="1:22" x14ac:dyDescent="0.3">
      <c r="A2150" t="s">
        <v>1289</v>
      </c>
      <c r="B2150" t="str">
        <f ca="1">OFFSET(Industries!C$1,MATCH(Table1[[#This Row],[Ticker]],Industries!$A$2:$A$150,0),0)</f>
        <v>Industrials</v>
      </c>
      <c r="C2150" t="str">
        <f ca="1">OFFSET(Industries!D$1,MATCH(Table1[[#This Row],[Ticker]],Industries!$A$2:$A$150,0),0)</f>
        <v>Commercial and Professional Services</v>
      </c>
      <c r="D2150" t="str">
        <f ca="1">OFFSET(Industries!E$1,MATCH(Table1[[#This Row],[Ticker]],Industries!$A$2:$A$150,0),0)</f>
        <v>Professional Services</v>
      </c>
      <c r="E2150" t="s">
        <v>42</v>
      </c>
      <c r="F2150" t="str">
        <f ca="1">OFFSET(Industries!B$1,MATCH(Table1[[#This Row],[Ticker]],Industries!$A$2:$A$140,0),0)</f>
        <v>Mid-Cap</v>
      </c>
      <c r="G2150" t="str">
        <f ca="1">OFFSET(Industries!F$1,MATCH(Table1[[#This Row],[Ticker]],Industries!$A$2:$A$140,0),0)</f>
        <v>BB-</v>
      </c>
      <c r="H2150" t="s">
        <v>1434</v>
      </c>
      <c r="I2150" t="s">
        <v>1434</v>
      </c>
      <c r="J2150" s="2">
        <v>45363</v>
      </c>
      <c r="K2150" t="s">
        <v>21</v>
      </c>
      <c r="L2150" t="s">
        <v>1708</v>
      </c>
      <c r="M2150" t="s">
        <v>1709</v>
      </c>
      <c r="N2150" s="1"/>
      <c r="O2150" t="s">
        <v>4</v>
      </c>
      <c r="P2150" s="1">
        <v>0.05</v>
      </c>
      <c r="Q2150" s="1" t="s">
        <v>1636</v>
      </c>
      <c r="R2150" t="s">
        <v>24</v>
      </c>
      <c r="S2150" t="s">
        <v>1104</v>
      </c>
      <c r="T2150" t="s">
        <v>153</v>
      </c>
      <c r="U2150" s="1">
        <v>0.24</v>
      </c>
      <c r="V2150" t="s">
        <v>1295</v>
      </c>
    </row>
    <row r="2151" spans="1:22" x14ac:dyDescent="0.3">
      <c r="A2151" t="s">
        <v>1289</v>
      </c>
      <c r="B2151" t="str">
        <f ca="1">OFFSET(Industries!C$1,MATCH(Table1[[#This Row],[Ticker]],Industries!$A$2:$A$150,0),0)</f>
        <v>Industrials</v>
      </c>
      <c r="C2151" t="str">
        <f ca="1">OFFSET(Industries!D$1,MATCH(Table1[[#This Row],[Ticker]],Industries!$A$2:$A$150,0),0)</f>
        <v>Commercial and Professional Services</v>
      </c>
      <c r="D2151" t="str">
        <f ca="1">OFFSET(Industries!E$1,MATCH(Table1[[#This Row],[Ticker]],Industries!$A$2:$A$150,0),0)</f>
        <v>Professional Services</v>
      </c>
      <c r="E2151" t="s">
        <v>42</v>
      </c>
      <c r="F2151" t="str">
        <f ca="1">OFFSET(Industries!B$1,MATCH(Table1[[#This Row],[Ticker]],Industries!$A$2:$A$140,0),0)</f>
        <v>Mid-Cap</v>
      </c>
      <c r="G2151" t="str">
        <f ca="1">OFFSET(Industries!F$1,MATCH(Table1[[#This Row],[Ticker]],Industries!$A$2:$A$140,0),0)</f>
        <v>BB-</v>
      </c>
      <c r="H2151" t="s">
        <v>1434</v>
      </c>
      <c r="I2151" t="s">
        <v>1434</v>
      </c>
      <c r="J2151" s="2">
        <v>45363</v>
      </c>
      <c r="K2151" t="s">
        <v>21</v>
      </c>
      <c r="L2151" t="s">
        <v>1708</v>
      </c>
      <c r="M2151" t="s">
        <v>1709</v>
      </c>
      <c r="N2151" s="1"/>
      <c r="O2151" t="s">
        <v>4</v>
      </c>
      <c r="P2151" s="1">
        <v>0.05</v>
      </c>
      <c r="Q2151" s="1" t="s">
        <v>1636</v>
      </c>
      <c r="R2151" t="s">
        <v>23</v>
      </c>
      <c r="S2151" t="s">
        <v>1086</v>
      </c>
      <c r="T2151" t="s">
        <v>1291</v>
      </c>
      <c r="U2151" s="1">
        <v>0.36</v>
      </c>
    </row>
    <row r="2152" spans="1:22" x14ac:dyDescent="0.3">
      <c r="A2152" t="s">
        <v>1289</v>
      </c>
      <c r="B2152" t="str">
        <f ca="1">OFFSET(Industries!C$1,MATCH(Table1[[#This Row],[Ticker]],Industries!$A$2:$A$150,0),0)</f>
        <v>Industrials</v>
      </c>
      <c r="C2152" t="str">
        <f ca="1">OFFSET(Industries!D$1,MATCH(Table1[[#This Row],[Ticker]],Industries!$A$2:$A$150,0),0)</f>
        <v>Commercial and Professional Services</v>
      </c>
      <c r="D2152" t="str">
        <f ca="1">OFFSET(Industries!E$1,MATCH(Table1[[#This Row],[Ticker]],Industries!$A$2:$A$150,0),0)</f>
        <v>Professional Services</v>
      </c>
      <c r="E2152" t="s">
        <v>42</v>
      </c>
      <c r="F2152" t="str">
        <f ca="1">OFFSET(Industries!B$1,MATCH(Table1[[#This Row],[Ticker]],Industries!$A$2:$A$140,0),0)</f>
        <v>Mid-Cap</v>
      </c>
      <c r="G2152" t="str">
        <f ca="1">OFFSET(Industries!F$1,MATCH(Table1[[#This Row],[Ticker]],Industries!$A$2:$A$140,0),0)</f>
        <v>BB-</v>
      </c>
      <c r="H2152" t="s">
        <v>1434</v>
      </c>
      <c r="I2152" t="s">
        <v>1434</v>
      </c>
      <c r="J2152" s="2">
        <v>45363</v>
      </c>
      <c r="K2152" t="s">
        <v>21</v>
      </c>
      <c r="L2152" t="s">
        <v>1708</v>
      </c>
      <c r="M2152" t="s">
        <v>1709</v>
      </c>
      <c r="N2152" s="1"/>
      <c r="O2152" t="s">
        <v>4</v>
      </c>
      <c r="P2152" s="1">
        <v>0.05</v>
      </c>
      <c r="Q2152" s="1" t="s">
        <v>1637</v>
      </c>
      <c r="R2152" t="s">
        <v>332</v>
      </c>
      <c r="S2152" t="s">
        <v>380</v>
      </c>
      <c r="T2152" t="s">
        <v>380</v>
      </c>
      <c r="U2152" s="1">
        <v>0.16</v>
      </c>
    </row>
    <row r="2153" spans="1:22" x14ac:dyDescent="0.3">
      <c r="A2153" t="s">
        <v>1289</v>
      </c>
      <c r="B2153" t="str">
        <f ca="1">OFFSET(Industries!C$1,MATCH(Table1[[#This Row],[Ticker]],Industries!$A$2:$A$150,0),0)</f>
        <v>Industrials</v>
      </c>
      <c r="C2153" t="str">
        <f ca="1">OFFSET(Industries!D$1,MATCH(Table1[[#This Row],[Ticker]],Industries!$A$2:$A$150,0),0)</f>
        <v>Commercial and Professional Services</v>
      </c>
      <c r="D2153" t="str">
        <f ca="1">OFFSET(Industries!E$1,MATCH(Table1[[#This Row],[Ticker]],Industries!$A$2:$A$150,0),0)</f>
        <v>Professional Services</v>
      </c>
      <c r="E2153" t="s">
        <v>42</v>
      </c>
      <c r="F2153" t="str">
        <f ca="1">OFFSET(Industries!B$1,MATCH(Table1[[#This Row],[Ticker]],Industries!$A$2:$A$140,0),0)</f>
        <v>Mid-Cap</v>
      </c>
      <c r="G2153" t="str">
        <f ca="1">OFFSET(Industries!F$1,MATCH(Table1[[#This Row],[Ticker]],Industries!$A$2:$A$140,0),0)</f>
        <v>BB-</v>
      </c>
      <c r="H2153" t="s">
        <v>1434</v>
      </c>
      <c r="I2153" t="s">
        <v>1434</v>
      </c>
      <c r="J2153" s="2">
        <v>45363</v>
      </c>
      <c r="K2153" t="s">
        <v>21</v>
      </c>
      <c r="L2153" t="s">
        <v>1708</v>
      </c>
      <c r="M2153" t="s">
        <v>1709</v>
      </c>
      <c r="N2153" s="1"/>
      <c r="O2153" t="s">
        <v>4</v>
      </c>
      <c r="P2153" s="1">
        <v>0.05</v>
      </c>
      <c r="R2153" t="s">
        <v>28</v>
      </c>
      <c r="S2153" t="s">
        <v>1110</v>
      </c>
      <c r="T2153" t="s">
        <v>172</v>
      </c>
      <c r="V2153" t="s">
        <v>1296</v>
      </c>
    </row>
    <row r="2154" spans="1:22" x14ac:dyDescent="0.3">
      <c r="A2154" t="s">
        <v>1289</v>
      </c>
      <c r="B2154" t="str">
        <f ca="1">OFFSET(Industries!C$1,MATCH(Table1[[#This Row],[Ticker]],Industries!$A$2:$A$150,0),0)</f>
        <v>Industrials</v>
      </c>
      <c r="C2154" t="str">
        <f ca="1">OFFSET(Industries!D$1,MATCH(Table1[[#This Row],[Ticker]],Industries!$A$2:$A$150,0),0)</f>
        <v>Commercial and Professional Services</v>
      </c>
      <c r="D2154" t="str">
        <f ca="1">OFFSET(Industries!E$1,MATCH(Table1[[#This Row],[Ticker]],Industries!$A$2:$A$150,0),0)</f>
        <v>Professional Services</v>
      </c>
      <c r="E2154" t="s">
        <v>42</v>
      </c>
      <c r="F2154" t="str">
        <f ca="1">OFFSET(Industries!B$1,MATCH(Table1[[#This Row],[Ticker]],Industries!$A$2:$A$140,0),0)</f>
        <v>Mid-Cap</v>
      </c>
      <c r="G2154" t="str">
        <f ca="1">OFFSET(Industries!F$1,MATCH(Table1[[#This Row],[Ticker]],Industries!$A$2:$A$140,0),0)</f>
        <v>BB-</v>
      </c>
      <c r="H2154" t="s">
        <v>1434</v>
      </c>
      <c r="I2154" t="s">
        <v>1434</v>
      </c>
      <c r="J2154" s="2">
        <v>45363</v>
      </c>
      <c r="K2154" t="s">
        <v>21</v>
      </c>
      <c r="L2154" t="s">
        <v>1710</v>
      </c>
      <c r="M2154" t="s">
        <v>1709</v>
      </c>
      <c r="N2154" s="1">
        <f>Table1[[#This Row],[Consideration Weight]]</f>
        <v>0.46</v>
      </c>
      <c r="O2154" t="s">
        <v>476</v>
      </c>
      <c r="P2154" s="1">
        <v>0.46</v>
      </c>
      <c r="Q2154" s="1" t="s">
        <v>1636</v>
      </c>
      <c r="R2154" t="s">
        <v>23</v>
      </c>
      <c r="S2154" t="s">
        <v>1083</v>
      </c>
      <c r="T2154" t="s">
        <v>1292</v>
      </c>
      <c r="U2154" s="1">
        <f>0.77/3</f>
        <v>0.25666666666666665</v>
      </c>
    </row>
    <row r="2155" spans="1:22" x14ac:dyDescent="0.3">
      <c r="A2155" t="s">
        <v>1289</v>
      </c>
      <c r="B2155" t="str">
        <f ca="1">OFFSET(Industries!C$1,MATCH(Table1[[#This Row],[Ticker]],Industries!$A$2:$A$150,0),0)</f>
        <v>Industrials</v>
      </c>
      <c r="C2155" t="str">
        <f ca="1">OFFSET(Industries!D$1,MATCH(Table1[[#This Row],[Ticker]],Industries!$A$2:$A$150,0),0)</f>
        <v>Commercial and Professional Services</v>
      </c>
      <c r="D2155" t="str">
        <f ca="1">OFFSET(Industries!E$1,MATCH(Table1[[#This Row],[Ticker]],Industries!$A$2:$A$150,0),0)</f>
        <v>Professional Services</v>
      </c>
      <c r="E2155" t="s">
        <v>42</v>
      </c>
      <c r="F2155" t="str">
        <f ca="1">OFFSET(Industries!B$1,MATCH(Table1[[#This Row],[Ticker]],Industries!$A$2:$A$140,0),0)</f>
        <v>Mid-Cap</v>
      </c>
      <c r="G2155" t="str">
        <f ca="1">OFFSET(Industries!F$1,MATCH(Table1[[#This Row],[Ticker]],Industries!$A$2:$A$140,0),0)</f>
        <v>BB-</v>
      </c>
      <c r="H2155" t="s">
        <v>1434</v>
      </c>
      <c r="I2155" t="s">
        <v>1434</v>
      </c>
      <c r="J2155" s="2">
        <v>45363</v>
      </c>
      <c r="K2155" t="s">
        <v>21</v>
      </c>
      <c r="L2155" t="s">
        <v>1710</v>
      </c>
      <c r="M2155" t="s">
        <v>1709</v>
      </c>
      <c r="N2155" s="1"/>
      <c r="O2155" t="s">
        <v>476</v>
      </c>
      <c r="P2155" s="1">
        <v>0.46</v>
      </c>
      <c r="Q2155" s="1" t="s">
        <v>1636</v>
      </c>
      <c r="R2155" t="s">
        <v>24</v>
      </c>
      <c r="S2155" t="s">
        <v>1105</v>
      </c>
      <c r="T2155" t="s">
        <v>1293</v>
      </c>
      <c r="U2155" s="1">
        <f t="shared" ref="U2155:U2156" si="49">0.77/3</f>
        <v>0.25666666666666665</v>
      </c>
    </row>
    <row r="2156" spans="1:22" x14ac:dyDescent="0.3">
      <c r="A2156" t="s">
        <v>1289</v>
      </c>
      <c r="B2156" t="str">
        <f ca="1">OFFSET(Industries!C$1,MATCH(Table1[[#This Row],[Ticker]],Industries!$A$2:$A$150,0),0)</f>
        <v>Industrials</v>
      </c>
      <c r="C2156" t="str">
        <f ca="1">OFFSET(Industries!D$1,MATCH(Table1[[#This Row],[Ticker]],Industries!$A$2:$A$150,0),0)</f>
        <v>Commercial and Professional Services</v>
      </c>
      <c r="D2156" t="str">
        <f ca="1">OFFSET(Industries!E$1,MATCH(Table1[[#This Row],[Ticker]],Industries!$A$2:$A$150,0),0)</f>
        <v>Professional Services</v>
      </c>
      <c r="E2156" t="s">
        <v>42</v>
      </c>
      <c r="F2156" t="str">
        <f ca="1">OFFSET(Industries!B$1,MATCH(Table1[[#This Row],[Ticker]],Industries!$A$2:$A$140,0),0)</f>
        <v>Mid-Cap</v>
      </c>
      <c r="G2156" t="str">
        <f ca="1">OFFSET(Industries!F$1,MATCH(Table1[[#This Row],[Ticker]],Industries!$A$2:$A$140,0),0)</f>
        <v>BB-</v>
      </c>
      <c r="H2156" t="s">
        <v>1434</v>
      </c>
      <c r="I2156" t="s">
        <v>1434</v>
      </c>
      <c r="J2156" s="2">
        <v>45363</v>
      </c>
      <c r="K2156" t="s">
        <v>21</v>
      </c>
      <c r="L2156" t="s">
        <v>1710</v>
      </c>
      <c r="M2156" t="s">
        <v>1709</v>
      </c>
      <c r="N2156" s="1"/>
      <c r="O2156" t="s">
        <v>476</v>
      </c>
      <c r="P2156" s="1">
        <v>0.46</v>
      </c>
      <c r="Q2156" s="1" t="s">
        <v>1636</v>
      </c>
      <c r="R2156" t="s">
        <v>23</v>
      </c>
      <c r="S2156" t="s">
        <v>1086</v>
      </c>
      <c r="T2156" t="s">
        <v>1291</v>
      </c>
      <c r="U2156" s="1">
        <f t="shared" si="49"/>
        <v>0.25666666666666665</v>
      </c>
    </row>
    <row r="2157" spans="1:22" x14ac:dyDescent="0.3">
      <c r="A2157" t="s">
        <v>1289</v>
      </c>
      <c r="B2157" t="str">
        <f ca="1">OFFSET(Industries!C$1,MATCH(Table1[[#This Row],[Ticker]],Industries!$A$2:$A$150,0),0)</f>
        <v>Industrials</v>
      </c>
      <c r="C2157" t="str">
        <f ca="1">OFFSET(Industries!D$1,MATCH(Table1[[#This Row],[Ticker]],Industries!$A$2:$A$150,0),0)</f>
        <v>Commercial and Professional Services</v>
      </c>
      <c r="D2157" t="str">
        <f ca="1">OFFSET(Industries!E$1,MATCH(Table1[[#This Row],[Ticker]],Industries!$A$2:$A$150,0),0)</f>
        <v>Professional Services</v>
      </c>
      <c r="E2157" t="s">
        <v>42</v>
      </c>
      <c r="F2157" t="str">
        <f ca="1">OFFSET(Industries!B$1,MATCH(Table1[[#This Row],[Ticker]],Industries!$A$2:$A$140,0),0)</f>
        <v>Mid-Cap</v>
      </c>
      <c r="G2157" t="str">
        <f ca="1">OFFSET(Industries!F$1,MATCH(Table1[[#This Row],[Ticker]],Industries!$A$2:$A$140,0),0)</f>
        <v>BB-</v>
      </c>
      <c r="H2157" t="s">
        <v>1434</v>
      </c>
      <c r="I2157" t="s">
        <v>1434</v>
      </c>
      <c r="J2157" s="2">
        <v>45363</v>
      </c>
      <c r="K2157" t="s">
        <v>21</v>
      </c>
      <c r="L2157" t="s">
        <v>1710</v>
      </c>
      <c r="M2157" t="s">
        <v>1709</v>
      </c>
      <c r="N2157" s="1"/>
      <c r="O2157" t="s">
        <v>476</v>
      </c>
      <c r="P2157" s="1">
        <v>0.46</v>
      </c>
      <c r="Q2157" s="1" t="s">
        <v>1646</v>
      </c>
      <c r="R2157" t="s">
        <v>35</v>
      </c>
      <c r="S2157" t="s">
        <v>29</v>
      </c>
      <c r="T2157" t="s">
        <v>30</v>
      </c>
      <c r="U2157" s="1">
        <v>0.23</v>
      </c>
    </row>
    <row r="2158" spans="1:22" x14ac:dyDescent="0.3">
      <c r="A2158" t="s">
        <v>1289</v>
      </c>
      <c r="B2158" t="str">
        <f ca="1">OFFSET(Industries!C$1,MATCH(Table1[[#This Row],[Ticker]],Industries!$A$2:$A$150,0),0)</f>
        <v>Industrials</v>
      </c>
      <c r="C2158" t="str">
        <f ca="1">OFFSET(Industries!D$1,MATCH(Table1[[#This Row],[Ticker]],Industries!$A$2:$A$150,0),0)</f>
        <v>Commercial and Professional Services</v>
      </c>
      <c r="D2158" t="str">
        <f ca="1">OFFSET(Industries!E$1,MATCH(Table1[[#This Row],[Ticker]],Industries!$A$2:$A$150,0),0)</f>
        <v>Professional Services</v>
      </c>
      <c r="E2158" t="s">
        <v>42</v>
      </c>
      <c r="F2158" t="str">
        <f ca="1">OFFSET(Industries!B$1,MATCH(Table1[[#This Row],[Ticker]],Industries!$A$2:$A$140,0),0)</f>
        <v>Mid-Cap</v>
      </c>
      <c r="G2158" t="str">
        <f ca="1">OFFSET(Industries!F$1,MATCH(Table1[[#This Row],[Ticker]],Industries!$A$2:$A$140,0),0)</f>
        <v>BB-</v>
      </c>
      <c r="H2158" t="s">
        <v>1434</v>
      </c>
      <c r="I2158" t="s">
        <v>1434</v>
      </c>
      <c r="J2158" s="2">
        <v>45363</v>
      </c>
      <c r="K2158" t="s">
        <v>21</v>
      </c>
      <c r="L2158" t="s">
        <v>1710</v>
      </c>
      <c r="M2158" t="s">
        <v>1709</v>
      </c>
      <c r="N2158" s="1"/>
      <c r="O2158" t="s">
        <v>476</v>
      </c>
      <c r="P2158" s="1">
        <v>0.46</v>
      </c>
      <c r="R2158" t="s">
        <v>28</v>
      </c>
      <c r="S2158" t="s">
        <v>1110</v>
      </c>
      <c r="T2158" t="s">
        <v>172</v>
      </c>
    </row>
    <row r="2159" spans="1:22" x14ac:dyDescent="0.3">
      <c r="A2159" t="s">
        <v>1289</v>
      </c>
      <c r="B2159" t="str">
        <f ca="1">OFFSET(Industries!C$1,MATCH(Table1[[#This Row],[Ticker]],Industries!$A$2:$A$150,0),0)</f>
        <v>Industrials</v>
      </c>
      <c r="C2159" t="str">
        <f ca="1">OFFSET(Industries!D$1,MATCH(Table1[[#This Row],[Ticker]],Industries!$A$2:$A$150,0),0)</f>
        <v>Commercial and Professional Services</v>
      </c>
      <c r="D2159" t="str">
        <f ca="1">OFFSET(Industries!E$1,MATCH(Table1[[#This Row],[Ticker]],Industries!$A$2:$A$150,0),0)</f>
        <v>Professional Services</v>
      </c>
      <c r="E2159" t="s">
        <v>42</v>
      </c>
      <c r="F2159" t="str">
        <f ca="1">OFFSET(Industries!B$1,MATCH(Table1[[#This Row],[Ticker]],Industries!$A$2:$A$140,0),0)</f>
        <v>Mid-Cap</v>
      </c>
      <c r="G2159" t="str">
        <f ca="1">OFFSET(Industries!F$1,MATCH(Table1[[#This Row],[Ticker]],Industries!$A$2:$A$140,0),0)</f>
        <v>BB-</v>
      </c>
      <c r="H2159" t="s">
        <v>1434</v>
      </c>
      <c r="I2159" t="s">
        <v>1434</v>
      </c>
      <c r="J2159" s="2">
        <v>45363</v>
      </c>
      <c r="K2159" t="s">
        <v>21</v>
      </c>
      <c r="L2159" t="s">
        <v>1710</v>
      </c>
      <c r="M2159" t="s">
        <v>1711</v>
      </c>
      <c r="N2159" s="1">
        <f>Table1[[#This Row],[Consideration Weight]]</f>
        <v>0.35</v>
      </c>
      <c r="O2159" t="s">
        <v>194</v>
      </c>
      <c r="P2159" s="1">
        <v>0.35</v>
      </c>
    </row>
    <row r="2160" spans="1:22" x14ac:dyDescent="0.3">
      <c r="A2160" t="s">
        <v>1301</v>
      </c>
      <c r="B2160" t="str">
        <f ca="1">OFFSET(Industries!C$1,MATCH(Table1[[#This Row],[Ticker]],Industries!$A$2:$A$150,0),0)</f>
        <v>Health Care</v>
      </c>
      <c r="C2160" t="str">
        <f ca="1">OFFSET(Industries!D$1,MATCH(Table1[[#This Row],[Ticker]],Industries!$A$2:$A$150,0),0)</f>
        <v>Health Care Equipment and Services</v>
      </c>
      <c r="D2160" t="str">
        <f ca="1">OFFSET(Industries!E$1,MATCH(Table1[[#This Row],[Ticker]],Industries!$A$2:$A$150,0),0)</f>
        <v>Health Care Equipment and Supplies</v>
      </c>
      <c r="E2160" t="s">
        <v>127</v>
      </c>
      <c r="F2160" t="str">
        <f ca="1">OFFSET(Industries!B$1,MATCH(Table1[[#This Row],[Ticker]],Industries!$A$2:$A$140,0),0)</f>
        <v>Large-Cap</v>
      </c>
      <c r="H2160" t="s">
        <v>1434</v>
      </c>
      <c r="I2160" t="s">
        <v>1434</v>
      </c>
      <c r="J2160" s="2">
        <v>45404</v>
      </c>
      <c r="K2160" t="s">
        <v>2</v>
      </c>
      <c r="L2160" t="s">
        <v>3</v>
      </c>
      <c r="M2160" t="s">
        <v>1711</v>
      </c>
      <c r="N2160" s="1">
        <f>Table1[[#This Row],[Consideration Weight]]</f>
        <v>0.08</v>
      </c>
      <c r="O2160" t="s">
        <v>3</v>
      </c>
      <c r="P2160" s="1">
        <v>0.08</v>
      </c>
      <c r="V2160" t="s">
        <v>1656</v>
      </c>
    </row>
    <row r="2161" spans="1:22" x14ac:dyDescent="0.3">
      <c r="A2161" t="s">
        <v>1301</v>
      </c>
      <c r="B2161" t="str">
        <f ca="1">OFFSET(Industries!C$1,MATCH(Table1[[#This Row],[Ticker]],Industries!$A$2:$A$150,0),0)</f>
        <v>Health Care</v>
      </c>
      <c r="C2161" t="str">
        <f ca="1">OFFSET(Industries!D$1,MATCH(Table1[[#This Row],[Ticker]],Industries!$A$2:$A$150,0),0)</f>
        <v>Health Care Equipment and Services</v>
      </c>
      <c r="D2161" t="str">
        <f ca="1">OFFSET(Industries!E$1,MATCH(Table1[[#This Row],[Ticker]],Industries!$A$2:$A$150,0),0)</f>
        <v>Health Care Equipment and Supplies</v>
      </c>
      <c r="E2161" t="s">
        <v>127</v>
      </c>
      <c r="F2161" t="str">
        <f ca="1">OFFSET(Industries!B$1,MATCH(Table1[[#This Row],[Ticker]],Industries!$A$2:$A$140,0),0)</f>
        <v>Large-Cap</v>
      </c>
      <c r="H2161" t="s">
        <v>1434</v>
      </c>
      <c r="I2161" t="s">
        <v>1434</v>
      </c>
      <c r="J2161" s="2">
        <v>45404</v>
      </c>
      <c r="K2161" t="s">
        <v>2</v>
      </c>
      <c r="L2161" t="s">
        <v>1708</v>
      </c>
      <c r="M2161" t="s">
        <v>1709</v>
      </c>
      <c r="N2161" s="1">
        <f>Table1[[#This Row],[Consideration Weight]]</f>
        <v>0.1</v>
      </c>
      <c r="O2161" t="s">
        <v>4</v>
      </c>
      <c r="P2161" s="1">
        <v>0.1</v>
      </c>
      <c r="Q2161" s="1" t="s">
        <v>1636</v>
      </c>
      <c r="R2161" t="s">
        <v>23</v>
      </c>
      <c r="S2161" t="s">
        <v>1083</v>
      </c>
      <c r="T2161" t="s">
        <v>7</v>
      </c>
      <c r="U2161" s="1">
        <v>0.5</v>
      </c>
      <c r="V2161" t="s">
        <v>1302</v>
      </c>
    </row>
    <row r="2162" spans="1:22" x14ac:dyDescent="0.3">
      <c r="A2162" t="s">
        <v>1301</v>
      </c>
      <c r="B2162" t="str">
        <f ca="1">OFFSET(Industries!C$1,MATCH(Table1[[#This Row],[Ticker]],Industries!$A$2:$A$150,0),0)</f>
        <v>Health Care</v>
      </c>
      <c r="C2162" t="str">
        <f ca="1">OFFSET(Industries!D$1,MATCH(Table1[[#This Row],[Ticker]],Industries!$A$2:$A$150,0),0)</f>
        <v>Health Care Equipment and Services</v>
      </c>
      <c r="D2162" t="str">
        <f ca="1">OFFSET(Industries!E$1,MATCH(Table1[[#This Row],[Ticker]],Industries!$A$2:$A$150,0),0)</f>
        <v>Health Care Equipment and Supplies</v>
      </c>
      <c r="E2162" t="s">
        <v>127</v>
      </c>
      <c r="F2162" t="str">
        <f ca="1">OFFSET(Industries!B$1,MATCH(Table1[[#This Row],[Ticker]],Industries!$A$2:$A$140,0),0)</f>
        <v>Large-Cap</v>
      </c>
      <c r="H2162" t="s">
        <v>1434</v>
      </c>
      <c r="I2162" t="s">
        <v>1434</v>
      </c>
      <c r="J2162" s="2">
        <v>45404</v>
      </c>
      <c r="K2162" t="s">
        <v>2</v>
      </c>
      <c r="L2162" t="s">
        <v>1708</v>
      </c>
      <c r="M2162" t="s">
        <v>1709</v>
      </c>
      <c r="N2162" s="1"/>
      <c r="O2162" t="s">
        <v>4</v>
      </c>
      <c r="P2162" s="1">
        <v>0.1</v>
      </c>
      <c r="Q2162" s="1" t="s">
        <v>1636</v>
      </c>
      <c r="R2162" t="s">
        <v>24</v>
      </c>
      <c r="S2162" t="s">
        <v>509</v>
      </c>
      <c r="T2162" t="s">
        <v>38</v>
      </c>
      <c r="U2162" s="1">
        <v>0.3</v>
      </c>
      <c r="V2162" t="s">
        <v>1304</v>
      </c>
    </row>
    <row r="2163" spans="1:22" x14ac:dyDescent="0.3">
      <c r="A2163" t="s">
        <v>1301</v>
      </c>
      <c r="B2163" t="str">
        <f ca="1">OFFSET(Industries!C$1,MATCH(Table1[[#This Row],[Ticker]],Industries!$A$2:$A$150,0),0)</f>
        <v>Health Care</v>
      </c>
      <c r="C2163" t="str">
        <f ca="1">OFFSET(Industries!D$1,MATCH(Table1[[#This Row],[Ticker]],Industries!$A$2:$A$150,0),0)</f>
        <v>Health Care Equipment and Services</v>
      </c>
      <c r="D2163" t="str">
        <f ca="1">OFFSET(Industries!E$1,MATCH(Table1[[#This Row],[Ticker]],Industries!$A$2:$A$150,0),0)</f>
        <v>Health Care Equipment and Supplies</v>
      </c>
      <c r="E2163" t="s">
        <v>127</v>
      </c>
      <c r="F2163" t="str">
        <f ca="1">OFFSET(Industries!B$1,MATCH(Table1[[#This Row],[Ticker]],Industries!$A$2:$A$140,0),0)</f>
        <v>Large-Cap</v>
      </c>
      <c r="H2163" t="s">
        <v>1434</v>
      </c>
      <c r="I2163" t="s">
        <v>1434</v>
      </c>
      <c r="J2163" s="2">
        <v>45404</v>
      </c>
      <c r="K2163" t="s">
        <v>2</v>
      </c>
      <c r="L2163" t="s">
        <v>1708</v>
      </c>
      <c r="M2163" t="s">
        <v>1709</v>
      </c>
      <c r="N2163" s="1"/>
      <c r="O2163" t="s">
        <v>4</v>
      </c>
      <c r="P2163" s="1">
        <v>0.1</v>
      </c>
      <c r="Q2163" s="1" t="s">
        <v>1637</v>
      </c>
      <c r="R2163" t="s">
        <v>332</v>
      </c>
      <c r="S2163" t="s">
        <v>380</v>
      </c>
      <c r="T2163" t="s">
        <v>1303</v>
      </c>
      <c r="U2163" s="1">
        <v>0.2</v>
      </c>
      <c r="V2163" t="s">
        <v>1305</v>
      </c>
    </row>
    <row r="2164" spans="1:22" x14ac:dyDescent="0.3">
      <c r="A2164" t="s">
        <v>1301</v>
      </c>
      <c r="B2164" t="str">
        <f ca="1">OFFSET(Industries!C$1,MATCH(Table1[[#This Row],[Ticker]],Industries!$A$2:$A$150,0),0)</f>
        <v>Health Care</v>
      </c>
      <c r="C2164" t="str">
        <f ca="1">OFFSET(Industries!D$1,MATCH(Table1[[#This Row],[Ticker]],Industries!$A$2:$A$150,0),0)</f>
        <v>Health Care Equipment and Services</v>
      </c>
      <c r="D2164" t="str">
        <f ca="1">OFFSET(Industries!E$1,MATCH(Table1[[#This Row],[Ticker]],Industries!$A$2:$A$150,0),0)</f>
        <v>Health Care Equipment and Supplies</v>
      </c>
      <c r="E2164" t="s">
        <v>127</v>
      </c>
      <c r="F2164" t="str">
        <f ca="1">OFFSET(Industries!B$1,MATCH(Table1[[#This Row],[Ticker]],Industries!$A$2:$A$140,0),0)</f>
        <v>Large-Cap</v>
      </c>
      <c r="H2164" t="s">
        <v>1434</v>
      </c>
      <c r="I2164" t="s">
        <v>1434</v>
      </c>
      <c r="J2164" s="2">
        <v>45404</v>
      </c>
      <c r="K2164" t="s">
        <v>2</v>
      </c>
      <c r="L2164" t="s">
        <v>1708</v>
      </c>
      <c r="M2164" t="s">
        <v>1709</v>
      </c>
      <c r="N2164" s="1"/>
      <c r="O2164" t="s">
        <v>4</v>
      </c>
      <c r="P2164" s="1">
        <v>0.1</v>
      </c>
      <c r="R2164" t="s">
        <v>28</v>
      </c>
      <c r="S2164" t="s">
        <v>1110</v>
      </c>
      <c r="T2164" t="s">
        <v>172</v>
      </c>
    </row>
    <row r="2165" spans="1:22" x14ac:dyDescent="0.3">
      <c r="A2165" t="s">
        <v>1301</v>
      </c>
      <c r="B2165" t="str">
        <f ca="1">OFFSET(Industries!C$1,MATCH(Table1[[#This Row],[Ticker]],Industries!$A$2:$A$150,0),0)</f>
        <v>Health Care</v>
      </c>
      <c r="C2165" t="str">
        <f ca="1">OFFSET(Industries!D$1,MATCH(Table1[[#This Row],[Ticker]],Industries!$A$2:$A$150,0),0)</f>
        <v>Health Care Equipment and Services</v>
      </c>
      <c r="D2165" t="str">
        <f ca="1">OFFSET(Industries!E$1,MATCH(Table1[[#This Row],[Ticker]],Industries!$A$2:$A$150,0),0)</f>
        <v>Health Care Equipment and Supplies</v>
      </c>
      <c r="E2165" t="s">
        <v>127</v>
      </c>
      <c r="F2165" t="str">
        <f ca="1">OFFSET(Industries!B$1,MATCH(Table1[[#This Row],[Ticker]],Industries!$A$2:$A$140,0),0)</f>
        <v>Large-Cap</v>
      </c>
      <c r="H2165" t="s">
        <v>1434</v>
      </c>
      <c r="I2165" t="s">
        <v>1434</v>
      </c>
      <c r="J2165" s="2">
        <v>45404</v>
      </c>
      <c r="K2165" t="s">
        <v>2</v>
      </c>
      <c r="L2165" t="s">
        <v>1710</v>
      </c>
      <c r="M2165" t="s">
        <v>1709</v>
      </c>
      <c r="N2165" s="1">
        <f>Table1[[#This Row],[Consideration Weight]]</f>
        <v>0.41</v>
      </c>
      <c r="O2165" t="s">
        <v>476</v>
      </c>
      <c r="P2165" s="1">
        <v>0.41</v>
      </c>
      <c r="Q2165" s="1" t="s">
        <v>1636</v>
      </c>
      <c r="R2165" t="s">
        <v>23</v>
      </c>
      <c r="S2165" t="s">
        <v>1083</v>
      </c>
      <c r="T2165" t="s">
        <v>7</v>
      </c>
      <c r="U2165" s="1">
        <v>1</v>
      </c>
      <c r="V2165" t="s">
        <v>1307</v>
      </c>
    </row>
    <row r="2166" spans="1:22" x14ac:dyDescent="0.3">
      <c r="A2166" t="s">
        <v>1301</v>
      </c>
      <c r="B2166" t="str">
        <f ca="1">OFFSET(Industries!C$1,MATCH(Table1[[#This Row],[Ticker]],Industries!$A$2:$A$150,0),0)</f>
        <v>Health Care</v>
      </c>
      <c r="C2166" t="str">
        <f ca="1">OFFSET(Industries!D$1,MATCH(Table1[[#This Row],[Ticker]],Industries!$A$2:$A$150,0),0)</f>
        <v>Health Care Equipment and Services</v>
      </c>
      <c r="D2166" t="str">
        <f ca="1">OFFSET(Industries!E$1,MATCH(Table1[[#This Row],[Ticker]],Industries!$A$2:$A$150,0),0)</f>
        <v>Health Care Equipment and Supplies</v>
      </c>
      <c r="E2166" t="s">
        <v>127</v>
      </c>
      <c r="F2166" t="str">
        <f ca="1">OFFSET(Industries!B$1,MATCH(Table1[[#This Row],[Ticker]],Industries!$A$2:$A$140,0),0)</f>
        <v>Large-Cap</v>
      </c>
      <c r="H2166" t="s">
        <v>1434</v>
      </c>
      <c r="I2166" t="s">
        <v>1434</v>
      </c>
      <c r="J2166" s="2">
        <v>45404</v>
      </c>
      <c r="K2166" t="s">
        <v>2</v>
      </c>
      <c r="L2166" t="s">
        <v>1710</v>
      </c>
      <c r="M2166" t="s">
        <v>1709</v>
      </c>
      <c r="N2166" s="1"/>
      <c r="O2166" t="s">
        <v>476</v>
      </c>
      <c r="P2166" s="1">
        <v>0.41</v>
      </c>
      <c r="R2166" t="s">
        <v>28</v>
      </c>
      <c r="S2166" t="s">
        <v>1306</v>
      </c>
      <c r="T2166" t="s">
        <v>30</v>
      </c>
    </row>
    <row r="2167" spans="1:22" x14ac:dyDescent="0.3">
      <c r="A2167" t="s">
        <v>1301</v>
      </c>
      <c r="B2167" t="str">
        <f ca="1">OFFSET(Industries!C$1,MATCH(Table1[[#This Row],[Ticker]],Industries!$A$2:$A$150,0),0)</f>
        <v>Health Care</v>
      </c>
      <c r="C2167" t="str">
        <f ca="1">OFFSET(Industries!D$1,MATCH(Table1[[#This Row],[Ticker]],Industries!$A$2:$A$150,0),0)</f>
        <v>Health Care Equipment and Services</v>
      </c>
      <c r="D2167" t="str">
        <f ca="1">OFFSET(Industries!E$1,MATCH(Table1[[#This Row],[Ticker]],Industries!$A$2:$A$150,0),0)</f>
        <v>Health Care Equipment and Supplies</v>
      </c>
      <c r="E2167" t="s">
        <v>127</v>
      </c>
      <c r="F2167" t="str">
        <f ca="1">OFFSET(Industries!B$1,MATCH(Table1[[#This Row],[Ticker]],Industries!$A$2:$A$140,0),0)</f>
        <v>Large-Cap</v>
      </c>
      <c r="H2167" t="s">
        <v>1434</v>
      </c>
      <c r="I2167" t="s">
        <v>1434</v>
      </c>
      <c r="J2167" s="2">
        <v>45404</v>
      </c>
      <c r="K2167" t="s">
        <v>2</v>
      </c>
      <c r="L2167" t="s">
        <v>1710</v>
      </c>
      <c r="M2167" t="s">
        <v>1711</v>
      </c>
      <c r="N2167" s="1">
        <f>Table1[[#This Row],[Consideration Weight]]</f>
        <v>0.41</v>
      </c>
      <c r="O2167" t="s">
        <v>194</v>
      </c>
      <c r="P2167" s="1">
        <v>0.41</v>
      </c>
    </row>
    <row r="2168" spans="1:22" x14ac:dyDescent="0.3">
      <c r="A2168" t="s">
        <v>1301</v>
      </c>
      <c r="B2168" t="str">
        <f ca="1">OFFSET(Industries!C$1,MATCH(Table1[[#This Row],[Ticker]],Industries!$A$2:$A$150,0),0)</f>
        <v>Health Care</v>
      </c>
      <c r="C2168" t="str">
        <f ca="1">OFFSET(Industries!D$1,MATCH(Table1[[#This Row],[Ticker]],Industries!$A$2:$A$150,0),0)</f>
        <v>Health Care Equipment and Services</v>
      </c>
      <c r="D2168" t="str">
        <f ca="1">OFFSET(Industries!E$1,MATCH(Table1[[#This Row],[Ticker]],Industries!$A$2:$A$150,0),0)</f>
        <v>Health Care Equipment and Supplies</v>
      </c>
      <c r="E2168" t="s">
        <v>127</v>
      </c>
      <c r="F2168" t="str">
        <f ca="1">OFFSET(Industries!B$1,MATCH(Table1[[#This Row],[Ticker]],Industries!$A$2:$A$140,0),0)</f>
        <v>Large-Cap</v>
      </c>
      <c r="H2168" t="s">
        <v>1434</v>
      </c>
      <c r="I2168" t="s">
        <v>1434</v>
      </c>
      <c r="J2168" s="2">
        <v>45404</v>
      </c>
      <c r="K2168" t="s">
        <v>21</v>
      </c>
      <c r="L2168" t="s">
        <v>3</v>
      </c>
      <c r="M2168" t="s">
        <v>1711</v>
      </c>
      <c r="N2168" s="1">
        <f>Table1[[#This Row],[Consideration Weight]]</f>
        <v>0.14000000000000001</v>
      </c>
      <c r="O2168" t="s">
        <v>3</v>
      </c>
      <c r="P2168" s="1">
        <v>0.14000000000000001</v>
      </c>
    </row>
    <row r="2169" spans="1:22" x14ac:dyDescent="0.3">
      <c r="A2169" t="s">
        <v>1301</v>
      </c>
      <c r="B2169" t="str">
        <f ca="1">OFFSET(Industries!C$1,MATCH(Table1[[#This Row],[Ticker]],Industries!$A$2:$A$150,0),0)</f>
        <v>Health Care</v>
      </c>
      <c r="C2169" t="str">
        <f ca="1">OFFSET(Industries!D$1,MATCH(Table1[[#This Row],[Ticker]],Industries!$A$2:$A$150,0),0)</f>
        <v>Health Care Equipment and Services</v>
      </c>
      <c r="D2169" t="str">
        <f ca="1">OFFSET(Industries!E$1,MATCH(Table1[[#This Row],[Ticker]],Industries!$A$2:$A$150,0),0)</f>
        <v>Health Care Equipment and Supplies</v>
      </c>
      <c r="E2169" t="s">
        <v>127</v>
      </c>
      <c r="F2169" t="str">
        <f ca="1">OFFSET(Industries!B$1,MATCH(Table1[[#This Row],[Ticker]],Industries!$A$2:$A$140,0),0)</f>
        <v>Large-Cap</v>
      </c>
      <c r="H2169" t="s">
        <v>1434</v>
      </c>
      <c r="I2169" t="s">
        <v>1434</v>
      </c>
      <c r="J2169" s="2">
        <v>45404</v>
      </c>
      <c r="K2169" t="s">
        <v>21</v>
      </c>
      <c r="L2169" t="s">
        <v>1708</v>
      </c>
      <c r="M2169" t="s">
        <v>1709</v>
      </c>
      <c r="N2169" s="1">
        <f>Table1[[#This Row],[Consideration Weight]]</f>
        <v>0.1</v>
      </c>
      <c r="O2169" t="s">
        <v>4</v>
      </c>
      <c r="P2169" s="1">
        <v>0.1</v>
      </c>
      <c r="Q2169" s="1" t="s">
        <v>1636</v>
      </c>
      <c r="R2169" t="s">
        <v>23</v>
      </c>
      <c r="S2169" t="s">
        <v>1083</v>
      </c>
      <c r="T2169" t="s">
        <v>7</v>
      </c>
      <c r="U2169" s="1">
        <v>0.5</v>
      </c>
    </row>
    <row r="2170" spans="1:22" x14ac:dyDescent="0.3">
      <c r="A2170" t="s">
        <v>1301</v>
      </c>
      <c r="B2170" t="str">
        <f ca="1">OFFSET(Industries!C$1,MATCH(Table1[[#This Row],[Ticker]],Industries!$A$2:$A$150,0),0)</f>
        <v>Health Care</v>
      </c>
      <c r="C2170" t="str">
        <f ca="1">OFFSET(Industries!D$1,MATCH(Table1[[#This Row],[Ticker]],Industries!$A$2:$A$150,0),0)</f>
        <v>Health Care Equipment and Services</v>
      </c>
      <c r="D2170" t="str">
        <f ca="1">OFFSET(Industries!E$1,MATCH(Table1[[#This Row],[Ticker]],Industries!$A$2:$A$150,0),0)</f>
        <v>Health Care Equipment and Supplies</v>
      </c>
      <c r="E2170" t="s">
        <v>127</v>
      </c>
      <c r="F2170" t="str">
        <f ca="1">OFFSET(Industries!B$1,MATCH(Table1[[#This Row],[Ticker]],Industries!$A$2:$A$140,0),0)</f>
        <v>Large-Cap</v>
      </c>
      <c r="H2170" t="s">
        <v>1434</v>
      </c>
      <c r="I2170" t="s">
        <v>1434</v>
      </c>
      <c r="J2170" s="2">
        <v>45404</v>
      </c>
      <c r="K2170" t="s">
        <v>21</v>
      </c>
      <c r="L2170" t="s">
        <v>1708</v>
      </c>
      <c r="M2170" t="s">
        <v>1709</v>
      </c>
      <c r="N2170" s="1"/>
      <c r="O2170" t="s">
        <v>4</v>
      </c>
      <c r="P2170" s="1">
        <v>0.1</v>
      </c>
      <c r="Q2170" s="1" t="s">
        <v>1636</v>
      </c>
      <c r="R2170" t="s">
        <v>24</v>
      </c>
      <c r="S2170" t="s">
        <v>509</v>
      </c>
      <c r="T2170" t="s">
        <v>38</v>
      </c>
      <c r="U2170" s="1">
        <v>0.3</v>
      </c>
    </row>
    <row r="2171" spans="1:22" x14ac:dyDescent="0.3">
      <c r="A2171" t="s">
        <v>1301</v>
      </c>
      <c r="B2171" t="str">
        <f ca="1">OFFSET(Industries!C$1,MATCH(Table1[[#This Row],[Ticker]],Industries!$A$2:$A$150,0),0)</f>
        <v>Health Care</v>
      </c>
      <c r="C2171" t="str">
        <f ca="1">OFFSET(Industries!D$1,MATCH(Table1[[#This Row],[Ticker]],Industries!$A$2:$A$150,0),0)</f>
        <v>Health Care Equipment and Services</v>
      </c>
      <c r="D2171" t="str">
        <f ca="1">OFFSET(Industries!E$1,MATCH(Table1[[#This Row],[Ticker]],Industries!$A$2:$A$150,0),0)</f>
        <v>Health Care Equipment and Supplies</v>
      </c>
      <c r="E2171" t="s">
        <v>127</v>
      </c>
      <c r="F2171" t="str">
        <f ca="1">OFFSET(Industries!B$1,MATCH(Table1[[#This Row],[Ticker]],Industries!$A$2:$A$140,0),0)</f>
        <v>Large-Cap</v>
      </c>
      <c r="H2171" t="s">
        <v>1434</v>
      </c>
      <c r="I2171" t="s">
        <v>1434</v>
      </c>
      <c r="J2171" s="2">
        <v>45404</v>
      </c>
      <c r="K2171" t="s">
        <v>21</v>
      </c>
      <c r="L2171" t="s">
        <v>1708</v>
      </c>
      <c r="M2171" t="s">
        <v>1709</v>
      </c>
      <c r="N2171" s="1"/>
      <c r="O2171" t="s">
        <v>4</v>
      </c>
      <c r="P2171" s="1">
        <v>0.1</v>
      </c>
      <c r="Q2171" s="1" t="s">
        <v>1637</v>
      </c>
      <c r="R2171" t="s">
        <v>332</v>
      </c>
      <c r="S2171" t="s">
        <v>380</v>
      </c>
      <c r="T2171" t="s">
        <v>380</v>
      </c>
      <c r="U2171" s="1">
        <v>0.2</v>
      </c>
    </row>
    <row r="2172" spans="1:22" x14ac:dyDescent="0.3">
      <c r="A2172" t="s">
        <v>1301</v>
      </c>
      <c r="B2172" t="str">
        <f ca="1">OFFSET(Industries!C$1,MATCH(Table1[[#This Row],[Ticker]],Industries!$A$2:$A$150,0),0)</f>
        <v>Health Care</v>
      </c>
      <c r="C2172" t="str">
        <f ca="1">OFFSET(Industries!D$1,MATCH(Table1[[#This Row],[Ticker]],Industries!$A$2:$A$150,0),0)</f>
        <v>Health Care Equipment and Services</v>
      </c>
      <c r="D2172" t="str">
        <f ca="1">OFFSET(Industries!E$1,MATCH(Table1[[#This Row],[Ticker]],Industries!$A$2:$A$150,0),0)</f>
        <v>Health Care Equipment and Supplies</v>
      </c>
      <c r="E2172" t="s">
        <v>127</v>
      </c>
      <c r="F2172" t="str">
        <f ca="1">OFFSET(Industries!B$1,MATCH(Table1[[#This Row],[Ticker]],Industries!$A$2:$A$140,0),0)</f>
        <v>Large-Cap</v>
      </c>
      <c r="H2172" t="s">
        <v>1434</v>
      </c>
      <c r="I2172" t="s">
        <v>1434</v>
      </c>
      <c r="J2172" s="2">
        <v>45404</v>
      </c>
      <c r="K2172" t="s">
        <v>21</v>
      </c>
      <c r="L2172" t="s">
        <v>1708</v>
      </c>
      <c r="M2172" t="s">
        <v>1709</v>
      </c>
      <c r="N2172" s="1"/>
      <c r="O2172" t="s">
        <v>4</v>
      </c>
      <c r="P2172" s="1">
        <v>0.1</v>
      </c>
      <c r="R2172" t="s">
        <v>28</v>
      </c>
      <c r="S2172" t="s">
        <v>1110</v>
      </c>
      <c r="T2172" t="s">
        <v>172</v>
      </c>
    </row>
    <row r="2173" spans="1:22" x14ac:dyDescent="0.3">
      <c r="A2173" t="s">
        <v>1301</v>
      </c>
      <c r="B2173" t="str">
        <f ca="1">OFFSET(Industries!C$1,MATCH(Table1[[#This Row],[Ticker]],Industries!$A$2:$A$150,0),0)</f>
        <v>Health Care</v>
      </c>
      <c r="C2173" t="str">
        <f ca="1">OFFSET(Industries!D$1,MATCH(Table1[[#This Row],[Ticker]],Industries!$A$2:$A$150,0),0)</f>
        <v>Health Care Equipment and Services</v>
      </c>
      <c r="D2173" t="str">
        <f ca="1">OFFSET(Industries!E$1,MATCH(Table1[[#This Row],[Ticker]],Industries!$A$2:$A$150,0),0)</f>
        <v>Health Care Equipment and Supplies</v>
      </c>
      <c r="E2173" t="s">
        <v>127</v>
      </c>
      <c r="F2173" t="str">
        <f ca="1">OFFSET(Industries!B$1,MATCH(Table1[[#This Row],[Ticker]],Industries!$A$2:$A$140,0),0)</f>
        <v>Large-Cap</v>
      </c>
      <c r="H2173" t="s">
        <v>1434</v>
      </c>
      <c r="I2173" t="s">
        <v>1434</v>
      </c>
      <c r="J2173" s="2">
        <v>45404</v>
      </c>
      <c r="K2173" t="s">
        <v>21</v>
      </c>
      <c r="L2173" t="s">
        <v>1710</v>
      </c>
      <c r="M2173" t="s">
        <v>1709</v>
      </c>
      <c r="N2173" s="1">
        <f>Table1[[#This Row],[Consideration Weight]]</f>
        <v>0.23</v>
      </c>
      <c r="O2173" t="s">
        <v>476</v>
      </c>
      <c r="P2173" s="1">
        <v>0.23</v>
      </c>
      <c r="Q2173" s="1" t="s">
        <v>1636</v>
      </c>
      <c r="R2173" t="s">
        <v>23</v>
      </c>
      <c r="S2173" t="s">
        <v>1083</v>
      </c>
      <c r="T2173" t="s">
        <v>7</v>
      </c>
      <c r="U2173" s="1">
        <v>1</v>
      </c>
    </row>
    <row r="2174" spans="1:22" x14ac:dyDescent="0.3">
      <c r="A2174" t="s">
        <v>1301</v>
      </c>
      <c r="B2174" t="str">
        <f ca="1">OFFSET(Industries!C$1,MATCH(Table1[[#This Row],[Ticker]],Industries!$A$2:$A$150,0),0)</f>
        <v>Health Care</v>
      </c>
      <c r="C2174" t="str">
        <f ca="1">OFFSET(Industries!D$1,MATCH(Table1[[#This Row],[Ticker]],Industries!$A$2:$A$150,0),0)</f>
        <v>Health Care Equipment and Services</v>
      </c>
      <c r="D2174" t="str">
        <f ca="1">OFFSET(Industries!E$1,MATCH(Table1[[#This Row],[Ticker]],Industries!$A$2:$A$150,0),0)</f>
        <v>Health Care Equipment and Supplies</v>
      </c>
      <c r="E2174" t="s">
        <v>127</v>
      </c>
      <c r="F2174" t="str">
        <f ca="1">OFFSET(Industries!B$1,MATCH(Table1[[#This Row],[Ticker]],Industries!$A$2:$A$140,0),0)</f>
        <v>Large-Cap</v>
      </c>
      <c r="H2174" t="s">
        <v>1434</v>
      </c>
      <c r="I2174" t="s">
        <v>1434</v>
      </c>
      <c r="J2174" s="2">
        <v>45404</v>
      </c>
      <c r="K2174" t="s">
        <v>21</v>
      </c>
      <c r="L2174" t="s">
        <v>1710</v>
      </c>
      <c r="M2174" t="s">
        <v>1709</v>
      </c>
      <c r="N2174" s="1"/>
      <c r="O2174" t="s">
        <v>476</v>
      </c>
      <c r="P2174" s="1">
        <v>0.23</v>
      </c>
      <c r="R2174" t="s">
        <v>28</v>
      </c>
      <c r="S2174" t="s">
        <v>1306</v>
      </c>
      <c r="T2174" t="s">
        <v>30</v>
      </c>
    </row>
    <row r="2175" spans="1:22" x14ac:dyDescent="0.3">
      <c r="A2175" t="s">
        <v>1301</v>
      </c>
      <c r="B2175" t="str">
        <f ca="1">OFFSET(Industries!C$1,MATCH(Table1[[#This Row],[Ticker]],Industries!$A$2:$A$150,0),0)</f>
        <v>Health Care</v>
      </c>
      <c r="C2175" t="str">
        <f ca="1">OFFSET(Industries!D$1,MATCH(Table1[[#This Row],[Ticker]],Industries!$A$2:$A$150,0),0)</f>
        <v>Health Care Equipment and Services</v>
      </c>
      <c r="D2175" t="str">
        <f ca="1">OFFSET(Industries!E$1,MATCH(Table1[[#This Row],[Ticker]],Industries!$A$2:$A$150,0),0)</f>
        <v>Health Care Equipment and Supplies</v>
      </c>
      <c r="E2175" t="s">
        <v>127</v>
      </c>
      <c r="F2175" t="str">
        <f ca="1">OFFSET(Industries!B$1,MATCH(Table1[[#This Row],[Ticker]],Industries!$A$2:$A$140,0),0)</f>
        <v>Large-Cap</v>
      </c>
      <c r="H2175" t="s">
        <v>1434</v>
      </c>
      <c r="I2175" t="s">
        <v>1434</v>
      </c>
      <c r="J2175" s="2">
        <v>45404</v>
      </c>
      <c r="K2175" t="s">
        <v>21</v>
      </c>
      <c r="L2175" t="s">
        <v>1710</v>
      </c>
      <c r="M2175" t="s">
        <v>1711</v>
      </c>
      <c r="N2175" s="1">
        <f>Table1[[#This Row],[Consideration Weight]]</f>
        <v>0.53</v>
      </c>
      <c r="O2175" t="s">
        <v>194</v>
      </c>
      <c r="P2175" s="1">
        <v>0.53</v>
      </c>
    </row>
    <row r="2176" spans="1:22" x14ac:dyDescent="0.3">
      <c r="A2176" t="s">
        <v>1308</v>
      </c>
      <c r="B2176" t="str">
        <f ca="1">OFFSET(Industries!C$1,MATCH(Table1[[#This Row],[Ticker]],Industries!$A$2:$A$150,0),0)</f>
        <v>Utilities</v>
      </c>
      <c r="C2176" t="str">
        <f ca="1">OFFSET(Industries!D$1,MATCH(Table1[[#This Row],[Ticker]],Industries!$A$2:$A$150,0),0)</f>
        <v>Utilities</v>
      </c>
      <c r="D2176" t="str">
        <f ca="1">OFFSET(Industries!E$1,MATCH(Table1[[#This Row],[Ticker]],Industries!$A$2:$A$150,0),0)</f>
        <v>Multi-Utilities</v>
      </c>
      <c r="E2176" t="s">
        <v>444</v>
      </c>
      <c r="F2176" t="str">
        <f ca="1">OFFSET(Industries!B$1,MATCH(Table1[[#This Row],[Ticker]],Industries!$A$2:$A$140,0),0)</f>
        <v>Large-Cap</v>
      </c>
      <c r="G2176" t="str">
        <f ca="1">OFFSET(Industries!F$1,MATCH(Table1[[#This Row],[Ticker]],Industries!$A$2:$A$140,0),0)</f>
        <v>BBB+</v>
      </c>
      <c r="H2176" t="s">
        <v>1434</v>
      </c>
      <c r="I2176" t="s">
        <v>1434</v>
      </c>
      <c r="J2176" s="2">
        <v>45358</v>
      </c>
      <c r="K2176" t="s">
        <v>2</v>
      </c>
      <c r="L2176" t="s">
        <v>3</v>
      </c>
      <c r="M2176" t="s">
        <v>1711</v>
      </c>
      <c r="N2176" s="1">
        <f>Table1[[#This Row],[Consideration Weight]]</f>
        <v>0.13</v>
      </c>
      <c r="O2176" t="s">
        <v>3</v>
      </c>
      <c r="P2176" s="1">
        <v>0.13</v>
      </c>
      <c r="V2176" t="s">
        <v>1311</v>
      </c>
    </row>
    <row r="2177" spans="1:22" x14ac:dyDescent="0.3">
      <c r="A2177" t="s">
        <v>1308</v>
      </c>
      <c r="B2177" t="str">
        <f ca="1">OFFSET(Industries!C$1,MATCH(Table1[[#This Row],[Ticker]],Industries!$A$2:$A$150,0),0)</f>
        <v>Utilities</v>
      </c>
      <c r="C2177" t="str">
        <f ca="1">OFFSET(Industries!D$1,MATCH(Table1[[#This Row],[Ticker]],Industries!$A$2:$A$150,0),0)</f>
        <v>Utilities</v>
      </c>
      <c r="D2177" t="str">
        <f ca="1">OFFSET(Industries!E$1,MATCH(Table1[[#This Row],[Ticker]],Industries!$A$2:$A$150,0),0)</f>
        <v>Multi-Utilities</v>
      </c>
      <c r="E2177" t="s">
        <v>444</v>
      </c>
      <c r="F2177" t="str">
        <f ca="1">OFFSET(Industries!B$1,MATCH(Table1[[#This Row],[Ticker]],Industries!$A$2:$A$140,0),0)</f>
        <v>Large-Cap</v>
      </c>
      <c r="G2177" t="str">
        <f ca="1">OFFSET(Industries!F$1,MATCH(Table1[[#This Row],[Ticker]],Industries!$A$2:$A$140,0),0)</f>
        <v>BBB+</v>
      </c>
      <c r="H2177" t="s">
        <v>1434</v>
      </c>
      <c r="I2177" t="s">
        <v>1434</v>
      </c>
      <c r="J2177" s="2">
        <v>45358</v>
      </c>
      <c r="K2177" t="s">
        <v>2</v>
      </c>
      <c r="L2177" t="s">
        <v>1708</v>
      </c>
      <c r="M2177" t="s">
        <v>1709</v>
      </c>
      <c r="N2177" s="1">
        <f>Table1[[#This Row],[Consideration Weight]]</f>
        <v>0.18</v>
      </c>
      <c r="O2177" t="s">
        <v>4</v>
      </c>
      <c r="P2177" s="1">
        <v>0.18</v>
      </c>
      <c r="Q2177" s="1" t="s">
        <v>1637</v>
      </c>
      <c r="R2177" t="s">
        <v>25</v>
      </c>
      <c r="S2177" t="s">
        <v>1086</v>
      </c>
      <c r="T2177" t="s">
        <v>1309</v>
      </c>
      <c r="U2177" s="1">
        <v>0.25</v>
      </c>
      <c r="V2177" t="s">
        <v>1312</v>
      </c>
    </row>
    <row r="2178" spans="1:22" x14ac:dyDescent="0.3">
      <c r="A2178" t="s">
        <v>1308</v>
      </c>
      <c r="B2178" t="str">
        <f ca="1">OFFSET(Industries!C$1,MATCH(Table1[[#This Row],[Ticker]],Industries!$A$2:$A$150,0),0)</f>
        <v>Utilities</v>
      </c>
      <c r="C2178" t="str">
        <f ca="1">OFFSET(Industries!D$1,MATCH(Table1[[#This Row],[Ticker]],Industries!$A$2:$A$150,0),0)</f>
        <v>Utilities</v>
      </c>
      <c r="D2178" t="str">
        <f ca="1">OFFSET(Industries!E$1,MATCH(Table1[[#This Row],[Ticker]],Industries!$A$2:$A$150,0),0)</f>
        <v>Multi-Utilities</v>
      </c>
      <c r="E2178" t="s">
        <v>444</v>
      </c>
      <c r="F2178" t="str">
        <f ca="1">OFFSET(Industries!B$1,MATCH(Table1[[#This Row],[Ticker]],Industries!$A$2:$A$140,0),0)</f>
        <v>Large-Cap</v>
      </c>
      <c r="G2178" t="str">
        <f ca="1">OFFSET(Industries!F$1,MATCH(Table1[[#This Row],[Ticker]],Industries!$A$2:$A$140,0),0)</f>
        <v>BBB+</v>
      </c>
      <c r="H2178" t="s">
        <v>1434</v>
      </c>
      <c r="I2178" t="s">
        <v>1434</v>
      </c>
      <c r="J2178" s="2">
        <v>45358</v>
      </c>
      <c r="K2178" t="s">
        <v>2</v>
      </c>
      <c r="L2178" t="s">
        <v>1708</v>
      </c>
      <c r="M2178" t="s">
        <v>1709</v>
      </c>
      <c r="N2178" s="1"/>
      <c r="O2178" t="s">
        <v>4</v>
      </c>
      <c r="P2178" s="1">
        <v>0.18</v>
      </c>
      <c r="Q2178" s="1" t="s">
        <v>1636</v>
      </c>
      <c r="R2178" t="s">
        <v>24</v>
      </c>
      <c r="S2178" t="s">
        <v>1089</v>
      </c>
      <c r="T2178" t="s">
        <v>50</v>
      </c>
      <c r="U2178" s="1">
        <v>0.2</v>
      </c>
    </row>
    <row r="2179" spans="1:22" x14ac:dyDescent="0.3">
      <c r="A2179" t="s">
        <v>1308</v>
      </c>
      <c r="B2179" t="str">
        <f ca="1">OFFSET(Industries!C$1,MATCH(Table1[[#This Row],[Ticker]],Industries!$A$2:$A$150,0),0)</f>
        <v>Utilities</v>
      </c>
      <c r="C2179" t="str">
        <f ca="1">OFFSET(Industries!D$1,MATCH(Table1[[#This Row],[Ticker]],Industries!$A$2:$A$150,0),0)</f>
        <v>Utilities</v>
      </c>
      <c r="D2179" t="str">
        <f ca="1">OFFSET(Industries!E$1,MATCH(Table1[[#This Row],[Ticker]],Industries!$A$2:$A$150,0),0)</f>
        <v>Multi-Utilities</v>
      </c>
      <c r="E2179" t="s">
        <v>444</v>
      </c>
      <c r="F2179" t="str">
        <f ca="1">OFFSET(Industries!B$1,MATCH(Table1[[#This Row],[Ticker]],Industries!$A$2:$A$140,0),0)</f>
        <v>Large-Cap</v>
      </c>
      <c r="G2179" t="str">
        <f ca="1">OFFSET(Industries!F$1,MATCH(Table1[[#This Row],[Ticker]],Industries!$A$2:$A$140,0),0)</f>
        <v>BBB+</v>
      </c>
      <c r="H2179" t="s">
        <v>1434</v>
      </c>
      <c r="I2179" t="s">
        <v>1434</v>
      </c>
      <c r="J2179" s="2">
        <v>45358</v>
      </c>
      <c r="K2179" t="s">
        <v>2</v>
      </c>
      <c r="L2179" t="s">
        <v>1708</v>
      </c>
      <c r="M2179" t="s">
        <v>1709</v>
      </c>
      <c r="N2179" s="1"/>
      <c r="O2179" t="s">
        <v>4</v>
      </c>
      <c r="P2179" s="1">
        <v>0.18</v>
      </c>
      <c r="Q2179" s="1" t="s">
        <v>1636</v>
      </c>
      <c r="R2179" t="s">
        <v>62</v>
      </c>
      <c r="S2179" t="s">
        <v>63</v>
      </c>
      <c r="T2179" t="s">
        <v>63</v>
      </c>
      <c r="U2179" s="1">
        <v>0.2</v>
      </c>
      <c r="V2179" t="s">
        <v>1313</v>
      </c>
    </row>
    <row r="2180" spans="1:22" x14ac:dyDescent="0.3">
      <c r="A2180" t="s">
        <v>1308</v>
      </c>
      <c r="B2180" t="str">
        <f ca="1">OFFSET(Industries!C$1,MATCH(Table1[[#This Row],[Ticker]],Industries!$A$2:$A$150,0),0)</f>
        <v>Utilities</v>
      </c>
      <c r="C2180" t="str">
        <f ca="1">OFFSET(Industries!D$1,MATCH(Table1[[#This Row],[Ticker]],Industries!$A$2:$A$150,0),0)</f>
        <v>Utilities</v>
      </c>
      <c r="D2180" t="str">
        <f ca="1">OFFSET(Industries!E$1,MATCH(Table1[[#This Row],[Ticker]],Industries!$A$2:$A$150,0),0)</f>
        <v>Multi-Utilities</v>
      </c>
      <c r="E2180" t="s">
        <v>444</v>
      </c>
      <c r="F2180" t="str">
        <f ca="1">OFFSET(Industries!B$1,MATCH(Table1[[#This Row],[Ticker]],Industries!$A$2:$A$140,0),0)</f>
        <v>Large-Cap</v>
      </c>
      <c r="G2180" t="str">
        <f ca="1">OFFSET(Industries!F$1,MATCH(Table1[[#This Row],[Ticker]],Industries!$A$2:$A$140,0),0)</f>
        <v>BBB+</v>
      </c>
      <c r="H2180" t="s">
        <v>1434</v>
      </c>
      <c r="I2180" t="s">
        <v>1434</v>
      </c>
      <c r="J2180" s="2">
        <v>45358</v>
      </c>
      <c r="K2180" t="s">
        <v>2</v>
      </c>
      <c r="L2180" t="s">
        <v>1708</v>
      </c>
      <c r="M2180" t="s">
        <v>1709</v>
      </c>
      <c r="N2180" s="1"/>
      <c r="O2180" t="s">
        <v>4</v>
      </c>
      <c r="P2180" s="1">
        <v>0.18</v>
      </c>
      <c r="Q2180" s="1" t="s">
        <v>1637</v>
      </c>
      <c r="R2180" t="s">
        <v>25</v>
      </c>
      <c r="S2180" t="s">
        <v>1130</v>
      </c>
      <c r="T2180" t="s">
        <v>1130</v>
      </c>
      <c r="U2180" s="1">
        <v>0.2</v>
      </c>
      <c r="V2180" t="s">
        <v>1314</v>
      </c>
    </row>
    <row r="2181" spans="1:22" x14ac:dyDescent="0.3">
      <c r="A2181" t="s">
        <v>1308</v>
      </c>
      <c r="B2181" t="str">
        <f ca="1">OFFSET(Industries!C$1,MATCH(Table1[[#This Row],[Ticker]],Industries!$A$2:$A$150,0),0)</f>
        <v>Utilities</v>
      </c>
      <c r="C2181" t="str">
        <f ca="1">OFFSET(Industries!D$1,MATCH(Table1[[#This Row],[Ticker]],Industries!$A$2:$A$150,0),0)</f>
        <v>Utilities</v>
      </c>
      <c r="D2181" t="str">
        <f ca="1">OFFSET(Industries!E$1,MATCH(Table1[[#This Row],[Ticker]],Industries!$A$2:$A$150,0),0)</f>
        <v>Multi-Utilities</v>
      </c>
      <c r="E2181" t="s">
        <v>444</v>
      </c>
      <c r="F2181" t="str">
        <f ca="1">OFFSET(Industries!B$1,MATCH(Table1[[#This Row],[Ticker]],Industries!$A$2:$A$140,0),0)</f>
        <v>Large-Cap</v>
      </c>
      <c r="G2181" t="str">
        <f ca="1">OFFSET(Industries!F$1,MATCH(Table1[[#This Row],[Ticker]],Industries!$A$2:$A$140,0),0)</f>
        <v>BBB+</v>
      </c>
      <c r="H2181" t="s">
        <v>1434</v>
      </c>
      <c r="I2181" t="s">
        <v>1434</v>
      </c>
      <c r="J2181" s="2">
        <v>45358</v>
      </c>
      <c r="K2181" t="s">
        <v>2</v>
      </c>
      <c r="L2181" t="s">
        <v>1708</v>
      </c>
      <c r="M2181" t="s">
        <v>1709</v>
      </c>
      <c r="N2181" s="1"/>
      <c r="O2181" t="s">
        <v>4</v>
      </c>
      <c r="P2181" s="1">
        <v>0.18</v>
      </c>
      <c r="Q2181" s="1" t="s">
        <v>1637</v>
      </c>
      <c r="R2181" t="s">
        <v>26</v>
      </c>
      <c r="S2181" t="s">
        <v>814</v>
      </c>
      <c r="T2181" t="s">
        <v>814</v>
      </c>
      <c r="U2181" s="1">
        <v>0.1</v>
      </c>
    </row>
    <row r="2182" spans="1:22" x14ac:dyDescent="0.3">
      <c r="A2182" t="s">
        <v>1308</v>
      </c>
      <c r="B2182" t="str">
        <f ca="1">OFFSET(Industries!C$1,MATCH(Table1[[#This Row],[Ticker]],Industries!$A$2:$A$150,0),0)</f>
        <v>Utilities</v>
      </c>
      <c r="C2182" t="str">
        <f ca="1">OFFSET(Industries!D$1,MATCH(Table1[[#This Row],[Ticker]],Industries!$A$2:$A$150,0),0)</f>
        <v>Utilities</v>
      </c>
      <c r="D2182" t="str">
        <f ca="1">OFFSET(Industries!E$1,MATCH(Table1[[#This Row],[Ticker]],Industries!$A$2:$A$150,0),0)</f>
        <v>Multi-Utilities</v>
      </c>
      <c r="E2182" t="s">
        <v>444</v>
      </c>
      <c r="F2182" t="str">
        <f ca="1">OFFSET(Industries!B$1,MATCH(Table1[[#This Row],[Ticker]],Industries!$A$2:$A$140,0),0)</f>
        <v>Large-Cap</v>
      </c>
      <c r="G2182" t="str">
        <f ca="1">OFFSET(Industries!F$1,MATCH(Table1[[#This Row],[Ticker]],Industries!$A$2:$A$140,0),0)</f>
        <v>BBB+</v>
      </c>
      <c r="H2182" t="s">
        <v>1434</v>
      </c>
      <c r="I2182" t="s">
        <v>1434</v>
      </c>
      <c r="J2182" s="2">
        <v>45358</v>
      </c>
      <c r="K2182" t="s">
        <v>2</v>
      </c>
      <c r="L2182" t="s">
        <v>1708</v>
      </c>
      <c r="M2182" t="s">
        <v>1709</v>
      </c>
      <c r="N2182" s="1"/>
      <c r="O2182" t="s">
        <v>4</v>
      </c>
      <c r="P2182" s="1">
        <v>0.18</v>
      </c>
      <c r="Q2182" s="1" t="s">
        <v>1637</v>
      </c>
      <c r="R2182" t="s">
        <v>26</v>
      </c>
      <c r="S2182" t="s">
        <v>26</v>
      </c>
      <c r="T2182" t="s">
        <v>315</v>
      </c>
      <c r="U2182" s="1">
        <v>0.05</v>
      </c>
      <c r="V2182" t="s">
        <v>1310</v>
      </c>
    </row>
    <row r="2183" spans="1:22" x14ac:dyDescent="0.3">
      <c r="A2183" t="s">
        <v>1308</v>
      </c>
      <c r="B2183" t="str">
        <f ca="1">OFFSET(Industries!C$1,MATCH(Table1[[#This Row],[Ticker]],Industries!$A$2:$A$150,0),0)</f>
        <v>Utilities</v>
      </c>
      <c r="C2183" t="str">
        <f ca="1">OFFSET(Industries!D$1,MATCH(Table1[[#This Row],[Ticker]],Industries!$A$2:$A$150,0),0)</f>
        <v>Utilities</v>
      </c>
      <c r="D2183" t="str">
        <f ca="1">OFFSET(Industries!E$1,MATCH(Table1[[#This Row],[Ticker]],Industries!$A$2:$A$150,0),0)</f>
        <v>Multi-Utilities</v>
      </c>
      <c r="E2183" t="s">
        <v>444</v>
      </c>
      <c r="F2183" t="str">
        <f ca="1">OFFSET(Industries!B$1,MATCH(Table1[[#This Row],[Ticker]],Industries!$A$2:$A$140,0),0)</f>
        <v>Large-Cap</v>
      </c>
      <c r="G2183" t="str">
        <f ca="1">OFFSET(Industries!F$1,MATCH(Table1[[#This Row],[Ticker]],Industries!$A$2:$A$140,0),0)</f>
        <v>BBB+</v>
      </c>
      <c r="H2183" t="s">
        <v>1434</v>
      </c>
      <c r="I2183" t="s">
        <v>1434</v>
      </c>
      <c r="J2183" s="2">
        <v>45358</v>
      </c>
      <c r="K2183" t="s">
        <v>2</v>
      </c>
      <c r="L2183" t="s">
        <v>1708</v>
      </c>
      <c r="M2183" t="s">
        <v>1709</v>
      </c>
      <c r="N2183" s="1"/>
      <c r="O2183" t="s">
        <v>4</v>
      </c>
      <c r="P2183" s="1">
        <v>0.18</v>
      </c>
      <c r="R2183" t="s">
        <v>28</v>
      </c>
      <c r="S2183" t="s">
        <v>1110</v>
      </c>
      <c r="T2183" t="s">
        <v>172</v>
      </c>
      <c r="V2183" t="s">
        <v>530</v>
      </c>
    </row>
    <row r="2184" spans="1:22" x14ac:dyDescent="0.3">
      <c r="A2184" t="s">
        <v>1308</v>
      </c>
      <c r="B2184" t="str">
        <f ca="1">OFFSET(Industries!C$1,MATCH(Table1[[#This Row],[Ticker]],Industries!$A$2:$A$150,0),0)</f>
        <v>Utilities</v>
      </c>
      <c r="C2184" t="str">
        <f ca="1">OFFSET(Industries!D$1,MATCH(Table1[[#This Row],[Ticker]],Industries!$A$2:$A$150,0),0)</f>
        <v>Utilities</v>
      </c>
      <c r="D2184" t="str">
        <f ca="1">OFFSET(Industries!E$1,MATCH(Table1[[#This Row],[Ticker]],Industries!$A$2:$A$150,0),0)</f>
        <v>Multi-Utilities</v>
      </c>
      <c r="E2184" t="s">
        <v>444</v>
      </c>
      <c r="F2184" t="str">
        <f ca="1">OFFSET(Industries!B$1,MATCH(Table1[[#This Row],[Ticker]],Industries!$A$2:$A$140,0),0)</f>
        <v>Large-Cap</v>
      </c>
      <c r="G2184" t="str">
        <f ca="1">OFFSET(Industries!F$1,MATCH(Table1[[#This Row],[Ticker]],Industries!$A$2:$A$140,0),0)</f>
        <v>BBB+</v>
      </c>
      <c r="H2184" t="s">
        <v>1434</v>
      </c>
      <c r="I2184" t="s">
        <v>1434</v>
      </c>
      <c r="J2184" s="2">
        <v>45358</v>
      </c>
      <c r="K2184" t="s">
        <v>2</v>
      </c>
      <c r="L2184" t="s">
        <v>1710</v>
      </c>
      <c r="M2184" t="s">
        <v>1709</v>
      </c>
      <c r="N2184" s="1">
        <f>Table1[[#This Row],[Consideration Weight]]</f>
        <v>0.48</v>
      </c>
      <c r="O2184" t="s">
        <v>476</v>
      </c>
      <c r="P2184" s="1">
        <v>0.48</v>
      </c>
      <c r="Q2184" s="1" t="s">
        <v>1646</v>
      </c>
      <c r="R2184" t="s">
        <v>35</v>
      </c>
      <c r="S2184" t="s">
        <v>29</v>
      </c>
      <c r="T2184" t="s">
        <v>30</v>
      </c>
      <c r="U2184" s="1">
        <v>0.8</v>
      </c>
    </row>
    <row r="2185" spans="1:22" x14ac:dyDescent="0.3">
      <c r="A2185" t="s">
        <v>1308</v>
      </c>
      <c r="B2185" t="str">
        <f ca="1">OFFSET(Industries!C$1,MATCH(Table1[[#This Row],[Ticker]],Industries!$A$2:$A$150,0),0)</f>
        <v>Utilities</v>
      </c>
      <c r="C2185" t="str">
        <f ca="1">OFFSET(Industries!D$1,MATCH(Table1[[#This Row],[Ticker]],Industries!$A$2:$A$150,0),0)</f>
        <v>Utilities</v>
      </c>
      <c r="D2185" t="str">
        <f ca="1">OFFSET(Industries!E$1,MATCH(Table1[[#This Row],[Ticker]],Industries!$A$2:$A$150,0),0)</f>
        <v>Multi-Utilities</v>
      </c>
      <c r="E2185" t="s">
        <v>444</v>
      </c>
      <c r="F2185" t="str">
        <f ca="1">OFFSET(Industries!B$1,MATCH(Table1[[#This Row],[Ticker]],Industries!$A$2:$A$140,0),0)</f>
        <v>Large-Cap</v>
      </c>
      <c r="G2185" t="str">
        <f ca="1">OFFSET(Industries!F$1,MATCH(Table1[[#This Row],[Ticker]],Industries!$A$2:$A$140,0),0)</f>
        <v>BBB+</v>
      </c>
      <c r="H2185" t="s">
        <v>1434</v>
      </c>
      <c r="I2185" t="s">
        <v>1434</v>
      </c>
      <c r="J2185" s="2">
        <v>45358</v>
      </c>
      <c r="K2185" t="s">
        <v>2</v>
      </c>
      <c r="L2185" t="s">
        <v>1710</v>
      </c>
      <c r="M2185" t="s">
        <v>1709</v>
      </c>
      <c r="N2185" s="1"/>
      <c r="O2185" t="s">
        <v>476</v>
      </c>
      <c r="P2185" s="1">
        <v>0.48</v>
      </c>
      <c r="Q2185" s="1" t="s">
        <v>1636</v>
      </c>
      <c r="R2185" t="s">
        <v>24</v>
      </c>
      <c r="S2185" t="s">
        <v>1089</v>
      </c>
      <c r="T2185" t="s">
        <v>86</v>
      </c>
      <c r="U2185" s="1">
        <v>0.2</v>
      </c>
    </row>
    <row r="2186" spans="1:22" x14ac:dyDescent="0.3">
      <c r="A2186" t="s">
        <v>1308</v>
      </c>
      <c r="B2186" t="str">
        <f ca="1">OFFSET(Industries!C$1,MATCH(Table1[[#This Row],[Ticker]],Industries!$A$2:$A$150,0),0)</f>
        <v>Utilities</v>
      </c>
      <c r="C2186" t="str">
        <f ca="1">OFFSET(Industries!D$1,MATCH(Table1[[#This Row],[Ticker]],Industries!$A$2:$A$150,0),0)</f>
        <v>Utilities</v>
      </c>
      <c r="D2186" t="str">
        <f ca="1">OFFSET(Industries!E$1,MATCH(Table1[[#This Row],[Ticker]],Industries!$A$2:$A$150,0),0)</f>
        <v>Multi-Utilities</v>
      </c>
      <c r="E2186" t="s">
        <v>444</v>
      </c>
      <c r="F2186" t="str">
        <f ca="1">OFFSET(Industries!B$1,MATCH(Table1[[#This Row],[Ticker]],Industries!$A$2:$A$140,0),0)</f>
        <v>Large-Cap</v>
      </c>
      <c r="G2186" t="str">
        <f ca="1">OFFSET(Industries!F$1,MATCH(Table1[[#This Row],[Ticker]],Industries!$A$2:$A$140,0),0)</f>
        <v>BBB+</v>
      </c>
      <c r="H2186" t="s">
        <v>1434</v>
      </c>
      <c r="I2186" t="s">
        <v>1434</v>
      </c>
      <c r="J2186" s="2">
        <v>45358</v>
      </c>
      <c r="K2186" t="s">
        <v>2</v>
      </c>
      <c r="L2186" t="s">
        <v>1710</v>
      </c>
      <c r="M2186" t="s">
        <v>1711</v>
      </c>
      <c r="N2186" s="1">
        <f>Table1[[#This Row],[Consideration Weight]]</f>
        <v>0.21</v>
      </c>
      <c r="O2186" t="s">
        <v>194</v>
      </c>
      <c r="P2186" s="1">
        <v>0.21</v>
      </c>
    </row>
    <row r="2187" spans="1:22" x14ac:dyDescent="0.3">
      <c r="A2187" t="s">
        <v>1308</v>
      </c>
      <c r="B2187" t="str">
        <f ca="1">OFFSET(Industries!C$1,MATCH(Table1[[#This Row],[Ticker]],Industries!$A$2:$A$150,0),0)</f>
        <v>Utilities</v>
      </c>
      <c r="C2187" t="str">
        <f ca="1">OFFSET(Industries!D$1,MATCH(Table1[[#This Row],[Ticker]],Industries!$A$2:$A$150,0),0)</f>
        <v>Utilities</v>
      </c>
      <c r="D2187" t="str">
        <f ca="1">OFFSET(Industries!E$1,MATCH(Table1[[#This Row],[Ticker]],Industries!$A$2:$A$150,0),0)</f>
        <v>Multi-Utilities</v>
      </c>
      <c r="E2187" t="s">
        <v>444</v>
      </c>
      <c r="F2187" t="str">
        <f ca="1">OFFSET(Industries!B$1,MATCH(Table1[[#This Row],[Ticker]],Industries!$A$2:$A$140,0),0)</f>
        <v>Large-Cap</v>
      </c>
      <c r="G2187" t="str">
        <f ca="1">OFFSET(Industries!F$1,MATCH(Table1[[#This Row],[Ticker]],Industries!$A$2:$A$140,0),0)</f>
        <v>BBB+</v>
      </c>
      <c r="H2187" t="s">
        <v>1434</v>
      </c>
      <c r="I2187" t="s">
        <v>1434</v>
      </c>
      <c r="J2187" s="2">
        <v>45358</v>
      </c>
      <c r="K2187" t="s">
        <v>21</v>
      </c>
      <c r="L2187" t="s">
        <v>3</v>
      </c>
      <c r="M2187" t="s">
        <v>1711</v>
      </c>
      <c r="N2187" s="1">
        <f>Table1[[#This Row],[Consideration Weight]]</f>
        <v>0.26</v>
      </c>
      <c r="O2187" t="s">
        <v>3</v>
      </c>
      <c r="P2187" s="1">
        <v>0.26</v>
      </c>
    </row>
    <row r="2188" spans="1:22" x14ac:dyDescent="0.3">
      <c r="A2188" t="s">
        <v>1308</v>
      </c>
      <c r="B2188" t="str">
        <f ca="1">OFFSET(Industries!C$1,MATCH(Table1[[#This Row],[Ticker]],Industries!$A$2:$A$150,0),0)</f>
        <v>Utilities</v>
      </c>
      <c r="C2188" t="str">
        <f ca="1">OFFSET(Industries!D$1,MATCH(Table1[[#This Row],[Ticker]],Industries!$A$2:$A$150,0),0)</f>
        <v>Utilities</v>
      </c>
      <c r="D2188" t="str">
        <f ca="1">OFFSET(Industries!E$1,MATCH(Table1[[#This Row],[Ticker]],Industries!$A$2:$A$150,0),0)</f>
        <v>Multi-Utilities</v>
      </c>
      <c r="E2188" t="s">
        <v>444</v>
      </c>
      <c r="F2188" t="str">
        <f ca="1">OFFSET(Industries!B$1,MATCH(Table1[[#This Row],[Ticker]],Industries!$A$2:$A$140,0),0)</f>
        <v>Large-Cap</v>
      </c>
      <c r="G2188" t="str">
        <f ca="1">OFFSET(Industries!F$1,MATCH(Table1[[#This Row],[Ticker]],Industries!$A$2:$A$140,0),0)</f>
        <v>BBB+</v>
      </c>
      <c r="H2188" t="s">
        <v>1434</v>
      </c>
      <c r="I2188" t="s">
        <v>1434</v>
      </c>
      <c r="J2188" s="2">
        <v>45358</v>
      </c>
      <c r="K2188" t="s">
        <v>21</v>
      </c>
      <c r="L2188" t="s">
        <v>1708</v>
      </c>
      <c r="M2188" t="s">
        <v>1709</v>
      </c>
      <c r="N2188" s="1">
        <f>Table1[[#This Row],[Consideration Weight]]</f>
        <v>0.2</v>
      </c>
      <c r="O2188" t="s">
        <v>4</v>
      </c>
      <c r="P2188" s="1">
        <v>0.2</v>
      </c>
      <c r="Q2188" s="1" t="s">
        <v>1637</v>
      </c>
      <c r="R2188" t="s">
        <v>25</v>
      </c>
      <c r="S2188" t="s">
        <v>1086</v>
      </c>
      <c r="T2188" t="s">
        <v>1309</v>
      </c>
      <c r="U2188" s="1">
        <v>0.19</v>
      </c>
    </row>
    <row r="2189" spans="1:22" x14ac:dyDescent="0.3">
      <c r="A2189" t="s">
        <v>1308</v>
      </c>
      <c r="B2189" t="str">
        <f ca="1">OFFSET(Industries!C$1,MATCH(Table1[[#This Row],[Ticker]],Industries!$A$2:$A$150,0),0)</f>
        <v>Utilities</v>
      </c>
      <c r="C2189" t="str">
        <f ca="1">OFFSET(Industries!D$1,MATCH(Table1[[#This Row],[Ticker]],Industries!$A$2:$A$150,0),0)</f>
        <v>Utilities</v>
      </c>
      <c r="D2189" t="str">
        <f ca="1">OFFSET(Industries!E$1,MATCH(Table1[[#This Row],[Ticker]],Industries!$A$2:$A$150,0),0)</f>
        <v>Multi-Utilities</v>
      </c>
      <c r="E2189" t="s">
        <v>444</v>
      </c>
      <c r="F2189" t="str">
        <f ca="1">OFFSET(Industries!B$1,MATCH(Table1[[#This Row],[Ticker]],Industries!$A$2:$A$140,0),0)</f>
        <v>Large-Cap</v>
      </c>
      <c r="G2189" t="str">
        <f ca="1">OFFSET(Industries!F$1,MATCH(Table1[[#This Row],[Ticker]],Industries!$A$2:$A$140,0),0)</f>
        <v>BBB+</v>
      </c>
      <c r="H2189" t="s">
        <v>1434</v>
      </c>
      <c r="I2189" t="s">
        <v>1434</v>
      </c>
      <c r="J2189" s="2">
        <v>45358</v>
      </c>
      <c r="K2189" t="s">
        <v>21</v>
      </c>
      <c r="L2189" t="s">
        <v>1708</v>
      </c>
      <c r="M2189" t="s">
        <v>1709</v>
      </c>
      <c r="N2189" s="1"/>
      <c r="O2189" t="s">
        <v>4</v>
      </c>
      <c r="P2189" s="1">
        <v>0.2</v>
      </c>
      <c r="Q2189" s="1" t="s">
        <v>1636</v>
      </c>
      <c r="R2189" t="s">
        <v>24</v>
      </c>
      <c r="S2189" t="s">
        <v>1089</v>
      </c>
      <c r="T2189" t="s">
        <v>50</v>
      </c>
      <c r="U2189" s="1">
        <v>0.18</v>
      </c>
    </row>
    <row r="2190" spans="1:22" x14ac:dyDescent="0.3">
      <c r="A2190" t="s">
        <v>1308</v>
      </c>
      <c r="B2190" t="str">
        <f ca="1">OFFSET(Industries!C$1,MATCH(Table1[[#This Row],[Ticker]],Industries!$A$2:$A$150,0),0)</f>
        <v>Utilities</v>
      </c>
      <c r="C2190" t="str">
        <f ca="1">OFFSET(Industries!D$1,MATCH(Table1[[#This Row],[Ticker]],Industries!$A$2:$A$150,0),0)</f>
        <v>Utilities</v>
      </c>
      <c r="D2190" t="str">
        <f ca="1">OFFSET(Industries!E$1,MATCH(Table1[[#This Row],[Ticker]],Industries!$A$2:$A$150,0),0)</f>
        <v>Multi-Utilities</v>
      </c>
      <c r="E2190" t="s">
        <v>444</v>
      </c>
      <c r="F2190" t="str">
        <f ca="1">OFFSET(Industries!B$1,MATCH(Table1[[#This Row],[Ticker]],Industries!$A$2:$A$140,0),0)</f>
        <v>Large-Cap</v>
      </c>
      <c r="G2190" t="str">
        <f ca="1">OFFSET(Industries!F$1,MATCH(Table1[[#This Row],[Ticker]],Industries!$A$2:$A$140,0),0)</f>
        <v>BBB+</v>
      </c>
      <c r="H2190" t="s">
        <v>1434</v>
      </c>
      <c r="I2190" t="s">
        <v>1434</v>
      </c>
      <c r="J2190" s="2">
        <v>45358</v>
      </c>
      <c r="K2190" t="s">
        <v>21</v>
      </c>
      <c r="L2190" t="s">
        <v>1708</v>
      </c>
      <c r="M2190" t="s">
        <v>1709</v>
      </c>
      <c r="N2190" s="1"/>
      <c r="O2190" t="s">
        <v>4</v>
      </c>
      <c r="P2190" s="1">
        <v>0.2</v>
      </c>
      <c r="Q2190" s="1" t="s">
        <v>1636</v>
      </c>
      <c r="R2190" t="s">
        <v>62</v>
      </c>
      <c r="S2190" t="s">
        <v>63</v>
      </c>
      <c r="T2190" t="s">
        <v>63</v>
      </c>
      <c r="U2190" s="1">
        <v>0.16</v>
      </c>
    </row>
    <row r="2191" spans="1:22" x14ac:dyDescent="0.3">
      <c r="A2191" t="s">
        <v>1308</v>
      </c>
      <c r="B2191" t="str">
        <f ca="1">OFFSET(Industries!C$1,MATCH(Table1[[#This Row],[Ticker]],Industries!$A$2:$A$150,0),0)</f>
        <v>Utilities</v>
      </c>
      <c r="C2191" t="str">
        <f ca="1">OFFSET(Industries!D$1,MATCH(Table1[[#This Row],[Ticker]],Industries!$A$2:$A$150,0),0)</f>
        <v>Utilities</v>
      </c>
      <c r="D2191" t="str">
        <f ca="1">OFFSET(Industries!E$1,MATCH(Table1[[#This Row],[Ticker]],Industries!$A$2:$A$150,0),0)</f>
        <v>Multi-Utilities</v>
      </c>
      <c r="E2191" t="s">
        <v>444</v>
      </c>
      <c r="F2191" t="str">
        <f ca="1">OFFSET(Industries!B$1,MATCH(Table1[[#This Row],[Ticker]],Industries!$A$2:$A$140,0),0)</f>
        <v>Large-Cap</v>
      </c>
      <c r="G2191" t="str">
        <f ca="1">OFFSET(Industries!F$1,MATCH(Table1[[#This Row],[Ticker]],Industries!$A$2:$A$140,0),0)</f>
        <v>BBB+</v>
      </c>
      <c r="H2191" t="s">
        <v>1434</v>
      </c>
      <c r="I2191" t="s">
        <v>1434</v>
      </c>
      <c r="J2191" s="2">
        <v>45358</v>
      </c>
      <c r="K2191" t="s">
        <v>21</v>
      </c>
      <c r="L2191" t="s">
        <v>1708</v>
      </c>
      <c r="M2191" t="s">
        <v>1709</v>
      </c>
      <c r="N2191" s="1"/>
      <c r="O2191" t="s">
        <v>4</v>
      </c>
      <c r="P2191" s="1">
        <v>0.2</v>
      </c>
      <c r="Q2191" s="1" t="s">
        <v>1637</v>
      </c>
      <c r="R2191" t="s">
        <v>25</v>
      </c>
      <c r="S2191" t="s">
        <v>1086</v>
      </c>
      <c r="T2191" t="s">
        <v>1130</v>
      </c>
      <c r="U2191" s="1">
        <v>0.15</v>
      </c>
    </row>
    <row r="2192" spans="1:22" x14ac:dyDescent="0.3">
      <c r="A2192" t="s">
        <v>1308</v>
      </c>
      <c r="B2192" t="str">
        <f ca="1">OFFSET(Industries!C$1,MATCH(Table1[[#This Row],[Ticker]],Industries!$A$2:$A$150,0),0)</f>
        <v>Utilities</v>
      </c>
      <c r="C2192" t="str">
        <f ca="1">OFFSET(Industries!D$1,MATCH(Table1[[#This Row],[Ticker]],Industries!$A$2:$A$150,0),0)</f>
        <v>Utilities</v>
      </c>
      <c r="D2192" t="str">
        <f ca="1">OFFSET(Industries!E$1,MATCH(Table1[[#This Row],[Ticker]],Industries!$A$2:$A$150,0),0)</f>
        <v>Multi-Utilities</v>
      </c>
      <c r="E2192" t="s">
        <v>444</v>
      </c>
      <c r="F2192" t="str">
        <f ca="1">OFFSET(Industries!B$1,MATCH(Table1[[#This Row],[Ticker]],Industries!$A$2:$A$140,0),0)</f>
        <v>Large-Cap</v>
      </c>
      <c r="G2192" t="str">
        <f ca="1">OFFSET(Industries!F$1,MATCH(Table1[[#This Row],[Ticker]],Industries!$A$2:$A$140,0),0)</f>
        <v>BBB+</v>
      </c>
      <c r="H2192" t="s">
        <v>1434</v>
      </c>
      <c r="I2192" t="s">
        <v>1434</v>
      </c>
      <c r="J2192" s="2">
        <v>45358</v>
      </c>
      <c r="K2192" t="s">
        <v>21</v>
      </c>
      <c r="L2192" t="s">
        <v>1708</v>
      </c>
      <c r="M2192" t="s">
        <v>1709</v>
      </c>
      <c r="N2192" s="1"/>
      <c r="O2192" t="s">
        <v>4</v>
      </c>
      <c r="P2192" s="1">
        <v>0.2</v>
      </c>
      <c r="Q2192" s="1" t="s">
        <v>1637</v>
      </c>
      <c r="R2192" t="s">
        <v>26</v>
      </c>
      <c r="S2192" t="s">
        <v>814</v>
      </c>
      <c r="T2192" t="s">
        <v>814</v>
      </c>
      <c r="U2192" s="1">
        <v>0.1</v>
      </c>
    </row>
    <row r="2193" spans="1:22" x14ac:dyDescent="0.3">
      <c r="A2193" t="s">
        <v>1308</v>
      </c>
      <c r="B2193" t="str">
        <f ca="1">OFFSET(Industries!C$1,MATCH(Table1[[#This Row],[Ticker]],Industries!$A$2:$A$150,0),0)</f>
        <v>Utilities</v>
      </c>
      <c r="C2193" t="str">
        <f ca="1">OFFSET(Industries!D$1,MATCH(Table1[[#This Row],[Ticker]],Industries!$A$2:$A$150,0),0)</f>
        <v>Utilities</v>
      </c>
      <c r="D2193" t="str">
        <f ca="1">OFFSET(Industries!E$1,MATCH(Table1[[#This Row],[Ticker]],Industries!$A$2:$A$150,0),0)</f>
        <v>Multi-Utilities</v>
      </c>
      <c r="E2193" t="s">
        <v>444</v>
      </c>
      <c r="F2193" t="str">
        <f ca="1">OFFSET(Industries!B$1,MATCH(Table1[[#This Row],[Ticker]],Industries!$A$2:$A$140,0),0)</f>
        <v>Large-Cap</v>
      </c>
      <c r="G2193" t="str">
        <f ca="1">OFFSET(Industries!F$1,MATCH(Table1[[#This Row],[Ticker]],Industries!$A$2:$A$140,0),0)</f>
        <v>BBB+</v>
      </c>
      <c r="H2193" t="s">
        <v>1434</v>
      </c>
      <c r="I2193" t="s">
        <v>1434</v>
      </c>
      <c r="J2193" s="2">
        <v>45358</v>
      </c>
      <c r="K2193" t="s">
        <v>21</v>
      </c>
      <c r="L2193" t="s">
        <v>1708</v>
      </c>
      <c r="M2193" t="s">
        <v>1709</v>
      </c>
      <c r="N2193" s="1"/>
      <c r="O2193" t="s">
        <v>4</v>
      </c>
      <c r="P2193" s="1">
        <v>0.2</v>
      </c>
      <c r="Q2193" s="1" t="s">
        <v>1637</v>
      </c>
      <c r="R2193" t="s">
        <v>26</v>
      </c>
      <c r="S2193" t="s">
        <v>26</v>
      </c>
      <c r="T2193" t="s">
        <v>315</v>
      </c>
      <c r="U2193" s="1">
        <v>0.05</v>
      </c>
      <c r="V2193" t="s">
        <v>1315</v>
      </c>
    </row>
    <row r="2194" spans="1:22" x14ac:dyDescent="0.3">
      <c r="A2194" t="s">
        <v>1308</v>
      </c>
      <c r="B2194" t="str">
        <f ca="1">OFFSET(Industries!C$1,MATCH(Table1[[#This Row],[Ticker]],Industries!$A$2:$A$150,0),0)</f>
        <v>Utilities</v>
      </c>
      <c r="C2194" t="str">
        <f ca="1">OFFSET(Industries!D$1,MATCH(Table1[[#This Row],[Ticker]],Industries!$A$2:$A$150,0),0)</f>
        <v>Utilities</v>
      </c>
      <c r="D2194" t="str">
        <f ca="1">OFFSET(Industries!E$1,MATCH(Table1[[#This Row],[Ticker]],Industries!$A$2:$A$150,0),0)</f>
        <v>Multi-Utilities</v>
      </c>
      <c r="E2194" t="s">
        <v>444</v>
      </c>
      <c r="F2194" t="str">
        <f ca="1">OFFSET(Industries!B$1,MATCH(Table1[[#This Row],[Ticker]],Industries!$A$2:$A$140,0),0)</f>
        <v>Large-Cap</v>
      </c>
      <c r="G2194" t="str">
        <f ca="1">OFFSET(Industries!F$1,MATCH(Table1[[#This Row],[Ticker]],Industries!$A$2:$A$140,0),0)</f>
        <v>BBB+</v>
      </c>
      <c r="H2194" t="s">
        <v>1434</v>
      </c>
      <c r="I2194" t="s">
        <v>1434</v>
      </c>
      <c r="J2194" s="2">
        <v>45358</v>
      </c>
      <c r="K2194" t="s">
        <v>21</v>
      </c>
      <c r="L2194" t="s">
        <v>1708</v>
      </c>
      <c r="M2194" t="s">
        <v>1709</v>
      </c>
      <c r="N2194" s="1"/>
      <c r="O2194" t="s">
        <v>4</v>
      </c>
      <c r="P2194" s="1">
        <v>0.2</v>
      </c>
      <c r="Q2194" s="1" t="s">
        <v>1636</v>
      </c>
      <c r="R2194" t="s">
        <v>24</v>
      </c>
      <c r="S2194" t="s">
        <v>90</v>
      </c>
      <c r="T2194" t="s">
        <v>8</v>
      </c>
      <c r="U2194" s="1">
        <v>0.09</v>
      </c>
      <c r="V2194" t="s">
        <v>1316</v>
      </c>
    </row>
    <row r="2195" spans="1:22" x14ac:dyDescent="0.3">
      <c r="A2195" t="s">
        <v>1308</v>
      </c>
      <c r="B2195" t="str">
        <f ca="1">OFFSET(Industries!C$1,MATCH(Table1[[#This Row],[Ticker]],Industries!$A$2:$A$150,0),0)</f>
        <v>Utilities</v>
      </c>
      <c r="C2195" t="str">
        <f ca="1">OFFSET(Industries!D$1,MATCH(Table1[[#This Row],[Ticker]],Industries!$A$2:$A$150,0),0)</f>
        <v>Utilities</v>
      </c>
      <c r="D2195" t="str">
        <f ca="1">OFFSET(Industries!E$1,MATCH(Table1[[#This Row],[Ticker]],Industries!$A$2:$A$150,0),0)</f>
        <v>Multi-Utilities</v>
      </c>
      <c r="E2195" t="s">
        <v>444</v>
      </c>
      <c r="F2195" t="str">
        <f ca="1">OFFSET(Industries!B$1,MATCH(Table1[[#This Row],[Ticker]],Industries!$A$2:$A$140,0),0)</f>
        <v>Large-Cap</v>
      </c>
      <c r="G2195" t="str">
        <f ca="1">OFFSET(Industries!F$1,MATCH(Table1[[#This Row],[Ticker]],Industries!$A$2:$A$140,0),0)</f>
        <v>BBB+</v>
      </c>
      <c r="H2195" t="s">
        <v>1434</v>
      </c>
      <c r="I2195" t="s">
        <v>1434</v>
      </c>
      <c r="J2195" s="2">
        <v>45358</v>
      </c>
      <c r="K2195" t="s">
        <v>21</v>
      </c>
      <c r="L2195" t="s">
        <v>1708</v>
      </c>
      <c r="M2195" t="s">
        <v>1709</v>
      </c>
      <c r="N2195" s="1"/>
      <c r="O2195" t="s">
        <v>4</v>
      </c>
      <c r="P2195" s="1">
        <v>0.2</v>
      </c>
      <c r="Q2195" s="1" t="s">
        <v>1636</v>
      </c>
      <c r="R2195" t="s">
        <v>25</v>
      </c>
      <c r="S2195" t="s">
        <v>1086</v>
      </c>
      <c r="T2195" t="s">
        <v>175</v>
      </c>
      <c r="U2195" s="1">
        <v>0.09</v>
      </c>
    </row>
    <row r="2196" spans="1:22" x14ac:dyDescent="0.3">
      <c r="A2196" t="s">
        <v>1308</v>
      </c>
      <c r="B2196" t="str">
        <f ca="1">OFFSET(Industries!C$1,MATCH(Table1[[#This Row],[Ticker]],Industries!$A$2:$A$150,0),0)</f>
        <v>Utilities</v>
      </c>
      <c r="C2196" t="str">
        <f ca="1">OFFSET(Industries!D$1,MATCH(Table1[[#This Row],[Ticker]],Industries!$A$2:$A$150,0),0)</f>
        <v>Utilities</v>
      </c>
      <c r="D2196" t="str">
        <f ca="1">OFFSET(Industries!E$1,MATCH(Table1[[#This Row],[Ticker]],Industries!$A$2:$A$150,0),0)</f>
        <v>Multi-Utilities</v>
      </c>
      <c r="E2196" t="s">
        <v>444</v>
      </c>
      <c r="F2196" t="str">
        <f ca="1">OFFSET(Industries!B$1,MATCH(Table1[[#This Row],[Ticker]],Industries!$A$2:$A$140,0),0)</f>
        <v>Large-Cap</v>
      </c>
      <c r="G2196" t="str">
        <f ca="1">OFFSET(Industries!F$1,MATCH(Table1[[#This Row],[Ticker]],Industries!$A$2:$A$140,0),0)</f>
        <v>BBB+</v>
      </c>
      <c r="H2196" t="s">
        <v>1434</v>
      </c>
      <c r="I2196" t="s">
        <v>1434</v>
      </c>
      <c r="J2196" s="2">
        <v>45358</v>
      </c>
      <c r="K2196" t="s">
        <v>21</v>
      </c>
      <c r="L2196" t="s">
        <v>1708</v>
      </c>
      <c r="M2196" t="s">
        <v>1709</v>
      </c>
      <c r="N2196" s="1"/>
      <c r="O2196" t="s">
        <v>4</v>
      </c>
      <c r="P2196" s="1">
        <v>0.2</v>
      </c>
      <c r="Q2196" s="1" t="s">
        <v>1636</v>
      </c>
      <c r="R2196" t="s">
        <v>28</v>
      </c>
      <c r="S2196" t="s">
        <v>1110</v>
      </c>
      <c r="T2196" t="s">
        <v>172</v>
      </c>
    </row>
    <row r="2197" spans="1:22" x14ac:dyDescent="0.3">
      <c r="A2197" t="s">
        <v>1308</v>
      </c>
      <c r="B2197" t="str">
        <f ca="1">OFFSET(Industries!C$1,MATCH(Table1[[#This Row],[Ticker]],Industries!$A$2:$A$150,0),0)</f>
        <v>Utilities</v>
      </c>
      <c r="C2197" t="str">
        <f ca="1">OFFSET(Industries!D$1,MATCH(Table1[[#This Row],[Ticker]],Industries!$A$2:$A$150,0),0)</f>
        <v>Utilities</v>
      </c>
      <c r="D2197" t="str">
        <f ca="1">OFFSET(Industries!E$1,MATCH(Table1[[#This Row],[Ticker]],Industries!$A$2:$A$150,0),0)</f>
        <v>Multi-Utilities</v>
      </c>
      <c r="E2197" t="s">
        <v>444</v>
      </c>
      <c r="F2197" t="str">
        <f ca="1">OFFSET(Industries!B$1,MATCH(Table1[[#This Row],[Ticker]],Industries!$A$2:$A$140,0),0)</f>
        <v>Large-Cap</v>
      </c>
      <c r="G2197" t="str">
        <f ca="1">OFFSET(Industries!F$1,MATCH(Table1[[#This Row],[Ticker]],Industries!$A$2:$A$140,0),0)</f>
        <v>BBB+</v>
      </c>
      <c r="H2197" t="s">
        <v>1434</v>
      </c>
      <c r="I2197" t="s">
        <v>1434</v>
      </c>
      <c r="J2197" s="2">
        <v>45358</v>
      </c>
      <c r="K2197" t="s">
        <v>21</v>
      </c>
      <c r="L2197" t="s">
        <v>1710</v>
      </c>
      <c r="M2197" t="s">
        <v>1709</v>
      </c>
      <c r="N2197" s="1">
        <f>Table1[[#This Row],[Consideration Weight]]</f>
        <v>0.38</v>
      </c>
      <c r="O2197" t="s">
        <v>476</v>
      </c>
      <c r="P2197" s="1">
        <v>0.38</v>
      </c>
      <c r="Q2197" s="1" t="s">
        <v>1646</v>
      </c>
      <c r="R2197" t="s">
        <v>35</v>
      </c>
      <c r="S2197" t="s">
        <v>29</v>
      </c>
      <c r="T2197" t="s">
        <v>30</v>
      </c>
      <c r="U2197" s="1">
        <v>0.7</v>
      </c>
    </row>
    <row r="2198" spans="1:22" x14ac:dyDescent="0.3">
      <c r="A2198" t="s">
        <v>1308</v>
      </c>
      <c r="B2198" t="str">
        <f ca="1">OFFSET(Industries!C$1,MATCH(Table1[[#This Row],[Ticker]],Industries!$A$2:$A$150,0),0)</f>
        <v>Utilities</v>
      </c>
      <c r="C2198" t="str">
        <f ca="1">OFFSET(Industries!D$1,MATCH(Table1[[#This Row],[Ticker]],Industries!$A$2:$A$150,0),0)</f>
        <v>Utilities</v>
      </c>
      <c r="D2198" t="str">
        <f ca="1">OFFSET(Industries!E$1,MATCH(Table1[[#This Row],[Ticker]],Industries!$A$2:$A$150,0),0)</f>
        <v>Multi-Utilities</v>
      </c>
      <c r="E2198" t="s">
        <v>444</v>
      </c>
      <c r="F2198" t="str">
        <f ca="1">OFFSET(Industries!B$1,MATCH(Table1[[#This Row],[Ticker]],Industries!$A$2:$A$140,0),0)</f>
        <v>Large-Cap</v>
      </c>
      <c r="G2198" t="str">
        <f ca="1">OFFSET(Industries!F$1,MATCH(Table1[[#This Row],[Ticker]],Industries!$A$2:$A$140,0),0)</f>
        <v>BBB+</v>
      </c>
      <c r="H2198" t="s">
        <v>1434</v>
      </c>
      <c r="I2198" t="s">
        <v>1434</v>
      </c>
      <c r="J2198" s="2">
        <v>45358</v>
      </c>
      <c r="K2198" t="s">
        <v>21</v>
      </c>
      <c r="L2198" t="s">
        <v>1710</v>
      </c>
      <c r="M2198" t="s">
        <v>1709</v>
      </c>
      <c r="N2198" s="1"/>
      <c r="O2198" t="s">
        <v>476</v>
      </c>
      <c r="P2198" s="1">
        <v>0.38</v>
      </c>
      <c r="Q2198" s="1" t="s">
        <v>1636</v>
      </c>
      <c r="R2198" t="s">
        <v>24</v>
      </c>
      <c r="S2198" t="s">
        <v>1089</v>
      </c>
      <c r="T2198" t="s">
        <v>86</v>
      </c>
      <c r="U2198" s="1">
        <v>0.18</v>
      </c>
      <c r="V2198" t="s">
        <v>1318</v>
      </c>
    </row>
    <row r="2199" spans="1:22" x14ac:dyDescent="0.3">
      <c r="A2199" t="s">
        <v>1308</v>
      </c>
      <c r="B2199" t="str">
        <f ca="1">OFFSET(Industries!C$1,MATCH(Table1[[#This Row],[Ticker]],Industries!$A$2:$A$150,0),0)</f>
        <v>Utilities</v>
      </c>
      <c r="C2199" t="str">
        <f ca="1">OFFSET(Industries!D$1,MATCH(Table1[[#This Row],[Ticker]],Industries!$A$2:$A$150,0),0)</f>
        <v>Utilities</v>
      </c>
      <c r="D2199" t="str">
        <f ca="1">OFFSET(Industries!E$1,MATCH(Table1[[#This Row],[Ticker]],Industries!$A$2:$A$150,0),0)</f>
        <v>Multi-Utilities</v>
      </c>
      <c r="E2199" t="s">
        <v>444</v>
      </c>
      <c r="F2199" t="str">
        <f ca="1">OFFSET(Industries!B$1,MATCH(Table1[[#This Row],[Ticker]],Industries!$A$2:$A$140,0),0)</f>
        <v>Large-Cap</v>
      </c>
      <c r="G2199" t="str">
        <f ca="1">OFFSET(Industries!F$1,MATCH(Table1[[#This Row],[Ticker]],Industries!$A$2:$A$140,0),0)</f>
        <v>BBB+</v>
      </c>
      <c r="H2199" t="s">
        <v>1434</v>
      </c>
      <c r="I2199" t="s">
        <v>1434</v>
      </c>
      <c r="J2199" s="2">
        <v>45358</v>
      </c>
      <c r="K2199" t="s">
        <v>21</v>
      </c>
      <c r="L2199" t="s">
        <v>1710</v>
      </c>
      <c r="M2199" t="s">
        <v>1709</v>
      </c>
      <c r="N2199" s="1"/>
      <c r="O2199" t="s">
        <v>476</v>
      </c>
      <c r="P2199" s="1">
        <v>0.38</v>
      </c>
      <c r="Q2199" s="1" t="s">
        <v>1636</v>
      </c>
      <c r="R2199" t="s">
        <v>25</v>
      </c>
      <c r="S2199" t="s">
        <v>1086</v>
      </c>
      <c r="T2199" t="s">
        <v>1317</v>
      </c>
      <c r="U2199" s="1">
        <v>0.13</v>
      </c>
    </row>
    <row r="2200" spans="1:22" x14ac:dyDescent="0.3">
      <c r="A2200" t="s">
        <v>1308</v>
      </c>
      <c r="B2200" t="str">
        <f ca="1">OFFSET(Industries!C$1,MATCH(Table1[[#This Row],[Ticker]],Industries!$A$2:$A$150,0),0)</f>
        <v>Utilities</v>
      </c>
      <c r="C2200" t="str">
        <f ca="1">OFFSET(Industries!D$1,MATCH(Table1[[#This Row],[Ticker]],Industries!$A$2:$A$150,0),0)</f>
        <v>Utilities</v>
      </c>
      <c r="D2200" t="str">
        <f ca="1">OFFSET(Industries!E$1,MATCH(Table1[[#This Row],[Ticker]],Industries!$A$2:$A$150,0),0)</f>
        <v>Multi-Utilities</v>
      </c>
      <c r="E2200" t="s">
        <v>444</v>
      </c>
      <c r="F2200" t="str">
        <f ca="1">OFFSET(Industries!B$1,MATCH(Table1[[#This Row],[Ticker]],Industries!$A$2:$A$140,0),0)</f>
        <v>Large-Cap</v>
      </c>
      <c r="G2200" t="str">
        <f ca="1">OFFSET(Industries!F$1,MATCH(Table1[[#This Row],[Ticker]],Industries!$A$2:$A$140,0),0)</f>
        <v>BBB+</v>
      </c>
      <c r="H2200" t="s">
        <v>1434</v>
      </c>
      <c r="I2200" t="s">
        <v>1434</v>
      </c>
      <c r="J2200" s="2">
        <v>45358</v>
      </c>
      <c r="K2200" t="s">
        <v>21</v>
      </c>
      <c r="L2200" t="s">
        <v>1710</v>
      </c>
      <c r="M2200" t="s">
        <v>1711</v>
      </c>
      <c r="N2200" s="1">
        <f>Table1[[#This Row],[Consideration Weight]]</f>
        <v>0.16</v>
      </c>
      <c r="O2200" t="s">
        <v>194</v>
      </c>
      <c r="P2200" s="1">
        <v>0.16</v>
      </c>
    </row>
    <row r="2201" spans="1:22" x14ac:dyDescent="0.3">
      <c r="A2201" t="s">
        <v>1319</v>
      </c>
      <c r="B2201" t="str">
        <f ca="1">OFFSET(Industries!C$1,MATCH(Table1[[#This Row],[Ticker]],Industries!$A$2:$A$150,0),0)</f>
        <v>Information Technology</v>
      </c>
      <c r="C2201" t="str">
        <f ca="1">OFFSET(Industries!D$1,MATCH(Table1[[#This Row],[Ticker]],Industries!$A$2:$A$150,0),0)</f>
        <v>Software and Services</v>
      </c>
      <c r="D2201" t="str">
        <f ca="1">OFFSET(Industries!E$1,MATCH(Table1[[#This Row],[Ticker]],Industries!$A$2:$A$150,0),0)</f>
        <v>IT Services</v>
      </c>
      <c r="E2201" t="s">
        <v>927</v>
      </c>
      <c r="F2201" t="str">
        <f ca="1">OFFSET(Industries!B$1,MATCH(Table1[[#This Row],[Ticker]],Industries!$A$2:$A$140,0),0)</f>
        <v>Large-Cap</v>
      </c>
      <c r="H2201" t="s">
        <v>1434</v>
      </c>
      <c r="I2201" t="s">
        <v>1434</v>
      </c>
      <c r="J2201" s="2">
        <v>45401</v>
      </c>
      <c r="K2201" t="s">
        <v>2</v>
      </c>
      <c r="L2201" t="s">
        <v>3</v>
      </c>
      <c r="M2201" t="s">
        <v>1711</v>
      </c>
      <c r="N2201" s="1">
        <f>Table1[[#This Row],[Consideration Weight]]</f>
        <v>0.04</v>
      </c>
      <c r="O2201" t="s">
        <v>3</v>
      </c>
      <c r="P2201" s="1">
        <v>0.04</v>
      </c>
    </row>
    <row r="2202" spans="1:22" x14ac:dyDescent="0.3">
      <c r="A2202" t="s">
        <v>1319</v>
      </c>
      <c r="B2202" t="str">
        <f ca="1">OFFSET(Industries!C$1,MATCH(Table1[[#This Row],[Ticker]],Industries!$A$2:$A$150,0),0)</f>
        <v>Information Technology</v>
      </c>
      <c r="C2202" t="str">
        <f ca="1">OFFSET(Industries!D$1,MATCH(Table1[[#This Row],[Ticker]],Industries!$A$2:$A$150,0),0)</f>
        <v>Software and Services</v>
      </c>
      <c r="D2202" t="str">
        <f ca="1">OFFSET(Industries!E$1,MATCH(Table1[[#This Row],[Ticker]],Industries!$A$2:$A$150,0),0)</f>
        <v>IT Services</v>
      </c>
      <c r="E2202" t="s">
        <v>927</v>
      </c>
      <c r="F2202" t="str">
        <f ca="1">OFFSET(Industries!B$1,MATCH(Table1[[#This Row],[Ticker]],Industries!$A$2:$A$140,0),0)</f>
        <v>Large-Cap</v>
      </c>
      <c r="H2202" t="s">
        <v>1434</v>
      </c>
      <c r="I2202" t="s">
        <v>1434</v>
      </c>
      <c r="J2202" s="2">
        <v>45401</v>
      </c>
      <c r="K2202" t="s">
        <v>2</v>
      </c>
      <c r="L2202" t="s">
        <v>1710</v>
      </c>
      <c r="M2202" t="s">
        <v>1711</v>
      </c>
      <c r="N2202" s="1">
        <f>Table1[[#This Row],[Consideration Weight]]</f>
        <v>0.96</v>
      </c>
      <c r="O2202" t="s">
        <v>194</v>
      </c>
      <c r="P2202" s="1">
        <v>0.96</v>
      </c>
      <c r="V2202" t="s">
        <v>1320</v>
      </c>
    </row>
    <row r="2203" spans="1:22" x14ac:dyDescent="0.3">
      <c r="A2203" t="s">
        <v>1319</v>
      </c>
      <c r="B2203" t="str">
        <f ca="1">OFFSET(Industries!C$1,MATCH(Table1[[#This Row],[Ticker]],Industries!$A$2:$A$150,0),0)</f>
        <v>Information Technology</v>
      </c>
      <c r="C2203" t="str">
        <f ca="1">OFFSET(Industries!D$1,MATCH(Table1[[#This Row],[Ticker]],Industries!$A$2:$A$150,0),0)</f>
        <v>Software and Services</v>
      </c>
      <c r="D2203" t="str">
        <f ca="1">OFFSET(Industries!E$1,MATCH(Table1[[#This Row],[Ticker]],Industries!$A$2:$A$150,0),0)</f>
        <v>IT Services</v>
      </c>
      <c r="E2203" t="s">
        <v>927</v>
      </c>
      <c r="F2203" t="str">
        <f ca="1">OFFSET(Industries!B$1,MATCH(Table1[[#This Row],[Ticker]],Industries!$A$2:$A$140,0),0)</f>
        <v>Large-Cap</v>
      </c>
      <c r="H2203" t="s">
        <v>1434</v>
      </c>
      <c r="I2203" t="s">
        <v>1434</v>
      </c>
      <c r="J2203" s="2">
        <v>45401</v>
      </c>
      <c r="K2203" t="s">
        <v>2</v>
      </c>
      <c r="L2203" t="s">
        <v>1716</v>
      </c>
      <c r="M2203" t="s">
        <v>1709</v>
      </c>
      <c r="N2203" s="1"/>
      <c r="O2203" t="s">
        <v>462</v>
      </c>
      <c r="Q2203" s="1" t="s">
        <v>1646</v>
      </c>
      <c r="R2203" t="s">
        <v>35</v>
      </c>
      <c r="S2203" t="s">
        <v>491</v>
      </c>
      <c r="T2203" t="s">
        <v>491</v>
      </c>
      <c r="V2203" t="s">
        <v>1321</v>
      </c>
    </row>
    <row r="2204" spans="1:22" x14ac:dyDescent="0.3">
      <c r="A2204" t="s">
        <v>1319</v>
      </c>
      <c r="B2204" t="str">
        <f ca="1">OFFSET(Industries!C$1,MATCH(Table1[[#This Row],[Ticker]],Industries!$A$2:$A$150,0),0)</f>
        <v>Information Technology</v>
      </c>
      <c r="C2204" t="str">
        <f ca="1">OFFSET(Industries!D$1,MATCH(Table1[[#This Row],[Ticker]],Industries!$A$2:$A$150,0),0)</f>
        <v>Software and Services</v>
      </c>
      <c r="D2204" t="str">
        <f ca="1">OFFSET(Industries!E$1,MATCH(Table1[[#This Row],[Ticker]],Industries!$A$2:$A$150,0),0)</f>
        <v>IT Services</v>
      </c>
      <c r="E2204" t="s">
        <v>927</v>
      </c>
      <c r="F2204" t="str">
        <f ca="1">OFFSET(Industries!B$1,MATCH(Table1[[#This Row],[Ticker]],Industries!$A$2:$A$140,0),0)</f>
        <v>Large-Cap</v>
      </c>
      <c r="H2204" t="s">
        <v>1434</v>
      </c>
      <c r="I2204" t="s">
        <v>1434</v>
      </c>
      <c r="J2204" s="2">
        <v>45401</v>
      </c>
      <c r="K2204" t="s">
        <v>21</v>
      </c>
      <c r="L2204" t="s">
        <v>3</v>
      </c>
      <c r="M2204" t="s">
        <v>1711</v>
      </c>
      <c r="N2204" s="1">
        <v>0.13</v>
      </c>
      <c r="O2204" t="s">
        <v>3</v>
      </c>
      <c r="P2204" s="1">
        <v>0.08</v>
      </c>
      <c r="V2204" t="s">
        <v>1742</v>
      </c>
    </row>
    <row r="2205" spans="1:22" x14ac:dyDescent="0.3">
      <c r="A2205" t="s">
        <v>1319</v>
      </c>
      <c r="B2205" t="str">
        <f ca="1">OFFSET(Industries!C$1,MATCH(Table1[[#This Row],[Ticker]],Industries!$A$2:$A$150,0),0)</f>
        <v>Information Technology</v>
      </c>
      <c r="C2205" t="str">
        <f ca="1">OFFSET(Industries!D$1,MATCH(Table1[[#This Row],[Ticker]],Industries!$A$2:$A$150,0),0)</f>
        <v>Software and Services</v>
      </c>
      <c r="D2205" t="str">
        <f ca="1">OFFSET(Industries!E$1,MATCH(Table1[[#This Row],[Ticker]],Industries!$A$2:$A$150,0),0)</f>
        <v>IT Services</v>
      </c>
      <c r="E2205" t="s">
        <v>927</v>
      </c>
      <c r="F2205" t="str">
        <f ca="1">OFFSET(Industries!B$1,MATCH(Table1[[#This Row],[Ticker]],Industries!$A$2:$A$140,0),0)</f>
        <v>Large-Cap</v>
      </c>
      <c r="H2205" t="s">
        <v>1434</v>
      </c>
      <c r="I2205" t="s">
        <v>1434</v>
      </c>
      <c r="J2205" s="2">
        <v>45401</v>
      </c>
      <c r="K2205" t="s">
        <v>21</v>
      </c>
      <c r="L2205" t="s">
        <v>1710</v>
      </c>
      <c r="M2205" t="s">
        <v>1711</v>
      </c>
      <c r="N2205" s="1">
        <v>0.87</v>
      </c>
      <c r="O2205" t="s">
        <v>194</v>
      </c>
      <c r="P2205" s="1">
        <v>0.92</v>
      </c>
      <c r="V2205" t="s">
        <v>1322</v>
      </c>
    </row>
    <row r="2206" spans="1:22" x14ac:dyDescent="0.3">
      <c r="A2206" t="s">
        <v>1319</v>
      </c>
      <c r="B2206" t="str">
        <f ca="1">OFFSET(Industries!C$1,MATCH(Table1[[#This Row],[Ticker]],Industries!$A$2:$A$150,0),0)</f>
        <v>Information Technology</v>
      </c>
      <c r="C2206" t="str">
        <f ca="1">OFFSET(Industries!D$1,MATCH(Table1[[#This Row],[Ticker]],Industries!$A$2:$A$150,0),0)</f>
        <v>Software and Services</v>
      </c>
      <c r="D2206" t="str">
        <f ca="1">OFFSET(Industries!E$1,MATCH(Table1[[#This Row],[Ticker]],Industries!$A$2:$A$150,0),0)</f>
        <v>IT Services</v>
      </c>
      <c r="E2206" t="s">
        <v>927</v>
      </c>
      <c r="F2206" t="str">
        <f ca="1">OFFSET(Industries!B$1,MATCH(Table1[[#This Row],[Ticker]],Industries!$A$2:$A$140,0),0)</f>
        <v>Large-Cap</v>
      </c>
      <c r="H2206" t="s">
        <v>1434</v>
      </c>
      <c r="I2206" t="s">
        <v>1434</v>
      </c>
      <c r="J2206" s="2">
        <v>45401</v>
      </c>
      <c r="K2206" t="s">
        <v>21</v>
      </c>
      <c r="L2206" t="s">
        <v>1716</v>
      </c>
      <c r="M2206" t="s">
        <v>1709</v>
      </c>
      <c r="N2206" s="1"/>
      <c r="O2206" t="s">
        <v>462</v>
      </c>
      <c r="Q2206" s="1" t="s">
        <v>1646</v>
      </c>
      <c r="R2206" t="s">
        <v>35</v>
      </c>
      <c r="S2206" t="s">
        <v>491</v>
      </c>
      <c r="T2206" t="s">
        <v>491</v>
      </c>
    </row>
    <row r="2207" spans="1:22" x14ac:dyDescent="0.3">
      <c r="A2207" t="s">
        <v>1323</v>
      </c>
      <c r="B2207" t="str">
        <f ca="1">OFFSET(Industries!C$1,MATCH(Table1[[#This Row],[Ticker]],Industries!$A$2:$A$150,0),0)</f>
        <v>Consumer Staples</v>
      </c>
      <c r="C2207" t="str">
        <f ca="1">OFFSET(Industries!D$1,MATCH(Table1[[#This Row],[Ticker]],Industries!$A$2:$A$150,0),0)</f>
        <v>Consumer Staples Distribution and Retail</v>
      </c>
      <c r="D2207" t="str">
        <f ca="1">OFFSET(Industries!E$1,MATCH(Table1[[#This Row],[Ticker]],Industries!$A$2:$A$150,0),0)</f>
        <v>Consumer Staples Distribution and Retail</v>
      </c>
      <c r="E2207" t="s">
        <v>722</v>
      </c>
      <c r="F2207" t="str">
        <f ca="1">OFFSET(Industries!B$1,MATCH(Table1[[#This Row],[Ticker]],Industries!$A$2:$A$140,0),0)</f>
        <v>Large-Cap</v>
      </c>
      <c r="G2207" t="str">
        <f ca="1">OFFSET(Industries!F$1,MATCH(Table1[[#This Row],[Ticker]],Industries!$A$2:$A$140,0),0)</f>
        <v>BBB</v>
      </c>
      <c r="H2207" t="s">
        <v>1434</v>
      </c>
      <c r="I2207" t="s">
        <v>1434</v>
      </c>
      <c r="J2207" s="2">
        <v>45419</v>
      </c>
      <c r="K2207" t="s">
        <v>2</v>
      </c>
      <c r="L2207" t="s">
        <v>3</v>
      </c>
      <c r="M2207" t="s">
        <v>1711</v>
      </c>
      <c r="N2207" s="1">
        <f>Table1[[#This Row],[Consideration Weight]]</f>
        <v>0.04</v>
      </c>
      <c r="O2207" t="s">
        <v>3</v>
      </c>
      <c r="P2207" s="1">
        <v>0.04</v>
      </c>
      <c r="V2207" t="s">
        <v>1329</v>
      </c>
    </row>
    <row r="2208" spans="1:22" x14ac:dyDescent="0.3">
      <c r="A2208" t="s">
        <v>1323</v>
      </c>
      <c r="B2208" t="str">
        <f ca="1">OFFSET(Industries!C$1,MATCH(Table1[[#This Row],[Ticker]],Industries!$A$2:$A$150,0),0)</f>
        <v>Consumer Staples</v>
      </c>
      <c r="C2208" t="str">
        <f ca="1">OFFSET(Industries!D$1,MATCH(Table1[[#This Row],[Ticker]],Industries!$A$2:$A$150,0),0)</f>
        <v>Consumer Staples Distribution and Retail</v>
      </c>
      <c r="D2208" t="str">
        <f ca="1">OFFSET(Industries!E$1,MATCH(Table1[[#This Row],[Ticker]],Industries!$A$2:$A$150,0),0)</f>
        <v>Consumer Staples Distribution and Retail</v>
      </c>
      <c r="E2208" t="s">
        <v>722</v>
      </c>
      <c r="F2208" t="str">
        <f ca="1">OFFSET(Industries!B$1,MATCH(Table1[[#This Row],[Ticker]],Industries!$A$2:$A$140,0),0)</f>
        <v>Large-Cap</v>
      </c>
      <c r="G2208" t="str">
        <f ca="1">OFFSET(Industries!F$1,MATCH(Table1[[#This Row],[Ticker]],Industries!$A$2:$A$140,0),0)</f>
        <v>BBB</v>
      </c>
      <c r="H2208" t="s">
        <v>1434</v>
      </c>
      <c r="I2208" t="s">
        <v>1434</v>
      </c>
      <c r="J2208" s="2">
        <v>45419</v>
      </c>
      <c r="K2208" t="s">
        <v>2</v>
      </c>
      <c r="L2208" t="s">
        <v>1708</v>
      </c>
      <c r="M2208" t="s">
        <v>1709</v>
      </c>
      <c r="N2208" s="1">
        <f>Table1[[#This Row],[Consideration Weight]]</f>
        <v>0.08</v>
      </c>
      <c r="O2208" t="s">
        <v>4</v>
      </c>
      <c r="P2208" s="1">
        <v>0.08</v>
      </c>
      <c r="Q2208" s="1" t="s">
        <v>1636</v>
      </c>
      <c r="R2208" t="s">
        <v>24</v>
      </c>
      <c r="S2208" t="s">
        <v>90</v>
      </c>
      <c r="T2208" t="s">
        <v>8</v>
      </c>
      <c r="U2208" s="1">
        <v>0.6</v>
      </c>
      <c r="V2208" t="s">
        <v>1328</v>
      </c>
    </row>
    <row r="2209" spans="1:22" x14ac:dyDescent="0.3">
      <c r="A2209" t="s">
        <v>1323</v>
      </c>
      <c r="B2209" t="str">
        <f ca="1">OFFSET(Industries!C$1,MATCH(Table1[[#This Row],[Ticker]],Industries!$A$2:$A$150,0),0)</f>
        <v>Consumer Staples</v>
      </c>
      <c r="C2209" t="str">
        <f ca="1">OFFSET(Industries!D$1,MATCH(Table1[[#This Row],[Ticker]],Industries!$A$2:$A$150,0),0)</f>
        <v>Consumer Staples Distribution and Retail</v>
      </c>
      <c r="D2209" t="str">
        <f ca="1">OFFSET(Industries!E$1,MATCH(Table1[[#This Row],[Ticker]],Industries!$A$2:$A$150,0),0)</f>
        <v>Consumer Staples Distribution and Retail</v>
      </c>
      <c r="E2209" t="s">
        <v>722</v>
      </c>
      <c r="F2209" t="str">
        <f ca="1">OFFSET(Industries!B$1,MATCH(Table1[[#This Row],[Ticker]],Industries!$A$2:$A$140,0),0)</f>
        <v>Large-Cap</v>
      </c>
      <c r="G2209" t="str">
        <f ca="1">OFFSET(Industries!F$1,MATCH(Table1[[#This Row],[Ticker]],Industries!$A$2:$A$140,0),0)</f>
        <v>BBB</v>
      </c>
      <c r="H2209" t="s">
        <v>1434</v>
      </c>
      <c r="I2209" t="s">
        <v>1434</v>
      </c>
      <c r="J2209" s="2">
        <v>45419</v>
      </c>
      <c r="K2209" t="s">
        <v>2</v>
      </c>
      <c r="L2209" t="s">
        <v>1708</v>
      </c>
      <c r="M2209" t="s">
        <v>1709</v>
      </c>
      <c r="N2209" s="1"/>
      <c r="O2209" t="s">
        <v>4</v>
      </c>
      <c r="P2209" s="1">
        <v>0.08</v>
      </c>
      <c r="Q2209" s="1" t="s">
        <v>1636</v>
      </c>
      <c r="R2209" t="s">
        <v>23</v>
      </c>
      <c r="S2209" t="s">
        <v>1083</v>
      </c>
      <c r="T2209" t="s">
        <v>7</v>
      </c>
      <c r="U2209" s="1">
        <v>0.4</v>
      </c>
      <c r="V2209" t="s">
        <v>1324</v>
      </c>
    </row>
    <row r="2210" spans="1:22" x14ac:dyDescent="0.3">
      <c r="A2210" t="s">
        <v>1323</v>
      </c>
      <c r="B2210" t="str">
        <f ca="1">OFFSET(Industries!C$1,MATCH(Table1[[#This Row],[Ticker]],Industries!$A$2:$A$150,0),0)</f>
        <v>Consumer Staples</v>
      </c>
      <c r="C2210" t="str">
        <f ca="1">OFFSET(Industries!D$1,MATCH(Table1[[#This Row],[Ticker]],Industries!$A$2:$A$150,0),0)</f>
        <v>Consumer Staples Distribution and Retail</v>
      </c>
      <c r="D2210" t="str">
        <f ca="1">OFFSET(Industries!E$1,MATCH(Table1[[#This Row],[Ticker]],Industries!$A$2:$A$150,0),0)</f>
        <v>Consumer Staples Distribution and Retail</v>
      </c>
      <c r="E2210" t="s">
        <v>722</v>
      </c>
      <c r="F2210" t="str">
        <f ca="1">OFFSET(Industries!B$1,MATCH(Table1[[#This Row],[Ticker]],Industries!$A$2:$A$140,0),0)</f>
        <v>Large-Cap</v>
      </c>
      <c r="G2210" t="str">
        <f ca="1">OFFSET(Industries!F$1,MATCH(Table1[[#This Row],[Ticker]],Industries!$A$2:$A$140,0),0)</f>
        <v>BBB</v>
      </c>
      <c r="H2210" t="s">
        <v>1434</v>
      </c>
      <c r="I2210" t="s">
        <v>1434</v>
      </c>
      <c r="J2210" s="2">
        <v>45419</v>
      </c>
      <c r="K2210" t="s">
        <v>2</v>
      </c>
      <c r="L2210" t="s">
        <v>1708</v>
      </c>
      <c r="M2210" t="s">
        <v>1709</v>
      </c>
      <c r="N2210" s="1"/>
      <c r="O2210" t="s">
        <v>4</v>
      </c>
      <c r="P2210" s="1">
        <v>0.08</v>
      </c>
      <c r="R2210" t="s">
        <v>28</v>
      </c>
      <c r="S2210" t="s">
        <v>1110</v>
      </c>
      <c r="T2210" t="s">
        <v>172</v>
      </c>
      <c r="V2210" t="s">
        <v>1325</v>
      </c>
    </row>
    <row r="2211" spans="1:22" x14ac:dyDescent="0.3">
      <c r="A2211" t="s">
        <v>1323</v>
      </c>
      <c r="B2211" t="str">
        <f ca="1">OFFSET(Industries!C$1,MATCH(Table1[[#This Row],[Ticker]],Industries!$A$2:$A$150,0),0)</f>
        <v>Consumer Staples</v>
      </c>
      <c r="C2211" t="str">
        <f ca="1">OFFSET(Industries!D$1,MATCH(Table1[[#This Row],[Ticker]],Industries!$A$2:$A$150,0),0)</f>
        <v>Consumer Staples Distribution and Retail</v>
      </c>
      <c r="D2211" t="str">
        <f ca="1">OFFSET(Industries!E$1,MATCH(Table1[[#This Row],[Ticker]],Industries!$A$2:$A$150,0),0)</f>
        <v>Consumer Staples Distribution and Retail</v>
      </c>
      <c r="E2211" t="s">
        <v>722</v>
      </c>
      <c r="F2211" t="str">
        <f ca="1">OFFSET(Industries!B$1,MATCH(Table1[[#This Row],[Ticker]],Industries!$A$2:$A$140,0),0)</f>
        <v>Large-Cap</v>
      </c>
      <c r="G2211" t="str">
        <f ca="1">OFFSET(Industries!F$1,MATCH(Table1[[#This Row],[Ticker]],Industries!$A$2:$A$140,0),0)</f>
        <v>BBB</v>
      </c>
      <c r="H2211" t="s">
        <v>1434</v>
      </c>
      <c r="I2211" t="s">
        <v>1434</v>
      </c>
      <c r="J2211" s="2">
        <v>45419</v>
      </c>
      <c r="K2211" t="s">
        <v>2</v>
      </c>
      <c r="L2211" t="s">
        <v>1710</v>
      </c>
      <c r="M2211" t="s">
        <v>1711</v>
      </c>
      <c r="N2211" s="1">
        <f>Table1[[#This Row],[Consideration Weight]]</f>
        <v>0.88</v>
      </c>
      <c r="O2211" t="s">
        <v>87</v>
      </c>
      <c r="P2211" s="1">
        <v>0.88</v>
      </c>
    </row>
    <row r="2212" spans="1:22" x14ac:dyDescent="0.3">
      <c r="A2212" t="s">
        <v>1323</v>
      </c>
      <c r="B2212" t="str">
        <f ca="1">OFFSET(Industries!C$1,MATCH(Table1[[#This Row],[Ticker]],Industries!$A$2:$A$150,0),0)</f>
        <v>Consumer Staples</v>
      </c>
      <c r="C2212" t="str">
        <f ca="1">OFFSET(Industries!D$1,MATCH(Table1[[#This Row],[Ticker]],Industries!$A$2:$A$150,0),0)</f>
        <v>Consumer Staples Distribution and Retail</v>
      </c>
      <c r="D2212" t="str">
        <f ca="1">OFFSET(Industries!E$1,MATCH(Table1[[#This Row],[Ticker]],Industries!$A$2:$A$150,0),0)</f>
        <v>Consumer Staples Distribution and Retail</v>
      </c>
      <c r="E2212" t="s">
        <v>722</v>
      </c>
      <c r="F2212" t="str">
        <f ca="1">OFFSET(Industries!B$1,MATCH(Table1[[#This Row],[Ticker]],Industries!$A$2:$A$140,0),0)</f>
        <v>Large-Cap</v>
      </c>
      <c r="G2212" t="str">
        <f ca="1">OFFSET(Industries!F$1,MATCH(Table1[[#This Row],[Ticker]],Industries!$A$2:$A$140,0),0)</f>
        <v>BBB</v>
      </c>
      <c r="H2212" t="s">
        <v>1434</v>
      </c>
      <c r="I2212" t="s">
        <v>1434</v>
      </c>
      <c r="J2212" s="2">
        <v>45419</v>
      </c>
      <c r="K2212" t="s">
        <v>21</v>
      </c>
      <c r="L2212" t="s">
        <v>3</v>
      </c>
      <c r="M2212" t="s">
        <v>1711</v>
      </c>
      <c r="N2212" s="1">
        <f>Table1[[#This Row],[Consideration Weight]]</f>
        <v>0.21</v>
      </c>
      <c r="O2212" t="s">
        <v>3</v>
      </c>
      <c r="P2212" s="1">
        <v>0.21</v>
      </c>
    </row>
    <row r="2213" spans="1:22" x14ac:dyDescent="0.3">
      <c r="A2213" t="s">
        <v>1323</v>
      </c>
      <c r="B2213" t="str">
        <f ca="1">OFFSET(Industries!C$1,MATCH(Table1[[#This Row],[Ticker]],Industries!$A$2:$A$150,0),0)</f>
        <v>Consumer Staples</v>
      </c>
      <c r="C2213" t="str">
        <f ca="1">OFFSET(Industries!D$1,MATCH(Table1[[#This Row],[Ticker]],Industries!$A$2:$A$150,0),0)</f>
        <v>Consumer Staples Distribution and Retail</v>
      </c>
      <c r="D2213" t="str">
        <f ca="1">OFFSET(Industries!E$1,MATCH(Table1[[#This Row],[Ticker]],Industries!$A$2:$A$150,0),0)</f>
        <v>Consumer Staples Distribution and Retail</v>
      </c>
      <c r="E2213" t="s">
        <v>722</v>
      </c>
      <c r="F2213" t="str">
        <f ca="1">OFFSET(Industries!B$1,MATCH(Table1[[#This Row],[Ticker]],Industries!$A$2:$A$140,0),0)</f>
        <v>Large-Cap</v>
      </c>
      <c r="G2213" t="str">
        <f ca="1">OFFSET(Industries!F$1,MATCH(Table1[[#This Row],[Ticker]],Industries!$A$2:$A$140,0),0)</f>
        <v>BBB</v>
      </c>
      <c r="H2213" t="s">
        <v>1434</v>
      </c>
      <c r="I2213" t="s">
        <v>1434</v>
      </c>
      <c r="J2213" s="2">
        <v>45419</v>
      </c>
      <c r="K2213" t="s">
        <v>21</v>
      </c>
      <c r="L2213" t="s">
        <v>1708</v>
      </c>
      <c r="M2213" t="s">
        <v>1709</v>
      </c>
      <c r="N2213" s="1">
        <f>Table1[[#This Row],[Consideration Weight]]</f>
        <v>0.21</v>
      </c>
      <c r="O2213" t="s">
        <v>4</v>
      </c>
      <c r="P2213" s="1">
        <v>0.21</v>
      </c>
      <c r="Q2213" s="1" t="s">
        <v>1636</v>
      </c>
      <c r="R2213" t="s">
        <v>24</v>
      </c>
      <c r="S2213" t="s">
        <v>90</v>
      </c>
      <c r="T2213" t="s">
        <v>8</v>
      </c>
      <c r="U2213" s="1">
        <v>0.6</v>
      </c>
    </row>
    <row r="2214" spans="1:22" x14ac:dyDescent="0.3">
      <c r="A2214" t="s">
        <v>1323</v>
      </c>
      <c r="B2214" t="str">
        <f ca="1">OFFSET(Industries!C$1,MATCH(Table1[[#This Row],[Ticker]],Industries!$A$2:$A$150,0),0)</f>
        <v>Consumer Staples</v>
      </c>
      <c r="C2214" t="str">
        <f ca="1">OFFSET(Industries!D$1,MATCH(Table1[[#This Row],[Ticker]],Industries!$A$2:$A$150,0),0)</f>
        <v>Consumer Staples Distribution and Retail</v>
      </c>
      <c r="D2214" t="str">
        <f ca="1">OFFSET(Industries!E$1,MATCH(Table1[[#This Row],[Ticker]],Industries!$A$2:$A$150,0),0)</f>
        <v>Consumer Staples Distribution and Retail</v>
      </c>
      <c r="E2214" t="s">
        <v>722</v>
      </c>
      <c r="F2214" t="str">
        <f ca="1">OFFSET(Industries!B$1,MATCH(Table1[[#This Row],[Ticker]],Industries!$A$2:$A$140,0),0)</f>
        <v>Large-Cap</v>
      </c>
      <c r="G2214" t="str">
        <f ca="1">OFFSET(Industries!F$1,MATCH(Table1[[#This Row],[Ticker]],Industries!$A$2:$A$140,0),0)</f>
        <v>BBB</v>
      </c>
      <c r="H2214" t="s">
        <v>1434</v>
      </c>
      <c r="I2214" t="s">
        <v>1434</v>
      </c>
      <c r="J2214" s="2">
        <v>45419</v>
      </c>
      <c r="K2214" t="s">
        <v>21</v>
      </c>
      <c r="L2214" t="s">
        <v>1708</v>
      </c>
      <c r="M2214" t="s">
        <v>1709</v>
      </c>
      <c r="N2214" s="1"/>
      <c r="O2214" t="s">
        <v>4</v>
      </c>
      <c r="P2214" s="1">
        <v>0.21</v>
      </c>
      <c r="Q2214" s="1" t="s">
        <v>1636</v>
      </c>
      <c r="R2214" t="s">
        <v>23</v>
      </c>
      <c r="S2214" t="s">
        <v>1083</v>
      </c>
      <c r="T2214" t="s">
        <v>7</v>
      </c>
      <c r="U2214" s="1">
        <v>0.4</v>
      </c>
    </row>
    <row r="2215" spans="1:22" x14ac:dyDescent="0.3">
      <c r="A2215" t="s">
        <v>1323</v>
      </c>
      <c r="B2215" t="str">
        <f ca="1">OFFSET(Industries!C$1,MATCH(Table1[[#This Row],[Ticker]],Industries!$A$2:$A$150,0),0)</f>
        <v>Consumer Staples</v>
      </c>
      <c r="C2215" t="str">
        <f ca="1">OFFSET(Industries!D$1,MATCH(Table1[[#This Row],[Ticker]],Industries!$A$2:$A$150,0),0)</f>
        <v>Consumer Staples Distribution and Retail</v>
      </c>
      <c r="D2215" t="str">
        <f ca="1">OFFSET(Industries!E$1,MATCH(Table1[[#This Row],[Ticker]],Industries!$A$2:$A$150,0),0)</f>
        <v>Consumer Staples Distribution and Retail</v>
      </c>
      <c r="E2215" t="s">
        <v>722</v>
      </c>
      <c r="F2215" t="str">
        <f ca="1">OFFSET(Industries!B$1,MATCH(Table1[[#This Row],[Ticker]],Industries!$A$2:$A$140,0),0)</f>
        <v>Large-Cap</v>
      </c>
      <c r="G2215" t="str">
        <f ca="1">OFFSET(Industries!F$1,MATCH(Table1[[#This Row],[Ticker]],Industries!$A$2:$A$140,0),0)</f>
        <v>BBB</v>
      </c>
      <c r="H2215" t="s">
        <v>1434</v>
      </c>
      <c r="I2215" t="s">
        <v>1434</v>
      </c>
      <c r="J2215" s="2">
        <v>45419</v>
      </c>
      <c r="K2215" t="s">
        <v>21</v>
      </c>
      <c r="L2215" t="s">
        <v>1708</v>
      </c>
      <c r="M2215" t="s">
        <v>1709</v>
      </c>
      <c r="N2215" s="1"/>
      <c r="O2215" t="s">
        <v>4</v>
      </c>
      <c r="P2215" s="1">
        <v>0.21</v>
      </c>
      <c r="R2215" t="s">
        <v>28</v>
      </c>
      <c r="S2215" t="s">
        <v>1110</v>
      </c>
      <c r="T2215" t="s">
        <v>172</v>
      </c>
    </row>
    <row r="2216" spans="1:22" x14ac:dyDescent="0.3">
      <c r="A2216" t="s">
        <v>1323</v>
      </c>
      <c r="B2216" t="str">
        <f ca="1">OFFSET(Industries!C$1,MATCH(Table1[[#This Row],[Ticker]],Industries!$A$2:$A$150,0),0)</f>
        <v>Consumer Staples</v>
      </c>
      <c r="C2216" t="str">
        <f ca="1">OFFSET(Industries!D$1,MATCH(Table1[[#This Row],[Ticker]],Industries!$A$2:$A$150,0),0)</f>
        <v>Consumer Staples Distribution and Retail</v>
      </c>
      <c r="D2216" t="str">
        <f ca="1">OFFSET(Industries!E$1,MATCH(Table1[[#This Row],[Ticker]],Industries!$A$2:$A$150,0),0)</f>
        <v>Consumer Staples Distribution and Retail</v>
      </c>
      <c r="E2216" t="s">
        <v>722</v>
      </c>
      <c r="F2216" t="str">
        <f ca="1">OFFSET(Industries!B$1,MATCH(Table1[[#This Row],[Ticker]],Industries!$A$2:$A$140,0),0)</f>
        <v>Large-Cap</v>
      </c>
      <c r="G2216" t="str">
        <f ca="1">OFFSET(Industries!F$1,MATCH(Table1[[#This Row],[Ticker]],Industries!$A$2:$A$140,0),0)</f>
        <v>BBB</v>
      </c>
      <c r="H2216" t="s">
        <v>1434</v>
      </c>
      <c r="I2216" t="s">
        <v>1434</v>
      </c>
      <c r="J2216" s="2">
        <v>45419</v>
      </c>
      <c r="K2216" t="s">
        <v>21</v>
      </c>
      <c r="L2216" t="s">
        <v>1710</v>
      </c>
      <c r="M2216" t="s">
        <v>1709</v>
      </c>
      <c r="N2216" s="1">
        <f>Table1[[#This Row],[Consideration Weight]]</f>
        <v>0.28999999999999998</v>
      </c>
      <c r="O2216" t="s">
        <v>476</v>
      </c>
      <c r="P2216" s="1">
        <v>0.28999999999999998</v>
      </c>
      <c r="Q2216" s="1" t="s">
        <v>1636</v>
      </c>
      <c r="R2216" t="s">
        <v>24</v>
      </c>
      <c r="S2216" t="s">
        <v>1089</v>
      </c>
      <c r="T2216" t="s">
        <v>86</v>
      </c>
      <c r="U2216" s="1">
        <v>0.6</v>
      </c>
    </row>
    <row r="2217" spans="1:22" x14ac:dyDescent="0.3">
      <c r="A2217" t="s">
        <v>1323</v>
      </c>
      <c r="B2217" t="str">
        <f ca="1">OFFSET(Industries!C$1,MATCH(Table1[[#This Row],[Ticker]],Industries!$A$2:$A$150,0),0)</f>
        <v>Consumer Staples</v>
      </c>
      <c r="C2217" t="str">
        <f ca="1">OFFSET(Industries!D$1,MATCH(Table1[[#This Row],[Ticker]],Industries!$A$2:$A$150,0),0)</f>
        <v>Consumer Staples Distribution and Retail</v>
      </c>
      <c r="D2217" t="str">
        <f ca="1">OFFSET(Industries!E$1,MATCH(Table1[[#This Row],[Ticker]],Industries!$A$2:$A$150,0),0)</f>
        <v>Consumer Staples Distribution and Retail</v>
      </c>
      <c r="E2217" t="s">
        <v>722</v>
      </c>
      <c r="F2217" t="str">
        <f ca="1">OFFSET(Industries!B$1,MATCH(Table1[[#This Row],[Ticker]],Industries!$A$2:$A$140,0),0)</f>
        <v>Large-Cap</v>
      </c>
      <c r="G2217" t="str">
        <f ca="1">OFFSET(Industries!F$1,MATCH(Table1[[#This Row],[Ticker]],Industries!$A$2:$A$140,0),0)</f>
        <v>BBB</v>
      </c>
      <c r="H2217" t="s">
        <v>1434</v>
      </c>
      <c r="I2217" t="s">
        <v>1434</v>
      </c>
      <c r="J2217" s="2">
        <v>45419</v>
      </c>
      <c r="K2217" t="s">
        <v>21</v>
      </c>
      <c r="L2217" t="s">
        <v>1710</v>
      </c>
      <c r="M2217" t="s">
        <v>1709</v>
      </c>
      <c r="N2217" s="1"/>
      <c r="O2217" t="s">
        <v>476</v>
      </c>
      <c r="P2217" s="1">
        <v>0.28999999999999998</v>
      </c>
      <c r="Q2217" s="1" t="s">
        <v>1636</v>
      </c>
      <c r="R2217" t="s">
        <v>23</v>
      </c>
      <c r="S2217" t="s">
        <v>1083</v>
      </c>
      <c r="T2217" t="s">
        <v>1326</v>
      </c>
      <c r="U2217" s="1">
        <v>0.4</v>
      </c>
      <c r="V2217" t="s">
        <v>1327</v>
      </c>
    </row>
    <row r="2218" spans="1:22" x14ac:dyDescent="0.3">
      <c r="A2218" t="s">
        <v>1323</v>
      </c>
      <c r="B2218" t="str">
        <f ca="1">OFFSET(Industries!C$1,MATCH(Table1[[#This Row],[Ticker]],Industries!$A$2:$A$150,0),0)</f>
        <v>Consumer Staples</v>
      </c>
      <c r="C2218" t="str">
        <f ca="1">OFFSET(Industries!D$1,MATCH(Table1[[#This Row],[Ticker]],Industries!$A$2:$A$150,0),0)</f>
        <v>Consumer Staples Distribution and Retail</v>
      </c>
      <c r="D2218" t="str">
        <f ca="1">OFFSET(Industries!E$1,MATCH(Table1[[#This Row],[Ticker]],Industries!$A$2:$A$150,0),0)</f>
        <v>Consumer Staples Distribution and Retail</v>
      </c>
      <c r="E2218" t="s">
        <v>722</v>
      </c>
      <c r="F2218" t="str">
        <f ca="1">OFFSET(Industries!B$1,MATCH(Table1[[#This Row],[Ticker]],Industries!$A$2:$A$140,0),0)</f>
        <v>Large-Cap</v>
      </c>
      <c r="G2218" t="str">
        <f ca="1">OFFSET(Industries!F$1,MATCH(Table1[[#This Row],[Ticker]],Industries!$A$2:$A$140,0),0)</f>
        <v>BBB</v>
      </c>
      <c r="H2218" t="s">
        <v>1434</v>
      </c>
      <c r="I2218" t="s">
        <v>1434</v>
      </c>
      <c r="J2218" s="2">
        <v>45419</v>
      </c>
      <c r="K2218" t="s">
        <v>21</v>
      </c>
      <c r="L2218" t="s">
        <v>1710</v>
      </c>
      <c r="M2218" t="s">
        <v>1709</v>
      </c>
      <c r="N2218" s="1"/>
      <c r="O2218" t="s">
        <v>476</v>
      </c>
      <c r="P2218" s="1">
        <v>0.28999999999999998</v>
      </c>
      <c r="R2218" t="s">
        <v>28</v>
      </c>
      <c r="S2218" t="s">
        <v>1085</v>
      </c>
      <c r="T2218" t="s">
        <v>30</v>
      </c>
    </row>
    <row r="2219" spans="1:22" x14ac:dyDescent="0.3">
      <c r="A2219" t="s">
        <v>1323</v>
      </c>
      <c r="B2219" t="str">
        <f ca="1">OFFSET(Industries!C$1,MATCH(Table1[[#This Row],[Ticker]],Industries!$A$2:$A$150,0),0)</f>
        <v>Consumer Staples</v>
      </c>
      <c r="C2219" t="str">
        <f ca="1">OFFSET(Industries!D$1,MATCH(Table1[[#This Row],[Ticker]],Industries!$A$2:$A$150,0),0)</f>
        <v>Consumer Staples Distribution and Retail</v>
      </c>
      <c r="D2219" t="str">
        <f ca="1">OFFSET(Industries!E$1,MATCH(Table1[[#This Row],[Ticker]],Industries!$A$2:$A$150,0),0)</f>
        <v>Consumer Staples Distribution and Retail</v>
      </c>
      <c r="E2219" t="s">
        <v>722</v>
      </c>
      <c r="F2219" t="str">
        <f ca="1">OFFSET(Industries!B$1,MATCH(Table1[[#This Row],[Ticker]],Industries!$A$2:$A$140,0),0)</f>
        <v>Large-Cap</v>
      </c>
      <c r="G2219" t="str">
        <f ca="1">OFFSET(Industries!F$1,MATCH(Table1[[#This Row],[Ticker]],Industries!$A$2:$A$140,0),0)</f>
        <v>BBB</v>
      </c>
      <c r="H2219" t="s">
        <v>1434</v>
      </c>
      <c r="I2219" t="s">
        <v>1434</v>
      </c>
      <c r="J2219" s="2">
        <v>45419</v>
      </c>
      <c r="K2219" t="s">
        <v>21</v>
      </c>
      <c r="L2219" t="s">
        <v>1710</v>
      </c>
      <c r="M2219" t="s">
        <v>1711</v>
      </c>
      <c r="N2219" s="1">
        <f>Table1[[#This Row],[Consideration Weight]]</f>
        <v>0.17</v>
      </c>
      <c r="O2219" t="s">
        <v>194</v>
      </c>
      <c r="P2219" s="1">
        <v>0.17</v>
      </c>
    </row>
    <row r="2220" spans="1:22" x14ac:dyDescent="0.3">
      <c r="A2220" t="s">
        <v>1323</v>
      </c>
      <c r="B2220" t="str">
        <f ca="1">OFFSET(Industries!C$1,MATCH(Table1[[#This Row],[Ticker]],Industries!$A$2:$A$150,0),0)</f>
        <v>Consumer Staples</v>
      </c>
      <c r="C2220" t="str">
        <f ca="1">OFFSET(Industries!D$1,MATCH(Table1[[#This Row],[Ticker]],Industries!$A$2:$A$150,0),0)</f>
        <v>Consumer Staples Distribution and Retail</v>
      </c>
      <c r="D2220" t="str">
        <f ca="1">OFFSET(Industries!E$1,MATCH(Table1[[#This Row],[Ticker]],Industries!$A$2:$A$150,0),0)</f>
        <v>Consumer Staples Distribution and Retail</v>
      </c>
      <c r="E2220" t="s">
        <v>722</v>
      </c>
      <c r="F2220" t="str">
        <f ca="1">OFFSET(Industries!B$1,MATCH(Table1[[#This Row],[Ticker]],Industries!$A$2:$A$140,0),0)</f>
        <v>Large-Cap</v>
      </c>
      <c r="G2220" t="str">
        <f ca="1">OFFSET(Industries!F$1,MATCH(Table1[[#This Row],[Ticker]],Industries!$A$2:$A$140,0),0)</f>
        <v>BBB</v>
      </c>
      <c r="H2220" t="s">
        <v>1434</v>
      </c>
      <c r="I2220" t="s">
        <v>1434</v>
      </c>
      <c r="J2220" s="2">
        <v>45419</v>
      </c>
      <c r="K2220" t="s">
        <v>21</v>
      </c>
      <c r="L2220" t="s">
        <v>1710</v>
      </c>
      <c r="M2220" t="s">
        <v>1711</v>
      </c>
      <c r="N2220" s="1">
        <f>Table1[[#This Row],[Consideration Weight]]</f>
        <v>0.12</v>
      </c>
      <c r="O2220" t="s">
        <v>87</v>
      </c>
      <c r="P2220" s="1">
        <v>0.12</v>
      </c>
    </row>
    <row r="2221" spans="1:22" x14ac:dyDescent="0.3">
      <c r="A2221" t="s">
        <v>1330</v>
      </c>
      <c r="B2221" t="str">
        <f ca="1">OFFSET(Industries!C$1,MATCH(Table1[[#This Row],[Ticker]],Industries!$A$2:$A$150,0),0)</f>
        <v>Real Estate</v>
      </c>
      <c r="C2221" t="str">
        <f ca="1">OFFSET(Industries!D$1,MATCH(Table1[[#This Row],[Ticker]],Industries!$A$2:$A$150,0),0)</f>
        <v>Equity Real Estate Investment Trusts (REITs)</v>
      </c>
      <c r="D2221" t="str">
        <f ca="1">OFFSET(Industries!E$1,MATCH(Table1[[#This Row],[Ticker]],Industries!$A$2:$A$150,0),0)</f>
        <v>Specialized REITs</v>
      </c>
      <c r="E2221" t="s">
        <v>910</v>
      </c>
      <c r="F2221" t="str">
        <f ca="1">OFFSET(Industries!B$1,MATCH(Table1[[#This Row],[Ticker]],Industries!$A$2:$A$140,0),0)</f>
        <v>Ultra-Cap</v>
      </c>
      <c r="G2221" t="str">
        <f ca="1">OFFSET(Industries!F$1,MATCH(Table1[[#This Row],[Ticker]],Industries!$A$2:$A$140,0),0)</f>
        <v>BBB</v>
      </c>
      <c r="H2221" t="s">
        <v>1434</v>
      </c>
      <c r="I2221" t="s">
        <v>1434</v>
      </c>
      <c r="J2221" s="2">
        <v>45394</v>
      </c>
      <c r="K2221" t="s">
        <v>2</v>
      </c>
      <c r="L2221" t="s">
        <v>3</v>
      </c>
      <c r="M2221" t="s">
        <v>1711</v>
      </c>
      <c r="N2221" s="1">
        <f>Table1[[#This Row],[Consideration Weight]]</f>
        <v>0.05</v>
      </c>
      <c r="O2221" t="s">
        <v>3</v>
      </c>
      <c r="P2221" s="1">
        <v>0.05</v>
      </c>
      <c r="V2221" t="s">
        <v>1337</v>
      </c>
    </row>
    <row r="2222" spans="1:22" x14ac:dyDescent="0.3">
      <c r="A2222" t="s">
        <v>1330</v>
      </c>
      <c r="B2222" t="str">
        <f ca="1">OFFSET(Industries!C$1,MATCH(Table1[[#This Row],[Ticker]],Industries!$A$2:$A$150,0),0)</f>
        <v>Real Estate</v>
      </c>
      <c r="C2222" t="str">
        <f ca="1">OFFSET(Industries!D$1,MATCH(Table1[[#This Row],[Ticker]],Industries!$A$2:$A$150,0),0)</f>
        <v>Equity Real Estate Investment Trusts (REITs)</v>
      </c>
      <c r="D2222" t="str">
        <f ca="1">OFFSET(Industries!E$1,MATCH(Table1[[#This Row],[Ticker]],Industries!$A$2:$A$150,0),0)</f>
        <v>Specialized REITs</v>
      </c>
      <c r="E2222" t="s">
        <v>910</v>
      </c>
      <c r="F2222" t="str">
        <f ca="1">OFFSET(Industries!B$1,MATCH(Table1[[#This Row],[Ticker]],Industries!$A$2:$A$140,0),0)</f>
        <v>Ultra-Cap</v>
      </c>
      <c r="G2222" t="str">
        <f ca="1">OFFSET(Industries!F$1,MATCH(Table1[[#This Row],[Ticker]],Industries!$A$2:$A$140,0),0)</f>
        <v>BBB</v>
      </c>
      <c r="H2222" t="s">
        <v>1434</v>
      </c>
      <c r="I2222" t="s">
        <v>1434</v>
      </c>
      <c r="J2222" s="2">
        <v>45394</v>
      </c>
      <c r="K2222" t="s">
        <v>2</v>
      </c>
      <c r="L2222" t="s">
        <v>1708</v>
      </c>
      <c r="M2222" t="s">
        <v>1709</v>
      </c>
      <c r="N2222" s="1">
        <f>Table1[[#This Row],[Consideration Weight]]</f>
        <v>7.0000000000000007E-2</v>
      </c>
      <c r="O2222" t="s">
        <v>518</v>
      </c>
      <c r="P2222" s="1">
        <v>7.0000000000000007E-2</v>
      </c>
      <c r="Q2222" s="1" t="s">
        <v>1636</v>
      </c>
      <c r="R2222" t="s">
        <v>23</v>
      </c>
      <c r="S2222" t="s">
        <v>1083</v>
      </c>
      <c r="T2222" t="s">
        <v>7</v>
      </c>
      <c r="U2222" s="1">
        <v>0.5</v>
      </c>
      <c r="V2222" t="s">
        <v>1333</v>
      </c>
    </row>
    <row r="2223" spans="1:22" x14ac:dyDescent="0.3">
      <c r="A2223" t="s">
        <v>1330</v>
      </c>
      <c r="B2223" t="str">
        <f ca="1">OFFSET(Industries!C$1,MATCH(Table1[[#This Row],[Ticker]],Industries!$A$2:$A$150,0),0)</f>
        <v>Real Estate</v>
      </c>
      <c r="C2223" t="str">
        <f ca="1">OFFSET(Industries!D$1,MATCH(Table1[[#This Row],[Ticker]],Industries!$A$2:$A$150,0),0)</f>
        <v>Equity Real Estate Investment Trusts (REITs)</v>
      </c>
      <c r="D2223" t="str">
        <f ca="1">OFFSET(Industries!E$1,MATCH(Table1[[#This Row],[Ticker]],Industries!$A$2:$A$150,0),0)</f>
        <v>Specialized REITs</v>
      </c>
      <c r="E2223" t="s">
        <v>910</v>
      </c>
      <c r="F2223" t="str">
        <f ca="1">OFFSET(Industries!B$1,MATCH(Table1[[#This Row],[Ticker]],Industries!$A$2:$A$140,0),0)</f>
        <v>Ultra-Cap</v>
      </c>
      <c r="G2223" t="str">
        <f ca="1">OFFSET(Industries!F$1,MATCH(Table1[[#This Row],[Ticker]],Industries!$A$2:$A$140,0),0)</f>
        <v>BBB</v>
      </c>
      <c r="H2223" t="s">
        <v>1434</v>
      </c>
      <c r="I2223" t="s">
        <v>1434</v>
      </c>
      <c r="J2223" s="2">
        <v>45394</v>
      </c>
      <c r="K2223" t="s">
        <v>2</v>
      </c>
      <c r="L2223" t="s">
        <v>1708</v>
      </c>
      <c r="M2223" t="s">
        <v>1709</v>
      </c>
      <c r="N2223" s="1"/>
      <c r="O2223" t="s">
        <v>518</v>
      </c>
      <c r="P2223" s="1">
        <v>7.0000000000000007E-2</v>
      </c>
      <c r="Q2223" s="1" t="s">
        <v>1636</v>
      </c>
      <c r="R2223" t="s">
        <v>24</v>
      </c>
      <c r="S2223" t="s">
        <v>1166</v>
      </c>
      <c r="T2223" t="s">
        <v>981</v>
      </c>
      <c r="U2223" s="1">
        <v>0.5</v>
      </c>
      <c r="V2223" t="s">
        <v>1332</v>
      </c>
    </row>
    <row r="2224" spans="1:22" x14ac:dyDescent="0.3">
      <c r="A2224" t="s">
        <v>1330</v>
      </c>
      <c r="B2224" t="str">
        <f ca="1">OFFSET(Industries!C$1,MATCH(Table1[[#This Row],[Ticker]],Industries!$A$2:$A$150,0),0)</f>
        <v>Real Estate</v>
      </c>
      <c r="C2224" t="str">
        <f ca="1">OFFSET(Industries!D$1,MATCH(Table1[[#This Row],[Ticker]],Industries!$A$2:$A$150,0),0)</f>
        <v>Equity Real Estate Investment Trusts (REITs)</v>
      </c>
      <c r="D2224" t="str">
        <f ca="1">OFFSET(Industries!E$1,MATCH(Table1[[#This Row],[Ticker]],Industries!$A$2:$A$150,0),0)</f>
        <v>Specialized REITs</v>
      </c>
      <c r="E2224" t="s">
        <v>910</v>
      </c>
      <c r="F2224" t="str">
        <f ca="1">OFFSET(Industries!B$1,MATCH(Table1[[#This Row],[Ticker]],Industries!$A$2:$A$140,0),0)</f>
        <v>Ultra-Cap</v>
      </c>
      <c r="G2224" t="str">
        <f ca="1">OFFSET(Industries!F$1,MATCH(Table1[[#This Row],[Ticker]],Industries!$A$2:$A$140,0),0)</f>
        <v>BBB</v>
      </c>
      <c r="H2224" t="s">
        <v>1434</v>
      </c>
      <c r="I2224" t="s">
        <v>1434</v>
      </c>
      <c r="J2224" s="2">
        <v>45394</v>
      </c>
      <c r="K2224" t="s">
        <v>2</v>
      </c>
      <c r="L2224" t="s">
        <v>1708</v>
      </c>
      <c r="M2224" t="s">
        <v>1709</v>
      </c>
      <c r="N2224" s="1"/>
      <c r="O2224" t="s">
        <v>518</v>
      </c>
      <c r="P2224" s="1">
        <v>7.0000000000000007E-2</v>
      </c>
      <c r="R2224" t="s">
        <v>28</v>
      </c>
      <c r="S2224" t="s">
        <v>1093</v>
      </c>
      <c r="T2224" t="s">
        <v>1331</v>
      </c>
      <c r="V2224" t="s">
        <v>1340</v>
      </c>
    </row>
    <row r="2225" spans="1:22" x14ac:dyDescent="0.3">
      <c r="A2225" t="s">
        <v>1330</v>
      </c>
      <c r="B2225" t="str">
        <f ca="1">OFFSET(Industries!C$1,MATCH(Table1[[#This Row],[Ticker]],Industries!$A$2:$A$150,0),0)</f>
        <v>Real Estate</v>
      </c>
      <c r="C2225" t="str">
        <f ca="1">OFFSET(Industries!D$1,MATCH(Table1[[#This Row],[Ticker]],Industries!$A$2:$A$150,0),0)</f>
        <v>Equity Real Estate Investment Trusts (REITs)</v>
      </c>
      <c r="D2225" t="str">
        <f ca="1">OFFSET(Industries!E$1,MATCH(Table1[[#This Row],[Ticker]],Industries!$A$2:$A$150,0),0)</f>
        <v>Specialized REITs</v>
      </c>
      <c r="E2225" t="s">
        <v>910</v>
      </c>
      <c r="F2225" t="str">
        <f ca="1">OFFSET(Industries!B$1,MATCH(Table1[[#This Row],[Ticker]],Industries!$A$2:$A$140,0),0)</f>
        <v>Ultra-Cap</v>
      </c>
      <c r="G2225" t="str">
        <f ca="1">OFFSET(Industries!F$1,MATCH(Table1[[#This Row],[Ticker]],Industries!$A$2:$A$140,0),0)</f>
        <v>BBB</v>
      </c>
      <c r="H2225" t="s">
        <v>1434</v>
      </c>
      <c r="I2225" t="s">
        <v>1434</v>
      </c>
      <c r="J2225" s="2">
        <v>45394</v>
      </c>
      <c r="K2225" t="s">
        <v>2</v>
      </c>
      <c r="L2225" t="s">
        <v>1708</v>
      </c>
      <c r="M2225" t="s">
        <v>1709</v>
      </c>
      <c r="N2225" s="1"/>
      <c r="O2225" t="s">
        <v>518</v>
      </c>
      <c r="P2225" s="1">
        <v>7.0000000000000007E-2</v>
      </c>
      <c r="R2225" t="s">
        <v>28</v>
      </c>
      <c r="S2225" t="s">
        <v>1167</v>
      </c>
      <c r="T2225" t="s">
        <v>7</v>
      </c>
    </row>
    <row r="2226" spans="1:22" x14ac:dyDescent="0.3">
      <c r="A2226" t="s">
        <v>1330</v>
      </c>
      <c r="B2226" t="str">
        <f ca="1">OFFSET(Industries!C$1,MATCH(Table1[[#This Row],[Ticker]],Industries!$A$2:$A$150,0),0)</f>
        <v>Real Estate</v>
      </c>
      <c r="C2226" t="str">
        <f ca="1">OFFSET(Industries!D$1,MATCH(Table1[[#This Row],[Ticker]],Industries!$A$2:$A$150,0),0)</f>
        <v>Equity Real Estate Investment Trusts (REITs)</v>
      </c>
      <c r="D2226" t="str">
        <f ca="1">OFFSET(Industries!E$1,MATCH(Table1[[#This Row],[Ticker]],Industries!$A$2:$A$150,0),0)</f>
        <v>Specialized REITs</v>
      </c>
      <c r="E2226" t="s">
        <v>910</v>
      </c>
      <c r="F2226" t="str">
        <f ca="1">OFFSET(Industries!B$1,MATCH(Table1[[#This Row],[Ticker]],Industries!$A$2:$A$140,0),0)</f>
        <v>Ultra-Cap</v>
      </c>
      <c r="G2226" t="str">
        <f ca="1">OFFSET(Industries!F$1,MATCH(Table1[[#This Row],[Ticker]],Industries!$A$2:$A$140,0),0)</f>
        <v>BBB</v>
      </c>
      <c r="H2226" t="s">
        <v>1434</v>
      </c>
      <c r="I2226" t="s">
        <v>1434</v>
      </c>
      <c r="J2226" s="2">
        <v>45394</v>
      </c>
      <c r="K2226" t="s">
        <v>2</v>
      </c>
      <c r="L2226" t="s">
        <v>1708</v>
      </c>
      <c r="M2226" t="s">
        <v>1709</v>
      </c>
      <c r="N2226" s="1"/>
      <c r="O2226" t="s">
        <v>518</v>
      </c>
      <c r="P2226" s="1">
        <v>7.0000000000000007E-2</v>
      </c>
      <c r="R2226" t="s">
        <v>28</v>
      </c>
      <c r="S2226" t="s">
        <v>1339</v>
      </c>
      <c r="T2226" t="s">
        <v>981</v>
      </c>
      <c r="V2226" t="s">
        <v>1335</v>
      </c>
    </row>
    <row r="2227" spans="1:22" x14ac:dyDescent="0.3">
      <c r="A2227" t="s">
        <v>1330</v>
      </c>
      <c r="B2227" t="str">
        <f ca="1">OFFSET(Industries!C$1,MATCH(Table1[[#This Row],[Ticker]],Industries!$A$2:$A$150,0),0)</f>
        <v>Real Estate</v>
      </c>
      <c r="C2227" t="str">
        <f ca="1">OFFSET(Industries!D$1,MATCH(Table1[[#This Row],[Ticker]],Industries!$A$2:$A$150,0),0)</f>
        <v>Equity Real Estate Investment Trusts (REITs)</v>
      </c>
      <c r="D2227" t="str">
        <f ca="1">OFFSET(Industries!E$1,MATCH(Table1[[#This Row],[Ticker]],Industries!$A$2:$A$150,0),0)</f>
        <v>Specialized REITs</v>
      </c>
      <c r="E2227" t="s">
        <v>910</v>
      </c>
      <c r="F2227" t="str">
        <f ca="1">OFFSET(Industries!B$1,MATCH(Table1[[#This Row],[Ticker]],Industries!$A$2:$A$140,0),0)</f>
        <v>Ultra-Cap</v>
      </c>
      <c r="G2227" t="str">
        <f ca="1">OFFSET(Industries!F$1,MATCH(Table1[[#This Row],[Ticker]],Industries!$A$2:$A$140,0),0)</f>
        <v>BBB</v>
      </c>
      <c r="H2227" t="s">
        <v>1434</v>
      </c>
      <c r="I2227" t="s">
        <v>1434</v>
      </c>
      <c r="J2227" s="2">
        <v>45394</v>
      </c>
      <c r="K2227" t="s">
        <v>2</v>
      </c>
      <c r="L2227" t="s">
        <v>1710</v>
      </c>
      <c r="M2227" t="s">
        <v>1709</v>
      </c>
      <c r="N2227" s="1">
        <f>Table1[[#This Row],[Consideration Weight]]</f>
        <v>0.53</v>
      </c>
      <c r="O2227" t="s">
        <v>476</v>
      </c>
      <c r="P2227" s="1">
        <v>0.53</v>
      </c>
      <c r="Q2227" s="1" t="s">
        <v>1646</v>
      </c>
      <c r="R2227" t="s">
        <v>35</v>
      </c>
      <c r="S2227" t="s">
        <v>29</v>
      </c>
      <c r="T2227" t="s">
        <v>30</v>
      </c>
      <c r="U2227" s="1">
        <v>0.33</v>
      </c>
      <c r="V2227" t="s">
        <v>1334</v>
      </c>
    </row>
    <row r="2228" spans="1:22" x14ac:dyDescent="0.3">
      <c r="A2228" t="s">
        <v>1330</v>
      </c>
      <c r="B2228" t="str">
        <f ca="1">OFFSET(Industries!C$1,MATCH(Table1[[#This Row],[Ticker]],Industries!$A$2:$A$150,0),0)</f>
        <v>Real Estate</v>
      </c>
      <c r="C2228" t="str">
        <f ca="1">OFFSET(Industries!D$1,MATCH(Table1[[#This Row],[Ticker]],Industries!$A$2:$A$150,0),0)</f>
        <v>Equity Real Estate Investment Trusts (REITs)</v>
      </c>
      <c r="D2228" t="str">
        <f ca="1">OFFSET(Industries!E$1,MATCH(Table1[[#This Row],[Ticker]],Industries!$A$2:$A$150,0),0)</f>
        <v>Specialized REITs</v>
      </c>
      <c r="E2228" t="s">
        <v>910</v>
      </c>
      <c r="F2228" t="str">
        <f ca="1">OFFSET(Industries!B$1,MATCH(Table1[[#This Row],[Ticker]],Industries!$A$2:$A$140,0),0)</f>
        <v>Ultra-Cap</v>
      </c>
      <c r="G2228" t="str">
        <f ca="1">OFFSET(Industries!F$1,MATCH(Table1[[#This Row],[Ticker]],Industries!$A$2:$A$140,0),0)</f>
        <v>BBB</v>
      </c>
      <c r="H2228" t="s">
        <v>1434</v>
      </c>
      <c r="I2228" t="s">
        <v>1434</v>
      </c>
      <c r="J2228" s="2">
        <v>45394</v>
      </c>
      <c r="K2228" t="s">
        <v>2</v>
      </c>
      <c r="L2228" t="s">
        <v>1710</v>
      </c>
      <c r="M2228" t="s">
        <v>1709</v>
      </c>
      <c r="N2228" s="1"/>
      <c r="O2228" t="s">
        <v>476</v>
      </c>
      <c r="P2228" s="1">
        <v>0.53</v>
      </c>
      <c r="Q2228" s="1" t="s">
        <v>1636</v>
      </c>
      <c r="R2228" t="s">
        <v>23</v>
      </c>
      <c r="S2228" t="s">
        <v>1083</v>
      </c>
      <c r="T2228" t="s">
        <v>7</v>
      </c>
      <c r="U2228" s="1">
        <v>0.25</v>
      </c>
      <c r="V2228" t="s">
        <v>1334</v>
      </c>
    </row>
    <row r="2229" spans="1:22" x14ac:dyDescent="0.3">
      <c r="A2229" t="s">
        <v>1330</v>
      </c>
      <c r="B2229" t="str">
        <f ca="1">OFFSET(Industries!C$1,MATCH(Table1[[#This Row],[Ticker]],Industries!$A$2:$A$150,0),0)</f>
        <v>Real Estate</v>
      </c>
      <c r="C2229" t="str">
        <f ca="1">OFFSET(Industries!D$1,MATCH(Table1[[#This Row],[Ticker]],Industries!$A$2:$A$150,0),0)</f>
        <v>Equity Real Estate Investment Trusts (REITs)</v>
      </c>
      <c r="D2229" t="str">
        <f ca="1">OFFSET(Industries!E$1,MATCH(Table1[[#This Row],[Ticker]],Industries!$A$2:$A$150,0),0)</f>
        <v>Specialized REITs</v>
      </c>
      <c r="E2229" t="s">
        <v>910</v>
      </c>
      <c r="F2229" t="str">
        <f ca="1">OFFSET(Industries!B$1,MATCH(Table1[[#This Row],[Ticker]],Industries!$A$2:$A$140,0),0)</f>
        <v>Ultra-Cap</v>
      </c>
      <c r="G2229" t="str">
        <f ca="1">OFFSET(Industries!F$1,MATCH(Table1[[#This Row],[Ticker]],Industries!$A$2:$A$140,0),0)</f>
        <v>BBB</v>
      </c>
      <c r="H2229" t="s">
        <v>1434</v>
      </c>
      <c r="I2229" t="s">
        <v>1434</v>
      </c>
      <c r="J2229" s="2">
        <v>45394</v>
      </c>
      <c r="K2229" t="s">
        <v>2</v>
      </c>
      <c r="L2229" t="s">
        <v>1710</v>
      </c>
      <c r="M2229" t="s">
        <v>1709</v>
      </c>
      <c r="N2229" s="1"/>
      <c r="O2229" t="s">
        <v>476</v>
      </c>
      <c r="P2229" s="1">
        <v>0.53</v>
      </c>
      <c r="Q2229" s="1" t="s">
        <v>1636</v>
      </c>
      <c r="R2229" t="s">
        <v>24</v>
      </c>
      <c r="S2229" t="s">
        <v>1166</v>
      </c>
      <c r="T2229" t="s">
        <v>981</v>
      </c>
      <c r="U2229" s="1">
        <v>0.25</v>
      </c>
      <c r="V2229" t="s">
        <v>417</v>
      </c>
    </row>
    <row r="2230" spans="1:22" x14ac:dyDescent="0.3">
      <c r="A2230" t="s">
        <v>1330</v>
      </c>
      <c r="B2230" t="str">
        <f ca="1">OFFSET(Industries!C$1,MATCH(Table1[[#This Row],[Ticker]],Industries!$A$2:$A$150,0),0)</f>
        <v>Real Estate</v>
      </c>
      <c r="C2230" t="str">
        <f ca="1">OFFSET(Industries!D$1,MATCH(Table1[[#This Row],[Ticker]],Industries!$A$2:$A$150,0),0)</f>
        <v>Equity Real Estate Investment Trusts (REITs)</v>
      </c>
      <c r="D2230" t="str">
        <f ca="1">OFFSET(Industries!E$1,MATCH(Table1[[#This Row],[Ticker]],Industries!$A$2:$A$150,0),0)</f>
        <v>Specialized REITs</v>
      </c>
      <c r="E2230" t="s">
        <v>910</v>
      </c>
      <c r="F2230" t="str">
        <f ca="1">OFFSET(Industries!B$1,MATCH(Table1[[#This Row],[Ticker]],Industries!$A$2:$A$140,0),0)</f>
        <v>Ultra-Cap</v>
      </c>
      <c r="G2230" t="str">
        <f ca="1">OFFSET(Industries!F$1,MATCH(Table1[[#This Row],[Ticker]],Industries!$A$2:$A$140,0),0)</f>
        <v>BBB</v>
      </c>
      <c r="H2230" t="s">
        <v>1434</v>
      </c>
      <c r="I2230" t="s">
        <v>1434</v>
      </c>
      <c r="J2230" s="2">
        <v>45394</v>
      </c>
      <c r="K2230" t="s">
        <v>2</v>
      </c>
      <c r="L2230" t="s">
        <v>1710</v>
      </c>
      <c r="M2230" t="s">
        <v>1709</v>
      </c>
      <c r="N2230" s="1"/>
      <c r="O2230" t="s">
        <v>476</v>
      </c>
      <c r="P2230" s="1">
        <v>0.53</v>
      </c>
      <c r="Q2230" s="1" t="s">
        <v>1636</v>
      </c>
      <c r="R2230" t="s">
        <v>23</v>
      </c>
      <c r="S2230" t="s">
        <v>1086</v>
      </c>
      <c r="T2230" t="s">
        <v>1336</v>
      </c>
      <c r="U2230" s="1">
        <v>0.17</v>
      </c>
      <c r="V2230" t="s">
        <v>1338</v>
      </c>
    </row>
    <row r="2231" spans="1:22" x14ac:dyDescent="0.3">
      <c r="A2231" t="s">
        <v>1330</v>
      </c>
      <c r="B2231" t="str">
        <f ca="1">OFFSET(Industries!C$1,MATCH(Table1[[#This Row],[Ticker]],Industries!$A$2:$A$150,0),0)</f>
        <v>Real Estate</v>
      </c>
      <c r="C2231" t="str">
        <f ca="1">OFFSET(Industries!D$1,MATCH(Table1[[#This Row],[Ticker]],Industries!$A$2:$A$150,0),0)</f>
        <v>Equity Real Estate Investment Trusts (REITs)</v>
      </c>
      <c r="D2231" t="str">
        <f ca="1">OFFSET(Industries!E$1,MATCH(Table1[[#This Row],[Ticker]],Industries!$A$2:$A$150,0),0)</f>
        <v>Specialized REITs</v>
      </c>
      <c r="E2231" t="s">
        <v>910</v>
      </c>
      <c r="F2231" t="str">
        <f ca="1">OFFSET(Industries!B$1,MATCH(Table1[[#This Row],[Ticker]],Industries!$A$2:$A$140,0),0)</f>
        <v>Ultra-Cap</v>
      </c>
      <c r="G2231" t="str">
        <f ca="1">OFFSET(Industries!F$1,MATCH(Table1[[#This Row],[Ticker]],Industries!$A$2:$A$140,0),0)</f>
        <v>BBB</v>
      </c>
      <c r="H2231" t="s">
        <v>1434</v>
      </c>
      <c r="I2231" t="s">
        <v>1434</v>
      </c>
      <c r="J2231" s="2">
        <v>45394</v>
      </c>
      <c r="K2231" t="s">
        <v>2</v>
      </c>
      <c r="L2231" t="s">
        <v>1710</v>
      </c>
      <c r="M2231" t="s">
        <v>1711</v>
      </c>
      <c r="N2231" s="1">
        <f>Table1[[#This Row],[Consideration Weight]]</f>
        <v>0.35</v>
      </c>
      <c r="O2231" t="s">
        <v>194</v>
      </c>
      <c r="P2231" s="1">
        <v>0.35</v>
      </c>
    </row>
    <row r="2232" spans="1:22" x14ac:dyDescent="0.3">
      <c r="A2232" t="s">
        <v>1330</v>
      </c>
      <c r="B2232" t="str">
        <f ca="1">OFFSET(Industries!C$1,MATCH(Table1[[#This Row],[Ticker]],Industries!$A$2:$A$150,0),0)</f>
        <v>Real Estate</v>
      </c>
      <c r="C2232" t="str">
        <f ca="1">OFFSET(Industries!D$1,MATCH(Table1[[#This Row],[Ticker]],Industries!$A$2:$A$150,0),0)</f>
        <v>Equity Real Estate Investment Trusts (REITs)</v>
      </c>
      <c r="D2232" t="str">
        <f ca="1">OFFSET(Industries!E$1,MATCH(Table1[[#This Row],[Ticker]],Industries!$A$2:$A$150,0),0)</f>
        <v>Specialized REITs</v>
      </c>
      <c r="E2232" t="s">
        <v>910</v>
      </c>
      <c r="F2232" t="str">
        <f ca="1">OFFSET(Industries!B$1,MATCH(Table1[[#This Row],[Ticker]],Industries!$A$2:$A$140,0),0)</f>
        <v>Ultra-Cap</v>
      </c>
      <c r="G2232" t="str">
        <f ca="1">OFFSET(Industries!F$1,MATCH(Table1[[#This Row],[Ticker]],Industries!$A$2:$A$140,0),0)</f>
        <v>BBB</v>
      </c>
      <c r="H2232" t="s">
        <v>1434</v>
      </c>
      <c r="I2232" t="s">
        <v>1434</v>
      </c>
      <c r="J2232" s="2">
        <v>45394</v>
      </c>
      <c r="K2232" t="s">
        <v>21</v>
      </c>
      <c r="L2232" t="s">
        <v>3</v>
      </c>
      <c r="M2232" t="s">
        <v>1711</v>
      </c>
      <c r="N2232" s="1">
        <f>Table1[[#This Row],[Consideration Weight]]</f>
        <v>0.08</v>
      </c>
      <c r="O2232" t="s">
        <v>3</v>
      </c>
      <c r="P2232" s="1">
        <v>0.08</v>
      </c>
    </row>
    <row r="2233" spans="1:22" x14ac:dyDescent="0.3">
      <c r="A2233" t="s">
        <v>1330</v>
      </c>
      <c r="B2233" t="str">
        <f ca="1">OFFSET(Industries!C$1,MATCH(Table1[[#This Row],[Ticker]],Industries!$A$2:$A$150,0),0)</f>
        <v>Real Estate</v>
      </c>
      <c r="C2233" t="str">
        <f ca="1">OFFSET(Industries!D$1,MATCH(Table1[[#This Row],[Ticker]],Industries!$A$2:$A$150,0),0)</f>
        <v>Equity Real Estate Investment Trusts (REITs)</v>
      </c>
      <c r="D2233" t="str">
        <f ca="1">OFFSET(Industries!E$1,MATCH(Table1[[#This Row],[Ticker]],Industries!$A$2:$A$150,0),0)</f>
        <v>Specialized REITs</v>
      </c>
      <c r="E2233" t="s">
        <v>910</v>
      </c>
      <c r="F2233" t="str">
        <f ca="1">OFFSET(Industries!B$1,MATCH(Table1[[#This Row],[Ticker]],Industries!$A$2:$A$140,0),0)</f>
        <v>Ultra-Cap</v>
      </c>
      <c r="G2233" t="str">
        <f ca="1">OFFSET(Industries!F$1,MATCH(Table1[[#This Row],[Ticker]],Industries!$A$2:$A$140,0),0)</f>
        <v>BBB</v>
      </c>
      <c r="H2233" t="s">
        <v>1434</v>
      </c>
      <c r="I2233" t="s">
        <v>1434</v>
      </c>
      <c r="J2233" s="2">
        <v>45394</v>
      </c>
      <c r="K2233" t="s">
        <v>21</v>
      </c>
      <c r="L2233" t="s">
        <v>1708</v>
      </c>
      <c r="M2233" t="s">
        <v>1709</v>
      </c>
      <c r="N2233" s="1">
        <f>Table1[[#This Row],[Consideration Weight]]</f>
        <v>7.0000000000000007E-2</v>
      </c>
      <c r="O2233" t="s">
        <v>518</v>
      </c>
      <c r="P2233" s="1">
        <v>7.0000000000000007E-2</v>
      </c>
      <c r="Q2233" s="1" t="s">
        <v>1636</v>
      </c>
      <c r="R2233" t="s">
        <v>23</v>
      </c>
      <c r="S2233" t="s">
        <v>1083</v>
      </c>
      <c r="T2233" t="s">
        <v>7</v>
      </c>
      <c r="U2233" s="1">
        <v>0.5</v>
      </c>
    </row>
    <row r="2234" spans="1:22" x14ac:dyDescent="0.3">
      <c r="A2234" t="s">
        <v>1330</v>
      </c>
      <c r="B2234" t="str">
        <f ca="1">OFFSET(Industries!C$1,MATCH(Table1[[#This Row],[Ticker]],Industries!$A$2:$A$150,0),0)</f>
        <v>Real Estate</v>
      </c>
      <c r="C2234" t="str">
        <f ca="1">OFFSET(Industries!D$1,MATCH(Table1[[#This Row],[Ticker]],Industries!$A$2:$A$150,0),0)</f>
        <v>Equity Real Estate Investment Trusts (REITs)</v>
      </c>
      <c r="D2234" t="str">
        <f ca="1">OFFSET(Industries!E$1,MATCH(Table1[[#This Row],[Ticker]],Industries!$A$2:$A$150,0),0)</f>
        <v>Specialized REITs</v>
      </c>
      <c r="E2234" t="s">
        <v>910</v>
      </c>
      <c r="F2234" t="str">
        <f ca="1">OFFSET(Industries!B$1,MATCH(Table1[[#This Row],[Ticker]],Industries!$A$2:$A$140,0),0)</f>
        <v>Ultra-Cap</v>
      </c>
      <c r="G2234" t="str">
        <f ca="1">OFFSET(Industries!F$1,MATCH(Table1[[#This Row],[Ticker]],Industries!$A$2:$A$140,0),0)</f>
        <v>BBB</v>
      </c>
      <c r="H2234" t="s">
        <v>1434</v>
      </c>
      <c r="I2234" t="s">
        <v>1434</v>
      </c>
      <c r="J2234" s="2">
        <v>45394</v>
      </c>
      <c r="K2234" t="s">
        <v>21</v>
      </c>
      <c r="L2234" t="s">
        <v>1708</v>
      </c>
      <c r="M2234" t="s">
        <v>1709</v>
      </c>
      <c r="N2234" s="1"/>
      <c r="O2234" t="s">
        <v>518</v>
      </c>
      <c r="P2234" s="1">
        <v>7.0000000000000007E-2</v>
      </c>
      <c r="Q2234" s="1" t="s">
        <v>1636</v>
      </c>
      <c r="R2234" t="s">
        <v>24</v>
      </c>
      <c r="S2234" t="s">
        <v>1166</v>
      </c>
      <c r="T2234" t="s">
        <v>981</v>
      </c>
      <c r="U2234" s="1">
        <v>0.5</v>
      </c>
    </row>
    <row r="2235" spans="1:22" x14ac:dyDescent="0.3">
      <c r="A2235" t="s">
        <v>1330</v>
      </c>
      <c r="B2235" t="str">
        <f ca="1">OFFSET(Industries!C$1,MATCH(Table1[[#This Row],[Ticker]],Industries!$A$2:$A$150,0),0)</f>
        <v>Real Estate</v>
      </c>
      <c r="C2235" t="str">
        <f ca="1">OFFSET(Industries!D$1,MATCH(Table1[[#This Row],[Ticker]],Industries!$A$2:$A$150,0),0)</f>
        <v>Equity Real Estate Investment Trusts (REITs)</v>
      </c>
      <c r="D2235" t="str">
        <f ca="1">OFFSET(Industries!E$1,MATCH(Table1[[#This Row],[Ticker]],Industries!$A$2:$A$150,0),0)</f>
        <v>Specialized REITs</v>
      </c>
      <c r="E2235" t="s">
        <v>910</v>
      </c>
      <c r="F2235" t="str">
        <f ca="1">OFFSET(Industries!B$1,MATCH(Table1[[#This Row],[Ticker]],Industries!$A$2:$A$140,0),0)</f>
        <v>Ultra-Cap</v>
      </c>
      <c r="G2235" t="str">
        <f ca="1">OFFSET(Industries!F$1,MATCH(Table1[[#This Row],[Ticker]],Industries!$A$2:$A$140,0),0)</f>
        <v>BBB</v>
      </c>
      <c r="H2235" t="s">
        <v>1434</v>
      </c>
      <c r="I2235" t="s">
        <v>1434</v>
      </c>
      <c r="J2235" s="2">
        <v>45394</v>
      </c>
      <c r="K2235" t="s">
        <v>21</v>
      </c>
      <c r="L2235" t="s">
        <v>1708</v>
      </c>
      <c r="M2235" t="s">
        <v>1709</v>
      </c>
      <c r="N2235" s="1"/>
      <c r="O2235" t="s">
        <v>518</v>
      </c>
      <c r="P2235" s="1">
        <v>7.0000000000000007E-2</v>
      </c>
      <c r="R2235" t="s">
        <v>28</v>
      </c>
      <c r="S2235" t="s">
        <v>1093</v>
      </c>
      <c r="T2235" t="s">
        <v>1331</v>
      </c>
    </row>
    <row r="2236" spans="1:22" x14ac:dyDescent="0.3">
      <c r="A2236" t="s">
        <v>1330</v>
      </c>
      <c r="B2236" t="str">
        <f ca="1">OFFSET(Industries!C$1,MATCH(Table1[[#This Row],[Ticker]],Industries!$A$2:$A$150,0),0)</f>
        <v>Real Estate</v>
      </c>
      <c r="C2236" t="str">
        <f ca="1">OFFSET(Industries!D$1,MATCH(Table1[[#This Row],[Ticker]],Industries!$A$2:$A$150,0),0)</f>
        <v>Equity Real Estate Investment Trusts (REITs)</v>
      </c>
      <c r="D2236" t="str">
        <f ca="1">OFFSET(Industries!E$1,MATCH(Table1[[#This Row],[Ticker]],Industries!$A$2:$A$150,0),0)</f>
        <v>Specialized REITs</v>
      </c>
      <c r="E2236" t="s">
        <v>910</v>
      </c>
      <c r="F2236" t="str">
        <f ca="1">OFFSET(Industries!B$1,MATCH(Table1[[#This Row],[Ticker]],Industries!$A$2:$A$140,0),0)</f>
        <v>Ultra-Cap</v>
      </c>
      <c r="G2236" t="str">
        <f ca="1">OFFSET(Industries!F$1,MATCH(Table1[[#This Row],[Ticker]],Industries!$A$2:$A$140,0),0)</f>
        <v>BBB</v>
      </c>
      <c r="H2236" t="s">
        <v>1434</v>
      </c>
      <c r="I2236" t="s">
        <v>1434</v>
      </c>
      <c r="J2236" s="2">
        <v>45394</v>
      </c>
      <c r="K2236" t="s">
        <v>21</v>
      </c>
      <c r="L2236" t="s">
        <v>1708</v>
      </c>
      <c r="M2236" t="s">
        <v>1709</v>
      </c>
      <c r="N2236" s="1"/>
      <c r="O2236" t="s">
        <v>518</v>
      </c>
      <c r="P2236" s="1">
        <v>7.0000000000000007E-2</v>
      </c>
      <c r="R2236" t="s">
        <v>28</v>
      </c>
      <c r="S2236" t="s">
        <v>1167</v>
      </c>
      <c r="T2236" t="s">
        <v>7</v>
      </c>
    </row>
    <row r="2237" spans="1:22" x14ac:dyDescent="0.3">
      <c r="A2237" t="s">
        <v>1330</v>
      </c>
      <c r="B2237" t="str">
        <f ca="1">OFFSET(Industries!C$1,MATCH(Table1[[#This Row],[Ticker]],Industries!$A$2:$A$150,0),0)</f>
        <v>Real Estate</v>
      </c>
      <c r="C2237" t="str">
        <f ca="1">OFFSET(Industries!D$1,MATCH(Table1[[#This Row],[Ticker]],Industries!$A$2:$A$150,0),0)</f>
        <v>Equity Real Estate Investment Trusts (REITs)</v>
      </c>
      <c r="D2237" t="str">
        <f ca="1">OFFSET(Industries!E$1,MATCH(Table1[[#This Row],[Ticker]],Industries!$A$2:$A$150,0),0)</f>
        <v>Specialized REITs</v>
      </c>
      <c r="E2237" t="s">
        <v>910</v>
      </c>
      <c r="F2237" t="str">
        <f ca="1">OFFSET(Industries!B$1,MATCH(Table1[[#This Row],[Ticker]],Industries!$A$2:$A$140,0),0)</f>
        <v>Ultra-Cap</v>
      </c>
      <c r="G2237" t="str">
        <f ca="1">OFFSET(Industries!F$1,MATCH(Table1[[#This Row],[Ticker]],Industries!$A$2:$A$140,0),0)</f>
        <v>BBB</v>
      </c>
      <c r="H2237" t="s">
        <v>1434</v>
      </c>
      <c r="I2237" t="s">
        <v>1434</v>
      </c>
      <c r="J2237" s="2">
        <v>45394</v>
      </c>
      <c r="K2237" t="s">
        <v>21</v>
      </c>
      <c r="L2237" t="s">
        <v>1708</v>
      </c>
      <c r="M2237" t="s">
        <v>1709</v>
      </c>
      <c r="N2237" s="1"/>
      <c r="O2237" t="s">
        <v>518</v>
      </c>
      <c r="P2237" s="1">
        <v>7.0000000000000007E-2</v>
      </c>
      <c r="R2237" t="s">
        <v>28</v>
      </c>
      <c r="S2237" t="s">
        <v>1339</v>
      </c>
      <c r="T2237" t="s">
        <v>981</v>
      </c>
    </row>
    <row r="2238" spans="1:22" x14ac:dyDescent="0.3">
      <c r="A2238" t="s">
        <v>1330</v>
      </c>
      <c r="B2238" t="str">
        <f ca="1">OFFSET(Industries!C$1,MATCH(Table1[[#This Row],[Ticker]],Industries!$A$2:$A$150,0),0)</f>
        <v>Real Estate</v>
      </c>
      <c r="C2238" t="str">
        <f ca="1">OFFSET(Industries!D$1,MATCH(Table1[[#This Row],[Ticker]],Industries!$A$2:$A$150,0),0)</f>
        <v>Equity Real Estate Investment Trusts (REITs)</v>
      </c>
      <c r="D2238" t="str">
        <f ca="1">OFFSET(Industries!E$1,MATCH(Table1[[#This Row],[Ticker]],Industries!$A$2:$A$150,0),0)</f>
        <v>Specialized REITs</v>
      </c>
      <c r="E2238" t="s">
        <v>910</v>
      </c>
      <c r="F2238" t="str">
        <f ca="1">OFFSET(Industries!B$1,MATCH(Table1[[#This Row],[Ticker]],Industries!$A$2:$A$140,0),0)</f>
        <v>Ultra-Cap</v>
      </c>
      <c r="G2238" t="str">
        <f ca="1">OFFSET(Industries!F$1,MATCH(Table1[[#This Row],[Ticker]],Industries!$A$2:$A$140,0),0)</f>
        <v>BBB</v>
      </c>
      <c r="H2238" t="s">
        <v>1434</v>
      </c>
      <c r="I2238" t="s">
        <v>1434</v>
      </c>
      <c r="J2238" s="2">
        <v>45394</v>
      </c>
      <c r="K2238" t="s">
        <v>21</v>
      </c>
      <c r="L2238" t="s">
        <v>1710</v>
      </c>
      <c r="M2238" t="s">
        <v>1709</v>
      </c>
      <c r="N2238" s="1">
        <f>Table1[[#This Row],[Consideration Weight]]</f>
        <v>0.51</v>
      </c>
      <c r="O2238" t="s">
        <v>476</v>
      </c>
      <c r="P2238" s="1">
        <v>0.51</v>
      </c>
      <c r="Q2238" s="1" t="s">
        <v>1646</v>
      </c>
      <c r="R2238" t="s">
        <v>35</v>
      </c>
      <c r="S2238" t="s">
        <v>29</v>
      </c>
      <c r="T2238" t="s">
        <v>30</v>
      </c>
      <c r="U2238" s="1">
        <v>0.33</v>
      </c>
    </row>
    <row r="2239" spans="1:22" x14ac:dyDescent="0.3">
      <c r="A2239" t="s">
        <v>1330</v>
      </c>
      <c r="B2239" t="str">
        <f ca="1">OFFSET(Industries!C$1,MATCH(Table1[[#This Row],[Ticker]],Industries!$A$2:$A$150,0),0)</f>
        <v>Real Estate</v>
      </c>
      <c r="C2239" t="str">
        <f ca="1">OFFSET(Industries!D$1,MATCH(Table1[[#This Row],[Ticker]],Industries!$A$2:$A$150,0),0)</f>
        <v>Equity Real Estate Investment Trusts (REITs)</v>
      </c>
      <c r="D2239" t="str">
        <f ca="1">OFFSET(Industries!E$1,MATCH(Table1[[#This Row],[Ticker]],Industries!$A$2:$A$150,0),0)</f>
        <v>Specialized REITs</v>
      </c>
      <c r="E2239" t="s">
        <v>910</v>
      </c>
      <c r="F2239" t="str">
        <f ca="1">OFFSET(Industries!B$1,MATCH(Table1[[#This Row],[Ticker]],Industries!$A$2:$A$140,0),0)</f>
        <v>Ultra-Cap</v>
      </c>
      <c r="G2239" t="str">
        <f ca="1">OFFSET(Industries!F$1,MATCH(Table1[[#This Row],[Ticker]],Industries!$A$2:$A$140,0),0)</f>
        <v>BBB</v>
      </c>
      <c r="H2239" t="s">
        <v>1434</v>
      </c>
      <c r="I2239" t="s">
        <v>1434</v>
      </c>
      <c r="J2239" s="2">
        <v>45394</v>
      </c>
      <c r="K2239" t="s">
        <v>21</v>
      </c>
      <c r="L2239" t="s">
        <v>1710</v>
      </c>
      <c r="M2239" t="s">
        <v>1709</v>
      </c>
      <c r="N2239" s="1"/>
      <c r="O2239" t="s">
        <v>476</v>
      </c>
      <c r="P2239" s="1">
        <v>0.51</v>
      </c>
      <c r="Q2239" s="1" t="s">
        <v>1636</v>
      </c>
      <c r="R2239" t="s">
        <v>23</v>
      </c>
      <c r="S2239" t="s">
        <v>1083</v>
      </c>
      <c r="T2239" t="s">
        <v>7</v>
      </c>
      <c r="U2239" s="1">
        <v>0.25</v>
      </c>
    </row>
    <row r="2240" spans="1:22" x14ac:dyDescent="0.3">
      <c r="A2240" t="s">
        <v>1330</v>
      </c>
      <c r="B2240" t="str">
        <f ca="1">OFFSET(Industries!C$1,MATCH(Table1[[#This Row],[Ticker]],Industries!$A$2:$A$150,0),0)</f>
        <v>Real Estate</v>
      </c>
      <c r="C2240" t="str">
        <f ca="1">OFFSET(Industries!D$1,MATCH(Table1[[#This Row],[Ticker]],Industries!$A$2:$A$150,0),0)</f>
        <v>Equity Real Estate Investment Trusts (REITs)</v>
      </c>
      <c r="D2240" t="str">
        <f ca="1">OFFSET(Industries!E$1,MATCH(Table1[[#This Row],[Ticker]],Industries!$A$2:$A$150,0),0)</f>
        <v>Specialized REITs</v>
      </c>
      <c r="E2240" t="s">
        <v>910</v>
      </c>
      <c r="F2240" t="str">
        <f ca="1">OFFSET(Industries!B$1,MATCH(Table1[[#This Row],[Ticker]],Industries!$A$2:$A$140,0),0)</f>
        <v>Ultra-Cap</v>
      </c>
      <c r="G2240" t="str">
        <f ca="1">OFFSET(Industries!F$1,MATCH(Table1[[#This Row],[Ticker]],Industries!$A$2:$A$140,0),0)</f>
        <v>BBB</v>
      </c>
      <c r="H2240" t="s">
        <v>1434</v>
      </c>
      <c r="I2240" t="s">
        <v>1434</v>
      </c>
      <c r="J2240" s="2">
        <v>45394</v>
      </c>
      <c r="K2240" t="s">
        <v>21</v>
      </c>
      <c r="L2240" t="s">
        <v>1710</v>
      </c>
      <c r="M2240" t="s">
        <v>1709</v>
      </c>
      <c r="N2240" s="1"/>
      <c r="O2240" t="s">
        <v>476</v>
      </c>
      <c r="P2240" s="1">
        <v>0.51</v>
      </c>
      <c r="Q2240" s="1" t="s">
        <v>1636</v>
      </c>
      <c r="R2240" t="s">
        <v>24</v>
      </c>
      <c r="S2240" t="s">
        <v>1166</v>
      </c>
      <c r="T2240" t="s">
        <v>981</v>
      </c>
      <c r="U2240" s="1">
        <v>0.25</v>
      </c>
    </row>
    <row r="2241" spans="1:22" x14ac:dyDescent="0.3">
      <c r="A2241" t="s">
        <v>1330</v>
      </c>
      <c r="B2241" t="str">
        <f ca="1">OFFSET(Industries!C$1,MATCH(Table1[[#This Row],[Ticker]],Industries!$A$2:$A$150,0),0)</f>
        <v>Real Estate</v>
      </c>
      <c r="C2241" t="str">
        <f ca="1">OFFSET(Industries!D$1,MATCH(Table1[[#This Row],[Ticker]],Industries!$A$2:$A$150,0),0)</f>
        <v>Equity Real Estate Investment Trusts (REITs)</v>
      </c>
      <c r="D2241" t="str">
        <f ca="1">OFFSET(Industries!E$1,MATCH(Table1[[#This Row],[Ticker]],Industries!$A$2:$A$150,0),0)</f>
        <v>Specialized REITs</v>
      </c>
      <c r="E2241" t="s">
        <v>910</v>
      </c>
      <c r="F2241" t="str">
        <f ca="1">OFFSET(Industries!B$1,MATCH(Table1[[#This Row],[Ticker]],Industries!$A$2:$A$140,0),0)</f>
        <v>Ultra-Cap</v>
      </c>
      <c r="G2241" t="str">
        <f ca="1">OFFSET(Industries!F$1,MATCH(Table1[[#This Row],[Ticker]],Industries!$A$2:$A$140,0),0)</f>
        <v>BBB</v>
      </c>
      <c r="H2241" t="s">
        <v>1434</v>
      </c>
      <c r="I2241" t="s">
        <v>1434</v>
      </c>
      <c r="J2241" s="2">
        <v>45394</v>
      </c>
      <c r="K2241" t="s">
        <v>21</v>
      </c>
      <c r="L2241" t="s">
        <v>1710</v>
      </c>
      <c r="M2241" t="s">
        <v>1709</v>
      </c>
      <c r="N2241" s="1"/>
      <c r="O2241" t="s">
        <v>476</v>
      </c>
      <c r="P2241" s="1">
        <v>0.51</v>
      </c>
      <c r="Q2241" s="1" t="s">
        <v>1636</v>
      </c>
      <c r="R2241" t="s">
        <v>23</v>
      </c>
      <c r="S2241" t="s">
        <v>1086</v>
      </c>
      <c r="T2241" t="s">
        <v>1336</v>
      </c>
      <c r="U2241" s="1">
        <v>0.17</v>
      </c>
    </row>
    <row r="2242" spans="1:22" x14ac:dyDescent="0.3">
      <c r="A2242" t="s">
        <v>1330</v>
      </c>
      <c r="B2242" t="str">
        <f ca="1">OFFSET(Industries!C$1,MATCH(Table1[[#This Row],[Ticker]],Industries!$A$2:$A$150,0),0)</f>
        <v>Real Estate</v>
      </c>
      <c r="C2242" t="str">
        <f ca="1">OFFSET(Industries!D$1,MATCH(Table1[[#This Row],[Ticker]],Industries!$A$2:$A$150,0),0)</f>
        <v>Equity Real Estate Investment Trusts (REITs)</v>
      </c>
      <c r="D2242" t="str">
        <f ca="1">OFFSET(Industries!E$1,MATCH(Table1[[#This Row],[Ticker]],Industries!$A$2:$A$150,0),0)</f>
        <v>Specialized REITs</v>
      </c>
      <c r="E2242" t="s">
        <v>910</v>
      </c>
      <c r="F2242" t="str">
        <f ca="1">OFFSET(Industries!B$1,MATCH(Table1[[#This Row],[Ticker]],Industries!$A$2:$A$140,0),0)</f>
        <v>Ultra-Cap</v>
      </c>
      <c r="G2242" t="str">
        <f ca="1">OFFSET(Industries!F$1,MATCH(Table1[[#This Row],[Ticker]],Industries!$A$2:$A$140,0),0)</f>
        <v>BBB</v>
      </c>
      <c r="H2242" t="s">
        <v>1434</v>
      </c>
      <c r="I2242" t="s">
        <v>1434</v>
      </c>
      <c r="J2242" s="2">
        <v>45394</v>
      </c>
      <c r="K2242" t="s">
        <v>21</v>
      </c>
      <c r="L2242" t="s">
        <v>1710</v>
      </c>
      <c r="M2242" t="s">
        <v>1711</v>
      </c>
      <c r="N2242" s="1">
        <f>Table1[[#This Row],[Consideration Weight]]</f>
        <v>0.34</v>
      </c>
      <c r="O2242" t="s">
        <v>194</v>
      </c>
      <c r="P2242" s="1">
        <v>0.34</v>
      </c>
    </row>
    <row r="2243" spans="1:22" x14ac:dyDescent="0.3">
      <c r="A2243">
        <v>2330</v>
      </c>
      <c r="B2243" t="str">
        <f ca="1">OFFSET(Industries!C$1,MATCH(Table1[[#This Row],[Ticker]],Industries!$A$2:$A$150,0),0)</f>
        <v>Information Technology</v>
      </c>
      <c r="C2243" t="str">
        <f ca="1">OFFSET(Industries!D$1,MATCH(Table1[[#This Row],[Ticker]],Industries!$A$2:$A$150,0),0)</f>
        <v>Semiconductors</v>
      </c>
      <c r="D2243" t="str">
        <f ca="1">OFFSET(Industries!E$1,MATCH(Table1[[#This Row],[Ticker]],Industries!$A$2:$A$150,0),0)</f>
        <v>Semiconductors</v>
      </c>
      <c r="E2243" t="s">
        <v>34</v>
      </c>
      <c r="F2243" t="s">
        <v>1342</v>
      </c>
      <c r="G2243" t="s">
        <v>1377</v>
      </c>
      <c r="H2243" t="s">
        <v>1435</v>
      </c>
      <c r="I2243" t="s">
        <v>1437</v>
      </c>
      <c r="J2243" s="2">
        <v>45400</v>
      </c>
      <c r="K2243" t="s">
        <v>2</v>
      </c>
      <c r="L2243" t="s">
        <v>3</v>
      </c>
      <c r="M2243" t="s">
        <v>1711</v>
      </c>
      <c r="N2243" s="1">
        <f>Table1[[#This Row],[Consideration Weight]]</f>
        <v>2.8000000000000001E-2</v>
      </c>
      <c r="O2243" t="s">
        <v>3</v>
      </c>
      <c r="P2243" s="1">
        <v>2.8000000000000001E-2</v>
      </c>
      <c r="V2243" t="s">
        <v>1390</v>
      </c>
    </row>
    <row r="2244" spans="1:22" x14ac:dyDescent="0.3">
      <c r="A2244">
        <v>2330</v>
      </c>
      <c r="B2244" t="str">
        <f ca="1">OFFSET(Industries!C$1,MATCH(Table1[[#This Row],[Ticker]],Industries!$A$2:$A$150,0),0)</f>
        <v>Information Technology</v>
      </c>
      <c r="C2244" t="str">
        <f ca="1">OFFSET(Industries!D$1,MATCH(Table1[[#This Row],[Ticker]],Industries!$A$2:$A$150,0),0)</f>
        <v>Semiconductors</v>
      </c>
      <c r="D2244" t="str">
        <f ca="1">OFFSET(Industries!E$1,MATCH(Table1[[#This Row],[Ticker]],Industries!$A$2:$A$150,0),0)</f>
        <v>Semiconductors</v>
      </c>
      <c r="E2244" t="s">
        <v>34</v>
      </c>
      <c r="F2244" t="s">
        <v>1342</v>
      </c>
      <c r="G2244" t="s">
        <v>1377</v>
      </c>
      <c r="H2244" t="s">
        <v>1435</v>
      </c>
      <c r="I2244" t="s">
        <v>1437</v>
      </c>
      <c r="J2244" s="2">
        <v>45400</v>
      </c>
      <c r="K2244" t="s">
        <v>2</v>
      </c>
      <c r="L2244" t="s">
        <v>508</v>
      </c>
      <c r="M2244" t="s">
        <v>1709</v>
      </c>
      <c r="N2244" s="1">
        <f>Table1[[#This Row],[Consideration Weight]]</f>
        <v>0.40500000000000003</v>
      </c>
      <c r="O2244" t="s">
        <v>508</v>
      </c>
      <c r="P2244" s="1">
        <v>0.40500000000000003</v>
      </c>
      <c r="Q2244" s="1" t="s">
        <v>1636</v>
      </c>
      <c r="R2244" t="s">
        <v>24</v>
      </c>
      <c r="S2244" t="s">
        <v>1098</v>
      </c>
      <c r="T2244" t="s">
        <v>1098</v>
      </c>
      <c r="U2244" s="1">
        <v>1</v>
      </c>
      <c r="V2244" t="s">
        <v>1391</v>
      </c>
    </row>
    <row r="2245" spans="1:22" x14ac:dyDescent="0.3">
      <c r="A2245">
        <v>2330</v>
      </c>
      <c r="B2245" t="str">
        <f ca="1">OFFSET(Industries!C$1,MATCH(Table1[[#This Row],[Ticker]],Industries!$A$2:$A$150,0),0)</f>
        <v>Information Technology</v>
      </c>
      <c r="C2245" t="str">
        <f ca="1">OFFSET(Industries!D$1,MATCH(Table1[[#This Row],[Ticker]],Industries!$A$2:$A$150,0),0)</f>
        <v>Semiconductors</v>
      </c>
      <c r="D2245" t="str">
        <f ca="1">OFFSET(Industries!E$1,MATCH(Table1[[#This Row],[Ticker]],Industries!$A$2:$A$150,0),0)</f>
        <v>Semiconductors</v>
      </c>
      <c r="E2245" t="s">
        <v>34</v>
      </c>
      <c r="F2245" t="s">
        <v>1342</v>
      </c>
      <c r="G2245" t="s">
        <v>1377</v>
      </c>
      <c r="H2245" t="s">
        <v>1435</v>
      </c>
      <c r="I2245" t="s">
        <v>1437</v>
      </c>
      <c r="J2245" s="2">
        <v>45400</v>
      </c>
      <c r="K2245" t="s">
        <v>2</v>
      </c>
      <c r="L2245" t="s">
        <v>1708</v>
      </c>
      <c r="M2245" t="s">
        <v>1709</v>
      </c>
      <c r="N2245" s="1">
        <f>Table1[[#This Row],[Consideration Weight]]</f>
        <v>0.40500000000000003</v>
      </c>
      <c r="O2245" t="s">
        <v>4</v>
      </c>
      <c r="P2245" s="1">
        <v>0.40500000000000003</v>
      </c>
      <c r="Q2245" s="1" t="s">
        <v>1636</v>
      </c>
      <c r="R2245" t="s">
        <v>24</v>
      </c>
      <c r="S2245" t="s">
        <v>1098</v>
      </c>
      <c r="T2245" t="s">
        <v>1098</v>
      </c>
      <c r="U2245" s="1">
        <v>1</v>
      </c>
      <c r="V2245" t="s">
        <v>1394</v>
      </c>
    </row>
    <row r="2246" spans="1:22" x14ac:dyDescent="0.3">
      <c r="A2246">
        <v>2330</v>
      </c>
      <c r="B2246" t="str">
        <f ca="1">OFFSET(Industries!C$1,MATCH(Table1[[#This Row],[Ticker]],Industries!$A$2:$A$150,0),0)</f>
        <v>Information Technology</v>
      </c>
      <c r="C2246" t="str">
        <f ca="1">OFFSET(Industries!D$1,MATCH(Table1[[#This Row],[Ticker]],Industries!$A$2:$A$150,0),0)</f>
        <v>Semiconductors</v>
      </c>
      <c r="D2246" t="str">
        <f ca="1">OFFSET(Industries!E$1,MATCH(Table1[[#This Row],[Ticker]],Industries!$A$2:$A$150,0),0)</f>
        <v>Semiconductors</v>
      </c>
      <c r="E2246" t="s">
        <v>34</v>
      </c>
      <c r="F2246" t="s">
        <v>1342</v>
      </c>
      <c r="G2246" t="s">
        <v>1377</v>
      </c>
      <c r="H2246" t="s">
        <v>1435</v>
      </c>
      <c r="I2246" t="s">
        <v>1437</v>
      </c>
      <c r="J2246" s="2">
        <v>45400</v>
      </c>
      <c r="K2246" t="s">
        <v>2</v>
      </c>
      <c r="L2246" t="s">
        <v>1710</v>
      </c>
      <c r="M2246" t="s">
        <v>1709</v>
      </c>
      <c r="N2246" s="1">
        <f>Table1[[#This Row],[Consideration Weight]]</f>
        <v>0.16200000000000001</v>
      </c>
      <c r="O2246" t="s">
        <v>476</v>
      </c>
      <c r="P2246" s="1">
        <v>0.16200000000000001</v>
      </c>
      <c r="Q2246" s="1" t="s">
        <v>1646</v>
      </c>
      <c r="R2246" t="s">
        <v>35</v>
      </c>
      <c r="S2246" t="s">
        <v>29</v>
      </c>
      <c r="T2246" t="s">
        <v>29</v>
      </c>
      <c r="U2246" s="1">
        <v>1</v>
      </c>
      <c r="V2246" t="s">
        <v>1393</v>
      </c>
    </row>
    <row r="2247" spans="1:22" x14ac:dyDescent="0.3">
      <c r="A2247">
        <v>2330</v>
      </c>
      <c r="B2247" t="str">
        <f ca="1">OFFSET(Industries!C$1,MATCH(Table1[[#This Row],[Ticker]],Industries!$A$2:$A$150,0),0)</f>
        <v>Information Technology</v>
      </c>
      <c r="C2247" t="str">
        <f ca="1">OFFSET(Industries!D$1,MATCH(Table1[[#This Row],[Ticker]],Industries!$A$2:$A$150,0),0)</f>
        <v>Semiconductors</v>
      </c>
      <c r="D2247" t="str">
        <f ca="1">OFFSET(Industries!E$1,MATCH(Table1[[#This Row],[Ticker]],Industries!$A$2:$A$150,0),0)</f>
        <v>Semiconductors</v>
      </c>
      <c r="E2247" t="s">
        <v>34</v>
      </c>
      <c r="F2247" t="s">
        <v>1342</v>
      </c>
      <c r="G2247" t="s">
        <v>1377</v>
      </c>
      <c r="H2247" t="s">
        <v>1435</v>
      </c>
      <c r="I2247" t="s">
        <v>1437</v>
      </c>
      <c r="J2247" s="2">
        <v>45400</v>
      </c>
      <c r="K2247" t="s">
        <v>2</v>
      </c>
      <c r="L2247" t="s">
        <v>1710</v>
      </c>
      <c r="M2247" t="s">
        <v>1709</v>
      </c>
      <c r="N2247" s="1"/>
      <c r="O2247" t="s">
        <v>476</v>
      </c>
      <c r="P2247" s="1">
        <v>0.16200000000000001</v>
      </c>
      <c r="R2247" t="s">
        <v>28</v>
      </c>
      <c r="S2247" t="s">
        <v>1093</v>
      </c>
      <c r="T2247" t="s">
        <v>1392</v>
      </c>
    </row>
    <row r="2248" spans="1:22" x14ac:dyDescent="0.3">
      <c r="A2248">
        <v>2330</v>
      </c>
      <c r="B2248" t="str">
        <f ca="1">OFFSET(Industries!C$1,MATCH(Table1[[#This Row],[Ticker]],Industries!$A$2:$A$150,0),0)</f>
        <v>Information Technology</v>
      </c>
      <c r="C2248" t="str">
        <f ca="1">OFFSET(Industries!D$1,MATCH(Table1[[#This Row],[Ticker]],Industries!$A$2:$A$150,0),0)</f>
        <v>Semiconductors</v>
      </c>
      <c r="D2248" t="str">
        <f ca="1">OFFSET(Industries!E$1,MATCH(Table1[[#This Row],[Ticker]],Industries!$A$2:$A$150,0),0)</f>
        <v>Semiconductors</v>
      </c>
      <c r="E2248" t="s">
        <v>34</v>
      </c>
      <c r="F2248" t="s">
        <v>1342</v>
      </c>
      <c r="G2248" t="s">
        <v>1377</v>
      </c>
      <c r="H2248" t="s">
        <v>1435</v>
      </c>
      <c r="I2248" t="s">
        <v>1437</v>
      </c>
      <c r="J2248" s="2">
        <v>45400</v>
      </c>
      <c r="K2248" t="s">
        <v>21</v>
      </c>
      <c r="L2248" t="s">
        <v>3</v>
      </c>
      <c r="M2248" t="s">
        <v>1711</v>
      </c>
      <c r="N2248" s="1">
        <f>Table1[[#This Row],[Consideration Weight]]</f>
        <v>0.06</v>
      </c>
      <c r="O2248" t="s">
        <v>3</v>
      </c>
      <c r="P2248" s="1">
        <v>0.06</v>
      </c>
    </row>
    <row r="2249" spans="1:22" x14ac:dyDescent="0.3">
      <c r="A2249">
        <v>2330</v>
      </c>
      <c r="B2249" t="str">
        <f ca="1">OFFSET(Industries!C$1,MATCH(Table1[[#This Row],[Ticker]],Industries!$A$2:$A$150,0),0)</f>
        <v>Information Technology</v>
      </c>
      <c r="C2249" t="str">
        <f ca="1">OFFSET(Industries!D$1,MATCH(Table1[[#This Row],[Ticker]],Industries!$A$2:$A$150,0),0)</f>
        <v>Semiconductors</v>
      </c>
      <c r="D2249" t="str">
        <f ca="1">OFFSET(Industries!E$1,MATCH(Table1[[#This Row],[Ticker]],Industries!$A$2:$A$150,0),0)</f>
        <v>Semiconductors</v>
      </c>
      <c r="E2249" t="s">
        <v>34</v>
      </c>
      <c r="F2249" t="s">
        <v>1342</v>
      </c>
      <c r="G2249" t="s">
        <v>1377</v>
      </c>
      <c r="H2249" t="s">
        <v>1435</v>
      </c>
      <c r="I2249" t="s">
        <v>1437</v>
      </c>
      <c r="J2249" s="2">
        <v>45400</v>
      </c>
      <c r="K2249" t="s">
        <v>21</v>
      </c>
      <c r="L2249" t="s">
        <v>508</v>
      </c>
      <c r="M2249" t="s">
        <v>1709</v>
      </c>
      <c r="N2249" s="1">
        <f>Table1[[#This Row],[Consideration Weight]]</f>
        <v>0.38</v>
      </c>
      <c r="O2249" t="s">
        <v>508</v>
      </c>
      <c r="P2249" s="1">
        <v>0.38</v>
      </c>
      <c r="Q2249" s="1" t="s">
        <v>1636</v>
      </c>
      <c r="R2249" t="s">
        <v>24</v>
      </c>
      <c r="S2249" t="s">
        <v>1098</v>
      </c>
      <c r="T2249" t="s">
        <v>1098</v>
      </c>
      <c r="U2249" s="1">
        <v>1</v>
      </c>
    </row>
    <row r="2250" spans="1:22" x14ac:dyDescent="0.3">
      <c r="A2250">
        <v>2330</v>
      </c>
      <c r="B2250" t="str">
        <f ca="1">OFFSET(Industries!C$1,MATCH(Table1[[#This Row],[Ticker]],Industries!$A$2:$A$150,0),0)</f>
        <v>Information Technology</v>
      </c>
      <c r="C2250" t="str">
        <f ca="1">OFFSET(Industries!D$1,MATCH(Table1[[#This Row],[Ticker]],Industries!$A$2:$A$150,0),0)</f>
        <v>Semiconductors</v>
      </c>
      <c r="D2250" t="str">
        <f ca="1">OFFSET(Industries!E$1,MATCH(Table1[[#This Row],[Ticker]],Industries!$A$2:$A$150,0),0)</f>
        <v>Semiconductors</v>
      </c>
      <c r="E2250" t="s">
        <v>34</v>
      </c>
      <c r="F2250" t="s">
        <v>1342</v>
      </c>
      <c r="G2250" t="s">
        <v>1377</v>
      </c>
      <c r="H2250" t="s">
        <v>1435</v>
      </c>
      <c r="I2250" t="s">
        <v>1437</v>
      </c>
      <c r="J2250" s="2">
        <v>45400</v>
      </c>
      <c r="K2250" t="s">
        <v>21</v>
      </c>
      <c r="L2250" t="s">
        <v>1708</v>
      </c>
      <c r="M2250" t="s">
        <v>1709</v>
      </c>
      <c r="N2250" s="1">
        <f>Table1[[#This Row],[Consideration Weight]]</f>
        <v>0.41699999999999998</v>
      </c>
      <c r="O2250" t="s">
        <v>4</v>
      </c>
      <c r="P2250" s="1">
        <v>0.41699999999999998</v>
      </c>
      <c r="Q2250" s="1" t="s">
        <v>1636</v>
      </c>
      <c r="R2250" t="s">
        <v>24</v>
      </c>
      <c r="S2250" t="s">
        <v>1098</v>
      </c>
      <c r="T2250" t="s">
        <v>1098</v>
      </c>
      <c r="U2250" s="1">
        <v>1</v>
      </c>
    </row>
    <row r="2251" spans="1:22" x14ac:dyDescent="0.3">
      <c r="A2251">
        <v>2330</v>
      </c>
      <c r="B2251" t="str">
        <f ca="1">OFFSET(Industries!C$1,MATCH(Table1[[#This Row],[Ticker]],Industries!$A$2:$A$150,0),0)</f>
        <v>Information Technology</v>
      </c>
      <c r="C2251" t="str">
        <f ca="1">OFFSET(Industries!D$1,MATCH(Table1[[#This Row],[Ticker]],Industries!$A$2:$A$150,0),0)</f>
        <v>Semiconductors</v>
      </c>
      <c r="D2251" t="str">
        <f ca="1">OFFSET(Industries!E$1,MATCH(Table1[[#This Row],[Ticker]],Industries!$A$2:$A$150,0),0)</f>
        <v>Semiconductors</v>
      </c>
      <c r="E2251" t="s">
        <v>34</v>
      </c>
      <c r="F2251" t="s">
        <v>1342</v>
      </c>
      <c r="G2251" t="s">
        <v>1377</v>
      </c>
      <c r="H2251" t="s">
        <v>1435</v>
      </c>
      <c r="I2251" t="s">
        <v>1437</v>
      </c>
      <c r="J2251" s="2">
        <v>45400</v>
      </c>
      <c r="K2251" t="s">
        <v>21</v>
      </c>
      <c r="L2251" t="s">
        <v>1710</v>
      </c>
      <c r="M2251" t="s">
        <v>1709</v>
      </c>
      <c r="N2251" s="1">
        <f>Table1[[#This Row],[Consideration Weight]]</f>
        <v>0.14299999999999999</v>
      </c>
      <c r="O2251" t="s">
        <v>476</v>
      </c>
      <c r="P2251" s="1">
        <v>0.14299999999999999</v>
      </c>
      <c r="Q2251" s="1" t="s">
        <v>1646</v>
      </c>
      <c r="R2251" t="s">
        <v>35</v>
      </c>
      <c r="S2251" t="s">
        <v>29</v>
      </c>
      <c r="T2251" t="s">
        <v>29</v>
      </c>
      <c r="U2251" s="1">
        <v>1</v>
      </c>
    </row>
    <row r="2252" spans="1:22" x14ac:dyDescent="0.3">
      <c r="A2252">
        <v>2330</v>
      </c>
      <c r="B2252" t="str">
        <f ca="1">OFFSET(Industries!C$1,MATCH(Table1[[#This Row],[Ticker]],Industries!$A$2:$A$150,0),0)</f>
        <v>Information Technology</v>
      </c>
      <c r="C2252" t="str">
        <f ca="1">OFFSET(Industries!D$1,MATCH(Table1[[#This Row],[Ticker]],Industries!$A$2:$A$150,0),0)</f>
        <v>Semiconductors</v>
      </c>
      <c r="D2252" t="str">
        <f ca="1">OFFSET(Industries!E$1,MATCH(Table1[[#This Row],[Ticker]],Industries!$A$2:$A$150,0),0)</f>
        <v>Semiconductors</v>
      </c>
      <c r="E2252" t="s">
        <v>34</v>
      </c>
      <c r="F2252" t="s">
        <v>1342</v>
      </c>
      <c r="G2252" t="s">
        <v>1377</v>
      </c>
      <c r="H2252" t="s">
        <v>1435</v>
      </c>
      <c r="I2252" t="s">
        <v>1437</v>
      </c>
      <c r="J2252" s="2">
        <v>45400</v>
      </c>
      <c r="K2252" t="s">
        <v>21</v>
      </c>
      <c r="L2252" t="s">
        <v>1710</v>
      </c>
      <c r="M2252" t="s">
        <v>1709</v>
      </c>
      <c r="N2252" s="1"/>
      <c r="O2252" t="s">
        <v>476</v>
      </c>
      <c r="P2252" s="1">
        <v>0.14299999999999999</v>
      </c>
      <c r="R2252" t="s">
        <v>28</v>
      </c>
      <c r="S2252" t="s">
        <v>1093</v>
      </c>
      <c r="T2252" t="s">
        <v>1392</v>
      </c>
    </row>
    <row r="2253" spans="1:22" x14ac:dyDescent="0.3">
      <c r="A2253" t="s">
        <v>1345</v>
      </c>
      <c r="B2253" t="str">
        <f ca="1">OFFSET(Industries!C$1,MATCH(Table1[[#This Row],[Ticker]],Industries!$A$2:$A$150,0),0)</f>
        <v>Health Care</v>
      </c>
      <c r="C2253" t="str">
        <f ca="1">OFFSET(Industries!D$1,MATCH(Table1[[#This Row],[Ticker]],Industries!$A$2:$A$150,0),0)</f>
        <v>Pharmaceuticals, Biotechnology and Life Sciences</v>
      </c>
      <c r="D2253" t="str">
        <f ca="1">OFFSET(Industries!E$1,MATCH(Table1[[#This Row],[Ticker]],Industries!$A$2:$A$150,0),0)</f>
        <v>Pharmaceuticals</v>
      </c>
      <c r="E2253" t="s">
        <v>49</v>
      </c>
      <c r="F2253" t="str">
        <f ca="1">OFFSET(Industries!B$1,MATCH(Table1[[#This Row],[Ticker]],Industries!$A$2:$A$140,0),0)</f>
        <v>Mega-Cap</v>
      </c>
      <c r="G2253" t="str">
        <f ca="1">OFFSET(Industries!F$1,MATCH(Table1[[#This Row],[Ticker]],Industries!$A$2:$A$140,0),0)</f>
        <v>AA-</v>
      </c>
      <c r="H2253" t="s">
        <v>1438</v>
      </c>
      <c r="I2253" t="s">
        <v>1439</v>
      </c>
      <c r="J2253" s="2">
        <v>45322</v>
      </c>
      <c r="K2253" t="s">
        <v>2</v>
      </c>
      <c r="L2253" t="s">
        <v>3</v>
      </c>
      <c r="M2253" t="s">
        <v>1711</v>
      </c>
      <c r="N2253" s="1">
        <f>Table1[[#This Row],[Consideration Weight]]</f>
        <v>0.31</v>
      </c>
      <c r="O2253" t="s">
        <v>3</v>
      </c>
      <c r="P2253" s="1">
        <v>0.31</v>
      </c>
      <c r="V2253" t="s">
        <v>584</v>
      </c>
    </row>
    <row r="2254" spans="1:22" x14ac:dyDescent="0.3">
      <c r="A2254" t="s">
        <v>1345</v>
      </c>
      <c r="B2254" t="str">
        <f ca="1">OFFSET(Industries!C$1,MATCH(Table1[[#This Row],[Ticker]],Industries!$A$2:$A$150,0),0)</f>
        <v>Health Care</v>
      </c>
      <c r="C2254" t="str">
        <f ca="1">OFFSET(Industries!D$1,MATCH(Table1[[#This Row],[Ticker]],Industries!$A$2:$A$150,0),0)</f>
        <v>Pharmaceuticals, Biotechnology and Life Sciences</v>
      </c>
      <c r="D2254" t="str">
        <f ca="1">OFFSET(Industries!E$1,MATCH(Table1[[#This Row],[Ticker]],Industries!$A$2:$A$150,0),0)</f>
        <v>Pharmaceuticals</v>
      </c>
      <c r="E2254" t="s">
        <v>49</v>
      </c>
      <c r="F2254" t="str">
        <f ca="1">OFFSET(Industries!B$1,MATCH(Table1[[#This Row],[Ticker]],Industries!$A$2:$A$140,0),0)</f>
        <v>Mega-Cap</v>
      </c>
      <c r="G2254" t="str">
        <f ca="1">OFFSET(Industries!F$1,MATCH(Table1[[#This Row],[Ticker]],Industries!$A$2:$A$140,0),0)</f>
        <v>AA-</v>
      </c>
      <c r="H2254" t="s">
        <v>1438</v>
      </c>
      <c r="I2254" t="s">
        <v>1439</v>
      </c>
      <c r="J2254" s="2">
        <v>45322</v>
      </c>
      <c r="K2254" t="s">
        <v>2</v>
      </c>
      <c r="L2254" t="s">
        <v>1708</v>
      </c>
      <c r="M2254" t="s">
        <v>1709</v>
      </c>
      <c r="N2254" s="1">
        <f>Table1[[#This Row],[Consideration Weight]]</f>
        <v>0.15</v>
      </c>
      <c r="O2254" t="s">
        <v>4</v>
      </c>
      <c r="P2254" s="1">
        <v>0.15</v>
      </c>
      <c r="Q2254" s="1" t="s">
        <v>1636</v>
      </c>
      <c r="R2254" t="s">
        <v>23</v>
      </c>
      <c r="S2254" t="s">
        <v>1083</v>
      </c>
      <c r="T2254" t="s">
        <v>226</v>
      </c>
      <c r="U2254" s="1">
        <v>0.25</v>
      </c>
      <c r="V2254" t="s">
        <v>584</v>
      </c>
    </row>
    <row r="2255" spans="1:22" x14ac:dyDescent="0.3">
      <c r="A2255" t="s">
        <v>1345</v>
      </c>
      <c r="B2255" t="str">
        <f ca="1">OFFSET(Industries!C$1,MATCH(Table1[[#This Row],[Ticker]],Industries!$A$2:$A$150,0),0)</f>
        <v>Health Care</v>
      </c>
      <c r="C2255" t="str">
        <f ca="1">OFFSET(Industries!D$1,MATCH(Table1[[#This Row],[Ticker]],Industries!$A$2:$A$150,0),0)</f>
        <v>Pharmaceuticals, Biotechnology and Life Sciences</v>
      </c>
      <c r="D2255" t="str">
        <f ca="1">OFFSET(Industries!E$1,MATCH(Table1[[#This Row],[Ticker]],Industries!$A$2:$A$150,0),0)</f>
        <v>Pharmaceuticals</v>
      </c>
      <c r="E2255" t="s">
        <v>49</v>
      </c>
      <c r="F2255" t="str">
        <f ca="1">OFFSET(Industries!B$1,MATCH(Table1[[#This Row],[Ticker]],Industries!$A$2:$A$140,0),0)</f>
        <v>Mega-Cap</v>
      </c>
      <c r="G2255" t="str">
        <f ca="1">OFFSET(Industries!F$1,MATCH(Table1[[#This Row],[Ticker]],Industries!$A$2:$A$140,0),0)</f>
        <v>AA-</v>
      </c>
      <c r="H2255" t="s">
        <v>1438</v>
      </c>
      <c r="I2255" t="s">
        <v>1439</v>
      </c>
      <c r="J2255" s="2">
        <v>45322</v>
      </c>
      <c r="K2255" t="s">
        <v>2</v>
      </c>
      <c r="L2255" t="s">
        <v>1708</v>
      </c>
      <c r="M2255" t="s">
        <v>1709</v>
      </c>
      <c r="N2255" s="1"/>
      <c r="O2255" t="s">
        <v>4</v>
      </c>
      <c r="P2255" s="1">
        <v>0.15</v>
      </c>
      <c r="Q2255" s="1" t="s">
        <v>1636</v>
      </c>
      <c r="R2255" t="s">
        <v>24</v>
      </c>
      <c r="S2255" t="s">
        <v>90</v>
      </c>
      <c r="T2255" t="s">
        <v>732</v>
      </c>
      <c r="U2255" s="1">
        <v>0.25</v>
      </c>
      <c r="V2255" t="s">
        <v>1657</v>
      </c>
    </row>
    <row r="2256" spans="1:22" x14ac:dyDescent="0.3">
      <c r="A2256" t="s">
        <v>1345</v>
      </c>
      <c r="B2256" t="str">
        <f ca="1">OFFSET(Industries!C$1,MATCH(Table1[[#This Row],[Ticker]],Industries!$A$2:$A$150,0),0)</f>
        <v>Health Care</v>
      </c>
      <c r="C2256" t="str">
        <f ca="1">OFFSET(Industries!D$1,MATCH(Table1[[#This Row],[Ticker]],Industries!$A$2:$A$150,0),0)</f>
        <v>Pharmaceuticals, Biotechnology and Life Sciences</v>
      </c>
      <c r="D2256" t="str">
        <f ca="1">OFFSET(Industries!E$1,MATCH(Table1[[#This Row],[Ticker]],Industries!$A$2:$A$150,0),0)</f>
        <v>Pharmaceuticals</v>
      </c>
      <c r="E2256" t="s">
        <v>49</v>
      </c>
      <c r="F2256" t="str">
        <f ca="1">OFFSET(Industries!B$1,MATCH(Table1[[#This Row],[Ticker]],Industries!$A$2:$A$140,0),0)</f>
        <v>Mega-Cap</v>
      </c>
      <c r="G2256" t="str">
        <f ca="1">OFFSET(Industries!F$1,MATCH(Table1[[#This Row],[Ticker]],Industries!$A$2:$A$140,0),0)</f>
        <v>AA-</v>
      </c>
      <c r="H2256" t="s">
        <v>1438</v>
      </c>
      <c r="I2256" t="s">
        <v>1439</v>
      </c>
      <c r="J2256" s="2">
        <v>45322</v>
      </c>
      <c r="K2256" t="s">
        <v>2</v>
      </c>
      <c r="L2256" t="s">
        <v>1708</v>
      </c>
      <c r="M2256" t="s">
        <v>1709</v>
      </c>
      <c r="N2256" s="1"/>
      <c r="O2256" t="s">
        <v>4</v>
      </c>
      <c r="P2256" s="1">
        <v>0.15</v>
      </c>
      <c r="Q2256" s="1" t="s">
        <v>1637</v>
      </c>
      <c r="R2256" t="s">
        <v>26</v>
      </c>
      <c r="S2256" t="s">
        <v>26</v>
      </c>
      <c r="T2256" t="s">
        <v>1662</v>
      </c>
      <c r="U2256" s="1">
        <f>0.25/2</f>
        <v>0.125</v>
      </c>
    </row>
    <row r="2257" spans="1:22" x14ac:dyDescent="0.3">
      <c r="A2257" t="s">
        <v>1345</v>
      </c>
      <c r="B2257" t="str">
        <f ca="1">OFFSET(Industries!C$1,MATCH(Table1[[#This Row],[Ticker]],Industries!$A$2:$A$150,0),0)</f>
        <v>Health Care</v>
      </c>
      <c r="C2257" t="str">
        <f ca="1">OFFSET(Industries!D$1,MATCH(Table1[[#This Row],[Ticker]],Industries!$A$2:$A$150,0),0)</f>
        <v>Pharmaceuticals, Biotechnology and Life Sciences</v>
      </c>
      <c r="D2257" t="str">
        <f ca="1">OFFSET(Industries!E$1,MATCH(Table1[[#This Row],[Ticker]],Industries!$A$2:$A$150,0),0)</f>
        <v>Pharmaceuticals</v>
      </c>
      <c r="E2257" t="s">
        <v>49</v>
      </c>
      <c r="F2257" t="str">
        <f ca="1">OFFSET(Industries!B$1,MATCH(Table1[[#This Row],[Ticker]],Industries!$A$2:$A$140,0),0)</f>
        <v>Mega-Cap</v>
      </c>
      <c r="G2257" t="str">
        <f ca="1">OFFSET(Industries!F$1,MATCH(Table1[[#This Row],[Ticker]],Industries!$A$2:$A$140,0),0)</f>
        <v>AA-</v>
      </c>
      <c r="H2257" t="s">
        <v>1438</v>
      </c>
      <c r="I2257" t="s">
        <v>1439</v>
      </c>
      <c r="J2257" s="2">
        <v>45322</v>
      </c>
      <c r="K2257" t="s">
        <v>2</v>
      </c>
      <c r="L2257" t="s">
        <v>1708</v>
      </c>
      <c r="M2257" t="s">
        <v>1709</v>
      </c>
      <c r="N2257" s="1"/>
      <c r="O2257" t="s">
        <v>4</v>
      </c>
      <c r="P2257" s="1">
        <v>0.15</v>
      </c>
      <c r="Q2257" s="1" t="s">
        <v>1637</v>
      </c>
      <c r="R2257" t="s">
        <v>25</v>
      </c>
      <c r="S2257" t="s">
        <v>344</v>
      </c>
      <c r="T2257" t="s">
        <v>1658</v>
      </c>
      <c r="U2257" s="1">
        <f>0.25/2</f>
        <v>0.125</v>
      </c>
    </row>
    <row r="2258" spans="1:22" x14ac:dyDescent="0.3">
      <c r="A2258" t="s">
        <v>1345</v>
      </c>
      <c r="B2258" t="str">
        <f ca="1">OFFSET(Industries!C$1,MATCH(Table1[[#This Row],[Ticker]],Industries!$A$2:$A$150,0),0)</f>
        <v>Health Care</v>
      </c>
      <c r="C2258" t="str">
        <f ca="1">OFFSET(Industries!D$1,MATCH(Table1[[#This Row],[Ticker]],Industries!$A$2:$A$150,0),0)</f>
        <v>Pharmaceuticals, Biotechnology and Life Sciences</v>
      </c>
      <c r="D2258" t="str">
        <f ca="1">OFFSET(Industries!E$1,MATCH(Table1[[#This Row],[Ticker]],Industries!$A$2:$A$150,0),0)</f>
        <v>Pharmaceuticals</v>
      </c>
      <c r="E2258" t="s">
        <v>49</v>
      </c>
      <c r="F2258" t="str">
        <f ca="1">OFFSET(Industries!B$1,MATCH(Table1[[#This Row],[Ticker]],Industries!$A$2:$A$140,0),0)</f>
        <v>Mega-Cap</v>
      </c>
      <c r="G2258" t="str">
        <f ca="1">OFFSET(Industries!F$1,MATCH(Table1[[#This Row],[Ticker]],Industries!$A$2:$A$140,0),0)</f>
        <v>AA-</v>
      </c>
      <c r="H2258" t="s">
        <v>1438</v>
      </c>
      <c r="I2258" t="s">
        <v>1439</v>
      </c>
      <c r="J2258" s="2">
        <v>45322</v>
      </c>
      <c r="K2258" t="s">
        <v>2</v>
      </c>
      <c r="L2258" t="s">
        <v>1708</v>
      </c>
      <c r="M2258" t="s">
        <v>1709</v>
      </c>
      <c r="N2258" s="1"/>
      <c r="O2258" t="s">
        <v>4</v>
      </c>
      <c r="P2258" s="1">
        <v>0.15</v>
      </c>
      <c r="Q2258" s="1" t="s">
        <v>1637</v>
      </c>
      <c r="R2258" t="s">
        <v>332</v>
      </c>
      <c r="S2258" t="s">
        <v>380</v>
      </c>
      <c r="T2258" t="s">
        <v>380</v>
      </c>
      <c r="U2258" s="1">
        <v>0.25</v>
      </c>
      <c r="V2258" t="s">
        <v>231</v>
      </c>
    </row>
    <row r="2259" spans="1:22" x14ac:dyDescent="0.3">
      <c r="A2259" t="s">
        <v>1345</v>
      </c>
      <c r="B2259" t="str">
        <f ca="1">OFFSET(Industries!C$1,MATCH(Table1[[#This Row],[Ticker]],Industries!$A$2:$A$150,0),0)</f>
        <v>Health Care</v>
      </c>
      <c r="C2259" t="str">
        <f ca="1">OFFSET(Industries!D$1,MATCH(Table1[[#This Row],[Ticker]],Industries!$A$2:$A$150,0),0)</f>
        <v>Pharmaceuticals, Biotechnology and Life Sciences</v>
      </c>
      <c r="D2259" t="str">
        <f ca="1">OFFSET(Industries!E$1,MATCH(Table1[[#This Row],[Ticker]],Industries!$A$2:$A$150,0),0)</f>
        <v>Pharmaceuticals</v>
      </c>
      <c r="E2259" t="s">
        <v>49</v>
      </c>
      <c r="F2259" t="str">
        <f ca="1">OFFSET(Industries!B$1,MATCH(Table1[[#This Row],[Ticker]],Industries!$A$2:$A$140,0),0)</f>
        <v>Mega-Cap</v>
      </c>
      <c r="G2259" t="str">
        <f ca="1">OFFSET(Industries!F$1,MATCH(Table1[[#This Row],[Ticker]],Industries!$A$2:$A$140,0),0)</f>
        <v>AA-</v>
      </c>
      <c r="H2259" t="s">
        <v>1438</v>
      </c>
      <c r="I2259" t="s">
        <v>1439</v>
      </c>
      <c r="J2259" s="2">
        <v>45322</v>
      </c>
      <c r="K2259" t="s">
        <v>2</v>
      </c>
      <c r="L2259" t="s">
        <v>1710</v>
      </c>
      <c r="M2259" t="s">
        <v>1709</v>
      </c>
      <c r="N2259" s="1">
        <f>Table1[[#This Row],[Consideration Weight]]</f>
        <v>0.54</v>
      </c>
      <c r="O2259" t="s">
        <v>476</v>
      </c>
      <c r="P2259" s="1">
        <v>0.54</v>
      </c>
      <c r="Q2259" s="1" t="s">
        <v>1636</v>
      </c>
      <c r="R2259" t="s">
        <v>23</v>
      </c>
      <c r="S2259" t="s">
        <v>1083</v>
      </c>
      <c r="T2259" t="s">
        <v>437</v>
      </c>
      <c r="U2259" s="1">
        <f>1/3</f>
        <v>0.33333333333333331</v>
      </c>
      <c r="V2259" t="s">
        <v>231</v>
      </c>
    </row>
    <row r="2260" spans="1:22" x14ac:dyDescent="0.3">
      <c r="A2260" t="s">
        <v>1345</v>
      </c>
      <c r="B2260" t="str">
        <f ca="1">OFFSET(Industries!C$1,MATCH(Table1[[#This Row],[Ticker]],Industries!$A$2:$A$150,0),0)</f>
        <v>Health Care</v>
      </c>
      <c r="C2260" t="str">
        <f ca="1">OFFSET(Industries!D$1,MATCH(Table1[[#This Row],[Ticker]],Industries!$A$2:$A$150,0),0)</f>
        <v>Pharmaceuticals, Biotechnology and Life Sciences</v>
      </c>
      <c r="D2260" t="str">
        <f ca="1">OFFSET(Industries!E$1,MATCH(Table1[[#This Row],[Ticker]],Industries!$A$2:$A$150,0),0)</f>
        <v>Pharmaceuticals</v>
      </c>
      <c r="E2260" t="s">
        <v>49</v>
      </c>
      <c r="F2260" t="str">
        <f ca="1">OFFSET(Industries!B$1,MATCH(Table1[[#This Row],[Ticker]],Industries!$A$2:$A$140,0),0)</f>
        <v>Mega-Cap</v>
      </c>
      <c r="G2260" t="str">
        <f ca="1">OFFSET(Industries!F$1,MATCH(Table1[[#This Row],[Ticker]],Industries!$A$2:$A$140,0),0)</f>
        <v>AA-</v>
      </c>
      <c r="H2260" t="s">
        <v>1438</v>
      </c>
      <c r="I2260" t="s">
        <v>1439</v>
      </c>
      <c r="J2260" s="2">
        <v>45322</v>
      </c>
      <c r="K2260" t="s">
        <v>2</v>
      </c>
      <c r="L2260" t="s">
        <v>1710</v>
      </c>
      <c r="M2260" t="s">
        <v>1709</v>
      </c>
      <c r="N2260" s="1"/>
      <c r="O2260" t="s">
        <v>476</v>
      </c>
      <c r="P2260" s="1">
        <v>0.54</v>
      </c>
      <c r="Q2260" s="1" t="s">
        <v>1636</v>
      </c>
      <c r="R2260" t="s">
        <v>24</v>
      </c>
      <c r="S2260" t="s">
        <v>90</v>
      </c>
      <c r="T2260" t="s">
        <v>1396</v>
      </c>
      <c r="U2260" s="1">
        <f>1/3</f>
        <v>0.33333333333333331</v>
      </c>
      <c r="V2260" t="s">
        <v>1659</v>
      </c>
    </row>
    <row r="2261" spans="1:22" x14ac:dyDescent="0.3">
      <c r="A2261" t="s">
        <v>1345</v>
      </c>
      <c r="B2261" t="str">
        <f ca="1">OFFSET(Industries!C$1,MATCH(Table1[[#This Row],[Ticker]],Industries!$A$2:$A$150,0),0)</f>
        <v>Health Care</v>
      </c>
      <c r="C2261" t="str">
        <f ca="1">OFFSET(Industries!D$1,MATCH(Table1[[#This Row],[Ticker]],Industries!$A$2:$A$150,0),0)</f>
        <v>Pharmaceuticals, Biotechnology and Life Sciences</v>
      </c>
      <c r="D2261" t="str">
        <f ca="1">OFFSET(Industries!E$1,MATCH(Table1[[#This Row],[Ticker]],Industries!$A$2:$A$150,0),0)</f>
        <v>Pharmaceuticals</v>
      </c>
      <c r="E2261" t="s">
        <v>49</v>
      </c>
      <c r="F2261" t="str">
        <f ca="1">OFFSET(Industries!B$1,MATCH(Table1[[#This Row],[Ticker]],Industries!$A$2:$A$140,0),0)</f>
        <v>Mega-Cap</v>
      </c>
      <c r="G2261" t="str">
        <f ca="1">OFFSET(Industries!F$1,MATCH(Table1[[#This Row],[Ticker]],Industries!$A$2:$A$140,0),0)</f>
        <v>AA-</v>
      </c>
      <c r="H2261" t="s">
        <v>1438</v>
      </c>
      <c r="I2261" t="s">
        <v>1439</v>
      </c>
      <c r="J2261" s="2">
        <v>45322</v>
      </c>
      <c r="K2261" t="s">
        <v>2</v>
      </c>
      <c r="L2261" t="s">
        <v>1710</v>
      </c>
      <c r="M2261" t="s">
        <v>1709</v>
      </c>
      <c r="N2261" s="1"/>
      <c r="O2261" t="s">
        <v>476</v>
      </c>
      <c r="P2261" s="1">
        <v>0.54</v>
      </c>
      <c r="Q2261" s="1" t="s">
        <v>1637</v>
      </c>
      <c r="R2261" t="s">
        <v>26</v>
      </c>
      <c r="S2261" t="s">
        <v>26</v>
      </c>
      <c r="T2261" t="s">
        <v>1660</v>
      </c>
      <c r="U2261" s="1">
        <f>1/3/2</f>
        <v>0.16666666666666666</v>
      </c>
    </row>
    <row r="2262" spans="1:22" x14ac:dyDescent="0.3">
      <c r="A2262" t="s">
        <v>1345</v>
      </c>
      <c r="B2262" t="str">
        <f ca="1">OFFSET(Industries!C$1,MATCH(Table1[[#This Row],[Ticker]],Industries!$A$2:$A$150,0),0)</f>
        <v>Health Care</v>
      </c>
      <c r="C2262" t="str">
        <f ca="1">OFFSET(Industries!D$1,MATCH(Table1[[#This Row],[Ticker]],Industries!$A$2:$A$150,0),0)</f>
        <v>Pharmaceuticals, Biotechnology and Life Sciences</v>
      </c>
      <c r="D2262" t="str">
        <f ca="1">OFFSET(Industries!E$1,MATCH(Table1[[#This Row],[Ticker]],Industries!$A$2:$A$150,0),0)</f>
        <v>Pharmaceuticals</v>
      </c>
      <c r="E2262" t="s">
        <v>49</v>
      </c>
      <c r="F2262" t="str">
        <f ca="1">OFFSET(Industries!B$1,MATCH(Table1[[#This Row],[Ticker]],Industries!$A$2:$A$140,0),0)</f>
        <v>Mega-Cap</v>
      </c>
      <c r="G2262" t="str">
        <f ca="1">OFFSET(Industries!F$1,MATCH(Table1[[#This Row],[Ticker]],Industries!$A$2:$A$140,0),0)</f>
        <v>AA-</v>
      </c>
      <c r="H2262" t="s">
        <v>1438</v>
      </c>
      <c r="I2262" t="s">
        <v>1439</v>
      </c>
      <c r="J2262" s="2">
        <v>45322</v>
      </c>
      <c r="K2262" t="s">
        <v>2</v>
      </c>
      <c r="L2262" t="s">
        <v>1710</v>
      </c>
      <c r="M2262" t="s">
        <v>1709</v>
      </c>
      <c r="N2262" s="1"/>
      <c r="O2262" t="s">
        <v>476</v>
      </c>
      <c r="P2262" s="1">
        <v>0.54</v>
      </c>
      <c r="Q2262" s="1" t="s">
        <v>1637</v>
      </c>
      <c r="R2262" t="s">
        <v>25</v>
      </c>
      <c r="S2262" t="s">
        <v>344</v>
      </c>
      <c r="T2262" t="s">
        <v>1661</v>
      </c>
      <c r="U2262" s="1">
        <f>1/3/2</f>
        <v>0.16666666666666666</v>
      </c>
    </row>
    <row r="2263" spans="1:22" x14ac:dyDescent="0.3">
      <c r="A2263" t="s">
        <v>1345</v>
      </c>
      <c r="B2263" t="str">
        <f ca="1">OFFSET(Industries!C$1,MATCH(Table1[[#This Row],[Ticker]],Industries!$A$2:$A$150,0),0)</f>
        <v>Health Care</v>
      </c>
      <c r="C2263" t="str">
        <f ca="1">OFFSET(Industries!D$1,MATCH(Table1[[#This Row],[Ticker]],Industries!$A$2:$A$150,0),0)</f>
        <v>Pharmaceuticals, Biotechnology and Life Sciences</v>
      </c>
      <c r="D2263" t="str">
        <f ca="1">OFFSET(Industries!E$1,MATCH(Table1[[#This Row],[Ticker]],Industries!$A$2:$A$150,0),0)</f>
        <v>Pharmaceuticals</v>
      </c>
      <c r="E2263" t="s">
        <v>49</v>
      </c>
      <c r="F2263" t="str">
        <f ca="1">OFFSET(Industries!B$1,MATCH(Table1[[#This Row],[Ticker]],Industries!$A$2:$A$140,0),0)</f>
        <v>Mega-Cap</v>
      </c>
      <c r="G2263" t="str">
        <f ca="1">OFFSET(Industries!F$1,MATCH(Table1[[#This Row],[Ticker]],Industries!$A$2:$A$140,0),0)</f>
        <v>AA-</v>
      </c>
      <c r="H2263" t="s">
        <v>1438</v>
      </c>
      <c r="I2263" t="s">
        <v>1439</v>
      </c>
      <c r="J2263" s="2">
        <v>45322</v>
      </c>
      <c r="K2263" t="s">
        <v>21</v>
      </c>
      <c r="L2263" t="s">
        <v>3</v>
      </c>
      <c r="M2263" t="s">
        <v>1711</v>
      </c>
      <c r="N2263" s="1">
        <f>Table1[[#This Row],[Consideration Weight]]</f>
        <v>0.35640191284538542</v>
      </c>
      <c r="O2263" t="s">
        <v>3</v>
      </c>
      <c r="P2263" s="1">
        <v>0.35640191284538542</v>
      </c>
    </row>
    <row r="2264" spans="1:22" x14ac:dyDescent="0.3">
      <c r="A2264" t="s">
        <v>1345</v>
      </c>
      <c r="B2264" t="str">
        <f ca="1">OFFSET(Industries!C$1,MATCH(Table1[[#This Row],[Ticker]],Industries!$A$2:$A$150,0),0)</f>
        <v>Health Care</v>
      </c>
      <c r="C2264" t="str">
        <f ca="1">OFFSET(Industries!D$1,MATCH(Table1[[#This Row],[Ticker]],Industries!$A$2:$A$150,0),0)</f>
        <v>Pharmaceuticals, Biotechnology and Life Sciences</v>
      </c>
      <c r="D2264" t="str">
        <f ca="1">OFFSET(Industries!E$1,MATCH(Table1[[#This Row],[Ticker]],Industries!$A$2:$A$150,0),0)</f>
        <v>Pharmaceuticals</v>
      </c>
      <c r="E2264" t="s">
        <v>49</v>
      </c>
      <c r="F2264" t="str">
        <f ca="1">OFFSET(Industries!B$1,MATCH(Table1[[#This Row],[Ticker]],Industries!$A$2:$A$140,0),0)</f>
        <v>Mega-Cap</v>
      </c>
      <c r="G2264" t="str">
        <f ca="1">OFFSET(Industries!F$1,MATCH(Table1[[#This Row],[Ticker]],Industries!$A$2:$A$140,0),0)</f>
        <v>AA-</v>
      </c>
      <c r="H2264" t="s">
        <v>1438</v>
      </c>
      <c r="I2264" t="s">
        <v>1439</v>
      </c>
      <c r="J2264" s="2">
        <v>45322</v>
      </c>
      <c r="K2264" t="s">
        <v>21</v>
      </c>
      <c r="L2264" t="s">
        <v>1708</v>
      </c>
      <c r="M2264" t="s">
        <v>1709</v>
      </c>
      <c r="N2264" s="1">
        <f>Table1[[#This Row],[Consideration Weight]]</f>
        <v>0.17820095642269271</v>
      </c>
      <c r="O2264" t="s">
        <v>4</v>
      </c>
      <c r="P2264" s="1">
        <v>0.17820095642269271</v>
      </c>
      <c r="Q2264" s="1" t="s">
        <v>1636</v>
      </c>
      <c r="R2264" t="s">
        <v>23</v>
      </c>
      <c r="S2264" t="s">
        <v>1083</v>
      </c>
      <c r="T2264" t="s">
        <v>226</v>
      </c>
      <c r="U2264" s="1">
        <v>0.25</v>
      </c>
    </row>
    <row r="2265" spans="1:22" x14ac:dyDescent="0.3">
      <c r="A2265" t="s">
        <v>1345</v>
      </c>
      <c r="B2265" t="str">
        <f ca="1">OFFSET(Industries!C$1,MATCH(Table1[[#This Row],[Ticker]],Industries!$A$2:$A$150,0),0)</f>
        <v>Health Care</v>
      </c>
      <c r="C2265" t="str">
        <f ca="1">OFFSET(Industries!D$1,MATCH(Table1[[#This Row],[Ticker]],Industries!$A$2:$A$150,0),0)</f>
        <v>Pharmaceuticals, Biotechnology and Life Sciences</v>
      </c>
      <c r="D2265" t="str">
        <f ca="1">OFFSET(Industries!E$1,MATCH(Table1[[#This Row],[Ticker]],Industries!$A$2:$A$150,0),0)</f>
        <v>Pharmaceuticals</v>
      </c>
      <c r="E2265" t="s">
        <v>49</v>
      </c>
      <c r="F2265" t="str">
        <f ca="1">OFFSET(Industries!B$1,MATCH(Table1[[#This Row],[Ticker]],Industries!$A$2:$A$140,0),0)</f>
        <v>Mega-Cap</v>
      </c>
      <c r="G2265" t="str">
        <f ca="1">OFFSET(Industries!F$1,MATCH(Table1[[#This Row],[Ticker]],Industries!$A$2:$A$140,0),0)</f>
        <v>AA-</v>
      </c>
      <c r="H2265" t="s">
        <v>1438</v>
      </c>
      <c r="I2265" t="s">
        <v>1439</v>
      </c>
      <c r="J2265" s="2">
        <v>45322</v>
      </c>
      <c r="K2265" t="s">
        <v>21</v>
      </c>
      <c r="L2265" t="s">
        <v>1708</v>
      </c>
      <c r="M2265" t="s">
        <v>1709</v>
      </c>
      <c r="N2265" s="1"/>
      <c r="O2265" t="s">
        <v>4</v>
      </c>
      <c r="P2265" s="1">
        <v>0.17820095642269271</v>
      </c>
      <c r="Q2265" s="1" t="s">
        <v>1636</v>
      </c>
      <c r="R2265" t="s">
        <v>24</v>
      </c>
      <c r="S2265" t="s">
        <v>90</v>
      </c>
      <c r="T2265" t="s">
        <v>732</v>
      </c>
      <c r="U2265" s="1">
        <v>0.25</v>
      </c>
    </row>
    <row r="2266" spans="1:22" x14ac:dyDescent="0.3">
      <c r="A2266" t="s">
        <v>1345</v>
      </c>
      <c r="B2266" t="str">
        <f ca="1">OFFSET(Industries!C$1,MATCH(Table1[[#This Row],[Ticker]],Industries!$A$2:$A$150,0),0)</f>
        <v>Health Care</v>
      </c>
      <c r="C2266" t="str">
        <f ca="1">OFFSET(Industries!D$1,MATCH(Table1[[#This Row],[Ticker]],Industries!$A$2:$A$150,0),0)</f>
        <v>Pharmaceuticals, Biotechnology and Life Sciences</v>
      </c>
      <c r="D2266" t="str">
        <f ca="1">OFFSET(Industries!E$1,MATCH(Table1[[#This Row],[Ticker]],Industries!$A$2:$A$150,0),0)</f>
        <v>Pharmaceuticals</v>
      </c>
      <c r="E2266" t="s">
        <v>49</v>
      </c>
      <c r="F2266" t="str">
        <f ca="1">OFFSET(Industries!B$1,MATCH(Table1[[#This Row],[Ticker]],Industries!$A$2:$A$140,0),0)</f>
        <v>Mega-Cap</v>
      </c>
      <c r="G2266" t="str">
        <f ca="1">OFFSET(Industries!F$1,MATCH(Table1[[#This Row],[Ticker]],Industries!$A$2:$A$140,0),0)</f>
        <v>AA-</v>
      </c>
      <c r="H2266" t="s">
        <v>1438</v>
      </c>
      <c r="I2266" t="s">
        <v>1439</v>
      </c>
      <c r="J2266" s="2">
        <v>45322</v>
      </c>
      <c r="K2266" t="s">
        <v>21</v>
      </c>
      <c r="L2266" t="s">
        <v>1708</v>
      </c>
      <c r="M2266" t="s">
        <v>1709</v>
      </c>
      <c r="N2266" s="1"/>
      <c r="O2266" t="s">
        <v>4</v>
      </c>
      <c r="P2266" s="1">
        <v>0.17820095642269271</v>
      </c>
      <c r="Q2266" s="1" t="s">
        <v>1637</v>
      </c>
      <c r="R2266" t="s">
        <v>26</v>
      </c>
      <c r="S2266" t="s">
        <v>26</v>
      </c>
      <c r="T2266" t="s">
        <v>1662</v>
      </c>
      <c r="U2266" s="1">
        <f>0.25/2</f>
        <v>0.125</v>
      </c>
    </row>
    <row r="2267" spans="1:22" x14ac:dyDescent="0.3">
      <c r="A2267" t="s">
        <v>1345</v>
      </c>
      <c r="B2267" t="str">
        <f ca="1">OFFSET(Industries!C$1,MATCH(Table1[[#This Row],[Ticker]],Industries!$A$2:$A$150,0),0)</f>
        <v>Health Care</v>
      </c>
      <c r="C2267" t="str">
        <f ca="1">OFFSET(Industries!D$1,MATCH(Table1[[#This Row],[Ticker]],Industries!$A$2:$A$150,0),0)</f>
        <v>Pharmaceuticals, Biotechnology and Life Sciences</v>
      </c>
      <c r="D2267" t="str">
        <f ca="1">OFFSET(Industries!E$1,MATCH(Table1[[#This Row],[Ticker]],Industries!$A$2:$A$150,0),0)</f>
        <v>Pharmaceuticals</v>
      </c>
      <c r="E2267" t="s">
        <v>49</v>
      </c>
      <c r="F2267" t="str">
        <f ca="1">OFFSET(Industries!B$1,MATCH(Table1[[#This Row],[Ticker]],Industries!$A$2:$A$140,0),0)</f>
        <v>Mega-Cap</v>
      </c>
      <c r="G2267" t="str">
        <f ca="1">OFFSET(Industries!F$1,MATCH(Table1[[#This Row],[Ticker]],Industries!$A$2:$A$140,0),0)</f>
        <v>AA-</v>
      </c>
      <c r="H2267" t="s">
        <v>1438</v>
      </c>
      <c r="I2267" t="s">
        <v>1439</v>
      </c>
      <c r="J2267" s="2">
        <v>45322</v>
      </c>
      <c r="K2267" t="s">
        <v>21</v>
      </c>
      <c r="L2267" t="s">
        <v>1708</v>
      </c>
      <c r="M2267" t="s">
        <v>1709</v>
      </c>
      <c r="N2267" s="1"/>
      <c r="O2267" t="s">
        <v>4</v>
      </c>
      <c r="P2267" s="1">
        <v>0.17820095642269271</v>
      </c>
      <c r="Q2267" s="1" t="s">
        <v>1637</v>
      </c>
      <c r="R2267" t="s">
        <v>25</v>
      </c>
      <c r="S2267" t="s">
        <v>344</v>
      </c>
      <c r="T2267" t="s">
        <v>1658</v>
      </c>
      <c r="U2267" s="1">
        <f>0.25/2</f>
        <v>0.125</v>
      </c>
    </row>
    <row r="2268" spans="1:22" x14ac:dyDescent="0.3">
      <c r="A2268" t="s">
        <v>1345</v>
      </c>
      <c r="B2268" t="str">
        <f ca="1">OFFSET(Industries!C$1,MATCH(Table1[[#This Row],[Ticker]],Industries!$A$2:$A$150,0),0)</f>
        <v>Health Care</v>
      </c>
      <c r="C2268" t="str">
        <f ca="1">OFFSET(Industries!D$1,MATCH(Table1[[#This Row],[Ticker]],Industries!$A$2:$A$150,0),0)</f>
        <v>Pharmaceuticals, Biotechnology and Life Sciences</v>
      </c>
      <c r="D2268" t="str">
        <f ca="1">OFFSET(Industries!E$1,MATCH(Table1[[#This Row],[Ticker]],Industries!$A$2:$A$150,0),0)</f>
        <v>Pharmaceuticals</v>
      </c>
      <c r="E2268" t="s">
        <v>49</v>
      </c>
      <c r="F2268" t="str">
        <f ca="1">OFFSET(Industries!B$1,MATCH(Table1[[#This Row],[Ticker]],Industries!$A$2:$A$140,0),0)</f>
        <v>Mega-Cap</v>
      </c>
      <c r="G2268" t="str">
        <f ca="1">OFFSET(Industries!F$1,MATCH(Table1[[#This Row],[Ticker]],Industries!$A$2:$A$140,0),0)</f>
        <v>AA-</v>
      </c>
      <c r="H2268" t="s">
        <v>1438</v>
      </c>
      <c r="I2268" t="s">
        <v>1439</v>
      </c>
      <c r="J2268" s="2">
        <v>45322</v>
      </c>
      <c r="K2268" t="s">
        <v>21</v>
      </c>
      <c r="L2268" t="s">
        <v>1708</v>
      </c>
      <c r="M2268" t="s">
        <v>1709</v>
      </c>
      <c r="N2268" s="1"/>
      <c r="O2268" t="s">
        <v>4</v>
      </c>
      <c r="P2268" s="1">
        <v>0.17820095642269271</v>
      </c>
      <c r="Q2268" s="1" t="s">
        <v>1637</v>
      </c>
      <c r="R2268" t="s">
        <v>332</v>
      </c>
      <c r="S2268" t="s">
        <v>380</v>
      </c>
      <c r="T2268" t="s">
        <v>380</v>
      </c>
      <c r="U2268" s="1">
        <v>0.25</v>
      </c>
    </row>
    <row r="2269" spans="1:22" x14ac:dyDescent="0.3">
      <c r="A2269" t="s">
        <v>1345</v>
      </c>
      <c r="B2269" t="str">
        <f ca="1">OFFSET(Industries!C$1,MATCH(Table1[[#This Row],[Ticker]],Industries!$A$2:$A$150,0),0)</f>
        <v>Health Care</v>
      </c>
      <c r="C2269" t="str">
        <f ca="1">OFFSET(Industries!D$1,MATCH(Table1[[#This Row],[Ticker]],Industries!$A$2:$A$150,0),0)</f>
        <v>Pharmaceuticals, Biotechnology and Life Sciences</v>
      </c>
      <c r="D2269" t="str">
        <f ca="1">OFFSET(Industries!E$1,MATCH(Table1[[#This Row],[Ticker]],Industries!$A$2:$A$150,0),0)</f>
        <v>Pharmaceuticals</v>
      </c>
      <c r="E2269" t="s">
        <v>49</v>
      </c>
      <c r="F2269" t="str">
        <f ca="1">OFFSET(Industries!B$1,MATCH(Table1[[#This Row],[Ticker]],Industries!$A$2:$A$140,0),0)</f>
        <v>Mega-Cap</v>
      </c>
      <c r="G2269" t="str">
        <f ca="1">OFFSET(Industries!F$1,MATCH(Table1[[#This Row],[Ticker]],Industries!$A$2:$A$140,0),0)</f>
        <v>AA-</v>
      </c>
      <c r="H2269" t="s">
        <v>1438</v>
      </c>
      <c r="I2269" t="s">
        <v>1439</v>
      </c>
      <c r="J2269" s="2">
        <v>45322</v>
      </c>
      <c r="K2269" t="s">
        <v>21</v>
      </c>
      <c r="L2269" t="s">
        <v>1710</v>
      </c>
      <c r="M2269" t="s">
        <v>1709</v>
      </c>
      <c r="N2269" s="1">
        <f>Table1[[#This Row],[Consideration Weight]]</f>
        <v>0.46539713073192185</v>
      </c>
      <c r="O2269" t="s">
        <v>476</v>
      </c>
      <c r="P2269" s="1">
        <v>0.46539713073192185</v>
      </c>
      <c r="Q2269" s="1" t="s">
        <v>1636</v>
      </c>
      <c r="R2269" t="s">
        <v>23</v>
      </c>
      <c r="S2269" t="s">
        <v>1083</v>
      </c>
      <c r="T2269" t="s">
        <v>437</v>
      </c>
      <c r="U2269" s="1">
        <f>1/3</f>
        <v>0.33333333333333331</v>
      </c>
    </row>
    <row r="2270" spans="1:22" x14ac:dyDescent="0.3">
      <c r="A2270" t="s">
        <v>1345</v>
      </c>
      <c r="B2270" t="str">
        <f ca="1">OFFSET(Industries!C$1,MATCH(Table1[[#This Row],[Ticker]],Industries!$A$2:$A$150,0),0)</f>
        <v>Health Care</v>
      </c>
      <c r="C2270" t="str">
        <f ca="1">OFFSET(Industries!D$1,MATCH(Table1[[#This Row],[Ticker]],Industries!$A$2:$A$150,0),0)</f>
        <v>Pharmaceuticals, Biotechnology and Life Sciences</v>
      </c>
      <c r="D2270" t="str">
        <f ca="1">OFFSET(Industries!E$1,MATCH(Table1[[#This Row],[Ticker]],Industries!$A$2:$A$150,0),0)</f>
        <v>Pharmaceuticals</v>
      </c>
      <c r="E2270" t="s">
        <v>49</v>
      </c>
      <c r="F2270" t="str">
        <f ca="1">OFFSET(Industries!B$1,MATCH(Table1[[#This Row],[Ticker]],Industries!$A$2:$A$140,0),0)</f>
        <v>Mega-Cap</v>
      </c>
      <c r="G2270" t="str">
        <f ca="1">OFFSET(Industries!F$1,MATCH(Table1[[#This Row],[Ticker]],Industries!$A$2:$A$140,0),0)</f>
        <v>AA-</v>
      </c>
      <c r="H2270" t="s">
        <v>1438</v>
      </c>
      <c r="I2270" t="s">
        <v>1439</v>
      </c>
      <c r="J2270" s="2">
        <v>45322</v>
      </c>
      <c r="K2270" t="s">
        <v>21</v>
      </c>
      <c r="L2270" t="s">
        <v>1710</v>
      </c>
      <c r="M2270" t="s">
        <v>1709</v>
      </c>
      <c r="N2270" s="1"/>
      <c r="O2270" t="s">
        <v>476</v>
      </c>
      <c r="P2270" s="1">
        <v>0.46539713073192185</v>
      </c>
      <c r="Q2270" s="1" t="s">
        <v>1636</v>
      </c>
      <c r="R2270" t="s">
        <v>24</v>
      </c>
      <c r="S2270" t="s">
        <v>90</v>
      </c>
      <c r="T2270" t="s">
        <v>1396</v>
      </c>
      <c r="U2270" s="1">
        <f>1/3</f>
        <v>0.33333333333333331</v>
      </c>
    </row>
    <row r="2271" spans="1:22" x14ac:dyDescent="0.3">
      <c r="A2271" t="s">
        <v>1345</v>
      </c>
      <c r="B2271" t="str">
        <f ca="1">OFFSET(Industries!C$1,MATCH(Table1[[#This Row],[Ticker]],Industries!$A$2:$A$150,0),0)</f>
        <v>Health Care</v>
      </c>
      <c r="C2271" t="str">
        <f ca="1">OFFSET(Industries!D$1,MATCH(Table1[[#This Row],[Ticker]],Industries!$A$2:$A$150,0),0)</f>
        <v>Pharmaceuticals, Biotechnology and Life Sciences</v>
      </c>
      <c r="D2271" t="str">
        <f ca="1">OFFSET(Industries!E$1,MATCH(Table1[[#This Row],[Ticker]],Industries!$A$2:$A$150,0),0)</f>
        <v>Pharmaceuticals</v>
      </c>
      <c r="E2271" t="s">
        <v>49</v>
      </c>
      <c r="F2271" t="str">
        <f ca="1">OFFSET(Industries!B$1,MATCH(Table1[[#This Row],[Ticker]],Industries!$A$2:$A$140,0),0)</f>
        <v>Mega-Cap</v>
      </c>
      <c r="G2271" t="str">
        <f ca="1">OFFSET(Industries!F$1,MATCH(Table1[[#This Row],[Ticker]],Industries!$A$2:$A$140,0),0)</f>
        <v>AA-</v>
      </c>
      <c r="H2271" t="s">
        <v>1438</v>
      </c>
      <c r="I2271" t="s">
        <v>1439</v>
      </c>
      <c r="J2271" s="2">
        <v>45322</v>
      </c>
      <c r="K2271" t="s">
        <v>21</v>
      </c>
      <c r="L2271" t="s">
        <v>1710</v>
      </c>
      <c r="M2271" t="s">
        <v>1709</v>
      </c>
      <c r="N2271" s="1"/>
      <c r="O2271" t="s">
        <v>476</v>
      </c>
      <c r="P2271" s="1">
        <v>0.46539713073192185</v>
      </c>
      <c r="Q2271" s="1" t="s">
        <v>1637</v>
      </c>
      <c r="R2271" t="s">
        <v>26</v>
      </c>
      <c r="S2271" t="s">
        <v>26</v>
      </c>
      <c r="T2271" t="s">
        <v>1660</v>
      </c>
      <c r="U2271" s="1">
        <f>1/3/2</f>
        <v>0.16666666666666666</v>
      </c>
    </row>
    <row r="2272" spans="1:22" x14ac:dyDescent="0.3">
      <c r="A2272" t="s">
        <v>1345</v>
      </c>
      <c r="B2272" t="str">
        <f ca="1">OFFSET(Industries!C$1,MATCH(Table1[[#This Row],[Ticker]],Industries!$A$2:$A$150,0),0)</f>
        <v>Health Care</v>
      </c>
      <c r="C2272" t="str">
        <f ca="1">OFFSET(Industries!D$1,MATCH(Table1[[#This Row],[Ticker]],Industries!$A$2:$A$150,0),0)</f>
        <v>Pharmaceuticals, Biotechnology and Life Sciences</v>
      </c>
      <c r="D2272" t="str">
        <f ca="1">OFFSET(Industries!E$1,MATCH(Table1[[#This Row],[Ticker]],Industries!$A$2:$A$150,0),0)</f>
        <v>Pharmaceuticals</v>
      </c>
      <c r="E2272" t="s">
        <v>49</v>
      </c>
      <c r="F2272" t="str">
        <f ca="1">OFFSET(Industries!B$1,MATCH(Table1[[#This Row],[Ticker]],Industries!$A$2:$A$140,0),0)</f>
        <v>Mega-Cap</v>
      </c>
      <c r="G2272" t="str">
        <f ca="1">OFFSET(Industries!F$1,MATCH(Table1[[#This Row],[Ticker]],Industries!$A$2:$A$140,0),0)</f>
        <v>AA-</v>
      </c>
      <c r="H2272" t="s">
        <v>1438</v>
      </c>
      <c r="I2272" t="s">
        <v>1439</v>
      </c>
      <c r="J2272" s="2">
        <v>45322</v>
      </c>
      <c r="K2272" t="s">
        <v>21</v>
      </c>
      <c r="L2272" t="s">
        <v>1710</v>
      </c>
      <c r="M2272" t="s">
        <v>1709</v>
      </c>
      <c r="N2272" s="1"/>
      <c r="O2272" t="s">
        <v>476</v>
      </c>
      <c r="P2272" s="1">
        <v>0.46539713073192185</v>
      </c>
      <c r="Q2272" s="1" t="s">
        <v>1637</v>
      </c>
      <c r="R2272" t="s">
        <v>25</v>
      </c>
      <c r="S2272" t="s">
        <v>344</v>
      </c>
      <c r="T2272" t="s">
        <v>1661</v>
      </c>
      <c r="U2272" s="1">
        <f>1/3/2</f>
        <v>0.16666666666666666</v>
      </c>
    </row>
    <row r="2273" spans="1:22" x14ac:dyDescent="0.3">
      <c r="A2273" t="s">
        <v>1347</v>
      </c>
      <c r="B2273" t="str">
        <f ca="1">OFFSET(Industries!C$1,MATCH(Table1[[#This Row],[Ticker]],Industries!$A$2:$A$150,0),0)</f>
        <v>Energy</v>
      </c>
      <c r="C2273" t="str">
        <f ca="1">OFFSET(Industries!D$1,MATCH(Table1[[#This Row],[Ticker]],Industries!$A$2:$A$150,0),0)</f>
        <v>Energy</v>
      </c>
      <c r="D2273" t="str">
        <f ca="1">OFFSET(Industries!E$1,MATCH(Table1[[#This Row],[Ticker]],Industries!$A$2:$A$150,0),0)</f>
        <v>Oil, Gas and Consumable Fuels</v>
      </c>
      <c r="E2273" t="s">
        <v>1397</v>
      </c>
      <c r="F2273" t="str">
        <f ca="1">OFFSET(Industries!B$1,MATCH(Table1[[#This Row],[Ticker]],Industries!$A$2:$A$140,0),0)</f>
        <v>Ultra-Cap</v>
      </c>
      <c r="G2273" t="str">
        <f ca="1">OFFSET(Industries!F$1,MATCH(Table1[[#This Row],[Ticker]],Industries!$A$2:$A$140,0),0)</f>
        <v>BBB-</v>
      </c>
      <c r="H2273" t="s">
        <v>1440</v>
      </c>
      <c r="I2273" t="s">
        <v>1440</v>
      </c>
      <c r="J2273" s="2">
        <v>45364</v>
      </c>
      <c r="K2273" t="s">
        <v>2</v>
      </c>
      <c r="L2273" t="s">
        <v>3</v>
      </c>
      <c r="M2273" t="s">
        <v>1711</v>
      </c>
      <c r="N2273" s="1">
        <f>Table1[[#This Row],[Consideration Weight]]</f>
        <v>0.09</v>
      </c>
      <c r="O2273" t="s">
        <v>3</v>
      </c>
      <c r="P2273" s="1">
        <v>0.09</v>
      </c>
      <c r="V2273" t="s">
        <v>1699</v>
      </c>
    </row>
    <row r="2274" spans="1:22" x14ac:dyDescent="0.3">
      <c r="A2274" t="s">
        <v>1347</v>
      </c>
      <c r="B2274" t="str">
        <f ca="1">OFFSET(Industries!C$1,MATCH(Table1[[#This Row],[Ticker]],Industries!$A$2:$A$150,0),0)</f>
        <v>Energy</v>
      </c>
      <c r="C2274" t="str">
        <f ca="1">OFFSET(Industries!D$1,MATCH(Table1[[#This Row],[Ticker]],Industries!$A$2:$A$150,0),0)</f>
        <v>Energy</v>
      </c>
      <c r="D2274" t="str">
        <f ca="1">OFFSET(Industries!E$1,MATCH(Table1[[#This Row],[Ticker]],Industries!$A$2:$A$150,0),0)</f>
        <v>Oil, Gas and Consumable Fuels</v>
      </c>
      <c r="E2274" t="s">
        <v>1397</v>
      </c>
      <c r="F2274" t="str">
        <f ca="1">OFFSET(Industries!B$1,MATCH(Table1[[#This Row],[Ticker]],Industries!$A$2:$A$140,0),0)</f>
        <v>Ultra-Cap</v>
      </c>
      <c r="G2274" t="str">
        <f ca="1">OFFSET(Industries!F$1,MATCH(Table1[[#This Row],[Ticker]],Industries!$A$2:$A$140,0),0)</f>
        <v>BBB-</v>
      </c>
      <c r="H2274" t="s">
        <v>1440</v>
      </c>
      <c r="I2274" t="s">
        <v>1440</v>
      </c>
      <c r="J2274" s="2">
        <v>45364</v>
      </c>
      <c r="K2274" t="s">
        <v>2</v>
      </c>
      <c r="L2274" t="s">
        <v>1708</v>
      </c>
      <c r="M2274" t="s">
        <v>1709</v>
      </c>
      <c r="N2274" s="1">
        <f>Table1[[#This Row],[Consideration Weight]]</f>
        <v>0.1</v>
      </c>
      <c r="O2274" t="s">
        <v>4</v>
      </c>
      <c r="P2274" s="1">
        <v>0.1</v>
      </c>
      <c r="Q2274" s="1" t="s">
        <v>1637</v>
      </c>
      <c r="R2274" t="s">
        <v>25</v>
      </c>
      <c r="S2274" t="s">
        <v>1086</v>
      </c>
      <c r="T2274" t="s">
        <v>1398</v>
      </c>
      <c r="U2274" s="1">
        <v>0.3</v>
      </c>
      <c r="V2274" t="s">
        <v>1700</v>
      </c>
    </row>
    <row r="2275" spans="1:22" x14ac:dyDescent="0.3">
      <c r="A2275" t="s">
        <v>1347</v>
      </c>
      <c r="B2275" t="str">
        <f ca="1">OFFSET(Industries!C$1,MATCH(Table1[[#This Row],[Ticker]],Industries!$A$2:$A$150,0),0)</f>
        <v>Energy</v>
      </c>
      <c r="C2275" t="str">
        <f ca="1">OFFSET(Industries!D$1,MATCH(Table1[[#This Row],[Ticker]],Industries!$A$2:$A$150,0),0)</f>
        <v>Energy</v>
      </c>
      <c r="D2275" t="str">
        <f ca="1">OFFSET(Industries!E$1,MATCH(Table1[[#This Row],[Ticker]],Industries!$A$2:$A$150,0),0)</f>
        <v>Oil, Gas and Consumable Fuels</v>
      </c>
      <c r="E2275" t="s">
        <v>1397</v>
      </c>
      <c r="F2275" t="str">
        <f ca="1">OFFSET(Industries!B$1,MATCH(Table1[[#This Row],[Ticker]],Industries!$A$2:$A$140,0),0)</f>
        <v>Ultra-Cap</v>
      </c>
      <c r="G2275" t="str">
        <f ca="1">OFFSET(Industries!F$1,MATCH(Table1[[#This Row],[Ticker]],Industries!$A$2:$A$140,0),0)</f>
        <v>BBB-</v>
      </c>
      <c r="H2275" t="s">
        <v>1440</v>
      </c>
      <c r="I2275" t="s">
        <v>1440</v>
      </c>
      <c r="J2275" s="2">
        <v>45364</v>
      </c>
      <c r="K2275" t="s">
        <v>2</v>
      </c>
      <c r="L2275" t="s">
        <v>1708</v>
      </c>
      <c r="M2275" t="s">
        <v>1709</v>
      </c>
      <c r="N2275" s="1"/>
      <c r="O2275" t="s">
        <v>4</v>
      </c>
      <c r="P2275" s="1">
        <v>0.1</v>
      </c>
      <c r="Q2275" s="1" t="s">
        <v>1636</v>
      </c>
      <c r="R2275" t="s">
        <v>25</v>
      </c>
      <c r="S2275" t="s">
        <v>1086</v>
      </c>
      <c r="T2275" t="s">
        <v>432</v>
      </c>
      <c r="U2275" s="1">
        <v>0.25</v>
      </c>
      <c r="V2275" t="s">
        <v>1701</v>
      </c>
    </row>
    <row r="2276" spans="1:22" x14ac:dyDescent="0.3">
      <c r="A2276" t="s">
        <v>1347</v>
      </c>
      <c r="B2276" t="str">
        <f ca="1">OFFSET(Industries!C$1,MATCH(Table1[[#This Row],[Ticker]],Industries!$A$2:$A$150,0),0)</f>
        <v>Energy</v>
      </c>
      <c r="C2276" t="str">
        <f ca="1">OFFSET(Industries!D$1,MATCH(Table1[[#This Row],[Ticker]],Industries!$A$2:$A$150,0),0)</f>
        <v>Energy</v>
      </c>
      <c r="D2276" t="str">
        <f ca="1">OFFSET(Industries!E$1,MATCH(Table1[[#This Row],[Ticker]],Industries!$A$2:$A$150,0),0)</f>
        <v>Oil, Gas and Consumable Fuels</v>
      </c>
      <c r="E2276" t="s">
        <v>1397</v>
      </c>
      <c r="F2276" t="str">
        <f ca="1">OFFSET(Industries!B$1,MATCH(Table1[[#This Row],[Ticker]],Industries!$A$2:$A$140,0),0)</f>
        <v>Ultra-Cap</v>
      </c>
      <c r="G2276" t="str">
        <f ca="1">OFFSET(Industries!F$1,MATCH(Table1[[#This Row],[Ticker]],Industries!$A$2:$A$140,0),0)</f>
        <v>BBB-</v>
      </c>
      <c r="H2276" t="s">
        <v>1440</v>
      </c>
      <c r="I2276" t="s">
        <v>1440</v>
      </c>
      <c r="J2276" s="2">
        <v>45364</v>
      </c>
      <c r="K2276" t="s">
        <v>2</v>
      </c>
      <c r="L2276" t="s">
        <v>1708</v>
      </c>
      <c r="M2276" t="s">
        <v>1709</v>
      </c>
      <c r="N2276" s="1"/>
      <c r="O2276" t="s">
        <v>4</v>
      </c>
      <c r="P2276" s="1">
        <v>0.1</v>
      </c>
      <c r="Q2276" s="1" t="s">
        <v>1636</v>
      </c>
      <c r="R2276" t="s">
        <v>25</v>
      </c>
      <c r="S2276" t="s">
        <v>1086</v>
      </c>
      <c r="T2276" t="s">
        <v>1399</v>
      </c>
      <c r="U2276" s="1">
        <v>0.25</v>
      </c>
      <c r="V2276" t="s">
        <v>1401</v>
      </c>
    </row>
    <row r="2277" spans="1:22" x14ac:dyDescent="0.3">
      <c r="A2277" t="s">
        <v>1347</v>
      </c>
      <c r="B2277" t="str">
        <f ca="1">OFFSET(Industries!C$1,MATCH(Table1[[#This Row],[Ticker]],Industries!$A$2:$A$150,0),0)</f>
        <v>Energy</v>
      </c>
      <c r="C2277" t="str">
        <f ca="1">OFFSET(Industries!D$1,MATCH(Table1[[#This Row],[Ticker]],Industries!$A$2:$A$150,0),0)</f>
        <v>Energy</v>
      </c>
      <c r="D2277" t="str">
        <f ca="1">OFFSET(Industries!E$1,MATCH(Table1[[#This Row],[Ticker]],Industries!$A$2:$A$150,0),0)</f>
        <v>Oil, Gas and Consumable Fuels</v>
      </c>
      <c r="E2277" t="s">
        <v>1397</v>
      </c>
      <c r="F2277" t="str">
        <f ca="1">OFFSET(Industries!B$1,MATCH(Table1[[#This Row],[Ticker]],Industries!$A$2:$A$140,0),0)</f>
        <v>Ultra-Cap</v>
      </c>
      <c r="G2277" t="str">
        <f ca="1">OFFSET(Industries!F$1,MATCH(Table1[[#This Row],[Ticker]],Industries!$A$2:$A$140,0),0)</f>
        <v>BBB-</v>
      </c>
      <c r="H2277" t="s">
        <v>1440</v>
      </c>
      <c r="I2277" t="s">
        <v>1440</v>
      </c>
      <c r="J2277" s="2">
        <v>45364</v>
      </c>
      <c r="K2277" t="s">
        <v>2</v>
      </c>
      <c r="L2277" t="s">
        <v>1708</v>
      </c>
      <c r="M2277" t="s">
        <v>1709</v>
      </c>
      <c r="N2277" s="1"/>
      <c r="O2277" t="s">
        <v>4</v>
      </c>
      <c r="P2277" s="1">
        <v>0.1</v>
      </c>
      <c r="Q2277" s="1" t="s">
        <v>1637</v>
      </c>
      <c r="R2277" t="s">
        <v>26</v>
      </c>
      <c r="S2277" t="s">
        <v>26</v>
      </c>
      <c r="T2277" t="s">
        <v>1400</v>
      </c>
      <c r="U2277" s="1">
        <v>0.2</v>
      </c>
      <c r="V2277" t="s">
        <v>1402</v>
      </c>
    </row>
    <row r="2278" spans="1:22" x14ac:dyDescent="0.3">
      <c r="A2278" t="s">
        <v>1347</v>
      </c>
      <c r="B2278" t="str">
        <f ca="1">OFFSET(Industries!C$1,MATCH(Table1[[#This Row],[Ticker]],Industries!$A$2:$A$150,0),0)</f>
        <v>Energy</v>
      </c>
      <c r="C2278" t="str">
        <f ca="1">OFFSET(Industries!D$1,MATCH(Table1[[#This Row],[Ticker]],Industries!$A$2:$A$150,0),0)</f>
        <v>Energy</v>
      </c>
      <c r="D2278" t="str">
        <f ca="1">OFFSET(Industries!E$1,MATCH(Table1[[#This Row],[Ticker]],Industries!$A$2:$A$150,0),0)</f>
        <v>Oil, Gas and Consumable Fuels</v>
      </c>
      <c r="E2278" t="s">
        <v>1397</v>
      </c>
      <c r="F2278" t="str">
        <f ca="1">OFFSET(Industries!B$1,MATCH(Table1[[#This Row],[Ticker]],Industries!$A$2:$A$140,0),0)</f>
        <v>Ultra-Cap</v>
      </c>
      <c r="G2278" t="str">
        <f ca="1">OFFSET(Industries!F$1,MATCH(Table1[[#This Row],[Ticker]],Industries!$A$2:$A$140,0),0)</f>
        <v>BBB-</v>
      </c>
      <c r="H2278" t="s">
        <v>1440</v>
      </c>
      <c r="I2278" t="s">
        <v>1440</v>
      </c>
      <c r="J2278" s="2">
        <v>45364</v>
      </c>
      <c r="K2278" t="s">
        <v>2</v>
      </c>
      <c r="L2278" t="s">
        <v>1710</v>
      </c>
      <c r="M2278" t="s">
        <v>1709</v>
      </c>
      <c r="N2278" s="1">
        <f>Table1[[#This Row],[Consideration Weight]]</f>
        <v>0.35</v>
      </c>
      <c r="O2278" t="s">
        <v>476</v>
      </c>
      <c r="P2278" s="1">
        <v>0.35</v>
      </c>
      <c r="Q2278" s="1" t="s">
        <v>1646</v>
      </c>
      <c r="R2278" t="s">
        <v>35</v>
      </c>
      <c r="S2278" t="s">
        <v>29</v>
      </c>
      <c r="T2278" t="s">
        <v>30</v>
      </c>
      <c r="U2278" s="1">
        <v>1</v>
      </c>
    </row>
    <row r="2279" spans="1:22" x14ac:dyDescent="0.3">
      <c r="A2279" t="s">
        <v>1347</v>
      </c>
      <c r="B2279" t="str">
        <f ca="1">OFFSET(Industries!C$1,MATCH(Table1[[#This Row],[Ticker]],Industries!$A$2:$A$150,0),0)</f>
        <v>Energy</v>
      </c>
      <c r="C2279" t="str">
        <f ca="1">OFFSET(Industries!D$1,MATCH(Table1[[#This Row],[Ticker]],Industries!$A$2:$A$150,0),0)</f>
        <v>Energy</v>
      </c>
      <c r="D2279" t="str">
        <f ca="1">OFFSET(Industries!E$1,MATCH(Table1[[#This Row],[Ticker]],Industries!$A$2:$A$150,0),0)</f>
        <v>Oil, Gas and Consumable Fuels</v>
      </c>
      <c r="E2279" t="s">
        <v>1397</v>
      </c>
      <c r="F2279" t="str">
        <f ca="1">OFFSET(Industries!B$1,MATCH(Table1[[#This Row],[Ticker]],Industries!$A$2:$A$140,0),0)</f>
        <v>Ultra-Cap</v>
      </c>
      <c r="G2279" t="str">
        <f ca="1">OFFSET(Industries!F$1,MATCH(Table1[[#This Row],[Ticker]],Industries!$A$2:$A$140,0),0)</f>
        <v>BBB-</v>
      </c>
      <c r="H2279" t="s">
        <v>1440</v>
      </c>
      <c r="I2279" t="s">
        <v>1440</v>
      </c>
      <c r="J2279" s="2">
        <v>45364</v>
      </c>
      <c r="K2279" t="s">
        <v>2</v>
      </c>
      <c r="L2279" t="s">
        <v>1710</v>
      </c>
      <c r="M2279" t="s">
        <v>1711</v>
      </c>
      <c r="N2279" s="1">
        <f>Table1[[#This Row],[Consideration Weight]]</f>
        <v>0.46</v>
      </c>
      <c r="O2279" t="s">
        <v>87</v>
      </c>
      <c r="P2279" s="1">
        <v>0.46</v>
      </c>
    </row>
    <row r="2280" spans="1:22" x14ac:dyDescent="0.3">
      <c r="A2280" t="s">
        <v>1347</v>
      </c>
      <c r="B2280" t="str">
        <f ca="1">OFFSET(Industries!C$1,MATCH(Table1[[#This Row],[Ticker]],Industries!$A$2:$A$150,0),0)</f>
        <v>Energy</v>
      </c>
      <c r="C2280" t="str">
        <f ca="1">OFFSET(Industries!D$1,MATCH(Table1[[#This Row],[Ticker]],Industries!$A$2:$A$150,0),0)</f>
        <v>Energy</v>
      </c>
      <c r="D2280" t="str">
        <f ca="1">OFFSET(Industries!E$1,MATCH(Table1[[#This Row],[Ticker]],Industries!$A$2:$A$150,0),0)</f>
        <v>Oil, Gas and Consumable Fuels</v>
      </c>
      <c r="E2280" t="s">
        <v>1397</v>
      </c>
      <c r="F2280" t="str">
        <f ca="1">OFFSET(Industries!B$1,MATCH(Table1[[#This Row],[Ticker]],Industries!$A$2:$A$140,0),0)</f>
        <v>Ultra-Cap</v>
      </c>
      <c r="G2280" t="str">
        <f ca="1">OFFSET(Industries!F$1,MATCH(Table1[[#This Row],[Ticker]],Industries!$A$2:$A$140,0),0)</f>
        <v>BBB-</v>
      </c>
      <c r="H2280" t="s">
        <v>1440</v>
      </c>
      <c r="I2280" t="s">
        <v>1440</v>
      </c>
      <c r="J2280" s="2">
        <v>45364</v>
      </c>
      <c r="K2280" t="s">
        <v>21</v>
      </c>
      <c r="L2280" t="s">
        <v>3</v>
      </c>
      <c r="M2280" t="s">
        <v>1711</v>
      </c>
      <c r="N2280" s="1">
        <f>Table1[[#This Row],[Consideration Weight]]</f>
        <v>0.14544830875032422</v>
      </c>
      <c r="O2280" t="s">
        <v>3</v>
      </c>
      <c r="P2280" s="1">
        <v>0.14544830875032422</v>
      </c>
    </row>
    <row r="2281" spans="1:22" x14ac:dyDescent="0.3">
      <c r="A2281" t="s">
        <v>1347</v>
      </c>
      <c r="B2281" t="str">
        <f ca="1">OFFSET(Industries!C$1,MATCH(Table1[[#This Row],[Ticker]],Industries!$A$2:$A$150,0),0)</f>
        <v>Energy</v>
      </c>
      <c r="C2281" t="str">
        <f ca="1">OFFSET(Industries!D$1,MATCH(Table1[[#This Row],[Ticker]],Industries!$A$2:$A$150,0),0)</f>
        <v>Energy</v>
      </c>
      <c r="D2281" t="str">
        <f ca="1">OFFSET(Industries!E$1,MATCH(Table1[[#This Row],[Ticker]],Industries!$A$2:$A$150,0),0)</f>
        <v>Oil, Gas and Consumable Fuels</v>
      </c>
      <c r="E2281" t="s">
        <v>1397</v>
      </c>
      <c r="F2281" t="str">
        <f ca="1">OFFSET(Industries!B$1,MATCH(Table1[[#This Row],[Ticker]],Industries!$A$2:$A$140,0),0)</f>
        <v>Ultra-Cap</v>
      </c>
      <c r="G2281" t="str">
        <f ca="1">OFFSET(Industries!F$1,MATCH(Table1[[#This Row],[Ticker]],Industries!$A$2:$A$140,0),0)</f>
        <v>BBB-</v>
      </c>
      <c r="H2281" t="s">
        <v>1440</v>
      </c>
      <c r="I2281" t="s">
        <v>1440</v>
      </c>
      <c r="J2281" s="2">
        <v>45364</v>
      </c>
      <c r="K2281" t="s">
        <v>21</v>
      </c>
      <c r="L2281" t="s">
        <v>1708</v>
      </c>
      <c r="M2281" t="s">
        <v>1709</v>
      </c>
      <c r="N2281" s="1">
        <f>Table1[[#This Row],[Consideration Weight]]</f>
        <v>0.10181381612522693</v>
      </c>
      <c r="O2281" t="s">
        <v>4</v>
      </c>
      <c r="P2281" s="1">
        <v>0.10181381612522693</v>
      </c>
      <c r="Q2281" s="1" t="s">
        <v>1637</v>
      </c>
      <c r="R2281" t="s">
        <v>25</v>
      </c>
      <c r="S2281" t="s">
        <v>1086</v>
      </c>
      <c r="T2281" t="s">
        <v>1398</v>
      </c>
      <c r="U2281" s="1">
        <v>0.3</v>
      </c>
    </row>
    <row r="2282" spans="1:22" x14ac:dyDescent="0.3">
      <c r="A2282" t="s">
        <v>1347</v>
      </c>
      <c r="B2282" t="str">
        <f ca="1">OFFSET(Industries!C$1,MATCH(Table1[[#This Row],[Ticker]],Industries!$A$2:$A$150,0),0)</f>
        <v>Energy</v>
      </c>
      <c r="C2282" t="str">
        <f ca="1">OFFSET(Industries!D$1,MATCH(Table1[[#This Row],[Ticker]],Industries!$A$2:$A$150,0),0)</f>
        <v>Energy</v>
      </c>
      <c r="D2282" t="str">
        <f ca="1">OFFSET(Industries!E$1,MATCH(Table1[[#This Row],[Ticker]],Industries!$A$2:$A$150,0),0)</f>
        <v>Oil, Gas and Consumable Fuels</v>
      </c>
      <c r="E2282" t="s">
        <v>1397</v>
      </c>
      <c r="F2282" t="str">
        <f ca="1">OFFSET(Industries!B$1,MATCH(Table1[[#This Row],[Ticker]],Industries!$A$2:$A$140,0),0)</f>
        <v>Ultra-Cap</v>
      </c>
      <c r="G2282" t="str">
        <f ca="1">OFFSET(Industries!F$1,MATCH(Table1[[#This Row],[Ticker]],Industries!$A$2:$A$140,0),0)</f>
        <v>BBB-</v>
      </c>
      <c r="H2282" t="s">
        <v>1440</v>
      </c>
      <c r="I2282" t="s">
        <v>1440</v>
      </c>
      <c r="J2282" s="2">
        <v>45364</v>
      </c>
      <c r="K2282" t="s">
        <v>21</v>
      </c>
      <c r="L2282" t="s">
        <v>1708</v>
      </c>
      <c r="M2282" t="s">
        <v>1709</v>
      </c>
      <c r="N2282" s="1"/>
      <c r="O2282" t="s">
        <v>4</v>
      </c>
      <c r="P2282" s="1">
        <v>0.10181381612522693</v>
      </c>
      <c r="Q2282" s="1" t="s">
        <v>1636</v>
      </c>
      <c r="R2282" t="s">
        <v>25</v>
      </c>
      <c r="S2282" t="s">
        <v>1086</v>
      </c>
      <c r="T2282" t="s">
        <v>432</v>
      </c>
      <c r="U2282" s="1">
        <v>0.25</v>
      </c>
    </row>
    <row r="2283" spans="1:22" x14ac:dyDescent="0.3">
      <c r="A2283" t="s">
        <v>1347</v>
      </c>
      <c r="B2283" t="str">
        <f ca="1">OFFSET(Industries!C$1,MATCH(Table1[[#This Row],[Ticker]],Industries!$A$2:$A$150,0),0)</f>
        <v>Energy</v>
      </c>
      <c r="C2283" t="str">
        <f ca="1">OFFSET(Industries!D$1,MATCH(Table1[[#This Row],[Ticker]],Industries!$A$2:$A$150,0),0)</f>
        <v>Energy</v>
      </c>
      <c r="D2283" t="str">
        <f ca="1">OFFSET(Industries!E$1,MATCH(Table1[[#This Row],[Ticker]],Industries!$A$2:$A$150,0),0)</f>
        <v>Oil, Gas and Consumable Fuels</v>
      </c>
      <c r="E2283" t="s">
        <v>1397</v>
      </c>
      <c r="F2283" t="str">
        <f ca="1">OFFSET(Industries!B$1,MATCH(Table1[[#This Row],[Ticker]],Industries!$A$2:$A$140,0),0)</f>
        <v>Ultra-Cap</v>
      </c>
      <c r="G2283" t="str">
        <f ca="1">OFFSET(Industries!F$1,MATCH(Table1[[#This Row],[Ticker]],Industries!$A$2:$A$140,0),0)</f>
        <v>BBB-</v>
      </c>
      <c r="H2283" t="s">
        <v>1440</v>
      </c>
      <c r="I2283" t="s">
        <v>1440</v>
      </c>
      <c r="J2283" s="2">
        <v>45364</v>
      </c>
      <c r="K2283" t="s">
        <v>21</v>
      </c>
      <c r="L2283" t="s">
        <v>1708</v>
      </c>
      <c r="M2283" t="s">
        <v>1709</v>
      </c>
      <c r="N2283" s="1"/>
      <c r="O2283" t="s">
        <v>4</v>
      </c>
      <c r="P2283" s="1">
        <v>0.10181381612522693</v>
      </c>
      <c r="Q2283" s="1" t="s">
        <v>1636</v>
      </c>
      <c r="R2283" t="s">
        <v>25</v>
      </c>
      <c r="S2283" t="s">
        <v>1086</v>
      </c>
      <c r="T2283" t="s">
        <v>1399</v>
      </c>
      <c r="U2283" s="1">
        <v>0.25</v>
      </c>
    </row>
    <row r="2284" spans="1:22" x14ac:dyDescent="0.3">
      <c r="A2284" t="s">
        <v>1347</v>
      </c>
      <c r="B2284" t="str">
        <f ca="1">OFFSET(Industries!C$1,MATCH(Table1[[#This Row],[Ticker]],Industries!$A$2:$A$150,0),0)</f>
        <v>Energy</v>
      </c>
      <c r="C2284" t="str">
        <f ca="1">OFFSET(Industries!D$1,MATCH(Table1[[#This Row],[Ticker]],Industries!$A$2:$A$150,0),0)</f>
        <v>Energy</v>
      </c>
      <c r="D2284" t="str">
        <f ca="1">OFFSET(Industries!E$1,MATCH(Table1[[#This Row],[Ticker]],Industries!$A$2:$A$150,0),0)</f>
        <v>Oil, Gas and Consumable Fuels</v>
      </c>
      <c r="E2284" t="s">
        <v>1397</v>
      </c>
      <c r="F2284" t="str">
        <f ca="1">OFFSET(Industries!B$1,MATCH(Table1[[#This Row],[Ticker]],Industries!$A$2:$A$140,0),0)</f>
        <v>Ultra-Cap</v>
      </c>
      <c r="G2284" t="str">
        <f ca="1">OFFSET(Industries!F$1,MATCH(Table1[[#This Row],[Ticker]],Industries!$A$2:$A$140,0),0)</f>
        <v>BBB-</v>
      </c>
      <c r="H2284" t="s">
        <v>1440</v>
      </c>
      <c r="I2284" t="s">
        <v>1440</v>
      </c>
      <c r="J2284" s="2">
        <v>45364</v>
      </c>
      <c r="K2284" t="s">
        <v>21</v>
      </c>
      <c r="L2284" t="s">
        <v>1708</v>
      </c>
      <c r="M2284" t="s">
        <v>1709</v>
      </c>
      <c r="N2284" s="1"/>
      <c r="O2284" t="s">
        <v>4</v>
      </c>
      <c r="P2284" s="1">
        <v>0.10181381612522693</v>
      </c>
      <c r="Q2284" s="1" t="s">
        <v>1637</v>
      </c>
      <c r="R2284" t="s">
        <v>26</v>
      </c>
      <c r="S2284" t="s">
        <v>26</v>
      </c>
      <c r="T2284" t="s">
        <v>1400</v>
      </c>
      <c r="U2284" s="1">
        <v>0.2</v>
      </c>
      <c r="V2284" t="s">
        <v>1702</v>
      </c>
    </row>
    <row r="2285" spans="1:22" x14ac:dyDescent="0.3">
      <c r="A2285" t="s">
        <v>1347</v>
      </c>
      <c r="B2285" t="str">
        <f ca="1">OFFSET(Industries!C$1,MATCH(Table1[[#This Row],[Ticker]],Industries!$A$2:$A$150,0),0)</f>
        <v>Energy</v>
      </c>
      <c r="C2285" t="str">
        <f ca="1">OFFSET(Industries!D$1,MATCH(Table1[[#This Row],[Ticker]],Industries!$A$2:$A$150,0),0)</f>
        <v>Energy</v>
      </c>
      <c r="D2285" t="str">
        <f ca="1">OFFSET(Industries!E$1,MATCH(Table1[[#This Row],[Ticker]],Industries!$A$2:$A$150,0),0)</f>
        <v>Oil, Gas and Consumable Fuels</v>
      </c>
      <c r="E2285" t="s">
        <v>1397</v>
      </c>
      <c r="F2285" t="str">
        <f ca="1">OFFSET(Industries!B$1,MATCH(Table1[[#This Row],[Ticker]],Industries!$A$2:$A$140,0),0)</f>
        <v>Ultra-Cap</v>
      </c>
      <c r="G2285" t="str">
        <f ca="1">OFFSET(Industries!F$1,MATCH(Table1[[#This Row],[Ticker]],Industries!$A$2:$A$140,0),0)</f>
        <v>BBB-</v>
      </c>
      <c r="H2285" t="s">
        <v>1440</v>
      </c>
      <c r="I2285" t="s">
        <v>1440</v>
      </c>
      <c r="J2285" s="2">
        <v>45364</v>
      </c>
      <c r="K2285" t="s">
        <v>21</v>
      </c>
      <c r="L2285" t="s">
        <v>1710</v>
      </c>
      <c r="M2285" t="s">
        <v>1709</v>
      </c>
      <c r="N2285" s="1">
        <f>Table1[[#This Row],[Consideration Weight]]</f>
        <v>0.31639294887347624</v>
      </c>
      <c r="O2285" t="s">
        <v>476</v>
      </c>
      <c r="P2285" s="1">
        <v>0.31639294887347624</v>
      </c>
      <c r="Q2285" s="1" t="s">
        <v>1646</v>
      </c>
      <c r="R2285" t="s">
        <v>35</v>
      </c>
      <c r="S2285" t="s">
        <v>29</v>
      </c>
      <c r="T2285" t="s">
        <v>30</v>
      </c>
      <c r="U2285" s="1">
        <v>1</v>
      </c>
    </row>
    <row r="2286" spans="1:22" x14ac:dyDescent="0.3">
      <c r="A2286" t="s">
        <v>1347</v>
      </c>
      <c r="B2286" t="str">
        <f ca="1">OFFSET(Industries!C$1,MATCH(Table1[[#This Row],[Ticker]],Industries!$A$2:$A$150,0),0)</f>
        <v>Energy</v>
      </c>
      <c r="C2286" t="str">
        <f ca="1">OFFSET(Industries!D$1,MATCH(Table1[[#This Row],[Ticker]],Industries!$A$2:$A$150,0),0)</f>
        <v>Energy</v>
      </c>
      <c r="D2286" t="str">
        <f ca="1">OFFSET(Industries!E$1,MATCH(Table1[[#This Row],[Ticker]],Industries!$A$2:$A$150,0),0)</f>
        <v>Oil, Gas and Consumable Fuels</v>
      </c>
      <c r="E2286" t="s">
        <v>1397</v>
      </c>
      <c r="F2286" t="str">
        <f ca="1">OFFSET(Industries!B$1,MATCH(Table1[[#This Row],[Ticker]],Industries!$A$2:$A$140,0),0)</f>
        <v>Ultra-Cap</v>
      </c>
      <c r="G2286" t="str">
        <f ca="1">OFFSET(Industries!F$1,MATCH(Table1[[#This Row],[Ticker]],Industries!$A$2:$A$140,0),0)</f>
        <v>BBB-</v>
      </c>
      <c r="H2286" t="s">
        <v>1440</v>
      </c>
      <c r="I2286" t="s">
        <v>1440</v>
      </c>
      <c r="J2286" s="2">
        <v>45364</v>
      </c>
      <c r="K2286" t="s">
        <v>21</v>
      </c>
      <c r="L2286" t="s">
        <v>1710</v>
      </c>
      <c r="M2286" t="s">
        <v>1711</v>
      </c>
      <c r="N2286" s="1">
        <f>Table1[[#This Row],[Consideration Weight]]</f>
        <v>0.4363449262509726</v>
      </c>
      <c r="O2286" t="s">
        <v>87</v>
      </c>
      <c r="P2286" s="1">
        <v>0.4363449262509726</v>
      </c>
    </row>
    <row r="2287" spans="1:22" x14ac:dyDescent="0.3">
      <c r="A2287" t="s">
        <v>1348</v>
      </c>
      <c r="B2287" t="str">
        <f ca="1">OFFSET(Industries!C$1,MATCH(Table1[[#This Row],[Ticker]],Industries!$A$2:$A$150,0),0)</f>
        <v>Health Care</v>
      </c>
      <c r="C2287" t="str">
        <f ca="1">OFFSET(Industries!D$1,MATCH(Table1[[#This Row],[Ticker]],Industries!$A$2:$A$150,0),0)</f>
        <v>Pharmaceuticals, Biotechnology and Life Sciences</v>
      </c>
      <c r="D2287" t="str">
        <f ca="1">OFFSET(Industries!E$1,MATCH(Table1[[#This Row],[Ticker]],Industries!$A$2:$A$150,0),0)</f>
        <v>Pharmaceuticals</v>
      </c>
      <c r="E2287" t="s">
        <v>49</v>
      </c>
      <c r="F2287" t="str">
        <f ca="1">OFFSET(Industries!B$1,MATCH(Table1[[#This Row],[Ticker]],Industries!$A$2:$A$140,0),0)</f>
        <v>Mega-Cap</v>
      </c>
      <c r="G2287" t="str">
        <f ca="1">OFFSET(Industries!F$1,MATCH(Table1[[#This Row],[Ticker]],Industries!$A$2:$A$140,0),0)</f>
        <v>A</v>
      </c>
      <c r="H2287" t="s">
        <v>1441</v>
      </c>
      <c r="I2287" t="s">
        <v>1439</v>
      </c>
      <c r="J2287" s="2">
        <v>45330</v>
      </c>
      <c r="K2287" t="s">
        <v>2</v>
      </c>
      <c r="L2287" t="s">
        <v>3</v>
      </c>
      <c r="M2287" t="s">
        <v>1711</v>
      </c>
      <c r="N2287" s="1">
        <f>Table1[[#This Row],[Consideration Weight]]</f>
        <v>0.15</v>
      </c>
      <c r="O2287" t="s">
        <v>3</v>
      </c>
      <c r="P2287" s="1">
        <v>0.15</v>
      </c>
      <c r="V2287" t="s">
        <v>1405</v>
      </c>
    </row>
    <row r="2288" spans="1:22" x14ac:dyDescent="0.3">
      <c r="A2288" t="s">
        <v>1348</v>
      </c>
      <c r="B2288" t="str">
        <f ca="1">OFFSET(Industries!C$1,MATCH(Table1[[#This Row],[Ticker]],Industries!$A$2:$A$150,0),0)</f>
        <v>Health Care</v>
      </c>
      <c r="C2288" t="str">
        <f ca="1">OFFSET(Industries!D$1,MATCH(Table1[[#This Row],[Ticker]],Industries!$A$2:$A$150,0),0)</f>
        <v>Pharmaceuticals, Biotechnology and Life Sciences</v>
      </c>
      <c r="D2288" t="str">
        <f ca="1">OFFSET(Industries!E$1,MATCH(Table1[[#This Row],[Ticker]],Industries!$A$2:$A$150,0),0)</f>
        <v>Pharmaceuticals</v>
      </c>
      <c r="E2288" t="s">
        <v>49</v>
      </c>
      <c r="F2288" t="str">
        <f ca="1">OFFSET(Industries!B$1,MATCH(Table1[[#This Row],[Ticker]],Industries!$A$2:$A$140,0),0)</f>
        <v>Mega-Cap</v>
      </c>
      <c r="G2288" t="str">
        <f ca="1">OFFSET(Industries!F$1,MATCH(Table1[[#This Row],[Ticker]],Industries!$A$2:$A$140,0),0)</f>
        <v>A</v>
      </c>
      <c r="H2288" t="s">
        <v>1441</v>
      </c>
      <c r="I2288" t="s">
        <v>1439</v>
      </c>
      <c r="J2288" s="2">
        <v>45330</v>
      </c>
      <c r="K2288" t="s">
        <v>2</v>
      </c>
      <c r="L2288" t="s">
        <v>1708</v>
      </c>
      <c r="M2288" t="s">
        <v>1709</v>
      </c>
      <c r="N2288" s="1">
        <f>Table1[[#This Row],[Consideration Weight]]</f>
        <v>0.11</v>
      </c>
      <c r="O2288" t="s">
        <v>4</v>
      </c>
      <c r="P2288" s="1">
        <v>0.11</v>
      </c>
      <c r="Q2288" s="1" t="s">
        <v>1636</v>
      </c>
      <c r="R2288" t="s">
        <v>23</v>
      </c>
      <c r="S2288" t="s">
        <v>1083</v>
      </c>
      <c r="T2288" t="s">
        <v>7</v>
      </c>
      <c r="U2288" s="1">
        <v>0.3</v>
      </c>
      <c r="V2288" t="s">
        <v>1406</v>
      </c>
    </row>
    <row r="2289" spans="1:22" x14ac:dyDescent="0.3">
      <c r="A2289" t="s">
        <v>1348</v>
      </c>
      <c r="B2289" t="str">
        <f ca="1">OFFSET(Industries!C$1,MATCH(Table1[[#This Row],[Ticker]],Industries!$A$2:$A$150,0),0)</f>
        <v>Health Care</v>
      </c>
      <c r="C2289" t="str">
        <f ca="1">OFFSET(Industries!D$1,MATCH(Table1[[#This Row],[Ticker]],Industries!$A$2:$A$150,0),0)</f>
        <v>Pharmaceuticals, Biotechnology and Life Sciences</v>
      </c>
      <c r="D2289" t="str">
        <f ca="1">OFFSET(Industries!E$1,MATCH(Table1[[#This Row],[Ticker]],Industries!$A$2:$A$150,0),0)</f>
        <v>Pharmaceuticals</v>
      </c>
      <c r="E2289" t="s">
        <v>49</v>
      </c>
      <c r="F2289" t="str">
        <f ca="1">OFFSET(Industries!B$1,MATCH(Table1[[#This Row],[Ticker]],Industries!$A$2:$A$140,0),0)</f>
        <v>Mega-Cap</v>
      </c>
      <c r="G2289" t="str">
        <f ca="1">OFFSET(Industries!F$1,MATCH(Table1[[#This Row],[Ticker]],Industries!$A$2:$A$140,0),0)</f>
        <v>A</v>
      </c>
      <c r="H2289" t="s">
        <v>1441</v>
      </c>
      <c r="I2289" t="s">
        <v>1439</v>
      </c>
      <c r="J2289" s="2">
        <v>45330</v>
      </c>
      <c r="K2289" t="s">
        <v>2</v>
      </c>
      <c r="L2289" t="s">
        <v>1708</v>
      </c>
      <c r="M2289" t="s">
        <v>1709</v>
      </c>
      <c r="N2289" s="1"/>
      <c r="O2289" t="s">
        <v>4</v>
      </c>
      <c r="P2289" s="1">
        <v>0.11</v>
      </c>
      <c r="Q2289" s="1" t="s">
        <v>1636</v>
      </c>
      <c r="R2289" t="s">
        <v>62</v>
      </c>
      <c r="S2289" t="s">
        <v>129</v>
      </c>
      <c r="T2289" t="s">
        <v>117</v>
      </c>
      <c r="U2289" s="1">
        <v>0.2</v>
      </c>
      <c r="V2289" t="s">
        <v>1407</v>
      </c>
    </row>
    <row r="2290" spans="1:22" x14ac:dyDescent="0.3">
      <c r="A2290" t="s">
        <v>1348</v>
      </c>
      <c r="B2290" t="str">
        <f ca="1">OFFSET(Industries!C$1,MATCH(Table1[[#This Row],[Ticker]],Industries!$A$2:$A$150,0),0)</f>
        <v>Health Care</v>
      </c>
      <c r="C2290" t="str">
        <f ca="1">OFFSET(Industries!D$1,MATCH(Table1[[#This Row],[Ticker]],Industries!$A$2:$A$150,0),0)</f>
        <v>Pharmaceuticals, Biotechnology and Life Sciences</v>
      </c>
      <c r="D2290" t="str">
        <f ca="1">OFFSET(Industries!E$1,MATCH(Table1[[#This Row],[Ticker]],Industries!$A$2:$A$150,0),0)</f>
        <v>Pharmaceuticals</v>
      </c>
      <c r="E2290" t="s">
        <v>49</v>
      </c>
      <c r="F2290" t="str">
        <f ca="1">OFFSET(Industries!B$1,MATCH(Table1[[#This Row],[Ticker]],Industries!$A$2:$A$140,0),0)</f>
        <v>Mega-Cap</v>
      </c>
      <c r="G2290" t="str">
        <f ca="1">OFFSET(Industries!F$1,MATCH(Table1[[#This Row],[Ticker]],Industries!$A$2:$A$140,0),0)</f>
        <v>A</v>
      </c>
      <c r="H2290" t="s">
        <v>1441</v>
      </c>
      <c r="I2290" t="s">
        <v>1439</v>
      </c>
      <c r="J2290" s="2">
        <v>45330</v>
      </c>
      <c r="K2290" t="s">
        <v>2</v>
      </c>
      <c r="L2290" t="s">
        <v>1708</v>
      </c>
      <c r="M2290" t="s">
        <v>1709</v>
      </c>
      <c r="N2290" s="1"/>
      <c r="O2290" t="s">
        <v>4</v>
      </c>
      <c r="P2290" s="1">
        <v>0.11</v>
      </c>
      <c r="Q2290" s="1" t="s">
        <v>1636</v>
      </c>
      <c r="R2290" t="s">
        <v>24</v>
      </c>
      <c r="S2290" t="s">
        <v>1089</v>
      </c>
      <c r="T2290" t="s">
        <v>50</v>
      </c>
      <c r="U2290" s="1">
        <v>0.2</v>
      </c>
    </row>
    <row r="2291" spans="1:22" x14ac:dyDescent="0.3">
      <c r="A2291" t="s">
        <v>1348</v>
      </c>
      <c r="B2291" t="str">
        <f ca="1">OFFSET(Industries!C$1,MATCH(Table1[[#This Row],[Ticker]],Industries!$A$2:$A$150,0),0)</f>
        <v>Health Care</v>
      </c>
      <c r="C2291" t="str">
        <f ca="1">OFFSET(Industries!D$1,MATCH(Table1[[#This Row],[Ticker]],Industries!$A$2:$A$150,0),0)</f>
        <v>Pharmaceuticals, Biotechnology and Life Sciences</v>
      </c>
      <c r="D2291" t="str">
        <f ca="1">OFFSET(Industries!E$1,MATCH(Table1[[#This Row],[Ticker]],Industries!$A$2:$A$150,0),0)</f>
        <v>Pharmaceuticals</v>
      </c>
      <c r="E2291" t="s">
        <v>49</v>
      </c>
      <c r="F2291" t="str">
        <f ca="1">OFFSET(Industries!B$1,MATCH(Table1[[#This Row],[Ticker]],Industries!$A$2:$A$140,0),0)</f>
        <v>Mega-Cap</v>
      </c>
      <c r="G2291" t="str">
        <f ca="1">OFFSET(Industries!F$1,MATCH(Table1[[#This Row],[Ticker]],Industries!$A$2:$A$140,0),0)</f>
        <v>A</v>
      </c>
      <c r="H2291" t="s">
        <v>1441</v>
      </c>
      <c r="I2291" t="s">
        <v>1439</v>
      </c>
      <c r="J2291" s="2">
        <v>45330</v>
      </c>
      <c r="K2291" t="s">
        <v>2</v>
      </c>
      <c r="L2291" t="s">
        <v>1708</v>
      </c>
      <c r="M2291" t="s">
        <v>1709</v>
      </c>
      <c r="N2291" s="1"/>
      <c r="O2291" t="s">
        <v>4</v>
      </c>
      <c r="P2291" s="1">
        <v>0.11</v>
      </c>
      <c r="Q2291" s="1" t="s">
        <v>1637</v>
      </c>
      <c r="R2291" t="s">
        <v>25</v>
      </c>
      <c r="S2291" t="s">
        <v>344</v>
      </c>
      <c r="T2291" t="s">
        <v>1403</v>
      </c>
      <c r="U2291" s="1">
        <v>0.15</v>
      </c>
    </row>
    <row r="2292" spans="1:22" x14ac:dyDescent="0.3">
      <c r="A2292" t="s">
        <v>1348</v>
      </c>
      <c r="B2292" t="str">
        <f ca="1">OFFSET(Industries!C$1,MATCH(Table1[[#This Row],[Ticker]],Industries!$A$2:$A$150,0),0)</f>
        <v>Health Care</v>
      </c>
      <c r="C2292" t="str">
        <f ca="1">OFFSET(Industries!D$1,MATCH(Table1[[#This Row],[Ticker]],Industries!$A$2:$A$150,0),0)</f>
        <v>Pharmaceuticals, Biotechnology and Life Sciences</v>
      </c>
      <c r="D2292" t="str">
        <f ca="1">OFFSET(Industries!E$1,MATCH(Table1[[#This Row],[Ticker]],Industries!$A$2:$A$150,0),0)</f>
        <v>Pharmaceuticals</v>
      </c>
      <c r="E2292" t="s">
        <v>49</v>
      </c>
      <c r="F2292" t="str">
        <f ca="1">OFFSET(Industries!B$1,MATCH(Table1[[#This Row],[Ticker]],Industries!$A$2:$A$140,0),0)</f>
        <v>Mega-Cap</v>
      </c>
      <c r="G2292" t="str">
        <f ca="1">OFFSET(Industries!F$1,MATCH(Table1[[#This Row],[Ticker]],Industries!$A$2:$A$140,0),0)</f>
        <v>A</v>
      </c>
      <c r="H2292" t="s">
        <v>1441</v>
      </c>
      <c r="I2292" t="s">
        <v>1439</v>
      </c>
      <c r="J2292" s="2">
        <v>45330</v>
      </c>
      <c r="K2292" t="s">
        <v>2</v>
      </c>
      <c r="L2292" t="s">
        <v>1708</v>
      </c>
      <c r="M2292" t="s">
        <v>1709</v>
      </c>
      <c r="N2292" s="1"/>
      <c r="O2292" t="s">
        <v>4</v>
      </c>
      <c r="P2292" s="1">
        <v>0.11</v>
      </c>
      <c r="Q2292" s="1" t="s">
        <v>1637</v>
      </c>
      <c r="R2292" t="s">
        <v>25</v>
      </c>
      <c r="S2292" t="s">
        <v>344</v>
      </c>
      <c r="T2292" t="s">
        <v>1404</v>
      </c>
      <c r="U2292" s="1">
        <v>0.15</v>
      </c>
      <c r="V2292" t="s">
        <v>1733</v>
      </c>
    </row>
    <row r="2293" spans="1:22" x14ac:dyDescent="0.3">
      <c r="A2293" t="s">
        <v>1348</v>
      </c>
      <c r="B2293" t="str">
        <f ca="1">OFFSET(Industries!C$1,MATCH(Table1[[#This Row],[Ticker]],Industries!$A$2:$A$150,0),0)</f>
        <v>Health Care</v>
      </c>
      <c r="C2293" t="str">
        <f ca="1">OFFSET(Industries!D$1,MATCH(Table1[[#This Row],[Ticker]],Industries!$A$2:$A$150,0),0)</f>
        <v>Pharmaceuticals, Biotechnology and Life Sciences</v>
      </c>
      <c r="D2293" t="str">
        <f ca="1">OFFSET(Industries!E$1,MATCH(Table1[[#This Row],[Ticker]],Industries!$A$2:$A$150,0),0)</f>
        <v>Pharmaceuticals</v>
      </c>
      <c r="E2293" t="s">
        <v>49</v>
      </c>
      <c r="F2293" t="str">
        <f ca="1">OFFSET(Industries!B$1,MATCH(Table1[[#This Row],[Ticker]],Industries!$A$2:$A$140,0),0)</f>
        <v>Mega-Cap</v>
      </c>
      <c r="G2293" t="str">
        <f ca="1">OFFSET(Industries!F$1,MATCH(Table1[[#This Row],[Ticker]],Industries!$A$2:$A$140,0),0)</f>
        <v>A</v>
      </c>
      <c r="H2293" t="s">
        <v>1441</v>
      </c>
      <c r="I2293" t="s">
        <v>1439</v>
      </c>
      <c r="J2293" s="2">
        <v>45330</v>
      </c>
      <c r="K2293" t="s">
        <v>2</v>
      </c>
      <c r="L2293" t="s">
        <v>1708</v>
      </c>
      <c r="M2293" t="s">
        <v>1709</v>
      </c>
      <c r="N2293" s="1">
        <f>Table1[[#This Row],[Consideration Weight]]</f>
        <v>0.11</v>
      </c>
      <c r="O2293" t="s">
        <v>862</v>
      </c>
      <c r="P2293" s="1">
        <v>0.11</v>
      </c>
      <c r="V2293" t="s">
        <v>231</v>
      </c>
    </row>
    <row r="2294" spans="1:22" x14ac:dyDescent="0.3">
      <c r="A2294" t="s">
        <v>1348</v>
      </c>
      <c r="B2294" t="str">
        <f ca="1">OFFSET(Industries!C$1,MATCH(Table1[[#This Row],[Ticker]],Industries!$A$2:$A$150,0),0)</f>
        <v>Health Care</v>
      </c>
      <c r="C2294" t="str">
        <f ca="1">OFFSET(Industries!D$1,MATCH(Table1[[#This Row],[Ticker]],Industries!$A$2:$A$150,0),0)</f>
        <v>Pharmaceuticals, Biotechnology and Life Sciences</v>
      </c>
      <c r="D2294" t="str">
        <f ca="1">OFFSET(Industries!E$1,MATCH(Table1[[#This Row],[Ticker]],Industries!$A$2:$A$150,0),0)</f>
        <v>Pharmaceuticals</v>
      </c>
      <c r="E2294" t="s">
        <v>49</v>
      </c>
      <c r="F2294" t="str">
        <f ca="1">OFFSET(Industries!B$1,MATCH(Table1[[#This Row],[Ticker]],Industries!$A$2:$A$140,0),0)</f>
        <v>Mega-Cap</v>
      </c>
      <c r="G2294" t="str">
        <f ca="1">OFFSET(Industries!F$1,MATCH(Table1[[#This Row],[Ticker]],Industries!$A$2:$A$140,0),0)</f>
        <v>A</v>
      </c>
      <c r="H2294" t="s">
        <v>1441</v>
      </c>
      <c r="I2294" t="s">
        <v>1439</v>
      </c>
      <c r="J2294" s="2">
        <v>45330</v>
      </c>
      <c r="K2294" t="s">
        <v>2</v>
      </c>
      <c r="L2294" t="s">
        <v>1710</v>
      </c>
      <c r="M2294" t="s">
        <v>1709</v>
      </c>
      <c r="N2294" s="1">
        <f>Table1[[#This Row],[Consideration Weight]]</f>
        <v>0.63</v>
      </c>
      <c r="O2294" t="s">
        <v>476</v>
      </c>
      <c r="P2294" s="1">
        <v>0.63</v>
      </c>
      <c r="Q2294" s="1" t="s">
        <v>1636</v>
      </c>
      <c r="R2294" t="s">
        <v>23</v>
      </c>
      <c r="S2294" t="s">
        <v>1083</v>
      </c>
      <c r="T2294" t="s">
        <v>1326</v>
      </c>
      <c r="U2294" s="1">
        <v>0.2</v>
      </c>
      <c r="V2294" t="s">
        <v>231</v>
      </c>
    </row>
    <row r="2295" spans="1:22" x14ac:dyDescent="0.3">
      <c r="A2295" t="s">
        <v>1348</v>
      </c>
      <c r="B2295" t="str">
        <f ca="1">OFFSET(Industries!C$1,MATCH(Table1[[#This Row],[Ticker]],Industries!$A$2:$A$150,0),0)</f>
        <v>Health Care</v>
      </c>
      <c r="C2295" t="str">
        <f ca="1">OFFSET(Industries!D$1,MATCH(Table1[[#This Row],[Ticker]],Industries!$A$2:$A$150,0),0)</f>
        <v>Pharmaceuticals, Biotechnology and Life Sciences</v>
      </c>
      <c r="D2295" t="str">
        <f ca="1">OFFSET(Industries!E$1,MATCH(Table1[[#This Row],[Ticker]],Industries!$A$2:$A$150,0),0)</f>
        <v>Pharmaceuticals</v>
      </c>
      <c r="E2295" t="s">
        <v>49</v>
      </c>
      <c r="F2295" t="str">
        <f ca="1">OFFSET(Industries!B$1,MATCH(Table1[[#This Row],[Ticker]],Industries!$A$2:$A$140,0),0)</f>
        <v>Mega-Cap</v>
      </c>
      <c r="G2295" t="str">
        <f ca="1">OFFSET(Industries!F$1,MATCH(Table1[[#This Row],[Ticker]],Industries!$A$2:$A$140,0),0)</f>
        <v>A</v>
      </c>
      <c r="H2295" t="s">
        <v>1441</v>
      </c>
      <c r="I2295" t="s">
        <v>1439</v>
      </c>
      <c r="J2295" s="2">
        <v>45330</v>
      </c>
      <c r="K2295" t="s">
        <v>2</v>
      </c>
      <c r="L2295" t="s">
        <v>1710</v>
      </c>
      <c r="M2295" t="s">
        <v>1709</v>
      </c>
      <c r="N2295" s="1"/>
      <c r="O2295" t="s">
        <v>476</v>
      </c>
      <c r="P2295" s="1">
        <v>0.63</v>
      </c>
      <c r="Q2295" s="1" t="s">
        <v>1636</v>
      </c>
      <c r="R2295" t="s">
        <v>62</v>
      </c>
      <c r="S2295" t="s">
        <v>129</v>
      </c>
      <c r="T2295" t="s">
        <v>836</v>
      </c>
      <c r="U2295" s="1">
        <v>0.2</v>
      </c>
      <c r="V2295" t="s">
        <v>530</v>
      </c>
    </row>
    <row r="2296" spans="1:22" x14ac:dyDescent="0.3">
      <c r="A2296" t="s">
        <v>1348</v>
      </c>
      <c r="B2296" t="str">
        <f ca="1">OFFSET(Industries!C$1,MATCH(Table1[[#This Row],[Ticker]],Industries!$A$2:$A$150,0),0)</f>
        <v>Health Care</v>
      </c>
      <c r="C2296" t="str">
        <f ca="1">OFFSET(Industries!D$1,MATCH(Table1[[#This Row],[Ticker]],Industries!$A$2:$A$150,0),0)</f>
        <v>Pharmaceuticals, Biotechnology and Life Sciences</v>
      </c>
      <c r="D2296" t="str">
        <f ca="1">OFFSET(Industries!E$1,MATCH(Table1[[#This Row],[Ticker]],Industries!$A$2:$A$150,0),0)</f>
        <v>Pharmaceuticals</v>
      </c>
      <c r="E2296" t="s">
        <v>49</v>
      </c>
      <c r="F2296" t="str">
        <f ca="1">OFFSET(Industries!B$1,MATCH(Table1[[#This Row],[Ticker]],Industries!$A$2:$A$140,0),0)</f>
        <v>Mega-Cap</v>
      </c>
      <c r="G2296" t="str">
        <f ca="1">OFFSET(Industries!F$1,MATCH(Table1[[#This Row],[Ticker]],Industries!$A$2:$A$140,0),0)</f>
        <v>A</v>
      </c>
      <c r="H2296" t="s">
        <v>1441</v>
      </c>
      <c r="I2296" t="s">
        <v>1439</v>
      </c>
      <c r="J2296" s="2">
        <v>45330</v>
      </c>
      <c r="K2296" t="s">
        <v>2</v>
      </c>
      <c r="L2296" t="s">
        <v>1710</v>
      </c>
      <c r="M2296" t="s">
        <v>1709</v>
      </c>
      <c r="N2296" s="1"/>
      <c r="O2296" t="s">
        <v>476</v>
      </c>
      <c r="P2296" s="1">
        <v>0.63</v>
      </c>
      <c r="Q2296" s="1" t="s">
        <v>1646</v>
      </c>
      <c r="R2296" t="s">
        <v>35</v>
      </c>
      <c r="S2296" t="s">
        <v>29</v>
      </c>
      <c r="T2296" t="s">
        <v>30</v>
      </c>
      <c r="U2296" s="1">
        <v>0.2</v>
      </c>
    </row>
    <row r="2297" spans="1:22" x14ac:dyDescent="0.3">
      <c r="A2297" t="s">
        <v>1348</v>
      </c>
      <c r="B2297" t="str">
        <f ca="1">OFFSET(Industries!C$1,MATCH(Table1[[#This Row],[Ticker]],Industries!$A$2:$A$150,0),0)</f>
        <v>Health Care</v>
      </c>
      <c r="C2297" t="str">
        <f ca="1">OFFSET(Industries!D$1,MATCH(Table1[[#This Row],[Ticker]],Industries!$A$2:$A$150,0),0)</f>
        <v>Pharmaceuticals, Biotechnology and Life Sciences</v>
      </c>
      <c r="D2297" t="str">
        <f ca="1">OFFSET(Industries!E$1,MATCH(Table1[[#This Row],[Ticker]],Industries!$A$2:$A$150,0),0)</f>
        <v>Pharmaceuticals</v>
      </c>
      <c r="E2297" t="s">
        <v>49</v>
      </c>
      <c r="F2297" t="str">
        <f ca="1">OFFSET(Industries!B$1,MATCH(Table1[[#This Row],[Ticker]],Industries!$A$2:$A$140,0),0)</f>
        <v>Mega-Cap</v>
      </c>
      <c r="G2297" t="str">
        <f ca="1">OFFSET(Industries!F$1,MATCH(Table1[[#This Row],[Ticker]],Industries!$A$2:$A$140,0),0)</f>
        <v>A</v>
      </c>
      <c r="H2297" t="s">
        <v>1441</v>
      </c>
      <c r="I2297" t="s">
        <v>1439</v>
      </c>
      <c r="J2297" s="2">
        <v>45330</v>
      </c>
      <c r="K2297" t="s">
        <v>2</v>
      </c>
      <c r="L2297" t="s">
        <v>1710</v>
      </c>
      <c r="M2297" t="s">
        <v>1709</v>
      </c>
      <c r="N2297" s="1"/>
      <c r="O2297" t="s">
        <v>476</v>
      </c>
      <c r="P2297" s="1">
        <v>0.63</v>
      </c>
      <c r="Q2297" s="1" t="s">
        <v>1637</v>
      </c>
      <c r="R2297" t="s">
        <v>25</v>
      </c>
      <c r="S2297" t="s">
        <v>344</v>
      </c>
      <c r="T2297" t="s">
        <v>1408</v>
      </c>
      <c r="U2297" s="1">
        <v>0.18</v>
      </c>
    </row>
    <row r="2298" spans="1:22" x14ac:dyDescent="0.3">
      <c r="A2298" t="s">
        <v>1348</v>
      </c>
      <c r="B2298" t="str">
        <f ca="1">OFFSET(Industries!C$1,MATCH(Table1[[#This Row],[Ticker]],Industries!$A$2:$A$150,0),0)</f>
        <v>Health Care</v>
      </c>
      <c r="C2298" t="str">
        <f ca="1">OFFSET(Industries!D$1,MATCH(Table1[[#This Row],[Ticker]],Industries!$A$2:$A$150,0),0)</f>
        <v>Pharmaceuticals, Biotechnology and Life Sciences</v>
      </c>
      <c r="D2298" t="str">
        <f ca="1">OFFSET(Industries!E$1,MATCH(Table1[[#This Row],[Ticker]],Industries!$A$2:$A$150,0),0)</f>
        <v>Pharmaceuticals</v>
      </c>
      <c r="E2298" t="s">
        <v>49</v>
      </c>
      <c r="F2298" t="str">
        <f ca="1">OFFSET(Industries!B$1,MATCH(Table1[[#This Row],[Ticker]],Industries!$A$2:$A$140,0),0)</f>
        <v>Mega-Cap</v>
      </c>
      <c r="G2298" t="str">
        <f ca="1">OFFSET(Industries!F$1,MATCH(Table1[[#This Row],[Ticker]],Industries!$A$2:$A$140,0),0)</f>
        <v>A</v>
      </c>
      <c r="H2298" t="s">
        <v>1441</v>
      </c>
      <c r="I2298" t="s">
        <v>1439</v>
      </c>
      <c r="J2298" s="2">
        <v>45330</v>
      </c>
      <c r="K2298" t="s">
        <v>2</v>
      </c>
      <c r="L2298" t="s">
        <v>1710</v>
      </c>
      <c r="M2298" t="s">
        <v>1709</v>
      </c>
      <c r="N2298" s="1"/>
      <c r="O2298" t="s">
        <v>476</v>
      </c>
      <c r="P2298" s="1">
        <v>0.63</v>
      </c>
      <c r="Q2298" s="1" t="s">
        <v>1637</v>
      </c>
      <c r="R2298" t="s">
        <v>25</v>
      </c>
      <c r="S2298" t="s">
        <v>344</v>
      </c>
      <c r="T2298" t="s">
        <v>1409</v>
      </c>
      <c r="U2298" s="1">
        <v>0.12</v>
      </c>
      <c r="V2298" t="s">
        <v>1411</v>
      </c>
    </row>
    <row r="2299" spans="1:22" x14ac:dyDescent="0.3">
      <c r="A2299" t="s">
        <v>1348</v>
      </c>
      <c r="B2299" t="str">
        <f ca="1">OFFSET(Industries!C$1,MATCH(Table1[[#This Row],[Ticker]],Industries!$A$2:$A$150,0),0)</f>
        <v>Health Care</v>
      </c>
      <c r="C2299" t="str">
        <f ca="1">OFFSET(Industries!D$1,MATCH(Table1[[#This Row],[Ticker]],Industries!$A$2:$A$150,0),0)</f>
        <v>Pharmaceuticals, Biotechnology and Life Sciences</v>
      </c>
      <c r="D2299" t="str">
        <f ca="1">OFFSET(Industries!E$1,MATCH(Table1[[#This Row],[Ticker]],Industries!$A$2:$A$150,0),0)</f>
        <v>Pharmaceuticals</v>
      </c>
      <c r="E2299" t="s">
        <v>49</v>
      </c>
      <c r="F2299" t="str">
        <f ca="1">OFFSET(Industries!B$1,MATCH(Table1[[#This Row],[Ticker]],Industries!$A$2:$A$140,0),0)</f>
        <v>Mega-Cap</v>
      </c>
      <c r="G2299" t="str">
        <f ca="1">OFFSET(Industries!F$1,MATCH(Table1[[#This Row],[Ticker]],Industries!$A$2:$A$140,0),0)</f>
        <v>A</v>
      </c>
      <c r="H2299" t="s">
        <v>1441</v>
      </c>
      <c r="I2299" t="s">
        <v>1439</v>
      </c>
      <c r="J2299" s="2">
        <v>45330</v>
      </c>
      <c r="K2299" t="s">
        <v>2</v>
      </c>
      <c r="L2299" t="s">
        <v>1710</v>
      </c>
      <c r="M2299" t="s">
        <v>1709</v>
      </c>
      <c r="N2299" s="1"/>
      <c r="O2299" t="s">
        <v>476</v>
      </c>
      <c r="P2299" s="1">
        <v>0.63</v>
      </c>
      <c r="Q2299" s="1" t="s">
        <v>1637</v>
      </c>
      <c r="R2299" t="s">
        <v>26</v>
      </c>
      <c r="S2299" t="s">
        <v>26</v>
      </c>
      <c r="T2299" t="s">
        <v>1410</v>
      </c>
      <c r="U2299" s="1">
        <v>0.1</v>
      </c>
    </row>
    <row r="2300" spans="1:22" x14ac:dyDescent="0.3">
      <c r="A2300" t="s">
        <v>1348</v>
      </c>
      <c r="B2300" t="str">
        <f ca="1">OFFSET(Industries!C$1,MATCH(Table1[[#This Row],[Ticker]],Industries!$A$2:$A$150,0),0)</f>
        <v>Health Care</v>
      </c>
      <c r="C2300" t="str">
        <f ca="1">OFFSET(Industries!D$1,MATCH(Table1[[#This Row],[Ticker]],Industries!$A$2:$A$150,0),0)</f>
        <v>Pharmaceuticals, Biotechnology and Life Sciences</v>
      </c>
      <c r="D2300" t="str">
        <f ca="1">OFFSET(Industries!E$1,MATCH(Table1[[#This Row],[Ticker]],Industries!$A$2:$A$150,0),0)</f>
        <v>Pharmaceuticals</v>
      </c>
      <c r="E2300" t="s">
        <v>49</v>
      </c>
      <c r="F2300" t="str">
        <f ca="1">OFFSET(Industries!B$1,MATCH(Table1[[#This Row],[Ticker]],Industries!$A$2:$A$140,0),0)</f>
        <v>Mega-Cap</v>
      </c>
      <c r="G2300" t="str">
        <f ca="1">OFFSET(Industries!F$1,MATCH(Table1[[#This Row],[Ticker]],Industries!$A$2:$A$140,0),0)</f>
        <v>A</v>
      </c>
      <c r="H2300" t="s">
        <v>1441</v>
      </c>
      <c r="I2300" t="s">
        <v>1439</v>
      </c>
      <c r="J2300" s="2">
        <v>45330</v>
      </c>
      <c r="K2300" t="s">
        <v>21</v>
      </c>
      <c r="L2300" t="s">
        <v>3</v>
      </c>
      <c r="M2300" t="s">
        <v>1711</v>
      </c>
      <c r="N2300" s="1">
        <f>Table1[[#This Row],[Consideration Weight]]</f>
        <v>0.21</v>
      </c>
      <c r="O2300" t="s">
        <v>3</v>
      </c>
      <c r="P2300" s="1">
        <v>0.21</v>
      </c>
    </row>
    <row r="2301" spans="1:22" x14ac:dyDescent="0.3">
      <c r="A2301" t="s">
        <v>1348</v>
      </c>
      <c r="B2301" t="str">
        <f ca="1">OFFSET(Industries!C$1,MATCH(Table1[[#This Row],[Ticker]],Industries!$A$2:$A$150,0),0)</f>
        <v>Health Care</v>
      </c>
      <c r="C2301" t="str">
        <f ca="1">OFFSET(Industries!D$1,MATCH(Table1[[#This Row],[Ticker]],Industries!$A$2:$A$150,0),0)</f>
        <v>Pharmaceuticals, Biotechnology and Life Sciences</v>
      </c>
      <c r="D2301" t="str">
        <f ca="1">OFFSET(Industries!E$1,MATCH(Table1[[#This Row],[Ticker]],Industries!$A$2:$A$150,0),0)</f>
        <v>Pharmaceuticals</v>
      </c>
      <c r="E2301" t="s">
        <v>49</v>
      </c>
      <c r="F2301" t="str">
        <f ca="1">OFFSET(Industries!B$1,MATCH(Table1[[#This Row],[Ticker]],Industries!$A$2:$A$140,0),0)</f>
        <v>Mega-Cap</v>
      </c>
      <c r="G2301" t="str">
        <f ca="1">OFFSET(Industries!F$1,MATCH(Table1[[#This Row],[Ticker]],Industries!$A$2:$A$140,0),0)</f>
        <v>A</v>
      </c>
      <c r="H2301" t="s">
        <v>1441</v>
      </c>
      <c r="I2301" t="s">
        <v>1439</v>
      </c>
      <c r="J2301" s="2">
        <v>45330</v>
      </c>
      <c r="K2301" t="s">
        <v>21</v>
      </c>
      <c r="L2301" t="s">
        <v>1708</v>
      </c>
      <c r="M2301" t="s">
        <v>1709</v>
      </c>
      <c r="N2301" s="1">
        <f>Table1[[#This Row],[Consideration Weight]]</f>
        <v>0.105</v>
      </c>
      <c r="O2301" t="s">
        <v>4</v>
      </c>
      <c r="P2301" s="1">
        <v>0.105</v>
      </c>
      <c r="Q2301" s="1" t="s">
        <v>1636</v>
      </c>
      <c r="R2301" t="s">
        <v>23</v>
      </c>
      <c r="S2301" t="s">
        <v>1083</v>
      </c>
      <c r="T2301" t="s">
        <v>7</v>
      </c>
      <c r="U2301" s="1">
        <v>0.3</v>
      </c>
    </row>
    <row r="2302" spans="1:22" x14ac:dyDescent="0.3">
      <c r="A2302" t="s">
        <v>1348</v>
      </c>
      <c r="B2302" t="str">
        <f ca="1">OFFSET(Industries!C$1,MATCH(Table1[[#This Row],[Ticker]],Industries!$A$2:$A$150,0),0)</f>
        <v>Health Care</v>
      </c>
      <c r="C2302" t="str">
        <f ca="1">OFFSET(Industries!D$1,MATCH(Table1[[#This Row],[Ticker]],Industries!$A$2:$A$150,0),0)</f>
        <v>Pharmaceuticals, Biotechnology and Life Sciences</v>
      </c>
      <c r="D2302" t="str">
        <f ca="1">OFFSET(Industries!E$1,MATCH(Table1[[#This Row],[Ticker]],Industries!$A$2:$A$150,0),0)</f>
        <v>Pharmaceuticals</v>
      </c>
      <c r="E2302" t="s">
        <v>49</v>
      </c>
      <c r="F2302" t="str">
        <f ca="1">OFFSET(Industries!B$1,MATCH(Table1[[#This Row],[Ticker]],Industries!$A$2:$A$140,0),0)</f>
        <v>Mega-Cap</v>
      </c>
      <c r="G2302" t="str">
        <f ca="1">OFFSET(Industries!F$1,MATCH(Table1[[#This Row],[Ticker]],Industries!$A$2:$A$140,0),0)</f>
        <v>A</v>
      </c>
      <c r="H2302" t="s">
        <v>1441</v>
      </c>
      <c r="I2302" t="s">
        <v>1439</v>
      </c>
      <c r="J2302" s="2">
        <v>45330</v>
      </c>
      <c r="K2302" t="s">
        <v>21</v>
      </c>
      <c r="L2302" t="s">
        <v>1708</v>
      </c>
      <c r="M2302" t="s">
        <v>1709</v>
      </c>
      <c r="N2302" s="1"/>
      <c r="O2302" t="s">
        <v>4</v>
      </c>
      <c r="P2302" s="1">
        <v>0.105</v>
      </c>
      <c r="Q2302" s="1" t="s">
        <v>1636</v>
      </c>
      <c r="R2302" t="s">
        <v>62</v>
      </c>
      <c r="S2302" t="s">
        <v>129</v>
      </c>
      <c r="T2302" t="s">
        <v>117</v>
      </c>
      <c r="U2302" s="1">
        <v>0.2</v>
      </c>
    </row>
    <row r="2303" spans="1:22" x14ac:dyDescent="0.3">
      <c r="A2303" t="s">
        <v>1348</v>
      </c>
      <c r="B2303" t="str">
        <f ca="1">OFFSET(Industries!C$1,MATCH(Table1[[#This Row],[Ticker]],Industries!$A$2:$A$150,0),0)</f>
        <v>Health Care</v>
      </c>
      <c r="C2303" t="str">
        <f ca="1">OFFSET(Industries!D$1,MATCH(Table1[[#This Row],[Ticker]],Industries!$A$2:$A$150,0),0)</f>
        <v>Pharmaceuticals, Biotechnology and Life Sciences</v>
      </c>
      <c r="D2303" t="str">
        <f ca="1">OFFSET(Industries!E$1,MATCH(Table1[[#This Row],[Ticker]],Industries!$A$2:$A$150,0),0)</f>
        <v>Pharmaceuticals</v>
      </c>
      <c r="E2303" t="s">
        <v>49</v>
      </c>
      <c r="F2303" t="str">
        <f ca="1">OFFSET(Industries!B$1,MATCH(Table1[[#This Row],[Ticker]],Industries!$A$2:$A$140,0),0)</f>
        <v>Mega-Cap</v>
      </c>
      <c r="G2303" t="str">
        <f ca="1">OFFSET(Industries!F$1,MATCH(Table1[[#This Row],[Ticker]],Industries!$A$2:$A$140,0),0)</f>
        <v>A</v>
      </c>
      <c r="H2303" t="s">
        <v>1441</v>
      </c>
      <c r="I2303" t="s">
        <v>1439</v>
      </c>
      <c r="J2303" s="2">
        <v>45330</v>
      </c>
      <c r="K2303" t="s">
        <v>21</v>
      </c>
      <c r="L2303" t="s">
        <v>1708</v>
      </c>
      <c r="M2303" t="s">
        <v>1709</v>
      </c>
      <c r="N2303" s="1"/>
      <c r="O2303" t="s">
        <v>4</v>
      </c>
      <c r="P2303" s="1">
        <v>0.105</v>
      </c>
      <c r="Q2303" s="1" t="s">
        <v>1636</v>
      </c>
      <c r="R2303" t="s">
        <v>24</v>
      </c>
      <c r="S2303" t="s">
        <v>1089</v>
      </c>
      <c r="T2303" t="s">
        <v>50</v>
      </c>
      <c r="U2303" s="1">
        <v>0.2</v>
      </c>
    </row>
    <row r="2304" spans="1:22" x14ac:dyDescent="0.3">
      <c r="A2304" t="s">
        <v>1348</v>
      </c>
      <c r="B2304" t="str">
        <f ca="1">OFFSET(Industries!C$1,MATCH(Table1[[#This Row],[Ticker]],Industries!$A$2:$A$150,0),0)</f>
        <v>Health Care</v>
      </c>
      <c r="C2304" t="str">
        <f ca="1">OFFSET(Industries!D$1,MATCH(Table1[[#This Row],[Ticker]],Industries!$A$2:$A$150,0),0)</f>
        <v>Pharmaceuticals, Biotechnology and Life Sciences</v>
      </c>
      <c r="D2304" t="str">
        <f ca="1">OFFSET(Industries!E$1,MATCH(Table1[[#This Row],[Ticker]],Industries!$A$2:$A$150,0),0)</f>
        <v>Pharmaceuticals</v>
      </c>
      <c r="E2304" t="s">
        <v>49</v>
      </c>
      <c r="F2304" t="str">
        <f ca="1">OFFSET(Industries!B$1,MATCH(Table1[[#This Row],[Ticker]],Industries!$A$2:$A$140,0),0)</f>
        <v>Mega-Cap</v>
      </c>
      <c r="G2304" t="str">
        <f ca="1">OFFSET(Industries!F$1,MATCH(Table1[[#This Row],[Ticker]],Industries!$A$2:$A$140,0),0)</f>
        <v>A</v>
      </c>
      <c r="H2304" t="s">
        <v>1441</v>
      </c>
      <c r="I2304" t="s">
        <v>1439</v>
      </c>
      <c r="J2304" s="2">
        <v>45330</v>
      </c>
      <c r="K2304" t="s">
        <v>21</v>
      </c>
      <c r="L2304" t="s">
        <v>1708</v>
      </c>
      <c r="M2304" t="s">
        <v>1709</v>
      </c>
      <c r="N2304" s="1"/>
      <c r="O2304" t="s">
        <v>4</v>
      </c>
      <c r="P2304" s="1">
        <v>0.105</v>
      </c>
      <c r="Q2304" s="1" t="s">
        <v>1637</v>
      </c>
      <c r="R2304" t="s">
        <v>25</v>
      </c>
      <c r="S2304" t="s">
        <v>344</v>
      </c>
      <c r="T2304" t="s">
        <v>1403</v>
      </c>
      <c r="U2304" s="1">
        <v>0.15</v>
      </c>
    </row>
    <row r="2305" spans="1:22" x14ac:dyDescent="0.3">
      <c r="A2305" t="s">
        <v>1348</v>
      </c>
      <c r="B2305" t="str">
        <f ca="1">OFFSET(Industries!C$1,MATCH(Table1[[#This Row],[Ticker]],Industries!$A$2:$A$150,0),0)</f>
        <v>Health Care</v>
      </c>
      <c r="C2305" t="str">
        <f ca="1">OFFSET(Industries!D$1,MATCH(Table1[[#This Row],[Ticker]],Industries!$A$2:$A$150,0),0)</f>
        <v>Pharmaceuticals, Biotechnology and Life Sciences</v>
      </c>
      <c r="D2305" t="str">
        <f ca="1">OFFSET(Industries!E$1,MATCH(Table1[[#This Row],[Ticker]],Industries!$A$2:$A$150,0),0)</f>
        <v>Pharmaceuticals</v>
      </c>
      <c r="E2305" t="s">
        <v>49</v>
      </c>
      <c r="F2305" t="str">
        <f ca="1">OFFSET(Industries!B$1,MATCH(Table1[[#This Row],[Ticker]],Industries!$A$2:$A$140,0),0)</f>
        <v>Mega-Cap</v>
      </c>
      <c r="G2305" t="str">
        <f ca="1">OFFSET(Industries!F$1,MATCH(Table1[[#This Row],[Ticker]],Industries!$A$2:$A$140,0),0)</f>
        <v>A</v>
      </c>
      <c r="H2305" t="s">
        <v>1441</v>
      </c>
      <c r="I2305" t="s">
        <v>1439</v>
      </c>
      <c r="J2305" s="2">
        <v>45330</v>
      </c>
      <c r="K2305" t="s">
        <v>21</v>
      </c>
      <c r="L2305" t="s">
        <v>1708</v>
      </c>
      <c r="M2305" t="s">
        <v>1709</v>
      </c>
      <c r="N2305" s="1"/>
      <c r="O2305" t="s">
        <v>4</v>
      </c>
      <c r="P2305" s="1">
        <v>0.105</v>
      </c>
      <c r="Q2305" s="1" t="s">
        <v>1637</v>
      </c>
      <c r="R2305" t="s">
        <v>25</v>
      </c>
      <c r="S2305" t="s">
        <v>344</v>
      </c>
      <c r="T2305" t="s">
        <v>1404</v>
      </c>
      <c r="U2305" s="1">
        <v>0.15</v>
      </c>
      <c r="V2305" t="s">
        <v>1733</v>
      </c>
    </row>
    <row r="2306" spans="1:22" x14ac:dyDescent="0.3">
      <c r="A2306" t="s">
        <v>1348</v>
      </c>
      <c r="B2306" t="str">
        <f ca="1">OFFSET(Industries!C$1,MATCH(Table1[[#This Row],[Ticker]],Industries!$A$2:$A$150,0),0)</f>
        <v>Health Care</v>
      </c>
      <c r="C2306" t="str">
        <f ca="1">OFFSET(Industries!D$1,MATCH(Table1[[#This Row],[Ticker]],Industries!$A$2:$A$150,0),0)</f>
        <v>Pharmaceuticals, Biotechnology and Life Sciences</v>
      </c>
      <c r="D2306" t="str">
        <f ca="1">OFFSET(Industries!E$1,MATCH(Table1[[#This Row],[Ticker]],Industries!$A$2:$A$150,0),0)</f>
        <v>Pharmaceuticals</v>
      </c>
      <c r="E2306" t="s">
        <v>49</v>
      </c>
      <c r="F2306" t="str">
        <f ca="1">OFFSET(Industries!B$1,MATCH(Table1[[#This Row],[Ticker]],Industries!$A$2:$A$140,0),0)</f>
        <v>Mega-Cap</v>
      </c>
      <c r="G2306" t="str">
        <f ca="1">OFFSET(Industries!F$1,MATCH(Table1[[#This Row],[Ticker]],Industries!$A$2:$A$140,0),0)</f>
        <v>A</v>
      </c>
      <c r="H2306" t="s">
        <v>1441</v>
      </c>
      <c r="I2306" t="s">
        <v>1439</v>
      </c>
      <c r="J2306" s="2">
        <v>45330</v>
      </c>
      <c r="K2306" t="s">
        <v>21</v>
      </c>
      <c r="L2306" t="s">
        <v>1708</v>
      </c>
      <c r="M2306" t="s">
        <v>1709</v>
      </c>
      <c r="N2306" s="1">
        <f>Table1[[#This Row],[Consideration Weight]]</f>
        <v>0.105</v>
      </c>
      <c r="O2306" t="s">
        <v>862</v>
      </c>
      <c r="P2306" s="1">
        <v>0.105</v>
      </c>
    </row>
    <row r="2307" spans="1:22" x14ac:dyDescent="0.3">
      <c r="A2307" t="s">
        <v>1348</v>
      </c>
      <c r="B2307" t="str">
        <f ca="1">OFFSET(Industries!C$1,MATCH(Table1[[#This Row],[Ticker]],Industries!$A$2:$A$150,0),0)</f>
        <v>Health Care</v>
      </c>
      <c r="C2307" t="str">
        <f ca="1">OFFSET(Industries!D$1,MATCH(Table1[[#This Row],[Ticker]],Industries!$A$2:$A$150,0),0)</f>
        <v>Pharmaceuticals, Biotechnology and Life Sciences</v>
      </c>
      <c r="D2307" t="str">
        <f ca="1">OFFSET(Industries!E$1,MATCH(Table1[[#This Row],[Ticker]],Industries!$A$2:$A$150,0),0)</f>
        <v>Pharmaceuticals</v>
      </c>
      <c r="E2307" t="s">
        <v>49</v>
      </c>
      <c r="F2307" t="str">
        <f ca="1">OFFSET(Industries!B$1,MATCH(Table1[[#This Row],[Ticker]],Industries!$A$2:$A$140,0),0)</f>
        <v>Mega-Cap</v>
      </c>
      <c r="G2307" t="str">
        <f ca="1">OFFSET(Industries!F$1,MATCH(Table1[[#This Row],[Ticker]],Industries!$A$2:$A$140,0),0)</f>
        <v>A</v>
      </c>
      <c r="H2307" t="s">
        <v>1441</v>
      </c>
      <c r="I2307" t="s">
        <v>1439</v>
      </c>
      <c r="J2307" s="2">
        <v>45330</v>
      </c>
      <c r="K2307" t="s">
        <v>21</v>
      </c>
      <c r="L2307" t="s">
        <v>1710</v>
      </c>
      <c r="M2307" t="s">
        <v>1709</v>
      </c>
      <c r="N2307" s="1">
        <f>Table1[[#This Row],[Consideration Weight]]</f>
        <v>0.57999999999999996</v>
      </c>
      <c r="O2307" t="s">
        <v>476</v>
      </c>
      <c r="P2307" s="1">
        <v>0.57999999999999996</v>
      </c>
      <c r="Q2307" s="1" t="s">
        <v>1636</v>
      </c>
      <c r="R2307" t="s">
        <v>23</v>
      </c>
      <c r="S2307" t="s">
        <v>1083</v>
      </c>
      <c r="T2307" t="s">
        <v>1326</v>
      </c>
      <c r="U2307" s="1">
        <v>0.2</v>
      </c>
    </row>
    <row r="2308" spans="1:22" x14ac:dyDescent="0.3">
      <c r="A2308" t="s">
        <v>1348</v>
      </c>
      <c r="B2308" t="str">
        <f ca="1">OFFSET(Industries!C$1,MATCH(Table1[[#This Row],[Ticker]],Industries!$A$2:$A$150,0),0)</f>
        <v>Health Care</v>
      </c>
      <c r="C2308" t="str">
        <f ca="1">OFFSET(Industries!D$1,MATCH(Table1[[#This Row],[Ticker]],Industries!$A$2:$A$150,0),0)</f>
        <v>Pharmaceuticals, Biotechnology and Life Sciences</v>
      </c>
      <c r="D2308" t="str">
        <f ca="1">OFFSET(Industries!E$1,MATCH(Table1[[#This Row],[Ticker]],Industries!$A$2:$A$150,0),0)</f>
        <v>Pharmaceuticals</v>
      </c>
      <c r="E2308" t="s">
        <v>49</v>
      </c>
      <c r="F2308" t="str">
        <f ca="1">OFFSET(Industries!B$1,MATCH(Table1[[#This Row],[Ticker]],Industries!$A$2:$A$140,0),0)</f>
        <v>Mega-Cap</v>
      </c>
      <c r="G2308" t="str">
        <f ca="1">OFFSET(Industries!F$1,MATCH(Table1[[#This Row],[Ticker]],Industries!$A$2:$A$140,0),0)</f>
        <v>A</v>
      </c>
      <c r="H2308" t="s">
        <v>1441</v>
      </c>
      <c r="I2308" t="s">
        <v>1439</v>
      </c>
      <c r="J2308" s="2">
        <v>45330</v>
      </c>
      <c r="K2308" t="s">
        <v>21</v>
      </c>
      <c r="L2308" t="s">
        <v>1710</v>
      </c>
      <c r="M2308" t="s">
        <v>1709</v>
      </c>
      <c r="N2308" s="1"/>
      <c r="O2308" t="s">
        <v>476</v>
      </c>
      <c r="P2308" s="1">
        <v>0.57999999999999996</v>
      </c>
      <c r="Q2308" s="1" t="s">
        <v>1636</v>
      </c>
      <c r="R2308" t="s">
        <v>62</v>
      </c>
      <c r="S2308" t="s">
        <v>129</v>
      </c>
      <c r="T2308" t="s">
        <v>836</v>
      </c>
      <c r="U2308" s="1">
        <v>0.2</v>
      </c>
    </row>
    <row r="2309" spans="1:22" x14ac:dyDescent="0.3">
      <c r="A2309" t="s">
        <v>1348</v>
      </c>
      <c r="B2309" t="str">
        <f ca="1">OFFSET(Industries!C$1,MATCH(Table1[[#This Row],[Ticker]],Industries!$A$2:$A$150,0),0)</f>
        <v>Health Care</v>
      </c>
      <c r="C2309" t="str">
        <f ca="1">OFFSET(Industries!D$1,MATCH(Table1[[#This Row],[Ticker]],Industries!$A$2:$A$150,0),0)</f>
        <v>Pharmaceuticals, Biotechnology and Life Sciences</v>
      </c>
      <c r="D2309" t="str">
        <f ca="1">OFFSET(Industries!E$1,MATCH(Table1[[#This Row],[Ticker]],Industries!$A$2:$A$150,0),0)</f>
        <v>Pharmaceuticals</v>
      </c>
      <c r="E2309" t="s">
        <v>49</v>
      </c>
      <c r="F2309" t="str">
        <f ca="1">OFFSET(Industries!B$1,MATCH(Table1[[#This Row],[Ticker]],Industries!$A$2:$A$140,0),0)</f>
        <v>Mega-Cap</v>
      </c>
      <c r="G2309" t="str">
        <f ca="1">OFFSET(Industries!F$1,MATCH(Table1[[#This Row],[Ticker]],Industries!$A$2:$A$140,0),0)</f>
        <v>A</v>
      </c>
      <c r="H2309" t="s">
        <v>1441</v>
      </c>
      <c r="I2309" t="s">
        <v>1439</v>
      </c>
      <c r="J2309" s="2">
        <v>45330</v>
      </c>
      <c r="K2309" t="s">
        <v>21</v>
      </c>
      <c r="L2309" t="s">
        <v>1710</v>
      </c>
      <c r="M2309" t="s">
        <v>1709</v>
      </c>
      <c r="N2309" s="1"/>
      <c r="O2309" t="s">
        <v>476</v>
      </c>
      <c r="P2309" s="1">
        <v>0.57999999999999996</v>
      </c>
      <c r="Q2309" s="1" t="s">
        <v>1646</v>
      </c>
      <c r="R2309" t="s">
        <v>35</v>
      </c>
      <c r="S2309" t="s">
        <v>29</v>
      </c>
      <c r="T2309" t="s">
        <v>30</v>
      </c>
      <c r="U2309" s="1">
        <v>0.2</v>
      </c>
    </row>
    <row r="2310" spans="1:22" x14ac:dyDescent="0.3">
      <c r="A2310" t="s">
        <v>1348</v>
      </c>
      <c r="B2310" t="str">
        <f ca="1">OFFSET(Industries!C$1,MATCH(Table1[[#This Row],[Ticker]],Industries!$A$2:$A$150,0),0)</f>
        <v>Health Care</v>
      </c>
      <c r="C2310" t="str">
        <f ca="1">OFFSET(Industries!D$1,MATCH(Table1[[#This Row],[Ticker]],Industries!$A$2:$A$150,0),0)</f>
        <v>Pharmaceuticals, Biotechnology and Life Sciences</v>
      </c>
      <c r="D2310" t="str">
        <f ca="1">OFFSET(Industries!E$1,MATCH(Table1[[#This Row],[Ticker]],Industries!$A$2:$A$150,0),0)</f>
        <v>Pharmaceuticals</v>
      </c>
      <c r="E2310" t="s">
        <v>49</v>
      </c>
      <c r="F2310" t="str">
        <f ca="1">OFFSET(Industries!B$1,MATCH(Table1[[#This Row],[Ticker]],Industries!$A$2:$A$140,0),0)</f>
        <v>Mega-Cap</v>
      </c>
      <c r="G2310" t="str">
        <f ca="1">OFFSET(Industries!F$1,MATCH(Table1[[#This Row],[Ticker]],Industries!$A$2:$A$140,0),0)</f>
        <v>A</v>
      </c>
      <c r="H2310" t="s">
        <v>1441</v>
      </c>
      <c r="I2310" t="s">
        <v>1439</v>
      </c>
      <c r="J2310" s="2">
        <v>45330</v>
      </c>
      <c r="K2310" t="s">
        <v>21</v>
      </c>
      <c r="L2310" t="s">
        <v>1710</v>
      </c>
      <c r="M2310" t="s">
        <v>1709</v>
      </c>
      <c r="N2310" s="1"/>
      <c r="O2310" t="s">
        <v>476</v>
      </c>
      <c r="P2310" s="1">
        <v>0.57999999999999996</v>
      </c>
      <c r="Q2310" s="1" t="s">
        <v>1637</v>
      </c>
      <c r="R2310" t="s">
        <v>25</v>
      </c>
      <c r="S2310" t="s">
        <v>344</v>
      </c>
      <c r="T2310" t="s">
        <v>1408</v>
      </c>
      <c r="U2310" s="1">
        <v>0.18</v>
      </c>
    </row>
    <row r="2311" spans="1:22" x14ac:dyDescent="0.3">
      <c r="A2311" t="s">
        <v>1348</v>
      </c>
      <c r="B2311" t="str">
        <f ca="1">OFFSET(Industries!C$1,MATCH(Table1[[#This Row],[Ticker]],Industries!$A$2:$A$150,0),0)</f>
        <v>Health Care</v>
      </c>
      <c r="C2311" t="str">
        <f ca="1">OFFSET(Industries!D$1,MATCH(Table1[[#This Row],[Ticker]],Industries!$A$2:$A$150,0),0)</f>
        <v>Pharmaceuticals, Biotechnology and Life Sciences</v>
      </c>
      <c r="D2311" t="str">
        <f ca="1">OFFSET(Industries!E$1,MATCH(Table1[[#This Row],[Ticker]],Industries!$A$2:$A$150,0),0)</f>
        <v>Pharmaceuticals</v>
      </c>
      <c r="E2311" t="s">
        <v>49</v>
      </c>
      <c r="F2311" t="str">
        <f ca="1">OFFSET(Industries!B$1,MATCH(Table1[[#This Row],[Ticker]],Industries!$A$2:$A$140,0),0)</f>
        <v>Mega-Cap</v>
      </c>
      <c r="G2311" t="str">
        <f ca="1">OFFSET(Industries!F$1,MATCH(Table1[[#This Row],[Ticker]],Industries!$A$2:$A$140,0),0)</f>
        <v>A</v>
      </c>
      <c r="H2311" t="s">
        <v>1441</v>
      </c>
      <c r="I2311" t="s">
        <v>1439</v>
      </c>
      <c r="J2311" s="2">
        <v>45330</v>
      </c>
      <c r="K2311" t="s">
        <v>21</v>
      </c>
      <c r="L2311" t="s">
        <v>1710</v>
      </c>
      <c r="M2311" t="s">
        <v>1709</v>
      </c>
      <c r="N2311" s="1"/>
      <c r="O2311" t="s">
        <v>476</v>
      </c>
      <c r="P2311" s="1">
        <v>0.57999999999999996</v>
      </c>
      <c r="Q2311" s="1" t="s">
        <v>1637</v>
      </c>
      <c r="R2311" t="s">
        <v>25</v>
      </c>
      <c r="S2311" t="s">
        <v>344</v>
      </c>
      <c r="T2311" t="s">
        <v>1409</v>
      </c>
      <c r="U2311" s="1">
        <v>0.12</v>
      </c>
    </row>
    <row r="2312" spans="1:22" x14ac:dyDescent="0.3">
      <c r="A2312" t="s">
        <v>1348</v>
      </c>
      <c r="B2312" t="str">
        <f ca="1">OFFSET(Industries!C$1,MATCH(Table1[[#This Row],[Ticker]],Industries!$A$2:$A$150,0),0)</f>
        <v>Health Care</v>
      </c>
      <c r="C2312" t="str">
        <f ca="1">OFFSET(Industries!D$1,MATCH(Table1[[#This Row],[Ticker]],Industries!$A$2:$A$150,0),0)</f>
        <v>Pharmaceuticals, Biotechnology and Life Sciences</v>
      </c>
      <c r="D2312" t="str">
        <f ca="1">OFFSET(Industries!E$1,MATCH(Table1[[#This Row],[Ticker]],Industries!$A$2:$A$150,0),0)</f>
        <v>Pharmaceuticals</v>
      </c>
      <c r="E2312" t="s">
        <v>49</v>
      </c>
      <c r="F2312" t="str">
        <f ca="1">OFFSET(Industries!B$1,MATCH(Table1[[#This Row],[Ticker]],Industries!$A$2:$A$140,0),0)</f>
        <v>Mega-Cap</v>
      </c>
      <c r="G2312" t="str">
        <f ca="1">OFFSET(Industries!F$1,MATCH(Table1[[#This Row],[Ticker]],Industries!$A$2:$A$140,0),0)</f>
        <v>A</v>
      </c>
      <c r="H2312" t="s">
        <v>1441</v>
      </c>
      <c r="I2312" t="s">
        <v>1439</v>
      </c>
      <c r="J2312" s="2">
        <v>45330</v>
      </c>
      <c r="K2312" t="s">
        <v>21</v>
      </c>
      <c r="L2312" t="s">
        <v>1710</v>
      </c>
      <c r="M2312" t="s">
        <v>1709</v>
      </c>
      <c r="N2312" s="1"/>
      <c r="O2312" t="s">
        <v>476</v>
      </c>
      <c r="P2312" s="1">
        <v>0.57999999999999996</v>
      </c>
      <c r="Q2312" s="1" t="s">
        <v>1637</v>
      </c>
      <c r="R2312" t="s">
        <v>26</v>
      </c>
      <c r="S2312" t="s">
        <v>26</v>
      </c>
      <c r="T2312" t="s">
        <v>1410</v>
      </c>
      <c r="U2312" s="1">
        <v>0.1</v>
      </c>
      <c r="V2312" t="s">
        <v>1413</v>
      </c>
    </row>
    <row r="2313" spans="1:22" x14ac:dyDescent="0.3">
      <c r="A2313" t="s">
        <v>1349</v>
      </c>
      <c r="B2313" t="str">
        <f ca="1">OFFSET(Industries!C$1,MATCH(Table1[[#This Row],[Ticker]],Industries!$A$2:$A$150,0),0)</f>
        <v>Information Technology</v>
      </c>
      <c r="C2313" t="str">
        <f ca="1">OFFSET(Industries!D$1,MATCH(Table1[[#This Row],[Ticker]],Industries!$A$2:$A$150,0),0)</f>
        <v>Semiconductors</v>
      </c>
      <c r="D2313" t="str">
        <f ca="1">OFFSET(Industries!E$1,MATCH(Table1[[#This Row],[Ticker]],Industries!$A$2:$A$150,0),0)</f>
        <v>Semiconductors</v>
      </c>
      <c r="E2313" t="s">
        <v>34</v>
      </c>
      <c r="F2313" t="str">
        <f ca="1">OFFSET(Industries!B$1,MATCH(Table1[[#This Row],[Ticker]],Industries!$A$2:$A$140,0),0)</f>
        <v>Mega-Cap</v>
      </c>
      <c r="G2313" t="str">
        <f ca="1">OFFSET(Industries!F$1,MATCH(Table1[[#This Row],[Ticker]],Industries!$A$2:$A$140,0),0)</f>
        <v>A</v>
      </c>
      <c r="H2313" t="s">
        <v>1442</v>
      </c>
      <c r="I2313" t="s">
        <v>1439</v>
      </c>
      <c r="J2313" s="2">
        <v>45336</v>
      </c>
      <c r="K2313" t="s">
        <v>2</v>
      </c>
      <c r="L2313" t="s">
        <v>3</v>
      </c>
      <c r="M2313" t="s">
        <v>1711</v>
      </c>
      <c r="N2313" s="1">
        <f>Table1[[#This Row],[Consideration Weight]]</f>
        <v>0.23799999999999999</v>
      </c>
      <c r="O2313" t="s">
        <v>3</v>
      </c>
      <c r="P2313" s="1">
        <v>0.23799999999999999</v>
      </c>
      <c r="V2313" t="s">
        <v>1418</v>
      </c>
    </row>
    <row r="2314" spans="1:22" x14ac:dyDescent="0.3">
      <c r="A2314" t="s">
        <v>1349</v>
      </c>
      <c r="B2314" t="str">
        <f ca="1">OFFSET(Industries!C$1,MATCH(Table1[[#This Row],[Ticker]],Industries!$A$2:$A$150,0),0)</f>
        <v>Information Technology</v>
      </c>
      <c r="C2314" t="str">
        <f ca="1">OFFSET(Industries!D$1,MATCH(Table1[[#This Row],[Ticker]],Industries!$A$2:$A$150,0),0)</f>
        <v>Semiconductors</v>
      </c>
      <c r="D2314" t="str">
        <f ca="1">OFFSET(Industries!E$1,MATCH(Table1[[#This Row],[Ticker]],Industries!$A$2:$A$150,0),0)</f>
        <v>Semiconductors</v>
      </c>
      <c r="E2314" t="s">
        <v>34</v>
      </c>
      <c r="F2314" t="str">
        <f ca="1">OFFSET(Industries!B$1,MATCH(Table1[[#This Row],[Ticker]],Industries!$A$2:$A$140,0),0)</f>
        <v>Mega-Cap</v>
      </c>
      <c r="G2314" t="str">
        <f ca="1">OFFSET(Industries!F$1,MATCH(Table1[[#This Row],[Ticker]],Industries!$A$2:$A$140,0),0)</f>
        <v>A</v>
      </c>
      <c r="H2314" t="s">
        <v>1442</v>
      </c>
      <c r="I2314" t="s">
        <v>1439</v>
      </c>
      <c r="J2314" s="2">
        <v>45336</v>
      </c>
      <c r="K2314" t="s">
        <v>2</v>
      </c>
      <c r="L2314" t="s">
        <v>1708</v>
      </c>
      <c r="M2314" t="s">
        <v>1709</v>
      </c>
      <c r="N2314" s="1">
        <f>Table1[[#This Row],[Consideration Weight]]</f>
        <v>0.28599999999999998</v>
      </c>
      <c r="O2314" t="s">
        <v>4</v>
      </c>
      <c r="P2314" s="1">
        <v>0.28599999999999998</v>
      </c>
      <c r="Q2314" s="1" t="s">
        <v>1636</v>
      </c>
      <c r="R2314" t="s">
        <v>24</v>
      </c>
      <c r="S2314" t="s">
        <v>509</v>
      </c>
      <c r="T2314" t="s">
        <v>509</v>
      </c>
      <c r="U2314" s="1">
        <v>0.6</v>
      </c>
    </row>
    <row r="2315" spans="1:22" x14ac:dyDescent="0.3">
      <c r="A2315" t="s">
        <v>1349</v>
      </c>
      <c r="B2315" t="str">
        <f ca="1">OFFSET(Industries!C$1,MATCH(Table1[[#This Row],[Ticker]],Industries!$A$2:$A$150,0),0)</f>
        <v>Information Technology</v>
      </c>
      <c r="C2315" t="str">
        <f ca="1">OFFSET(Industries!D$1,MATCH(Table1[[#This Row],[Ticker]],Industries!$A$2:$A$150,0),0)</f>
        <v>Semiconductors</v>
      </c>
      <c r="D2315" t="str">
        <f ca="1">OFFSET(Industries!E$1,MATCH(Table1[[#This Row],[Ticker]],Industries!$A$2:$A$150,0),0)</f>
        <v>Semiconductors</v>
      </c>
      <c r="E2315" t="s">
        <v>34</v>
      </c>
      <c r="F2315" t="str">
        <f ca="1">OFFSET(Industries!B$1,MATCH(Table1[[#This Row],[Ticker]],Industries!$A$2:$A$140,0),0)</f>
        <v>Mega-Cap</v>
      </c>
      <c r="G2315" t="str">
        <f ca="1">OFFSET(Industries!F$1,MATCH(Table1[[#This Row],[Ticker]],Industries!$A$2:$A$140,0),0)</f>
        <v>A</v>
      </c>
      <c r="H2315" t="s">
        <v>1442</v>
      </c>
      <c r="I2315" t="s">
        <v>1439</v>
      </c>
      <c r="J2315" s="2">
        <v>45336</v>
      </c>
      <c r="K2315" t="s">
        <v>2</v>
      </c>
      <c r="L2315" t="s">
        <v>1708</v>
      </c>
      <c r="M2315" t="s">
        <v>1709</v>
      </c>
      <c r="N2315" s="1"/>
      <c r="O2315" t="s">
        <v>4</v>
      </c>
      <c r="P2315" s="1">
        <v>0.28599999999999998</v>
      </c>
      <c r="Q2315" s="1" t="s">
        <v>1637</v>
      </c>
      <c r="R2315" t="s">
        <v>25</v>
      </c>
      <c r="S2315" t="s">
        <v>1086</v>
      </c>
      <c r="T2315" t="s">
        <v>1414</v>
      </c>
      <c r="U2315" s="1">
        <v>0.2</v>
      </c>
      <c r="V2315" t="s">
        <v>1419</v>
      </c>
    </row>
    <row r="2316" spans="1:22" x14ac:dyDescent="0.3">
      <c r="A2316" t="s">
        <v>1349</v>
      </c>
      <c r="B2316" t="str">
        <f ca="1">OFFSET(Industries!C$1,MATCH(Table1[[#This Row],[Ticker]],Industries!$A$2:$A$150,0),0)</f>
        <v>Information Technology</v>
      </c>
      <c r="C2316" t="str">
        <f ca="1">OFFSET(Industries!D$1,MATCH(Table1[[#This Row],[Ticker]],Industries!$A$2:$A$150,0),0)</f>
        <v>Semiconductors</v>
      </c>
      <c r="D2316" t="str">
        <f ca="1">OFFSET(Industries!E$1,MATCH(Table1[[#This Row],[Ticker]],Industries!$A$2:$A$150,0),0)</f>
        <v>Semiconductors</v>
      </c>
      <c r="E2316" t="s">
        <v>34</v>
      </c>
      <c r="F2316" t="str">
        <f ca="1">OFFSET(Industries!B$1,MATCH(Table1[[#This Row],[Ticker]],Industries!$A$2:$A$140,0),0)</f>
        <v>Mega-Cap</v>
      </c>
      <c r="G2316" t="str">
        <f ca="1">OFFSET(Industries!F$1,MATCH(Table1[[#This Row],[Ticker]],Industries!$A$2:$A$140,0),0)</f>
        <v>A</v>
      </c>
      <c r="H2316" t="s">
        <v>1442</v>
      </c>
      <c r="I2316" t="s">
        <v>1439</v>
      </c>
      <c r="J2316" s="2">
        <v>45336</v>
      </c>
      <c r="K2316" t="s">
        <v>2</v>
      </c>
      <c r="L2316" t="s">
        <v>1708</v>
      </c>
      <c r="M2316" t="s">
        <v>1709</v>
      </c>
      <c r="N2316" s="1"/>
      <c r="O2316" t="s">
        <v>4</v>
      </c>
      <c r="P2316" s="1">
        <v>0.28599999999999998</v>
      </c>
      <c r="Q2316" s="1" t="s">
        <v>1637</v>
      </c>
      <c r="R2316" t="s">
        <v>25</v>
      </c>
      <c r="S2316" t="s">
        <v>1086</v>
      </c>
      <c r="T2316" t="s">
        <v>1415</v>
      </c>
      <c r="U2316" s="1">
        <v>0.2</v>
      </c>
      <c r="V2316" t="s">
        <v>1420</v>
      </c>
    </row>
    <row r="2317" spans="1:22" x14ac:dyDescent="0.3">
      <c r="A2317" t="s">
        <v>1349</v>
      </c>
      <c r="B2317" t="str">
        <f ca="1">OFFSET(Industries!C$1,MATCH(Table1[[#This Row],[Ticker]],Industries!$A$2:$A$150,0),0)</f>
        <v>Information Technology</v>
      </c>
      <c r="C2317" t="str">
        <f ca="1">OFFSET(Industries!D$1,MATCH(Table1[[#This Row],[Ticker]],Industries!$A$2:$A$150,0),0)</f>
        <v>Semiconductors</v>
      </c>
      <c r="D2317" t="str">
        <f ca="1">OFFSET(Industries!E$1,MATCH(Table1[[#This Row],[Ticker]],Industries!$A$2:$A$150,0),0)</f>
        <v>Semiconductors</v>
      </c>
      <c r="E2317" t="s">
        <v>34</v>
      </c>
      <c r="F2317" t="str">
        <f ca="1">OFFSET(Industries!B$1,MATCH(Table1[[#This Row],[Ticker]],Industries!$A$2:$A$140,0),0)</f>
        <v>Mega-Cap</v>
      </c>
      <c r="G2317" t="str">
        <f ca="1">OFFSET(Industries!F$1,MATCH(Table1[[#This Row],[Ticker]],Industries!$A$2:$A$140,0),0)</f>
        <v>A</v>
      </c>
      <c r="H2317" t="s">
        <v>1442</v>
      </c>
      <c r="I2317" t="s">
        <v>1439</v>
      </c>
      <c r="J2317" s="2">
        <v>45336</v>
      </c>
      <c r="K2317" t="s">
        <v>2</v>
      </c>
      <c r="L2317" t="s">
        <v>1710</v>
      </c>
      <c r="M2317" t="s">
        <v>1709</v>
      </c>
      <c r="N2317" s="1">
        <f>Table1[[#This Row],[Consideration Weight]]</f>
        <v>0.47599999999999998</v>
      </c>
      <c r="O2317" t="s">
        <v>476</v>
      </c>
      <c r="P2317" s="1">
        <v>0.47599999999999998</v>
      </c>
      <c r="Q2317" s="1" t="s">
        <v>1646</v>
      </c>
      <c r="R2317" t="s">
        <v>35</v>
      </c>
      <c r="S2317" t="s">
        <v>29</v>
      </c>
      <c r="T2317" t="s">
        <v>30</v>
      </c>
      <c r="U2317" s="1">
        <v>0.3</v>
      </c>
      <c r="V2317" t="s">
        <v>1416</v>
      </c>
    </row>
    <row r="2318" spans="1:22" x14ac:dyDescent="0.3">
      <c r="A2318" t="s">
        <v>1349</v>
      </c>
      <c r="B2318" t="str">
        <f ca="1">OFFSET(Industries!C$1,MATCH(Table1[[#This Row],[Ticker]],Industries!$A$2:$A$150,0),0)</f>
        <v>Information Technology</v>
      </c>
      <c r="C2318" t="str">
        <f ca="1">OFFSET(Industries!D$1,MATCH(Table1[[#This Row],[Ticker]],Industries!$A$2:$A$150,0),0)</f>
        <v>Semiconductors</v>
      </c>
      <c r="D2318" t="str">
        <f ca="1">OFFSET(Industries!E$1,MATCH(Table1[[#This Row],[Ticker]],Industries!$A$2:$A$150,0),0)</f>
        <v>Semiconductors</v>
      </c>
      <c r="E2318" t="s">
        <v>34</v>
      </c>
      <c r="F2318" t="str">
        <f ca="1">OFFSET(Industries!B$1,MATCH(Table1[[#This Row],[Ticker]],Industries!$A$2:$A$140,0),0)</f>
        <v>Mega-Cap</v>
      </c>
      <c r="G2318" t="str">
        <f ca="1">OFFSET(Industries!F$1,MATCH(Table1[[#This Row],[Ticker]],Industries!$A$2:$A$140,0),0)</f>
        <v>A</v>
      </c>
      <c r="H2318" t="s">
        <v>1442</v>
      </c>
      <c r="I2318" t="s">
        <v>1439</v>
      </c>
      <c r="J2318" s="2">
        <v>45336</v>
      </c>
      <c r="K2318" t="s">
        <v>2</v>
      </c>
      <c r="L2318" t="s">
        <v>1710</v>
      </c>
      <c r="M2318" t="s">
        <v>1709</v>
      </c>
      <c r="N2318" s="1"/>
      <c r="O2318" t="s">
        <v>476</v>
      </c>
      <c r="P2318" s="1">
        <v>0.47599999999999998</v>
      </c>
      <c r="Q2318" s="1" t="s">
        <v>1636</v>
      </c>
      <c r="R2318" t="s">
        <v>1059</v>
      </c>
      <c r="S2318" t="s">
        <v>1101</v>
      </c>
      <c r="T2318" t="s">
        <v>1252</v>
      </c>
      <c r="U2318" s="1">
        <v>0.3</v>
      </c>
      <c r="V2318" t="s">
        <v>1421</v>
      </c>
    </row>
    <row r="2319" spans="1:22" x14ac:dyDescent="0.3">
      <c r="A2319" t="s">
        <v>1349</v>
      </c>
      <c r="B2319" t="str">
        <f ca="1">OFFSET(Industries!C$1,MATCH(Table1[[#This Row],[Ticker]],Industries!$A$2:$A$150,0),0)</f>
        <v>Information Technology</v>
      </c>
      <c r="C2319" t="str">
        <f ca="1">OFFSET(Industries!D$1,MATCH(Table1[[#This Row],[Ticker]],Industries!$A$2:$A$150,0),0)</f>
        <v>Semiconductors</v>
      </c>
      <c r="D2319" t="str">
        <f ca="1">OFFSET(Industries!E$1,MATCH(Table1[[#This Row],[Ticker]],Industries!$A$2:$A$150,0),0)</f>
        <v>Semiconductors</v>
      </c>
      <c r="E2319" t="s">
        <v>34</v>
      </c>
      <c r="F2319" t="str">
        <f ca="1">OFFSET(Industries!B$1,MATCH(Table1[[#This Row],[Ticker]],Industries!$A$2:$A$140,0),0)</f>
        <v>Mega-Cap</v>
      </c>
      <c r="G2319" t="str">
        <f ca="1">OFFSET(Industries!F$1,MATCH(Table1[[#This Row],[Ticker]],Industries!$A$2:$A$140,0),0)</f>
        <v>A</v>
      </c>
      <c r="H2319" t="s">
        <v>1442</v>
      </c>
      <c r="I2319" t="s">
        <v>1439</v>
      </c>
      <c r="J2319" s="2">
        <v>45336</v>
      </c>
      <c r="K2319" t="s">
        <v>2</v>
      </c>
      <c r="L2319" t="s">
        <v>1710</v>
      </c>
      <c r="M2319" t="s">
        <v>1709</v>
      </c>
      <c r="N2319" s="1"/>
      <c r="O2319" t="s">
        <v>476</v>
      </c>
      <c r="P2319" s="1">
        <v>0.47599999999999998</v>
      </c>
      <c r="Q2319" s="1" t="s">
        <v>1637</v>
      </c>
      <c r="R2319" t="s">
        <v>26</v>
      </c>
      <c r="S2319" t="s">
        <v>26</v>
      </c>
      <c r="T2319" t="s">
        <v>984</v>
      </c>
      <c r="U2319" s="1">
        <v>0.2</v>
      </c>
      <c r="V2319" t="s">
        <v>1422</v>
      </c>
    </row>
    <row r="2320" spans="1:22" x14ac:dyDescent="0.3">
      <c r="A2320" t="s">
        <v>1349</v>
      </c>
      <c r="B2320" t="str">
        <f ca="1">OFFSET(Industries!C$1,MATCH(Table1[[#This Row],[Ticker]],Industries!$A$2:$A$150,0),0)</f>
        <v>Information Technology</v>
      </c>
      <c r="C2320" t="str">
        <f ca="1">OFFSET(Industries!D$1,MATCH(Table1[[#This Row],[Ticker]],Industries!$A$2:$A$150,0),0)</f>
        <v>Semiconductors</v>
      </c>
      <c r="D2320" t="str">
        <f ca="1">OFFSET(Industries!E$1,MATCH(Table1[[#This Row],[Ticker]],Industries!$A$2:$A$150,0),0)</f>
        <v>Semiconductors</v>
      </c>
      <c r="E2320" t="s">
        <v>34</v>
      </c>
      <c r="F2320" t="str">
        <f ca="1">OFFSET(Industries!B$1,MATCH(Table1[[#This Row],[Ticker]],Industries!$A$2:$A$140,0),0)</f>
        <v>Mega-Cap</v>
      </c>
      <c r="G2320" t="str">
        <f ca="1">OFFSET(Industries!F$1,MATCH(Table1[[#This Row],[Ticker]],Industries!$A$2:$A$140,0),0)</f>
        <v>A</v>
      </c>
      <c r="H2320" t="s">
        <v>1442</v>
      </c>
      <c r="I2320" t="s">
        <v>1439</v>
      </c>
      <c r="J2320" s="2">
        <v>45336</v>
      </c>
      <c r="K2320" t="s">
        <v>2</v>
      </c>
      <c r="L2320" t="s">
        <v>1710</v>
      </c>
      <c r="M2320" t="s">
        <v>1709</v>
      </c>
      <c r="N2320" s="1"/>
      <c r="O2320" t="s">
        <v>476</v>
      </c>
      <c r="P2320" s="1">
        <v>0.47599999999999998</v>
      </c>
      <c r="Q2320" s="1" t="s">
        <v>1637</v>
      </c>
      <c r="R2320" t="s">
        <v>25</v>
      </c>
      <c r="S2320" t="s">
        <v>1086</v>
      </c>
      <c r="T2320" t="s">
        <v>1417</v>
      </c>
      <c r="U2320" s="1">
        <v>0.2</v>
      </c>
      <c r="V2320" t="s">
        <v>1423</v>
      </c>
    </row>
    <row r="2321" spans="1:22" x14ac:dyDescent="0.3">
      <c r="A2321" t="s">
        <v>1349</v>
      </c>
      <c r="B2321" t="str">
        <f ca="1">OFFSET(Industries!C$1,MATCH(Table1[[#This Row],[Ticker]],Industries!$A$2:$A$150,0),0)</f>
        <v>Information Technology</v>
      </c>
      <c r="C2321" t="str">
        <f ca="1">OFFSET(Industries!D$1,MATCH(Table1[[#This Row],[Ticker]],Industries!$A$2:$A$150,0),0)</f>
        <v>Semiconductors</v>
      </c>
      <c r="D2321" t="str">
        <f ca="1">OFFSET(Industries!E$1,MATCH(Table1[[#This Row],[Ticker]],Industries!$A$2:$A$150,0),0)</f>
        <v>Semiconductors</v>
      </c>
      <c r="E2321" t="s">
        <v>34</v>
      </c>
      <c r="F2321" t="str">
        <f ca="1">OFFSET(Industries!B$1,MATCH(Table1[[#This Row],[Ticker]],Industries!$A$2:$A$140,0),0)</f>
        <v>Mega-Cap</v>
      </c>
      <c r="G2321" t="str">
        <f ca="1">OFFSET(Industries!F$1,MATCH(Table1[[#This Row],[Ticker]],Industries!$A$2:$A$140,0),0)</f>
        <v>A</v>
      </c>
      <c r="H2321" t="s">
        <v>1442</v>
      </c>
      <c r="I2321" t="s">
        <v>1439</v>
      </c>
      <c r="J2321" s="2">
        <v>45336</v>
      </c>
      <c r="K2321" t="s">
        <v>21</v>
      </c>
      <c r="L2321" t="s">
        <v>3</v>
      </c>
      <c r="M2321" t="s">
        <v>1711</v>
      </c>
      <c r="N2321" s="1">
        <f>Table1[[#This Row],[Consideration Weight]]</f>
        <v>0.26300000000000001</v>
      </c>
      <c r="O2321" t="s">
        <v>3</v>
      </c>
      <c r="P2321" s="1">
        <v>0.26300000000000001</v>
      </c>
    </row>
    <row r="2322" spans="1:22" x14ac:dyDescent="0.3">
      <c r="A2322" t="s">
        <v>1349</v>
      </c>
      <c r="B2322" t="str">
        <f ca="1">OFFSET(Industries!C$1,MATCH(Table1[[#This Row],[Ticker]],Industries!$A$2:$A$150,0),0)</f>
        <v>Information Technology</v>
      </c>
      <c r="C2322" t="str">
        <f ca="1">OFFSET(Industries!D$1,MATCH(Table1[[#This Row],[Ticker]],Industries!$A$2:$A$150,0),0)</f>
        <v>Semiconductors</v>
      </c>
      <c r="D2322" t="str">
        <f ca="1">OFFSET(Industries!E$1,MATCH(Table1[[#This Row],[Ticker]],Industries!$A$2:$A$150,0),0)</f>
        <v>Semiconductors</v>
      </c>
      <c r="E2322" t="s">
        <v>34</v>
      </c>
      <c r="F2322" t="str">
        <f ca="1">OFFSET(Industries!B$1,MATCH(Table1[[#This Row],[Ticker]],Industries!$A$2:$A$140,0),0)</f>
        <v>Mega-Cap</v>
      </c>
      <c r="G2322" t="str">
        <f ca="1">OFFSET(Industries!F$1,MATCH(Table1[[#This Row],[Ticker]],Industries!$A$2:$A$140,0),0)</f>
        <v>A</v>
      </c>
      <c r="H2322" t="s">
        <v>1442</v>
      </c>
      <c r="I2322" t="s">
        <v>1439</v>
      </c>
      <c r="J2322" s="2">
        <v>45336</v>
      </c>
      <c r="K2322" t="s">
        <v>21</v>
      </c>
      <c r="L2322" t="s">
        <v>1708</v>
      </c>
      <c r="M2322" t="s">
        <v>1709</v>
      </c>
      <c r="N2322" s="1">
        <f>Table1[[#This Row],[Consideration Weight]]</f>
        <v>0.26300000000000001</v>
      </c>
      <c r="O2322" t="s">
        <v>4</v>
      </c>
      <c r="P2322" s="1">
        <v>0.26300000000000001</v>
      </c>
      <c r="Q2322" s="1" t="s">
        <v>1636</v>
      </c>
      <c r="R2322" t="s">
        <v>24</v>
      </c>
      <c r="S2322" t="s">
        <v>509</v>
      </c>
      <c r="T2322" t="s">
        <v>509</v>
      </c>
      <c r="U2322" s="1">
        <v>0.6</v>
      </c>
    </row>
    <row r="2323" spans="1:22" x14ac:dyDescent="0.3">
      <c r="A2323" t="s">
        <v>1349</v>
      </c>
      <c r="B2323" t="str">
        <f ca="1">OFFSET(Industries!C$1,MATCH(Table1[[#This Row],[Ticker]],Industries!$A$2:$A$150,0),0)</f>
        <v>Information Technology</v>
      </c>
      <c r="C2323" t="str">
        <f ca="1">OFFSET(Industries!D$1,MATCH(Table1[[#This Row],[Ticker]],Industries!$A$2:$A$150,0),0)</f>
        <v>Semiconductors</v>
      </c>
      <c r="D2323" t="str">
        <f ca="1">OFFSET(Industries!E$1,MATCH(Table1[[#This Row],[Ticker]],Industries!$A$2:$A$150,0),0)</f>
        <v>Semiconductors</v>
      </c>
      <c r="E2323" t="s">
        <v>34</v>
      </c>
      <c r="F2323" t="str">
        <f ca="1">OFFSET(Industries!B$1,MATCH(Table1[[#This Row],[Ticker]],Industries!$A$2:$A$140,0),0)</f>
        <v>Mega-Cap</v>
      </c>
      <c r="G2323" t="str">
        <f ca="1">OFFSET(Industries!F$1,MATCH(Table1[[#This Row],[Ticker]],Industries!$A$2:$A$140,0),0)</f>
        <v>A</v>
      </c>
      <c r="H2323" t="s">
        <v>1442</v>
      </c>
      <c r="I2323" t="s">
        <v>1439</v>
      </c>
      <c r="J2323" s="2">
        <v>45336</v>
      </c>
      <c r="K2323" t="s">
        <v>21</v>
      </c>
      <c r="L2323" t="s">
        <v>1708</v>
      </c>
      <c r="M2323" t="s">
        <v>1709</v>
      </c>
      <c r="N2323" s="1"/>
      <c r="O2323" t="s">
        <v>4</v>
      </c>
      <c r="P2323" s="1">
        <v>0.26300000000000001</v>
      </c>
      <c r="Q2323" s="1" t="s">
        <v>1637</v>
      </c>
      <c r="R2323" t="s">
        <v>25</v>
      </c>
      <c r="S2323" t="s">
        <v>1086</v>
      </c>
      <c r="T2323" t="s">
        <v>1414</v>
      </c>
      <c r="U2323" s="1">
        <v>0.2</v>
      </c>
    </row>
    <row r="2324" spans="1:22" x14ac:dyDescent="0.3">
      <c r="A2324" t="s">
        <v>1349</v>
      </c>
      <c r="B2324" t="str">
        <f ca="1">OFFSET(Industries!C$1,MATCH(Table1[[#This Row],[Ticker]],Industries!$A$2:$A$150,0),0)</f>
        <v>Information Technology</v>
      </c>
      <c r="C2324" t="str">
        <f ca="1">OFFSET(Industries!D$1,MATCH(Table1[[#This Row],[Ticker]],Industries!$A$2:$A$150,0),0)</f>
        <v>Semiconductors</v>
      </c>
      <c r="D2324" t="str">
        <f ca="1">OFFSET(Industries!E$1,MATCH(Table1[[#This Row],[Ticker]],Industries!$A$2:$A$150,0),0)</f>
        <v>Semiconductors</v>
      </c>
      <c r="E2324" t="s">
        <v>34</v>
      </c>
      <c r="F2324" t="str">
        <f ca="1">OFFSET(Industries!B$1,MATCH(Table1[[#This Row],[Ticker]],Industries!$A$2:$A$140,0),0)</f>
        <v>Mega-Cap</v>
      </c>
      <c r="G2324" t="str">
        <f ca="1">OFFSET(Industries!F$1,MATCH(Table1[[#This Row],[Ticker]],Industries!$A$2:$A$140,0),0)</f>
        <v>A</v>
      </c>
      <c r="H2324" t="s">
        <v>1442</v>
      </c>
      <c r="I2324" t="s">
        <v>1439</v>
      </c>
      <c r="J2324" s="2">
        <v>45336</v>
      </c>
      <c r="K2324" t="s">
        <v>21</v>
      </c>
      <c r="L2324" t="s">
        <v>1708</v>
      </c>
      <c r="M2324" t="s">
        <v>1709</v>
      </c>
      <c r="N2324" s="1"/>
      <c r="O2324" t="s">
        <v>4</v>
      </c>
      <c r="P2324" s="1">
        <v>0.26300000000000001</v>
      </c>
      <c r="Q2324" s="1" t="s">
        <v>1637</v>
      </c>
      <c r="R2324" t="s">
        <v>25</v>
      </c>
      <c r="S2324" t="s">
        <v>1086</v>
      </c>
      <c r="T2324" t="s">
        <v>1415</v>
      </c>
      <c r="U2324" s="1">
        <v>0.2</v>
      </c>
    </row>
    <row r="2325" spans="1:22" x14ac:dyDescent="0.3">
      <c r="A2325" t="s">
        <v>1349</v>
      </c>
      <c r="B2325" t="str">
        <f ca="1">OFFSET(Industries!C$1,MATCH(Table1[[#This Row],[Ticker]],Industries!$A$2:$A$150,0),0)</f>
        <v>Information Technology</v>
      </c>
      <c r="C2325" t="str">
        <f ca="1">OFFSET(Industries!D$1,MATCH(Table1[[#This Row],[Ticker]],Industries!$A$2:$A$150,0),0)</f>
        <v>Semiconductors</v>
      </c>
      <c r="D2325" t="str">
        <f ca="1">OFFSET(Industries!E$1,MATCH(Table1[[#This Row],[Ticker]],Industries!$A$2:$A$150,0),0)</f>
        <v>Semiconductors</v>
      </c>
      <c r="E2325" t="s">
        <v>34</v>
      </c>
      <c r="F2325" t="str">
        <f ca="1">OFFSET(Industries!B$1,MATCH(Table1[[#This Row],[Ticker]],Industries!$A$2:$A$140,0),0)</f>
        <v>Mega-Cap</v>
      </c>
      <c r="G2325" t="str">
        <f ca="1">OFFSET(Industries!F$1,MATCH(Table1[[#This Row],[Ticker]],Industries!$A$2:$A$140,0),0)</f>
        <v>A</v>
      </c>
      <c r="H2325" t="s">
        <v>1442</v>
      </c>
      <c r="I2325" t="s">
        <v>1439</v>
      </c>
      <c r="J2325" s="2">
        <v>45336</v>
      </c>
      <c r="K2325" t="s">
        <v>21</v>
      </c>
      <c r="L2325" t="s">
        <v>1710</v>
      </c>
      <c r="M2325" t="s">
        <v>1709</v>
      </c>
      <c r="N2325" s="1">
        <f>Table1[[#This Row],[Consideration Weight]]</f>
        <v>0.47399999999999998</v>
      </c>
      <c r="O2325" t="s">
        <v>476</v>
      </c>
      <c r="P2325" s="1">
        <v>0.47399999999999998</v>
      </c>
      <c r="Q2325" s="1" t="s">
        <v>1646</v>
      </c>
      <c r="R2325" t="s">
        <v>35</v>
      </c>
      <c r="S2325" t="s">
        <v>29</v>
      </c>
      <c r="T2325" t="s">
        <v>30</v>
      </c>
      <c r="U2325" s="1">
        <v>0.3</v>
      </c>
    </row>
    <row r="2326" spans="1:22" x14ac:dyDescent="0.3">
      <c r="A2326" t="s">
        <v>1349</v>
      </c>
      <c r="B2326" t="str">
        <f ca="1">OFFSET(Industries!C$1,MATCH(Table1[[#This Row],[Ticker]],Industries!$A$2:$A$150,0),0)</f>
        <v>Information Technology</v>
      </c>
      <c r="C2326" t="str">
        <f ca="1">OFFSET(Industries!D$1,MATCH(Table1[[#This Row],[Ticker]],Industries!$A$2:$A$150,0),0)</f>
        <v>Semiconductors</v>
      </c>
      <c r="D2326" t="str">
        <f ca="1">OFFSET(Industries!E$1,MATCH(Table1[[#This Row],[Ticker]],Industries!$A$2:$A$150,0),0)</f>
        <v>Semiconductors</v>
      </c>
      <c r="E2326" t="s">
        <v>34</v>
      </c>
      <c r="F2326" t="str">
        <f ca="1">OFFSET(Industries!B$1,MATCH(Table1[[#This Row],[Ticker]],Industries!$A$2:$A$140,0),0)</f>
        <v>Mega-Cap</v>
      </c>
      <c r="G2326" t="str">
        <f ca="1">OFFSET(Industries!F$1,MATCH(Table1[[#This Row],[Ticker]],Industries!$A$2:$A$140,0),0)</f>
        <v>A</v>
      </c>
      <c r="H2326" t="s">
        <v>1442</v>
      </c>
      <c r="I2326" t="s">
        <v>1439</v>
      </c>
      <c r="J2326" s="2">
        <v>45336</v>
      </c>
      <c r="K2326" t="s">
        <v>21</v>
      </c>
      <c r="L2326" t="s">
        <v>1710</v>
      </c>
      <c r="M2326" t="s">
        <v>1709</v>
      </c>
      <c r="N2326" s="1"/>
      <c r="O2326" t="s">
        <v>476</v>
      </c>
      <c r="P2326" s="1">
        <v>0.47399999999999998</v>
      </c>
      <c r="Q2326" s="1" t="s">
        <v>1636</v>
      </c>
      <c r="R2326" t="s">
        <v>1059</v>
      </c>
      <c r="S2326" t="s">
        <v>1101</v>
      </c>
      <c r="T2326" t="s">
        <v>1252</v>
      </c>
      <c r="U2326" s="1">
        <v>0.3</v>
      </c>
    </row>
    <row r="2327" spans="1:22" x14ac:dyDescent="0.3">
      <c r="A2327" t="s">
        <v>1349</v>
      </c>
      <c r="B2327" t="str">
        <f ca="1">OFFSET(Industries!C$1,MATCH(Table1[[#This Row],[Ticker]],Industries!$A$2:$A$150,0),0)</f>
        <v>Information Technology</v>
      </c>
      <c r="C2327" t="str">
        <f ca="1">OFFSET(Industries!D$1,MATCH(Table1[[#This Row],[Ticker]],Industries!$A$2:$A$150,0),0)</f>
        <v>Semiconductors</v>
      </c>
      <c r="D2327" t="str">
        <f ca="1">OFFSET(Industries!E$1,MATCH(Table1[[#This Row],[Ticker]],Industries!$A$2:$A$150,0),0)</f>
        <v>Semiconductors</v>
      </c>
      <c r="E2327" t="s">
        <v>34</v>
      </c>
      <c r="F2327" t="str">
        <f ca="1">OFFSET(Industries!B$1,MATCH(Table1[[#This Row],[Ticker]],Industries!$A$2:$A$140,0),0)</f>
        <v>Mega-Cap</v>
      </c>
      <c r="G2327" t="str">
        <f ca="1">OFFSET(Industries!F$1,MATCH(Table1[[#This Row],[Ticker]],Industries!$A$2:$A$140,0),0)</f>
        <v>A</v>
      </c>
      <c r="H2327" t="s">
        <v>1442</v>
      </c>
      <c r="I2327" t="s">
        <v>1439</v>
      </c>
      <c r="J2327" s="2">
        <v>45336</v>
      </c>
      <c r="K2327" t="s">
        <v>21</v>
      </c>
      <c r="L2327" t="s">
        <v>1710</v>
      </c>
      <c r="M2327" t="s">
        <v>1709</v>
      </c>
      <c r="N2327" s="1"/>
      <c r="O2327" t="s">
        <v>476</v>
      </c>
      <c r="P2327" s="1">
        <v>0.47399999999999998</v>
      </c>
      <c r="Q2327" s="1" t="s">
        <v>1637</v>
      </c>
      <c r="R2327" t="s">
        <v>26</v>
      </c>
      <c r="S2327" t="s">
        <v>26</v>
      </c>
      <c r="T2327" t="s">
        <v>984</v>
      </c>
      <c r="U2327" s="1">
        <v>0.2</v>
      </c>
    </row>
    <row r="2328" spans="1:22" x14ac:dyDescent="0.3">
      <c r="A2328" t="s">
        <v>1349</v>
      </c>
      <c r="B2328" t="str">
        <f ca="1">OFFSET(Industries!C$1,MATCH(Table1[[#This Row],[Ticker]],Industries!$A$2:$A$150,0),0)</f>
        <v>Information Technology</v>
      </c>
      <c r="C2328" t="str">
        <f ca="1">OFFSET(Industries!D$1,MATCH(Table1[[#This Row],[Ticker]],Industries!$A$2:$A$150,0),0)</f>
        <v>Semiconductors</v>
      </c>
      <c r="D2328" t="str">
        <f ca="1">OFFSET(Industries!E$1,MATCH(Table1[[#This Row],[Ticker]],Industries!$A$2:$A$150,0),0)</f>
        <v>Semiconductors</v>
      </c>
      <c r="E2328" t="s">
        <v>34</v>
      </c>
      <c r="F2328" t="str">
        <f ca="1">OFFSET(Industries!B$1,MATCH(Table1[[#This Row],[Ticker]],Industries!$A$2:$A$140,0),0)</f>
        <v>Mega-Cap</v>
      </c>
      <c r="G2328" t="str">
        <f ca="1">OFFSET(Industries!F$1,MATCH(Table1[[#This Row],[Ticker]],Industries!$A$2:$A$140,0),0)</f>
        <v>A</v>
      </c>
      <c r="H2328" t="s">
        <v>1442</v>
      </c>
      <c r="I2328" t="s">
        <v>1439</v>
      </c>
      <c r="J2328" s="2">
        <v>45336</v>
      </c>
      <c r="K2328" t="s">
        <v>21</v>
      </c>
      <c r="L2328" t="s">
        <v>1710</v>
      </c>
      <c r="M2328" t="s">
        <v>1709</v>
      </c>
      <c r="N2328" s="1"/>
      <c r="O2328" t="s">
        <v>476</v>
      </c>
      <c r="P2328" s="1">
        <v>0.47399999999999998</v>
      </c>
      <c r="Q2328" s="1" t="s">
        <v>1637</v>
      </c>
      <c r="R2328" t="s">
        <v>25</v>
      </c>
      <c r="S2328" t="s">
        <v>1086</v>
      </c>
      <c r="T2328" t="s">
        <v>1417</v>
      </c>
      <c r="U2328" s="1">
        <v>0.2</v>
      </c>
    </row>
    <row r="2329" spans="1:22" x14ac:dyDescent="0.3">
      <c r="A2329" t="s">
        <v>1350</v>
      </c>
      <c r="B2329" t="str">
        <f ca="1">OFFSET(Industries!C$1,MATCH(Table1[[#This Row],[Ticker]],Industries!$A$2:$A$150,0),0)</f>
        <v>Industrials</v>
      </c>
      <c r="C2329" t="str">
        <f ca="1">OFFSET(Industries!D$1,MATCH(Table1[[#This Row],[Ticker]],Industries!$A$2:$A$150,0),0)</f>
        <v>Capital Goods</v>
      </c>
      <c r="D2329" t="str">
        <f ca="1">OFFSET(Industries!E$1,MATCH(Table1[[#This Row],[Ticker]],Industries!$A$2:$A$150,0),0)</f>
        <v>Aerospace and Defense</v>
      </c>
      <c r="E2329" t="s">
        <v>116</v>
      </c>
      <c r="F2329" t="str">
        <f ca="1">OFFSET(Industries!B$1,MATCH(Table1[[#This Row],[Ticker]],Industries!$A$2:$A$140,0),0)</f>
        <v>Mega-Cap</v>
      </c>
      <c r="G2329" t="str">
        <f ca="1">OFFSET(Industries!F$1,MATCH(Table1[[#This Row],[Ticker]],Industries!$A$2:$A$140,0),0)</f>
        <v>A</v>
      </c>
      <c r="H2329" t="s">
        <v>1442</v>
      </c>
      <c r="I2329" t="s">
        <v>1439</v>
      </c>
      <c r="J2329" s="2">
        <v>45337</v>
      </c>
      <c r="K2329" t="s">
        <v>2</v>
      </c>
      <c r="L2329" t="s">
        <v>3</v>
      </c>
      <c r="M2329" t="s">
        <v>1711</v>
      </c>
      <c r="N2329" s="1">
        <f>Table1[[#This Row],[Consideration Weight]]</f>
        <v>0.33333333333333331</v>
      </c>
      <c r="O2329" t="s">
        <v>3</v>
      </c>
      <c r="P2329" s="1">
        <f>1/3</f>
        <v>0.33333333333333331</v>
      </c>
    </row>
    <row r="2330" spans="1:22" x14ac:dyDescent="0.3">
      <c r="A2330" t="s">
        <v>1350</v>
      </c>
      <c r="B2330" t="str">
        <f ca="1">OFFSET(Industries!C$1,MATCH(Table1[[#This Row],[Ticker]],Industries!$A$2:$A$150,0),0)</f>
        <v>Industrials</v>
      </c>
      <c r="C2330" t="str">
        <f ca="1">OFFSET(Industries!D$1,MATCH(Table1[[#This Row],[Ticker]],Industries!$A$2:$A$150,0),0)</f>
        <v>Capital Goods</v>
      </c>
      <c r="D2330" t="str">
        <f ca="1">OFFSET(Industries!E$1,MATCH(Table1[[#This Row],[Ticker]],Industries!$A$2:$A$150,0),0)</f>
        <v>Aerospace and Defense</v>
      </c>
      <c r="E2330" t="s">
        <v>116</v>
      </c>
      <c r="F2330" t="str">
        <f ca="1">OFFSET(Industries!B$1,MATCH(Table1[[#This Row],[Ticker]],Industries!$A$2:$A$140,0),0)</f>
        <v>Mega-Cap</v>
      </c>
      <c r="G2330" t="str">
        <f ca="1">OFFSET(Industries!F$1,MATCH(Table1[[#This Row],[Ticker]],Industries!$A$2:$A$140,0),0)</f>
        <v>A</v>
      </c>
      <c r="H2330" t="s">
        <v>1442</v>
      </c>
      <c r="I2330" t="s">
        <v>1439</v>
      </c>
      <c r="J2330" s="2">
        <v>45337</v>
      </c>
      <c r="K2330" t="s">
        <v>2</v>
      </c>
      <c r="L2330" t="s">
        <v>1708</v>
      </c>
      <c r="M2330" t="s">
        <v>1709</v>
      </c>
      <c r="N2330" s="1">
        <f>Table1[[#This Row],[Consideration Weight]]</f>
        <v>0.33333333333333331</v>
      </c>
      <c r="O2330" t="s">
        <v>4</v>
      </c>
      <c r="P2330" s="1">
        <f t="shared" ref="P2330:P2339" si="50">1/3</f>
        <v>0.33333333333333331</v>
      </c>
      <c r="Q2330" s="1" t="s">
        <v>1636</v>
      </c>
      <c r="R2330" t="s">
        <v>24</v>
      </c>
      <c r="S2330" t="s">
        <v>90</v>
      </c>
      <c r="T2330" t="s">
        <v>8</v>
      </c>
      <c r="U2330" s="1">
        <v>0.2</v>
      </c>
      <c r="V2330" t="s">
        <v>1426</v>
      </c>
    </row>
    <row r="2331" spans="1:22" x14ac:dyDescent="0.3">
      <c r="A2331" t="s">
        <v>1350</v>
      </c>
      <c r="B2331" t="str">
        <f ca="1">OFFSET(Industries!C$1,MATCH(Table1[[#This Row],[Ticker]],Industries!$A$2:$A$150,0),0)</f>
        <v>Industrials</v>
      </c>
      <c r="C2331" t="str">
        <f ca="1">OFFSET(Industries!D$1,MATCH(Table1[[#This Row],[Ticker]],Industries!$A$2:$A$150,0),0)</f>
        <v>Capital Goods</v>
      </c>
      <c r="D2331" t="str">
        <f ca="1">OFFSET(Industries!E$1,MATCH(Table1[[#This Row],[Ticker]],Industries!$A$2:$A$150,0),0)</f>
        <v>Aerospace and Defense</v>
      </c>
      <c r="E2331" t="s">
        <v>116</v>
      </c>
      <c r="F2331" t="str">
        <f ca="1">OFFSET(Industries!B$1,MATCH(Table1[[#This Row],[Ticker]],Industries!$A$2:$A$140,0),0)</f>
        <v>Mega-Cap</v>
      </c>
      <c r="G2331" t="str">
        <f ca="1">OFFSET(Industries!F$1,MATCH(Table1[[#This Row],[Ticker]],Industries!$A$2:$A$140,0),0)</f>
        <v>A</v>
      </c>
      <c r="H2331" t="s">
        <v>1442</v>
      </c>
      <c r="I2331" t="s">
        <v>1439</v>
      </c>
      <c r="J2331" s="2">
        <v>45337</v>
      </c>
      <c r="K2331" t="s">
        <v>2</v>
      </c>
      <c r="L2331" t="s">
        <v>1708</v>
      </c>
      <c r="M2331" t="s">
        <v>1709</v>
      </c>
      <c r="N2331" s="1"/>
      <c r="O2331" t="s">
        <v>4</v>
      </c>
      <c r="P2331" s="1">
        <f t="shared" si="50"/>
        <v>0.33333333333333331</v>
      </c>
      <c r="Q2331" s="1" t="s">
        <v>1636</v>
      </c>
      <c r="R2331" t="s">
        <v>62</v>
      </c>
      <c r="S2331" t="s">
        <v>129</v>
      </c>
      <c r="T2331" t="s">
        <v>117</v>
      </c>
      <c r="U2331" s="1">
        <v>0.2</v>
      </c>
      <c r="V2331" t="s">
        <v>1427</v>
      </c>
    </row>
    <row r="2332" spans="1:22" x14ac:dyDescent="0.3">
      <c r="A2332" t="s">
        <v>1350</v>
      </c>
      <c r="B2332" t="str">
        <f ca="1">OFFSET(Industries!C$1,MATCH(Table1[[#This Row],[Ticker]],Industries!$A$2:$A$150,0),0)</f>
        <v>Industrials</v>
      </c>
      <c r="C2332" t="str">
        <f ca="1">OFFSET(Industries!D$1,MATCH(Table1[[#This Row],[Ticker]],Industries!$A$2:$A$150,0),0)</f>
        <v>Capital Goods</v>
      </c>
      <c r="D2332" t="str">
        <f ca="1">OFFSET(Industries!E$1,MATCH(Table1[[#This Row],[Ticker]],Industries!$A$2:$A$150,0),0)</f>
        <v>Aerospace and Defense</v>
      </c>
      <c r="E2332" t="s">
        <v>116</v>
      </c>
      <c r="F2332" t="str">
        <f ca="1">OFFSET(Industries!B$1,MATCH(Table1[[#This Row],[Ticker]],Industries!$A$2:$A$140,0),0)</f>
        <v>Mega-Cap</v>
      </c>
      <c r="G2332" t="str">
        <f ca="1">OFFSET(Industries!F$1,MATCH(Table1[[#This Row],[Ticker]],Industries!$A$2:$A$140,0),0)</f>
        <v>A</v>
      </c>
      <c r="H2332" t="s">
        <v>1442</v>
      </c>
      <c r="I2332" t="s">
        <v>1439</v>
      </c>
      <c r="J2332" s="2">
        <v>45337</v>
      </c>
      <c r="K2332" t="s">
        <v>2</v>
      </c>
      <c r="L2332" t="s">
        <v>1708</v>
      </c>
      <c r="M2332" t="s">
        <v>1709</v>
      </c>
      <c r="N2332" s="1"/>
      <c r="O2332" t="s">
        <v>4</v>
      </c>
      <c r="P2332" s="1">
        <f t="shared" si="50"/>
        <v>0.33333333333333331</v>
      </c>
      <c r="Q2332" s="1" t="s">
        <v>1637</v>
      </c>
      <c r="R2332" t="s">
        <v>26</v>
      </c>
      <c r="S2332" t="s">
        <v>26</v>
      </c>
      <c r="T2332" t="s">
        <v>1424</v>
      </c>
      <c r="U2332" s="1">
        <v>0.05</v>
      </c>
    </row>
    <row r="2333" spans="1:22" x14ac:dyDescent="0.3">
      <c r="A2333" t="s">
        <v>1350</v>
      </c>
      <c r="B2333" t="str">
        <f ca="1">OFFSET(Industries!C$1,MATCH(Table1[[#This Row],[Ticker]],Industries!$A$2:$A$150,0),0)</f>
        <v>Industrials</v>
      </c>
      <c r="C2333" t="str">
        <f ca="1">OFFSET(Industries!D$1,MATCH(Table1[[#This Row],[Ticker]],Industries!$A$2:$A$150,0),0)</f>
        <v>Capital Goods</v>
      </c>
      <c r="D2333" t="str">
        <f ca="1">OFFSET(Industries!E$1,MATCH(Table1[[#This Row],[Ticker]],Industries!$A$2:$A$150,0),0)</f>
        <v>Aerospace and Defense</v>
      </c>
      <c r="E2333" t="s">
        <v>116</v>
      </c>
      <c r="F2333" t="str">
        <f ca="1">OFFSET(Industries!B$1,MATCH(Table1[[#This Row],[Ticker]],Industries!$A$2:$A$140,0),0)</f>
        <v>Mega-Cap</v>
      </c>
      <c r="G2333" t="str">
        <f ca="1">OFFSET(Industries!F$1,MATCH(Table1[[#This Row],[Ticker]],Industries!$A$2:$A$140,0),0)</f>
        <v>A</v>
      </c>
      <c r="H2333" t="s">
        <v>1442</v>
      </c>
      <c r="I2333" t="s">
        <v>1439</v>
      </c>
      <c r="J2333" s="2">
        <v>45337</v>
      </c>
      <c r="K2333" t="s">
        <v>2</v>
      </c>
      <c r="L2333" t="s">
        <v>1708</v>
      </c>
      <c r="M2333" t="s">
        <v>1709</v>
      </c>
      <c r="N2333" s="1"/>
      <c r="O2333" t="s">
        <v>4</v>
      </c>
      <c r="P2333" s="1">
        <f t="shared" si="50"/>
        <v>0.33333333333333331</v>
      </c>
      <c r="Q2333" s="1" t="s">
        <v>1637</v>
      </c>
      <c r="R2333" t="s">
        <v>26</v>
      </c>
      <c r="S2333" t="s">
        <v>814</v>
      </c>
      <c r="T2333" t="s">
        <v>1425</v>
      </c>
      <c r="U2333" s="1">
        <v>0.05</v>
      </c>
    </row>
    <row r="2334" spans="1:22" x14ac:dyDescent="0.3">
      <c r="A2334" t="s">
        <v>1350</v>
      </c>
      <c r="B2334" t="str">
        <f ca="1">OFFSET(Industries!C$1,MATCH(Table1[[#This Row],[Ticker]],Industries!$A$2:$A$150,0),0)</f>
        <v>Industrials</v>
      </c>
      <c r="C2334" t="str">
        <f ca="1">OFFSET(Industries!D$1,MATCH(Table1[[#This Row],[Ticker]],Industries!$A$2:$A$150,0),0)</f>
        <v>Capital Goods</v>
      </c>
      <c r="D2334" t="str">
        <f ca="1">OFFSET(Industries!E$1,MATCH(Table1[[#This Row],[Ticker]],Industries!$A$2:$A$150,0),0)</f>
        <v>Aerospace and Defense</v>
      </c>
      <c r="E2334" t="s">
        <v>116</v>
      </c>
      <c r="F2334" t="str">
        <f ca="1">OFFSET(Industries!B$1,MATCH(Table1[[#This Row],[Ticker]],Industries!$A$2:$A$140,0),0)</f>
        <v>Mega-Cap</v>
      </c>
      <c r="G2334" t="str">
        <f ca="1">OFFSET(Industries!F$1,MATCH(Table1[[#This Row],[Ticker]],Industries!$A$2:$A$140,0),0)</f>
        <v>A</v>
      </c>
      <c r="H2334" t="s">
        <v>1442</v>
      </c>
      <c r="I2334" t="s">
        <v>1439</v>
      </c>
      <c r="J2334" s="2">
        <v>45337</v>
      </c>
      <c r="K2334" t="s">
        <v>2</v>
      </c>
      <c r="L2334" t="s">
        <v>1708</v>
      </c>
      <c r="M2334" t="s">
        <v>1709</v>
      </c>
      <c r="N2334" s="1"/>
      <c r="O2334" t="s">
        <v>4</v>
      </c>
      <c r="P2334" s="1">
        <f t="shared" si="50"/>
        <v>0.33333333333333331</v>
      </c>
      <c r="Q2334" s="1" t="s">
        <v>1637</v>
      </c>
      <c r="R2334" t="s">
        <v>332</v>
      </c>
      <c r="S2334" t="s">
        <v>380</v>
      </c>
      <c r="T2334" t="s">
        <v>380</v>
      </c>
      <c r="U2334" s="1">
        <v>0.5</v>
      </c>
      <c r="V2334" t="s">
        <v>1428</v>
      </c>
    </row>
    <row r="2335" spans="1:22" x14ac:dyDescent="0.3">
      <c r="A2335" t="s">
        <v>1350</v>
      </c>
      <c r="B2335" t="str">
        <f ca="1">OFFSET(Industries!C$1,MATCH(Table1[[#This Row],[Ticker]],Industries!$A$2:$A$150,0),0)</f>
        <v>Industrials</v>
      </c>
      <c r="C2335" t="str">
        <f ca="1">OFFSET(Industries!D$1,MATCH(Table1[[#This Row],[Ticker]],Industries!$A$2:$A$150,0),0)</f>
        <v>Capital Goods</v>
      </c>
      <c r="D2335" t="str">
        <f ca="1">OFFSET(Industries!E$1,MATCH(Table1[[#This Row],[Ticker]],Industries!$A$2:$A$150,0),0)</f>
        <v>Aerospace and Defense</v>
      </c>
      <c r="E2335" t="s">
        <v>116</v>
      </c>
      <c r="F2335" t="str">
        <f ca="1">OFFSET(Industries!B$1,MATCH(Table1[[#This Row],[Ticker]],Industries!$A$2:$A$140,0),0)</f>
        <v>Mega-Cap</v>
      </c>
      <c r="G2335" t="str">
        <f ca="1">OFFSET(Industries!F$1,MATCH(Table1[[#This Row],[Ticker]],Industries!$A$2:$A$140,0),0)</f>
        <v>A</v>
      </c>
      <c r="H2335" t="s">
        <v>1442</v>
      </c>
      <c r="I2335" t="s">
        <v>1439</v>
      </c>
      <c r="J2335" s="2">
        <v>45337</v>
      </c>
      <c r="K2335" t="s">
        <v>2</v>
      </c>
      <c r="L2335" t="s">
        <v>1708</v>
      </c>
      <c r="M2335" t="s">
        <v>1709</v>
      </c>
      <c r="N2335" s="1"/>
      <c r="O2335" t="s">
        <v>4</v>
      </c>
      <c r="P2335" s="1">
        <f t="shared" si="50"/>
        <v>0.33333333333333331</v>
      </c>
      <c r="R2335" t="s">
        <v>28</v>
      </c>
      <c r="S2335" t="s">
        <v>1110</v>
      </c>
      <c r="T2335" t="s">
        <v>172</v>
      </c>
      <c r="V2335" t="s">
        <v>1451</v>
      </c>
    </row>
    <row r="2336" spans="1:22" x14ac:dyDescent="0.3">
      <c r="A2336" t="s">
        <v>1350</v>
      </c>
      <c r="B2336" t="str">
        <f ca="1">OFFSET(Industries!C$1,MATCH(Table1[[#This Row],[Ticker]],Industries!$A$2:$A$150,0),0)</f>
        <v>Industrials</v>
      </c>
      <c r="C2336" t="str">
        <f ca="1">OFFSET(Industries!D$1,MATCH(Table1[[#This Row],[Ticker]],Industries!$A$2:$A$150,0),0)</f>
        <v>Capital Goods</v>
      </c>
      <c r="D2336" t="str">
        <f ca="1">OFFSET(Industries!E$1,MATCH(Table1[[#This Row],[Ticker]],Industries!$A$2:$A$150,0),0)</f>
        <v>Aerospace and Defense</v>
      </c>
      <c r="E2336" t="s">
        <v>116</v>
      </c>
      <c r="F2336" t="str">
        <f ca="1">OFFSET(Industries!B$1,MATCH(Table1[[#This Row],[Ticker]],Industries!$A$2:$A$140,0),0)</f>
        <v>Mega-Cap</v>
      </c>
      <c r="G2336" t="str">
        <f ca="1">OFFSET(Industries!F$1,MATCH(Table1[[#This Row],[Ticker]],Industries!$A$2:$A$140,0),0)</f>
        <v>A</v>
      </c>
      <c r="H2336" t="s">
        <v>1442</v>
      </c>
      <c r="I2336" t="s">
        <v>1439</v>
      </c>
      <c r="J2336" s="2">
        <v>45337</v>
      </c>
      <c r="K2336" t="s">
        <v>2</v>
      </c>
      <c r="L2336" t="s">
        <v>1710</v>
      </c>
      <c r="M2336" t="s">
        <v>1709</v>
      </c>
      <c r="N2336" s="1">
        <f>Table1[[#This Row],[Consideration Weight]]</f>
        <v>0.33333333333333331</v>
      </c>
      <c r="O2336" t="s">
        <v>476</v>
      </c>
      <c r="P2336" s="1">
        <f t="shared" si="50"/>
        <v>0.33333333333333331</v>
      </c>
      <c r="Q2336" s="1" t="s">
        <v>1636</v>
      </c>
      <c r="R2336" t="s">
        <v>24</v>
      </c>
      <c r="S2336" t="s">
        <v>1089</v>
      </c>
      <c r="T2336" t="s">
        <v>1429</v>
      </c>
      <c r="U2336" s="1">
        <v>0.75</v>
      </c>
      <c r="V2336" t="s">
        <v>1431</v>
      </c>
    </row>
    <row r="2337" spans="1:22" x14ac:dyDescent="0.3">
      <c r="A2337" t="s">
        <v>1350</v>
      </c>
      <c r="B2337" t="str">
        <f ca="1">OFFSET(Industries!C$1,MATCH(Table1[[#This Row],[Ticker]],Industries!$A$2:$A$150,0),0)</f>
        <v>Industrials</v>
      </c>
      <c r="C2337" t="str">
        <f ca="1">OFFSET(Industries!D$1,MATCH(Table1[[#This Row],[Ticker]],Industries!$A$2:$A$150,0),0)</f>
        <v>Capital Goods</v>
      </c>
      <c r="D2337" t="str">
        <f ca="1">OFFSET(Industries!E$1,MATCH(Table1[[#This Row],[Ticker]],Industries!$A$2:$A$150,0),0)</f>
        <v>Aerospace and Defense</v>
      </c>
      <c r="E2337" t="s">
        <v>116</v>
      </c>
      <c r="F2337" t="str">
        <f ca="1">OFFSET(Industries!B$1,MATCH(Table1[[#This Row],[Ticker]],Industries!$A$2:$A$140,0),0)</f>
        <v>Mega-Cap</v>
      </c>
      <c r="G2337" t="str">
        <f ca="1">OFFSET(Industries!F$1,MATCH(Table1[[#This Row],[Ticker]],Industries!$A$2:$A$140,0),0)</f>
        <v>A</v>
      </c>
      <c r="H2337" t="s">
        <v>1442</v>
      </c>
      <c r="I2337" t="s">
        <v>1439</v>
      </c>
      <c r="J2337" s="2">
        <v>45337</v>
      </c>
      <c r="K2337" t="s">
        <v>2</v>
      </c>
      <c r="L2337" t="s">
        <v>1710</v>
      </c>
      <c r="M2337" t="s">
        <v>1709</v>
      </c>
      <c r="N2337" s="1"/>
      <c r="O2337" t="s">
        <v>476</v>
      </c>
      <c r="P2337" s="1">
        <f t="shared" si="50"/>
        <v>0.33333333333333331</v>
      </c>
      <c r="Q2337" s="1" t="s">
        <v>1636</v>
      </c>
      <c r="R2337" t="s">
        <v>62</v>
      </c>
      <c r="S2337" t="s">
        <v>129</v>
      </c>
      <c r="T2337" t="s">
        <v>611</v>
      </c>
      <c r="U2337" s="1">
        <v>0.25</v>
      </c>
      <c r="V2337" t="s">
        <v>1431</v>
      </c>
    </row>
    <row r="2338" spans="1:22" x14ac:dyDescent="0.3">
      <c r="A2338" t="s">
        <v>1350</v>
      </c>
      <c r="B2338" t="str">
        <f ca="1">OFFSET(Industries!C$1,MATCH(Table1[[#This Row],[Ticker]],Industries!$A$2:$A$150,0),0)</f>
        <v>Industrials</v>
      </c>
      <c r="C2338" t="str">
        <f ca="1">OFFSET(Industries!D$1,MATCH(Table1[[#This Row],[Ticker]],Industries!$A$2:$A$150,0),0)</f>
        <v>Capital Goods</v>
      </c>
      <c r="D2338" t="str">
        <f ca="1">OFFSET(Industries!E$1,MATCH(Table1[[#This Row],[Ticker]],Industries!$A$2:$A$150,0),0)</f>
        <v>Aerospace and Defense</v>
      </c>
      <c r="E2338" t="s">
        <v>116</v>
      </c>
      <c r="F2338" t="str">
        <f ca="1">OFFSET(Industries!B$1,MATCH(Table1[[#This Row],[Ticker]],Industries!$A$2:$A$140,0),0)</f>
        <v>Mega-Cap</v>
      </c>
      <c r="G2338" t="str">
        <f ca="1">OFFSET(Industries!F$1,MATCH(Table1[[#This Row],[Ticker]],Industries!$A$2:$A$140,0),0)</f>
        <v>A</v>
      </c>
      <c r="H2338" t="s">
        <v>1442</v>
      </c>
      <c r="I2338" t="s">
        <v>1439</v>
      </c>
      <c r="J2338" s="2">
        <v>45337</v>
      </c>
      <c r="K2338" t="s">
        <v>2</v>
      </c>
      <c r="L2338" t="s">
        <v>1710</v>
      </c>
      <c r="M2338" t="s">
        <v>1709</v>
      </c>
      <c r="N2338" s="1"/>
      <c r="O2338" t="s">
        <v>476</v>
      </c>
      <c r="P2338" s="1">
        <f t="shared" si="50"/>
        <v>0.33333333333333331</v>
      </c>
      <c r="R2338" t="s">
        <v>28</v>
      </c>
      <c r="S2338" t="s">
        <v>1113</v>
      </c>
      <c r="T2338" t="s">
        <v>1430</v>
      </c>
      <c r="V2338" t="s">
        <v>1432</v>
      </c>
    </row>
    <row r="2339" spans="1:22" x14ac:dyDescent="0.3">
      <c r="A2339" t="s">
        <v>1350</v>
      </c>
      <c r="B2339" t="str">
        <f ca="1">OFFSET(Industries!C$1,MATCH(Table1[[#This Row],[Ticker]],Industries!$A$2:$A$150,0),0)</f>
        <v>Industrials</v>
      </c>
      <c r="C2339" t="str">
        <f ca="1">OFFSET(Industries!D$1,MATCH(Table1[[#This Row],[Ticker]],Industries!$A$2:$A$150,0),0)</f>
        <v>Capital Goods</v>
      </c>
      <c r="D2339" t="str">
        <f ca="1">OFFSET(Industries!E$1,MATCH(Table1[[#This Row],[Ticker]],Industries!$A$2:$A$150,0),0)</f>
        <v>Aerospace and Defense</v>
      </c>
      <c r="E2339" t="s">
        <v>116</v>
      </c>
      <c r="F2339" t="str">
        <f ca="1">OFFSET(Industries!B$1,MATCH(Table1[[#This Row],[Ticker]],Industries!$A$2:$A$140,0),0)</f>
        <v>Mega-Cap</v>
      </c>
      <c r="G2339" t="str">
        <f ca="1">OFFSET(Industries!F$1,MATCH(Table1[[#This Row],[Ticker]],Industries!$A$2:$A$140,0),0)</f>
        <v>A</v>
      </c>
      <c r="H2339" t="s">
        <v>1442</v>
      </c>
      <c r="I2339" t="s">
        <v>1439</v>
      </c>
      <c r="J2339" s="2">
        <v>45337</v>
      </c>
      <c r="K2339" t="s">
        <v>2</v>
      </c>
      <c r="L2339" t="s">
        <v>1710</v>
      </c>
      <c r="M2339" t="s">
        <v>1709</v>
      </c>
      <c r="N2339" s="1"/>
      <c r="O2339" t="s">
        <v>476</v>
      </c>
      <c r="P2339" s="1">
        <f t="shared" si="50"/>
        <v>0.33333333333333331</v>
      </c>
      <c r="R2339" t="s">
        <v>28</v>
      </c>
      <c r="S2339" t="s">
        <v>1110</v>
      </c>
      <c r="T2339" t="s">
        <v>172</v>
      </c>
      <c r="V2339" t="s">
        <v>1452</v>
      </c>
    </row>
    <row r="2340" spans="1:22" x14ac:dyDescent="0.3">
      <c r="A2340" t="s">
        <v>1351</v>
      </c>
      <c r="B2340" t="str">
        <f ca="1">OFFSET(Industries!C$1,MATCH(Table1[[#This Row],[Ticker]],Industries!$A$2:$A$150,0),0)</f>
        <v>Industrials</v>
      </c>
      <c r="C2340" t="str">
        <f ca="1">OFFSET(Industries!D$1,MATCH(Table1[[#This Row],[Ticker]],Industries!$A$2:$A$150,0),0)</f>
        <v>Capital Goods</v>
      </c>
      <c r="D2340" t="str">
        <f ca="1">OFFSET(Industries!E$1,MATCH(Table1[[#This Row],[Ticker]],Industries!$A$2:$A$150,0),0)</f>
        <v>Aerospace and Defense</v>
      </c>
      <c r="E2340" t="s">
        <v>116</v>
      </c>
      <c r="F2340" t="str">
        <f ca="1">OFFSET(Industries!B$1,MATCH(Table1[[#This Row],[Ticker]],Industries!$A$2:$A$140,0),0)</f>
        <v>Ultra-Cap</v>
      </c>
      <c r="G2340" t="str">
        <f ca="1">OFFSET(Industries!F$1,MATCH(Table1[[#This Row],[Ticker]],Industries!$A$2:$A$140,0),0)</f>
        <v>A-</v>
      </c>
      <c r="H2340" t="s">
        <v>1443</v>
      </c>
      <c r="I2340" t="s">
        <v>1439</v>
      </c>
      <c r="J2340" s="2">
        <v>45380</v>
      </c>
      <c r="K2340" t="s">
        <v>2</v>
      </c>
      <c r="L2340" t="s">
        <v>3</v>
      </c>
      <c r="M2340" t="s">
        <v>1711</v>
      </c>
      <c r="N2340" s="1">
        <f>Table1[[#This Row],[Consideration Weight]]</f>
        <v>0.32</v>
      </c>
      <c r="O2340" s="1" t="s">
        <v>3</v>
      </c>
      <c r="P2340" s="1">
        <v>0.32</v>
      </c>
    </row>
    <row r="2341" spans="1:22" x14ac:dyDescent="0.3">
      <c r="A2341" t="s">
        <v>1351</v>
      </c>
      <c r="B2341" t="str">
        <f ca="1">OFFSET(Industries!C$1,MATCH(Table1[[#This Row],[Ticker]],Industries!$A$2:$A$150,0),0)</f>
        <v>Industrials</v>
      </c>
      <c r="C2341" t="str">
        <f ca="1">OFFSET(Industries!D$1,MATCH(Table1[[#This Row],[Ticker]],Industries!$A$2:$A$150,0),0)</f>
        <v>Capital Goods</v>
      </c>
      <c r="D2341" t="str">
        <f ca="1">OFFSET(Industries!E$1,MATCH(Table1[[#This Row],[Ticker]],Industries!$A$2:$A$150,0),0)</f>
        <v>Aerospace and Defense</v>
      </c>
      <c r="E2341" t="s">
        <v>116</v>
      </c>
      <c r="F2341" t="str">
        <f ca="1">OFFSET(Industries!B$1,MATCH(Table1[[#This Row],[Ticker]],Industries!$A$2:$A$140,0),0)</f>
        <v>Ultra-Cap</v>
      </c>
      <c r="G2341" t="str">
        <f ca="1">OFFSET(Industries!F$1,MATCH(Table1[[#This Row],[Ticker]],Industries!$A$2:$A$140,0),0)</f>
        <v>A-</v>
      </c>
      <c r="H2341" t="s">
        <v>1443</v>
      </c>
      <c r="I2341" t="s">
        <v>1439</v>
      </c>
      <c r="J2341" s="2">
        <v>45380</v>
      </c>
      <c r="K2341" t="s">
        <v>2</v>
      </c>
      <c r="L2341" t="s">
        <v>1708</v>
      </c>
      <c r="M2341" t="s">
        <v>1709</v>
      </c>
      <c r="N2341" s="1">
        <f>Table1[[#This Row],[Consideration Weight]]</f>
        <v>0.38</v>
      </c>
      <c r="O2341" s="1" t="s">
        <v>4</v>
      </c>
      <c r="P2341" s="1">
        <v>0.38</v>
      </c>
      <c r="Q2341" s="1" t="s">
        <v>1636</v>
      </c>
      <c r="R2341" t="s">
        <v>24</v>
      </c>
      <c r="S2341" t="s">
        <v>90</v>
      </c>
      <c r="T2341" t="s">
        <v>1444</v>
      </c>
      <c r="U2341" s="1">
        <f>0.6*2/3</f>
        <v>0.39999999999999997</v>
      </c>
      <c r="V2341" t="s">
        <v>1445</v>
      </c>
    </row>
    <row r="2342" spans="1:22" x14ac:dyDescent="0.3">
      <c r="A2342" t="s">
        <v>1351</v>
      </c>
      <c r="B2342" t="str">
        <f ca="1">OFFSET(Industries!C$1,MATCH(Table1[[#This Row],[Ticker]],Industries!$A$2:$A$150,0),0)</f>
        <v>Industrials</v>
      </c>
      <c r="C2342" t="str">
        <f ca="1">OFFSET(Industries!D$1,MATCH(Table1[[#This Row],[Ticker]],Industries!$A$2:$A$150,0),0)</f>
        <v>Capital Goods</v>
      </c>
      <c r="D2342" t="str">
        <f ca="1">OFFSET(Industries!E$1,MATCH(Table1[[#This Row],[Ticker]],Industries!$A$2:$A$150,0),0)</f>
        <v>Aerospace and Defense</v>
      </c>
      <c r="E2342" t="s">
        <v>116</v>
      </c>
      <c r="F2342" t="str">
        <f ca="1">OFFSET(Industries!B$1,MATCH(Table1[[#This Row],[Ticker]],Industries!$A$2:$A$140,0),0)</f>
        <v>Ultra-Cap</v>
      </c>
      <c r="G2342" t="str">
        <f ca="1">OFFSET(Industries!F$1,MATCH(Table1[[#This Row],[Ticker]],Industries!$A$2:$A$140,0),0)</f>
        <v>A-</v>
      </c>
      <c r="H2342" t="s">
        <v>1443</v>
      </c>
      <c r="I2342" t="s">
        <v>1439</v>
      </c>
      <c r="J2342" s="2">
        <v>45380</v>
      </c>
      <c r="K2342" t="s">
        <v>2</v>
      </c>
      <c r="L2342" t="s">
        <v>1708</v>
      </c>
      <c r="M2342" t="s">
        <v>1709</v>
      </c>
      <c r="N2342" s="1"/>
      <c r="O2342" s="1" t="s">
        <v>4</v>
      </c>
      <c r="P2342" s="1">
        <v>0.38</v>
      </c>
      <c r="Q2342" s="1" t="s">
        <v>1636</v>
      </c>
      <c r="R2342" t="s">
        <v>62</v>
      </c>
      <c r="S2342" t="s">
        <v>129</v>
      </c>
      <c r="T2342" t="s">
        <v>129</v>
      </c>
      <c r="U2342" s="1">
        <f>0.25*2/3</f>
        <v>0.16666666666666666</v>
      </c>
    </row>
    <row r="2343" spans="1:22" x14ac:dyDescent="0.3">
      <c r="A2343" t="s">
        <v>1351</v>
      </c>
      <c r="B2343" t="str">
        <f ca="1">OFFSET(Industries!C$1,MATCH(Table1[[#This Row],[Ticker]],Industries!$A$2:$A$150,0),0)</f>
        <v>Industrials</v>
      </c>
      <c r="C2343" t="str">
        <f ca="1">OFFSET(Industries!D$1,MATCH(Table1[[#This Row],[Ticker]],Industries!$A$2:$A$150,0),0)</f>
        <v>Capital Goods</v>
      </c>
      <c r="D2343" t="str">
        <f ca="1">OFFSET(Industries!E$1,MATCH(Table1[[#This Row],[Ticker]],Industries!$A$2:$A$150,0),0)</f>
        <v>Aerospace and Defense</v>
      </c>
      <c r="E2343" t="s">
        <v>116</v>
      </c>
      <c r="F2343" t="str">
        <f ca="1">OFFSET(Industries!B$1,MATCH(Table1[[#This Row],[Ticker]],Industries!$A$2:$A$140,0),0)</f>
        <v>Ultra-Cap</v>
      </c>
      <c r="G2343" t="str">
        <f ca="1">OFFSET(Industries!F$1,MATCH(Table1[[#This Row],[Ticker]],Industries!$A$2:$A$140,0),0)</f>
        <v>A-</v>
      </c>
      <c r="H2343" t="s">
        <v>1443</v>
      </c>
      <c r="I2343" t="s">
        <v>1439</v>
      </c>
      <c r="J2343" s="2">
        <v>45380</v>
      </c>
      <c r="K2343" t="s">
        <v>2</v>
      </c>
      <c r="L2343" t="s">
        <v>1708</v>
      </c>
      <c r="M2343" t="s">
        <v>1709</v>
      </c>
      <c r="N2343" s="1"/>
      <c r="O2343" s="1" t="s">
        <v>4</v>
      </c>
      <c r="P2343" s="1">
        <v>0.38</v>
      </c>
      <c r="Q2343" s="1" t="s">
        <v>1636</v>
      </c>
      <c r="R2343" t="s">
        <v>62</v>
      </c>
      <c r="S2343" t="s">
        <v>1086</v>
      </c>
      <c r="T2343" t="s">
        <v>183</v>
      </c>
      <c r="U2343" s="1">
        <f>0.1*2/3</f>
        <v>6.6666666666666666E-2</v>
      </c>
    </row>
    <row r="2344" spans="1:22" x14ac:dyDescent="0.3">
      <c r="A2344" t="s">
        <v>1351</v>
      </c>
      <c r="B2344" t="str">
        <f ca="1">OFFSET(Industries!C$1,MATCH(Table1[[#This Row],[Ticker]],Industries!$A$2:$A$150,0),0)</f>
        <v>Industrials</v>
      </c>
      <c r="C2344" t="str">
        <f ca="1">OFFSET(Industries!D$1,MATCH(Table1[[#This Row],[Ticker]],Industries!$A$2:$A$150,0),0)</f>
        <v>Capital Goods</v>
      </c>
      <c r="D2344" t="str">
        <f ca="1">OFFSET(Industries!E$1,MATCH(Table1[[#This Row],[Ticker]],Industries!$A$2:$A$150,0),0)</f>
        <v>Aerospace and Defense</v>
      </c>
      <c r="E2344" t="s">
        <v>116</v>
      </c>
      <c r="F2344" t="str">
        <f ca="1">OFFSET(Industries!B$1,MATCH(Table1[[#This Row],[Ticker]],Industries!$A$2:$A$140,0),0)</f>
        <v>Ultra-Cap</v>
      </c>
      <c r="G2344" t="str">
        <f ca="1">OFFSET(Industries!F$1,MATCH(Table1[[#This Row],[Ticker]],Industries!$A$2:$A$140,0),0)</f>
        <v>A-</v>
      </c>
      <c r="H2344" t="s">
        <v>1443</v>
      </c>
      <c r="I2344" t="s">
        <v>1439</v>
      </c>
      <c r="J2344" s="2">
        <v>45380</v>
      </c>
      <c r="K2344" t="s">
        <v>2</v>
      </c>
      <c r="L2344" t="s">
        <v>1708</v>
      </c>
      <c r="M2344" t="s">
        <v>1709</v>
      </c>
      <c r="N2344" s="1"/>
      <c r="O2344" s="1" t="s">
        <v>4</v>
      </c>
      <c r="P2344" s="1">
        <v>0.38</v>
      </c>
      <c r="Q2344" s="1" t="s">
        <v>1636</v>
      </c>
      <c r="R2344" t="s">
        <v>62</v>
      </c>
      <c r="S2344" t="s">
        <v>1086</v>
      </c>
      <c r="T2344" t="s">
        <v>1446</v>
      </c>
      <c r="U2344" s="1">
        <f>0.05*2/3</f>
        <v>3.3333333333333333E-2</v>
      </c>
    </row>
    <row r="2345" spans="1:22" x14ac:dyDescent="0.3">
      <c r="A2345" t="s">
        <v>1351</v>
      </c>
      <c r="B2345" t="str">
        <f ca="1">OFFSET(Industries!C$1,MATCH(Table1[[#This Row],[Ticker]],Industries!$A$2:$A$150,0),0)</f>
        <v>Industrials</v>
      </c>
      <c r="C2345" t="str">
        <f ca="1">OFFSET(Industries!D$1,MATCH(Table1[[#This Row],[Ticker]],Industries!$A$2:$A$150,0),0)</f>
        <v>Capital Goods</v>
      </c>
      <c r="D2345" t="str">
        <f ca="1">OFFSET(Industries!E$1,MATCH(Table1[[#This Row],[Ticker]],Industries!$A$2:$A$150,0),0)</f>
        <v>Aerospace and Defense</v>
      </c>
      <c r="E2345" t="s">
        <v>116</v>
      </c>
      <c r="F2345" t="str">
        <f ca="1">OFFSET(Industries!B$1,MATCH(Table1[[#This Row],[Ticker]],Industries!$A$2:$A$140,0),0)</f>
        <v>Ultra-Cap</v>
      </c>
      <c r="G2345" t="str">
        <f ca="1">OFFSET(Industries!F$1,MATCH(Table1[[#This Row],[Ticker]],Industries!$A$2:$A$140,0),0)</f>
        <v>A-</v>
      </c>
      <c r="H2345" t="s">
        <v>1443</v>
      </c>
      <c r="I2345" t="s">
        <v>1439</v>
      </c>
      <c r="J2345" s="2">
        <v>45380</v>
      </c>
      <c r="K2345" t="s">
        <v>2</v>
      </c>
      <c r="L2345" t="s">
        <v>1708</v>
      </c>
      <c r="M2345" t="s">
        <v>1709</v>
      </c>
      <c r="N2345" s="1"/>
      <c r="O2345" s="1" t="s">
        <v>4</v>
      </c>
      <c r="P2345" s="1">
        <v>0.38</v>
      </c>
      <c r="Q2345" s="1" t="s">
        <v>1637</v>
      </c>
      <c r="R2345" t="s">
        <v>332</v>
      </c>
      <c r="S2345" t="s">
        <v>380</v>
      </c>
      <c r="T2345" t="s">
        <v>380</v>
      </c>
      <c r="U2345" s="1">
        <f>1/3</f>
        <v>0.33333333333333331</v>
      </c>
      <c r="V2345" t="s">
        <v>1447</v>
      </c>
    </row>
    <row r="2346" spans="1:22" x14ac:dyDescent="0.3">
      <c r="A2346" t="s">
        <v>1351</v>
      </c>
      <c r="B2346" t="str">
        <f ca="1">OFFSET(Industries!C$1,MATCH(Table1[[#This Row],[Ticker]],Industries!$A$2:$A$150,0),0)</f>
        <v>Industrials</v>
      </c>
      <c r="C2346" t="str">
        <f ca="1">OFFSET(Industries!D$1,MATCH(Table1[[#This Row],[Ticker]],Industries!$A$2:$A$150,0),0)</f>
        <v>Capital Goods</v>
      </c>
      <c r="D2346" t="str">
        <f ca="1">OFFSET(Industries!E$1,MATCH(Table1[[#This Row],[Ticker]],Industries!$A$2:$A$150,0),0)</f>
        <v>Aerospace and Defense</v>
      </c>
      <c r="E2346" t="s">
        <v>116</v>
      </c>
      <c r="F2346" t="str">
        <f ca="1">OFFSET(Industries!B$1,MATCH(Table1[[#This Row],[Ticker]],Industries!$A$2:$A$140,0),0)</f>
        <v>Ultra-Cap</v>
      </c>
      <c r="G2346" t="str">
        <f ca="1">OFFSET(Industries!F$1,MATCH(Table1[[#This Row],[Ticker]],Industries!$A$2:$A$140,0),0)</f>
        <v>A-</v>
      </c>
      <c r="H2346" t="s">
        <v>1443</v>
      </c>
      <c r="I2346" t="s">
        <v>1439</v>
      </c>
      <c r="J2346" s="2">
        <v>45380</v>
      </c>
      <c r="K2346" t="s">
        <v>2</v>
      </c>
      <c r="L2346" t="s">
        <v>1708</v>
      </c>
      <c r="M2346" t="s">
        <v>1709</v>
      </c>
      <c r="N2346" s="1"/>
      <c r="O2346" s="1" t="s">
        <v>4</v>
      </c>
      <c r="P2346" s="1">
        <v>0.38</v>
      </c>
      <c r="R2346" t="s">
        <v>28</v>
      </c>
      <c r="S2346" t="s">
        <v>1110</v>
      </c>
      <c r="T2346" t="s">
        <v>172</v>
      </c>
      <c r="V2346" t="s">
        <v>1450</v>
      </c>
    </row>
    <row r="2347" spans="1:22" x14ac:dyDescent="0.3">
      <c r="A2347" t="s">
        <v>1351</v>
      </c>
      <c r="B2347" t="str">
        <f ca="1">OFFSET(Industries!C$1,MATCH(Table1[[#This Row],[Ticker]],Industries!$A$2:$A$150,0),0)</f>
        <v>Industrials</v>
      </c>
      <c r="C2347" t="str">
        <f ca="1">OFFSET(Industries!D$1,MATCH(Table1[[#This Row],[Ticker]],Industries!$A$2:$A$150,0),0)</f>
        <v>Capital Goods</v>
      </c>
      <c r="D2347" t="str">
        <f ca="1">OFFSET(Industries!E$1,MATCH(Table1[[#This Row],[Ticker]],Industries!$A$2:$A$150,0),0)</f>
        <v>Aerospace and Defense</v>
      </c>
      <c r="E2347" t="s">
        <v>116</v>
      </c>
      <c r="F2347" t="str">
        <f ca="1">OFFSET(Industries!B$1,MATCH(Table1[[#This Row],[Ticker]],Industries!$A$2:$A$140,0),0)</f>
        <v>Ultra-Cap</v>
      </c>
      <c r="G2347" t="str">
        <f ca="1">OFFSET(Industries!F$1,MATCH(Table1[[#This Row],[Ticker]],Industries!$A$2:$A$140,0),0)</f>
        <v>A-</v>
      </c>
      <c r="H2347" t="s">
        <v>1443</v>
      </c>
      <c r="I2347" t="s">
        <v>1439</v>
      </c>
      <c r="J2347" s="2">
        <v>45380</v>
      </c>
      <c r="K2347" t="s">
        <v>2</v>
      </c>
      <c r="L2347" t="s">
        <v>1710</v>
      </c>
      <c r="M2347" t="s">
        <v>1709</v>
      </c>
      <c r="N2347" s="1">
        <f>Table1[[#This Row],[Consideration Weight]]</f>
        <v>0.3</v>
      </c>
      <c r="O2347" s="1" t="s">
        <v>476</v>
      </c>
      <c r="P2347" s="1">
        <v>0.3</v>
      </c>
      <c r="Q2347" s="1" t="s">
        <v>1636</v>
      </c>
      <c r="R2347" t="s">
        <v>24</v>
      </c>
      <c r="S2347" t="s">
        <v>90</v>
      </c>
      <c r="T2347" t="s">
        <v>1448</v>
      </c>
      <c r="U2347" s="1">
        <v>0.25</v>
      </c>
      <c r="V2347" t="s">
        <v>231</v>
      </c>
    </row>
    <row r="2348" spans="1:22" x14ac:dyDescent="0.3">
      <c r="A2348" t="s">
        <v>1351</v>
      </c>
      <c r="B2348" t="str">
        <f ca="1">OFFSET(Industries!C$1,MATCH(Table1[[#This Row],[Ticker]],Industries!$A$2:$A$150,0),0)</f>
        <v>Industrials</v>
      </c>
      <c r="C2348" t="str">
        <f ca="1">OFFSET(Industries!D$1,MATCH(Table1[[#This Row],[Ticker]],Industries!$A$2:$A$150,0),0)</f>
        <v>Capital Goods</v>
      </c>
      <c r="D2348" t="str">
        <f ca="1">OFFSET(Industries!E$1,MATCH(Table1[[#This Row],[Ticker]],Industries!$A$2:$A$150,0),0)</f>
        <v>Aerospace and Defense</v>
      </c>
      <c r="E2348" t="s">
        <v>116</v>
      </c>
      <c r="F2348" t="str">
        <f ca="1">OFFSET(Industries!B$1,MATCH(Table1[[#This Row],[Ticker]],Industries!$A$2:$A$140,0),0)</f>
        <v>Ultra-Cap</v>
      </c>
      <c r="G2348" t="str">
        <f ca="1">OFFSET(Industries!F$1,MATCH(Table1[[#This Row],[Ticker]],Industries!$A$2:$A$140,0),0)</f>
        <v>A-</v>
      </c>
      <c r="H2348" t="s">
        <v>1443</v>
      </c>
      <c r="I2348" t="s">
        <v>1439</v>
      </c>
      <c r="J2348" s="2">
        <v>45380</v>
      </c>
      <c r="K2348" t="s">
        <v>2</v>
      </c>
      <c r="L2348" t="s">
        <v>1710</v>
      </c>
      <c r="M2348" t="s">
        <v>1709</v>
      </c>
      <c r="N2348" s="1"/>
      <c r="O2348" s="1" t="s">
        <v>476</v>
      </c>
      <c r="P2348" s="1">
        <v>0.3</v>
      </c>
      <c r="Q2348" s="1" t="s">
        <v>1636</v>
      </c>
      <c r="R2348" t="s">
        <v>62</v>
      </c>
      <c r="S2348" t="s">
        <v>129</v>
      </c>
      <c r="T2348" t="s">
        <v>1449</v>
      </c>
      <c r="U2348" s="1">
        <v>0.25</v>
      </c>
      <c r="V2348" t="s">
        <v>530</v>
      </c>
    </row>
    <row r="2349" spans="1:22" x14ac:dyDescent="0.3">
      <c r="A2349" t="s">
        <v>1351</v>
      </c>
      <c r="B2349" t="str">
        <f ca="1">OFFSET(Industries!C$1,MATCH(Table1[[#This Row],[Ticker]],Industries!$A$2:$A$150,0),0)</f>
        <v>Industrials</v>
      </c>
      <c r="C2349" t="str">
        <f ca="1">OFFSET(Industries!D$1,MATCH(Table1[[#This Row],[Ticker]],Industries!$A$2:$A$150,0),0)</f>
        <v>Capital Goods</v>
      </c>
      <c r="D2349" t="str">
        <f ca="1">OFFSET(Industries!E$1,MATCH(Table1[[#This Row],[Ticker]],Industries!$A$2:$A$150,0),0)</f>
        <v>Aerospace and Defense</v>
      </c>
      <c r="E2349" t="s">
        <v>116</v>
      </c>
      <c r="F2349" t="str">
        <f ca="1">OFFSET(Industries!B$1,MATCH(Table1[[#This Row],[Ticker]],Industries!$A$2:$A$140,0),0)</f>
        <v>Ultra-Cap</v>
      </c>
      <c r="G2349" t="str">
        <f ca="1">OFFSET(Industries!F$1,MATCH(Table1[[#This Row],[Ticker]],Industries!$A$2:$A$140,0),0)</f>
        <v>A-</v>
      </c>
      <c r="H2349" t="s">
        <v>1443</v>
      </c>
      <c r="I2349" t="s">
        <v>1439</v>
      </c>
      <c r="J2349" s="2">
        <v>45380</v>
      </c>
      <c r="K2349" t="s">
        <v>2</v>
      </c>
      <c r="L2349" t="s">
        <v>1710</v>
      </c>
      <c r="M2349" t="s">
        <v>1709</v>
      </c>
      <c r="N2349" s="1"/>
      <c r="O2349" s="1" t="s">
        <v>476</v>
      </c>
      <c r="P2349" s="1">
        <v>0.3</v>
      </c>
      <c r="Q2349" s="1" t="s">
        <v>1637</v>
      </c>
      <c r="R2349" t="s">
        <v>26</v>
      </c>
      <c r="S2349" t="s">
        <v>26</v>
      </c>
      <c r="T2349" t="s">
        <v>1395</v>
      </c>
      <c r="U2349" s="1">
        <v>0.2</v>
      </c>
      <c r="V2349" t="s">
        <v>1578</v>
      </c>
    </row>
    <row r="2350" spans="1:22" x14ac:dyDescent="0.3">
      <c r="A2350" t="s">
        <v>1351</v>
      </c>
      <c r="B2350" t="str">
        <f ca="1">OFFSET(Industries!C$1,MATCH(Table1[[#This Row],[Ticker]],Industries!$A$2:$A$150,0),0)</f>
        <v>Industrials</v>
      </c>
      <c r="C2350" t="str">
        <f ca="1">OFFSET(Industries!D$1,MATCH(Table1[[#This Row],[Ticker]],Industries!$A$2:$A$150,0),0)</f>
        <v>Capital Goods</v>
      </c>
      <c r="D2350" t="str">
        <f ca="1">OFFSET(Industries!E$1,MATCH(Table1[[#This Row],[Ticker]],Industries!$A$2:$A$150,0),0)</f>
        <v>Aerospace and Defense</v>
      </c>
      <c r="E2350" t="s">
        <v>116</v>
      </c>
      <c r="F2350" t="str">
        <f ca="1">OFFSET(Industries!B$1,MATCH(Table1[[#This Row],[Ticker]],Industries!$A$2:$A$140,0),0)</f>
        <v>Ultra-Cap</v>
      </c>
      <c r="G2350" t="str">
        <f ca="1">OFFSET(Industries!F$1,MATCH(Table1[[#This Row],[Ticker]],Industries!$A$2:$A$140,0),0)</f>
        <v>A-</v>
      </c>
      <c r="H2350" t="s">
        <v>1443</v>
      </c>
      <c r="I2350" t="s">
        <v>1439</v>
      </c>
      <c r="J2350" s="2">
        <v>45380</v>
      </c>
      <c r="K2350" t="s">
        <v>2</v>
      </c>
      <c r="L2350" t="s">
        <v>1710</v>
      </c>
      <c r="M2350" t="s">
        <v>1709</v>
      </c>
      <c r="N2350" s="1"/>
      <c r="O2350" s="1" t="s">
        <v>476</v>
      </c>
      <c r="P2350" s="1">
        <v>0.3</v>
      </c>
      <c r="Q2350" s="1" t="s">
        <v>1646</v>
      </c>
      <c r="R2350" t="s">
        <v>35</v>
      </c>
      <c r="S2350" t="s">
        <v>29</v>
      </c>
      <c r="T2350" t="s">
        <v>30</v>
      </c>
      <c r="U2350" s="1">
        <v>0.3</v>
      </c>
    </row>
    <row r="2351" spans="1:22" x14ac:dyDescent="0.3">
      <c r="A2351" t="s">
        <v>1351</v>
      </c>
      <c r="B2351" t="str">
        <f ca="1">OFFSET(Industries!C$1,MATCH(Table1[[#This Row],[Ticker]],Industries!$A$2:$A$150,0),0)</f>
        <v>Industrials</v>
      </c>
      <c r="C2351" t="str">
        <f ca="1">OFFSET(Industries!D$1,MATCH(Table1[[#This Row],[Ticker]],Industries!$A$2:$A$150,0),0)</f>
        <v>Capital Goods</v>
      </c>
      <c r="D2351" t="str">
        <f ca="1">OFFSET(Industries!E$1,MATCH(Table1[[#This Row],[Ticker]],Industries!$A$2:$A$150,0),0)</f>
        <v>Aerospace and Defense</v>
      </c>
      <c r="E2351" t="s">
        <v>116</v>
      </c>
      <c r="F2351" t="str">
        <f ca="1">OFFSET(Industries!B$1,MATCH(Table1[[#This Row],[Ticker]],Industries!$A$2:$A$140,0),0)</f>
        <v>Ultra-Cap</v>
      </c>
      <c r="G2351" t="str">
        <f ca="1">OFFSET(Industries!F$1,MATCH(Table1[[#This Row],[Ticker]],Industries!$A$2:$A$140,0),0)</f>
        <v>A-</v>
      </c>
      <c r="H2351" t="s">
        <v>1443</v>
      </c>
      <c r="I2351" t="s">
        <v>1439</v>
      </c>
      <c r="J2351" s="2">
        <v>45380</v>
      </c>
      <c r="K2351" t="s">
        <v>2</v>
      </c>
      <c r="L2351" t="s">
        <v>1710</v>
      </c>
      <c r="M2351" t="s">
        <v>1709</v>
      </c>
      <c r="N2351" s="1"/>
      <c r="O2351" s="1" t="s">
        <v>476</v>
      </c>
      <c r="P2351" s="1">
        <v>0.3</v>
      </c>
      <c r="R2351" t="s">
        <v>28</v>
      </c>
      <c r="S2351" t="s">
        <v>1110</v>
      </c>
      <c r="T2351" t="s">
        <v>172</v>
      </c>
      <c r="V2351" t="s">
        <v>1450</v>
      </c>
    </row>
    <row r="2352" spans="1:22" x14ac:dyDescent="0.3">
      <c r="A2352" t="s">
        <v>1352</v>
      </c>
      <c r="B2352" t="str">
        <f ca="1">OFFSET(Industries!C$1,MATCH(Table1[[#This Row],[Ticker]],Industries!$A$2:$A$150,0),0)</f>
        <v>Consumer Discretionary</v>
      </c>
      <c r="C2352" t="str">
        <f ca="1">OFFSET(Industries!D$1,MATCH(Table1[[#This Row],[Ticker]],Industries!$A$2:$A$150,0),0)</f>
        <v>Consumer Durables and Apparel</v>
      </c>
      <c r="D2352" t="str">
        <f ca="1">OFFSET(Industries!E$1,MATCH(Table1[[#This Row],[Ticker]],Industries!$A$2:$A$150,0),0)</f>
        <v>Textiles, Apparel and Luxury Goods</v>
      </c>
      <c r="E2352" t="s">
        <v>1453</v>
      </c>
      <c r="F2352" t="str">
        <f ca="1">OFFSET(Industries!B$1,MATCH(Table1[[#This Row],[Ticker]],Industries!$A$2:$A$140,0),0)</f>
        <v>Mega-Cap</v>
      </c>
      <c r="G2352" t="str">
        <f ca="1">OFFSET(Industries!F$1,MATCH(Table1[[#This Row],[Ticker]],Industries!$A$2:$A$140,0),0)</f>
        <v>AA-</v>
      </c>
      <c r="H2352" t="s">
        <v>1443</v>
      </c>
      <c r="I2352" t="s">
        <v>1439</v>
      </c>
      <c r="J2352" s="2">
        <v>45376</v>
      </c>
      <c r="K2352" t="s">
        <v>2</v>
      </c>
      <c r="L2352" t="s">
        <v>3</v>
      </c>
      <c r="M2352" t="s">
        <v>1711</v>
      </c>
      <c r="N2352" s="1">
        <f>Table1[[#This Row],[Consideration Weight]]</f>
        <v>0.15</v>
      </c>
      <c r="O2352" s="1" t="s">
        <v>3</v>
      </c>
      <c r="P2352" s="1">
        <v>0.15</v>
      </c>
    </row>
    <row r="2353" spans="1:22" x14ac:dyDescent="0.3">
      <c r="A2353" t="s">
        <v>1352</v>
      </c>
      <c r="B2353" t="str">
        <f ca="1">OFFSET(Industries!C$1,MATCH(Table1[[#This Row],[Ticker]],Industries!$A$2:$A$150,0),0)</f>
        <v>Consumer Discretionary</v>
      </c>
      <c r="C2353" t="str">
        <f ca="1">OFFSET(Industries!D$1,MATCH(Table1[[#This Row],[Ticker]],Industries!$A$2:$A$150,0),0)</f>
        <v>Consumer Durables and Apparel</v>
      </c>
      <c r="D2353" t="str">
        <f ca="1">OFFSET(Industries!E$1,MATCH(Table1[[#This Row],[Ticker]],Industries!$A$2:$A$150,0),0)</f>
        <v>Textiles, Apparel and Luxury Goods</v>
      </c>
      <c r="E2353" t="s">
        <v>1453</v>
      </c>
      <c r="F2353" t="str">
        <f ca="1">OFFSET(Industries!B$1,MATCH(Table1[[#This Row],[Ticker]],Industries!$A$2:$A$140,0),0)</f>
        <v>Mega-Cap</v>
      </c>
      <c r="G2353" t="str">
        <f ca="1">OFFSET(Industries!F$1,MATCH(Table1[[#This Row],[Ticker]],Industries!$A$2:$A$140,0),0)</f>
        <v>AA-</v>
      </c>
      <c r="H2353" t="s">
        <v>1443</v>
      </c>
      <c r="I2353" t="s">
        <v>1439</v>
      </c>
      <c r="J2353" s="2">
        <v>45376</v>
      </c>
      <c r="K2353" t="s">
        <v>2</v>
      </c>
      <c r="L2353" t="s">
        <v>1708</v>
      </c>
      <c r="M2353" t="s">
        <v>1709</v>
      </c>
      <c r="N2353" s="1">
        <f>Table1[[#This Row],[Consideration Weight]]</f>
        <v>0.28000000000000003</v>
      </c>
      <c r="O2353" s="1" t="s">
        <v>4</v>
      </c>
      <c r="P2353" s="1">
        <v>0.28000000000000003</v>
      </c>
      <c r="Q2353" s="1" t="s">
        <v>1636</v>
      </c>
      <c r="R2353" t="s">
        <v>23</v>
      </c>
      <c r="S2353" t="s">
        <v>1083</v>
      </c>
      <c r="T2353" t="s">
        <v>1454</v>
      </c>
      <c r="U2353" s="1">
        <f>0.5/3</f>
        <v>0.16666666666666666</v>
      </c>
    </row>
    <row r="2354" spans="1:22" x14ac:dyDescent="0.3">
      <c r="A2354" t="s">
        <v>1352</v>
      </c>
      <c r="B2354" t="str">
        <f ca="1">OFFSET(Industries!C$1,MATCH(Table1[[#This Row],[Ticker]],Industries!$A$2:$A$150,0),0)</f>
        <v>Consumer Discretionary</v>
      </c>
      <c r="C2354" t="str">
        <f ca="1">OFFSET(Industries!D$1,MATCH(Table1[[#This Row],[Ticker]],Industries!$A$2:$A$150,0),0)</f>
        <v>Consumer Durables and Apparel</v>
      </c>
      <c r="D2354" t="str">
        <f ca="1">OFFSET(Industries!E$1,MATCH(Table1[[#This Row],[Ticker]],Industries!$A$2:$A$150,0),0)</f>
        <v>Textiles, Apparel and Luxury Goods</v>
      </c>
      <c r="E2354" t="s">
        <v>1453</v>
      </c>
      <c r="F2354" t="str">
        <f ca="1">OFFSET(Industries!B$1,MATCH(Table1[[#This Row],[Ticker]],Industries!$A$2:$A$140,0),0)</f>
        <v>Mega-Cap</v>
      </c>
      <c r="G2354" t="str">
        <f ca="1">OFFSET(Industries!F$1,MATCH(Table1[[#This Row],[Ticker]],Industries!$A$2:$A$140,0),0)</f>
        <v>AA-</v>
      </c>
      <c r="H2354" t="s">
        <v>1443</v>
      </c>
      <c r="I2354" t="s">
        <v>1439</v>
      </c>
      <c r="J2354" s="2">
        <v>45376</v>
      </c>
      <c r="K2354" t="s">
        <v>2</v>
      </c>
      <c r="L2354" t="s">
        <v>1708</v>
      </c>
      <c r="M2354" t="s">
        <v>1709</v>
      </c>
      <c r="N2354" s="1"/>
      <c r="O2354" s="1" t="s">
        <v>4</v>
      </c>
      <c r="P2354" s="1">
        <v>0.28000000000000003</v>
      </c>
      <c r="Q2354" s="1" t="s">
        <v>1636</v>
      </c>
      <c r="R2354" t="s">
        <v>24</v>
      </c>
      <c r="S2354" t="s">
        <v>90</v>
      </c>
      <c r="T2354" t="s">
        <v>90</v>
      </c>
      <c r="U2354" s="1">
        <f t="shared" ref="U2354:U2355" si="51">0.5/3</f>
        <v>0.16666666666666666</v>
      </c>
      <c r="V2354" t="s">
        <v>1456</v>
      </c>
    </row>
    <row r="2355" spans="1:22" x14ac:dyDescent="0.3">
      <c r="A2355" t="s">
        <v>1352</v>
      </c>
      <c r="B2355" t="str">
        <f ca="1">OFFSET(Industries!C$1,MATCH(Table1[[#This Row],[Ticker]],Industries!$A$2:$A$150,0),0)</f>
        <v>Consumer Discretionary</v>
      </c>
      <c r="C2355" t="str">
        <f ca="1">OFFSET(Industries!D$1,MATCH(Table1[[#This Row],[Ticker]],Industries!$A$2:$A$150,0),0)</f>
        <v>Consumer Durables and Apparel</v>
      </c>
      <c r="D2355" t="str">
        <f ca="1">OFFSET(Industries!E$1,MATCH(Table1[[#This Row],[Ticker]],Industries!$A$2:$A$150,0),0)</f>
        <v>Textiles, Apparel and Luxury Goods</v>
      </c>
      <c r="E2355" t="s">
        <v>1453</v>
      </c>
      <c r="F2355" t="str">
        <f ca="1">OFFSET(Industries!B$1,MATCH(Table1[[#This Row],[Ticker]],Industries!$A$2:$A$140,0),0)</f>
        <v>Mega-Cap</v>
      </c>
      <c r="G2355" t="str">
        <f ca="1">OFFSET(Industries!F$1,MATCH(Table1[[#This Row],[Ticker]],Industries!$A$2:$A$140,0),0)</f>
        <v>AA-</v>
      </c>
      <c r="H2355" t="s">
        <v>1443</v>
      </c>
      <c r="I2355" t="s">
        <v>1439</v>
      </c>
      <c r="J2355" s="2">
        <v>45376</v>
      </c>
      <c r="K2355" t="s">
        <v>2</v>
      </c>
      <c r="L2355" t="s">
        <v>1708</v>
      </c>
      <c r="M2355" t="s">
        <v>1709</v>
      </c>
      <c r="N2355" s="1"/>
      <c r="O2355" s="1" t="s">
        <v>4</v>
      </c>
      <c r="P2355" s="1">
        <v>0.28000000000000003</v>
      </c>
      <c r="Q2355" s="1" t="s">
        <v>1636</v>
      </c>
      <c r="R2355" t="s">
        <v>62</v>
      </c>
      <c r="S2355" t="s">
        <v>129</v>
      </c>
      <c r="T2355" t="s">
        <v>1455</v>
      </c>
      <c r="U2355" s="1">
        <f t="shared" si="51"/>
        <v>0.16666666666666666</v>
      </c>
    </row>
    <row r="2356" spans="1:22" x14ac:dyDescent="0.3">
      <c r="A2356" t="s">
        <v>1352</v>
      </c>
      <c r="B2356" t="str">
        <f ca="1">OFFSET(Industries!C$1,MATCH(Table1[[#This Row],[Ticker]],Industries!$A$2:$A$150,0),0)</f>
        <v>Consumer Discretionary</v>
      </c>
      <c r="C2356" t="str">
        <f ca="1">OFFSET(Industries!D$1,MATCH(Table1[[#This Row],[Ticker]],Industries!$A$2:$A$150,0),0)</f>
        <v>Consumer Durables and Apparel</v>
      </c>
      <c r="D2356" t="str">
        <f ca="1">OFFSET(Industries!E$1,MATCH(Table1[[#This Row],[Ticker]],Industries!$A$2:$A$150,0),0)</f>
        <v>Textiles, Apparel and Luxury Goods</v>
      </c>
      <c r="E2356" t="s">
        <v>1453</v>
      </c>
      <c r="F2356" t="str">
        <f ca="1">OFFSET(Industries!B$1,MATCH(Table1[[#This Row],[Ticker]],Industries!$A$2:$A$140,0),0)</f>
        <v>Mega-Cap</v>
      </c>
      <c r="G2356" t="str">
        <f ca="1">OFFSET(Industries!F$1,MATCH(Table1[[#This Row],[Ticker]],Industries!$A$2:$A$140,0),0)</f>
        <v>AA-</v>
      </c>
      <c r="H2356" t="s">
        <v>1443</v>
      </c>
      <c r="I2356" t="s">
        <v>1439</v>
      </c>
      <c r="J2356" s="2">
        <v>45376</v>
      </c>
      <c r="K2356" t="s">
        <v>2</v>
      </c>
      <c r="L2356" t="s">
        <v>1708</v>
      </c>
      <c r="M2356" t="s">
        <v>1709</v>
      </c>
      <c r="N2356" s="1"/>
      <c r="O2356" s="1" t="s">
        <v>4</v>
      </c>
      <c r="P2356" s="1">
        <v>0.28000000000000003</v>
      </c>
      <c r="Q2356" s="1" t="s">
        <v>1637</v>
      </c>
      <c r="R2356" t="s">
        <v>25</v>
      </c>
      <c r="S2356" t="s">
        <v>1086</v>
      </c>
      <c r="T2356" t="s">
        <v>1457</v>
      </c>
      <c r="U2356" s="1">
        <v>0.4</v>
      </c>
    </row>
    <row r="2357" spans="1:22" x14ac:dyDescent="0.3">
      <c r="A2357" t="s">
        <v>1352</v>
      </c>
      <c r="B2357" t="str">
        <f ca="1">OFFSET(Industries!C$1,MATCH(Table1[[#This Row],[Ticker]],Industries!$A$2:$A$150,0),0)</f>
        <v>Consumer Discretionary</v>
      </c>
      <c r="C2357" t="str">
        <f ca="1">OFFSET(Industries!D$1,MATCH(Table1[[#This Row],[Ticker]],Industries!$A$2:$A$150,0),0)</f>
        <v>Consumer Durables and Apparel</v>
      </c>
      <c r="D2357" t="str">
        <f ca="1">OFFSET(Industries!E$1,MATCH(Table1[[#This Row],[Ticker]],Industries!$A$2:$A$150,0),0)</f>
        <v>Textiles, Apparel and Luxury Goods</v>
      </c>
      <c r="E2357" t="s">
        <v>1453</v>
      </c>
      <c r="F2357" t="str">
        <f ca="1">OFFSET(Industries!B$1,MATCH(Table1[[#This Row],[Ticker]],Industries!$A$2:$A$140,0),0)</f>
        <v>Mega-Cap</v>
      </c>
      <c r="G2357" t="str">
        <f ca="1">OFFSET(Industries!F$1,MATCH(Table1[[#This Row],[Ticker]],Industries!$A$2:$A$140,0),0)</f>
        <v>AA-</v>
      </c>
      <c r="H2357" t="s">
        <v>1443</v>
      </c>
      <c r="I2357" t="s">
        <v>1439</v>
      </c>
      <c r="J2357" s="2">
        <v>45376</v>
      </c>
      <c r="K2357" t="s">
        <v>2</v>
      </c>
      <c r="L2357" t="s">
        <v>1708</v>
      </c>
      <c r="M2357" t="s">
        <v>1709</v>
      </c>
      <c r="N2357" s="1"/>
      <c r="O2357" s="1" t="s">
        <v>4</v>
      </c>
      <c r="P2357" s="1">
        <v>0.28000000000000003</v>
      </c>
      <c r="Q2357" s="1" t="s">
        <v>1637</v>
      </c>
      <c r="R2357" t="s">
        <v>26</v>
      </c>
      <c r="S2357" t="s">
        <v>26</v>
      </c>
      <c r="T2357" t="s">
        <v>984</v>
      </c>
      <c r="U2357" s="1">
        <v>0.1</v>
      </c>
      <c r="V2357" t="s">
        <v>1459</v>
      </c>
    </row>
    <row r="2358" spans="1:22" x14ac:dyDescent="0.3">
      <c r="A2358" t="s">
        <v>1352</v>
      </c>
      <c r="B2358" t="str">
        <f ca="1">OFFSET(Industries!C$1,MATCH(Table1[[#This Row],[Ticker]],Industries!$A$2:$A$150,0),0)</f>
        <v>Consumer Discretionary</v>
      </c>
      <c r="C2358" t="str">
        <f ca="1">OFFSET(Industries!D$1,MATCH(Table1[[#This Row],[Ticker]],Industries!$A$2:$A$150,0),0)</f>
        <v>Consumer Durables and Apparel</v>
      </c>
      <c r="D2358" t="str">
        <f ca="1">OFFSET(Industries!E$1,MATCH(Table1[[#This Row],[Ticker]],Industries!$A$2:$A$150,0),0)</f>
        <v>Textiles, Apparel and Luxury Goods</v>
      </c>
      <c r="E2358" t="s">
        <v>1453</v>
      </c>
      <c r="F2358" t="str">
        <f ca="1">OFFSET(Industries!B$1,MATCH(Table1[[#This Row],[Ticker]],Industries!$A$2:$A$140,0),0)</f>
        <v>Mega-Cap</v>
      </c>
      <c r="G2358" t="str">
        <f ca="1">OFFSET(Industries!F$1,MATCH(Table1[[#This Row],[Ticker]],Industries!$A$2:$A$140,0),0)</f>
        <v>AA-</v>
      </c>
      <c r="H2358" t="s">
        <v>1443</v>
      </c>
      <c r="I2358" t="s">
        <v>1439</v>
      </c>
      <c r="J2358" s="2">
        <v>45376</v>
      </c>
      <c r="K2358" t="s">
        <v>2</v>
      </c>
      <c r="L2358" t="s">
        <v>1710</v>
      </c>
      <c r="M2358" t="s">
        <v>1709</v>
      </c>
      <c r="N2358" s="1">
        <f>Table1[[#This Row],[Consideration Weight]]</f>
        <v>0.56999999999999995</v>
      </c>
      <c r="O2358" s="1" t="s">
        <v>476</v>
      </c>
      <c r="P2358" s="1">
        <v>0.56999999999999995</v>
      </c>
      <c r="Q2358" s="1" t="s">
        <v>1636</v>
      </c>
      <c r="R2358" t="s">
        <v>25</v>
      </c>
      <c r="S2358" t="s">
        <v>1086</v>
      </c>
      <c r="T2358" t="s">
        <v>432</v>
      </c>
      <c r="U2358" s="1">
        <v>0.85</v>
      </c>
      <c r="V2358" t="s">
        <v>1460</v>
      </c>
    </row>
    <row r="2359" spans="1:22" x14ac:dyDescent="0.3">
      <c r="A2359" t="s">
        <v>1352</v>
      </c>
      <c r="B2359" t="str">
        <f ca="1">OFFSET(Industries!C$1,MATCH(Table1[[#This Row],[Ticker]],Industries!$A$2:$A$150,0),0)</f>
        <v>Consumer Discretionary</v>
      </c>
      <c r="C2359" t="str">
        <f ca="1">OFFSET(Industries!D$1,MATCH(Table1[[#This Row],[Ticker]],Industries!$A$2:$A$150,0),0)</f>
        <v>Consumer Durables and Apparel</v>
      </c>
      <c r="D2359" t="str">
        <f ca="1">OFFSET(Industries!E$1,MATCH(Table1[[#This Row],[Ticker]],Industries!$A$2:$A$150,0),0)</f>
        <v>Textiles, Apparel and Luxury Goods</v>
      </c>
      <c r="E2359" t="s">
        <v>1453</v>
      </c>
      <c r="F2359" t="str">
        <f ca="1">OFFSET(Industries!B$1,MATCH(Table1[[#This Row],[Ticker]],Industries!$A$2:$A$140,0),0)</f>
        <v>Mega-Cap</v>
      </c>
      <c r="G2359" t="str">
        <f ca="1">OFFSET(Industries!F$1,MATCH(Table1[[#This Row],[Ticker]],Industries!$A$2:$A$140,0),0)</f>
        <v>AA-</v>
      </c>
      <c r="H2359" t="s">
        <v>1443</v>
      </c>
      <c r="I2359" t="s">
        <v>1439</v>
      </c>
      <c r="J2359" s="2">
        <v>45376</v>
      </c>
      <c r="K2359" t="s">
        <v>2</v>
      </c>
      <c r="L2359" t="s">
        <v>1710</v>
      </c>
      <c r="M2359" t="s">
        <v>1709</v>
      </c>
      <c r="N2359" s="1"/>
      <c r="O2359" s="1" t="s">
        <v>476</v>
      </c>
      <c r="P2359" s="1">
        <v>0.56999999999999995</v>
      </c>
      <c r="Q2359" s="1" t="s">
        <v>1637</v>
      </c>
      <c r="R2359" t="s">
        <v>26</v>
      </c>
      <c r="S2359" t="s">
        <v>26</v>
      </c>
      <c r="T2359" t="s">
        <v>1458</v>
      </c>
      <c r="U2359" s="1">
        <v>0.15</v>
      </c>
      <c r="V2359" t="s">
        <v>1461</v>
      </c>
    </row>
    <row r="2360" spans="1:22" x14ac:dyDescent="0.3">
      <c r="A2360" t="s">
        <v>1352</v>
      </c>
      <c r="B2360" t="str">
        <f ca="1">OFFSET(Industries!C$1,MATCH(Table1[[#This Row],[Ticker]],Industries!$A$2:$A$150,0),0)</f>
        <v>Consumer Discretionary</v>
      </c>
      <c r="C2360" t="str">
        <f ca="1">OFFSET(Industries!D$1,MATCH(Table1[[#This Row],[Ticker]],Industries!$A$2:$A$150,0),0)</f>
        <v>Consumer Durables and Apparel</v>
      </c>
      <c r="D2360" t="str">
        <f ca="1">OFFSET(Industries!E$1,MATCH(Table1[[#This Row],[Ticker]],Industries!$A$2:$A$150,0),0)</f>
        <v>Textiles, Apparel and Luxury Goods</v>
      </c>
      <c r="E2360" t="s">
        <v>1453</v>
      </c>
      <c r="F2360" t="str">
        <f ca="1">OFFSET(Industries!B$1,MATCH(Table1[[#This Row],[Ticker]],Industries!$A$2:$A$140,0),0)</f>
        <v>Mega-Cap</v>
      </c>
      <c r="G2360" t="str">
        <f ca="1">OFFSET(Industries!F$1,MATCH(Table1[[#This Row],[Ticker]],Industries!$A$2:$A$140,0),0)</f>
        <v>AA-</v>
      </c>
      <c r="H2360" t="s">
        <v>1443</v>
      </c>
      <c r="I2360" t="s">
        <v>1439</v>
      </c>
      <c r="J2360" s="2">
        <v>45376</v>
      </c>
      <c r="K2360" t="s">
        <v>21</v>
      </c>
      <c r="L2360" t="s">
        <v>3</v>
      </c>
      <c r="M2360" t="s">
        <v>1711</v>
      </c>
      <c r="N2360" s="1">
        <f>Table1[[#This Row],[Consideration Weight]]</f>
        <v>0.4</v>
      </c>
      <c r="O2360" s="1" t="s">
        <v>3</v>
      </c>
      <c r="P2360" s="1">
        <v>0.4</v>
      </c>
    </row>
    <row r="2361" spans="1:22" x14ac:dyDescent="0.3">
      <c r="A2361" t="s">
        <v>1352</v>
      </c>
      <c r="B2361" t="str">
        <f ca="1">OFFSET(Industries!C$1,MATCH(Table1[[#This Row],[Ticker]],Industries!$A$2:$A$150,0),0)</f>
        <v>Consumer Discretionary</v>
      </c>
      <c r="C2361" t="str">
        <f ca="1">OFFSET(Industries!D$1,MATCH(Table1[[#This Row],[Ticker]],Industries!$A$2:$A$150,0),0)</f>
        <v>Consumer Durables and Apparel</v>
      </c>
      <c r="D2361" t="str">
        <f ca="1">OFFSET(Industries!E$1,MATCH(Table1[[#This Row],[Ticker]],Industries!$A$2:$A$150,0),0)</f>
        <v>Textiles, Apparel and Luxury Goods</v>
      </c>
      <c r="E2361" t="s">
        <v>1453</v>
      </c>
      <c r="F2361" t="str">
        <f ca="1">OFFSET(Industries!B$1,MATCH(Table1[[#This Row],[Ticker]],Industries!$A$2:$A$140,0),0)</f>
        <v>Mega-Cap</v>
      </c>
      <c r="G2361" t="str">
        <f ca="1">OFFSET(Industries!F$1,MATCH(Table1[[#This Row],[Ticker]],Industries!$A$2:$A$140,0),0)</f>
        <v>AA-</v>
      </c>
      <c r="H2361" t="s">
        <v>1443</v>
      </c>
      <c r="I2361" t="s">
        <v>1439</v>
      </c>
      <c r="J2361" s="2">
        <v>45376</v>
      </c>
      <c r="K2361" t="s">
        <v>21</v>
      </c>
      <c r="L2361" t="s">
        <v>1708</v>
      </c>
      <c r="M2361" t="s">
        <v>1709</v>
      </c>
      <c r="N2361" s="1">
        <f>Table1[[#This Row],[Consideration Weight]]</f>
        <v>0.35</v>
      </c>
      <c r="O2361" s="1" t="s">
        <v>4</v>
      </c>
      <c r="P2361" s="1">
        <v>0.35</v>
      </c>
      <c r="Q2361" s="1" t="s">
        <v>1636</v>
      </c>
      <c r="R2361" t="s">
        <v>23</v>
      </c>
      <c r="S2361" t="s">
        <v>1083</v>
      </c>
      <c r="T2361" t="s">
        <v>1454</v>
      </c>
      <c r="U2361" s="1">
        <f>0.65/3</f>
        <v>0.21666666666666667</v>
      </c>
    </row>
    <row r="2362" spans="1:22" x14ac:dyDescent="0.3">
      <c r="A2362" t="s">
        <v>1352</v>
      </c>
      <c r="B2362" t="str">
        <f ca="1">OFFSET(Industries!C$1,MATCH(Table1[[#This Row],[Ticker]],Industries!$A$2:$A$150,0),0)</f>
        <v>Consumer Discretionary</v>
      </c>
      <c r="C2362" t="str">
        <f ca="1">OFFSET(Industries!D$1,MATCH(Table1[[#This Row],[Ticker]],Industries!$A$2:$A$150,0),0)</f>
        <v>Consumer Durables and Apparel</v>
      </c>
      <c r="D2362" t="str">
        <f ca="1">OFFSET(Industries!E$1,MATCH(Table1[[#This Row],[Ticker]],Industries!$A$2:$A$150,0),0)</f>
        <v>Textiles, Apparel and Luxury Goods</v>
      </c>
      <c r="E2362" t="s">
        <v>1453</v>
      </c>
      <c r="F2362" t="str">
        <f ca="1">OFFSET(Industries!B$1,MATCH(Table1[[#This Row],[Ticker]],Industries!$A$2:$A$140,0),0)</f>
        <v>Mega-Cap</v>
      </c>
      <c r="G2362" t="str">
        <f ca="1">OFFSET(Industries!F$1,MATCH(Table1[[#This Row],[Ticker]],Industries!$A$2:$A$140,0),0)</f>
        <v>AA-</v>
      </c>
      <c r="H2362" t="s">
        <v>1443</v>
      </c>
      <c r="I2362" t="s">
        <v>1439</v>
      </c>
      <c r="J2362" s="2">
        <v>45376</v>
      </c>
      <c r="K2362" t="s">
        <v>21</v>
      </c>
      <c r="L2362" t="s">
        <v>1708</v>
      </c>
      <c r="M2362" t="s">
        <v>1709</v>
      </c>
      <c r="N2362" s="1"/>
      <c r="O2362" s="1" t="s">
        <v>4</v>
      </c>
      <c r="P2362" s="1">
        <v>0.35</v>
      </c>
      <c r="Q2362" s="1" t="s">
        <v>1636</v>
      </c>
      <c r="R2362" t="s">
        <v>24</v>
      </c>
      <c r="S2362" t="s">
        <v>90</v>
      </c>
      <c r="T2362" t="s">
        <v>90</v>
      </c>
      <c r="U2362" s="1">
        <f t="shared" ref="U2362:U2363" si="52">0.65/3</f>
        <v>0.21666666666666667</v>
      </c>
    </row>
    <row r="2363" spans="1:22" x14ac:dyDescent="0.3">
      <c r="A2363" t="s">
        <v>1352</v>
      </c>
      <c r="B2363" t="str">
        <f ca="1">OFFSET(Industries!C$1,MATCH(Table1[[#This Row],[Ticker]],Industries!$A$2:$A$150,0),0)</f>
        <v>Consumer Discretionary</v>
      </c>
      <c r="C2363" t="str">
        <f ca="1">OFFSET(Industries!D$1,MATCH(Table1[[#This Row],[Ticker]],Industries!$A$2:$A$150,0),0)</f>
        <v>Consumer Durables and Apparel</v>
      </c>
      <c r="D2363" t="str">
        <f ca="1">OFFSET(Industries!E$1,MATCH(Table1[[#This Row],[Ticker]],Industries!$A$2:$A$150,0),0)</f>
        <v>Textiles, Apparel and Luxury Goods</v>
      </c>
      <c r="E2363" t="s">
        <v>1453</v>
      </c>
      <c r="F2363" t="str">
        <f ca="1">OFFSET(Industries!B$1,MATCH(Table1[[#This Row],[Ticker]],Industries!$A$2:$A$140,0),0)</f>
        <v>Mega-Cap</v>
      </c>
      <c r="G2363" t="str">
        <f ca="1">OFFSET(Industries!F$1,MATCH(Table1[[#This Row],[Ticker]],Industries!$A$2:$A$140,0),0)</f>
        <v>AA-</v>
      </c>
      <c r="H2363" t="s">
        <v>1443</v>
      </c>
      <c r="I2363" t="s">
        <v>1439</v>
      </c>
      <c r="J2363" s="2">
        <v>45376</v>
      </c>
      <c r="K2363" t="s">
        <v>21</v>
      </c>
      <c r="L2363" t="s">
        <v>1708</v>
      </c>
      <c r="M2363" t="s">
        <v>1709</v>
      </c>
      <c r="N2363" s="1"/>
      <c r="O2363" s="1" t="s">
        <v>4</v>
      </c>
      <c r="P2363" s="1">
        <v>0.35</v>
      </c>
      <c r="Q2363" s="1" t="s">
        <v>1636</v>
      </c>
      <c r="R2363" t="s">
        <v>62</v>
      </c>
      <c r="S2363" t="s">
        <v>129</v>
      </c>
      <c r="T2363" t="s">
        <v>1455</v>
      </c>
      <c r="U2363" s="1">
        <f t="shared" si="52"/>
        <v>0.21666666666666667</v>
      </c>
    </row>
    <row r="2364" spans="1:22" x14ac:dyDescent="0.3">
      <c r="A2364" t="s">
        <v>1352</v>
      </c>
      <c r="B2364" t="str">
        <f ca="1">OFFSET(Industries!C$1,MATCH(Table1[[#This Row],[Ticker]],Industries!$A$2:$A$150,0),0)</f>
        <v>Consumer Discretionary</v>
      </c>
      <c r="C2364" t="str">
        <f ca="1">OFFSET(Industries!D$1,MATCH(Table1[[#This Row],[Ticker]],Industries!$A$2:$A$150,0),0)</f>
        <v>Consumer Durables and Apparel</v>
      </c>
      <c r="D2364" t="str">
        <f ca="1">OFFSET(Industries!E$1,MATCH(Table1[[#This Row],[Ticker]],Industries!$A$2:$A$150,0),0)</f>
        <v>Textiles, Apparel and Luxury Goods</v>
      </c>
      <c r="E2364" t="s">
        <v>1453</v>
      </c>
      <c r="F2364" t="str">
        <f ca="1">OFFSET(Industries!B$1,MATCH(Table1[[#This Row],[Ticker]],Industries!$A$2:$A$140,0),0)</f>
        <v>Mega-Cap</v>
      </c>
      <c r="G2364" t="str">
        <f ca="1">OFFSET(Industries!F$1,MATCH(Table1[[#This Row],[Ticker]],Industries!$A$2:$A$140,0),0)</f>
        <v>AA-</v>
      </c>
      <c r="H2364" t="s">
        <v>1443</v>
      </c>
      <c r="I2364" t="s">
        <v>1439</v>
      </c>
      <c r="J2364" s="2">
        <v>45376</v>
      </c>
      <c r="K2364" t="s">
        <v>21</v>
      </c>
      <c r="L2364" t="s">
        <v>1708</v>
      </c>
      <c r="M2364" t="s">
        <v>1709</v>
      </c>
      <c r="N2364" s="1"/>
      <c r="O2364" s="1" t="s">
        <v>4</v>
      </c>
      <c r="P2364" s="1">
        <v>0.35</v>
      </c>
      <c r="Q2364" s="1" t="s">
        <v>1637</v>
      </c>
      <c r="R2364" t="s">
        <v>25</v>
      </c>
      <c r="S2364" t="s">
        <v>1086</v>
      </c>
      <c r="T2364" t="s">
        <v>1457</v>
      </c>
      <c r="U2364" s="1">
        <v>0.2</v>
      </c>
    </row>
    <row r="2365" spans="1:22" x14ac:dyDescent="0.3">
      <c r="A2365" t="s">
        <v>1352</v>
      </c>
      <c r="B2365" t="str">
        <f ca="1">OFFSET(Industries!C$1,MATCH(Table1[[#This Row],[Ticker]],Industries!$A$2:$A$150,0),0)</f>
        <v>Consumer Discretionary</v>
      </c>
      <c r="C2365" t="str">
        <f ca="1">OFFSET(Industries!D$1,MATCH(Table1[[#This Row],[Ticker]],Industries!$A$2:$A$150,0),0)</f>
        <v>Consumer Durables and Apparel</v>
      </c>
      <c r="D2365" t="str">
        <f ca="1">OFFSET(Industries!E$1,MATCH(Table1[[#This Row],[Ticker]],Industries!$A$2:$A$150,0),0)</f>
        <v>Textiles, Apparel and Luxury Goods</v>
      </c>
      <c r="E2365" t="s">
        <v>1453</v>
      </c>
      <c r="F2365" t="str">
        <f ca="1">OFFSET(Industries!B$1,MATCH(Table1[[#This Row],[Ticker]],Industries!$A$2:$A$140,0),0)</f>
        <v>Mega-Cap</v>
      </c>
      <c r="G2365" t="str">
        <f ca="1">OFFSET(Industries!F$1,MATCH(Table1[[#This Row],[Ticker]],Industries!$A$2:$A$140,0),0)</f>
        <v>AA-</v>
      </c>
      <c r="H2365" t="s">
        <v>1443</v>
      </c>
      <c r="I2365" t="s">
        <v>1439</v>
      </c>
      <c r="J2365" s="2">
        <v>45376</v>
      </c>
      <c r="K2365" t="s">
        <v>21</v>
      </c>
      <c r="L2365" t="s">
        <v>1708</v>
      </c>
      <c r="M2365" t="s">
        <v>1709</v>
      </c>
      <c r="N2365" s="1"/>
      <c r="O2365" s="1" t="s">
        <v>4</v>
      </c>
      <c r="P2365" s="1">
        <v>0.35</v>
      </c>
      <c r="Q2365" s="1" t="s">
        <v>1637</v>
      </c>
      <c r="R2365" t="s">
        <v>26</v>
      </c>
      <c r="S2365" t="s">
        <v>26</v>
      </c>
      <c r="T2365" t="s">
        <v>984</v>
      </c>
      <c r="U2365" s="1">
        <v>0.15</v>
      </c>
    </row>
    <row r="2366" spans="1:22" x14ac:dyDescent="0.3">
      <c r="A2366" t="s">
        <v>1352</v>
      </c>
      <c r="B2366" t="str">
        <f ca="1">OFFSET(Industries!C$1,MATCH(Table1[[#This Row],[Ticker]],Industries!$A$2:$A$150,0),0)</f>
        <v>Consumer Discretionary</v>
      </c>
      <c r="C2366" t="str">
        <f ca="1">OFFSET(Industries!D$1,MATCH(Table1[[#This Row],[Ticker]],Industries!$A$2:$A$150,0),0)</f>
        <v>Consumer Durables and Apparel</v>
      </c>
      <c r="D2366" t="str">
        <f ca="1">OFFSET(Industries!E$1,MATCH(Table1[[#This Row],[Ticker]],Industries!$A$2:$A$150,0),0)</f>
        <v>Textiles, Apparel and Luxury Goods</v>
      </c>
      <c r="E2366" t="s">
        <v>1453</v>
      </c>
      <c r="F2366" t="str">
        <f ca="1">OFFSET(Industries!B$1,MATCH(Table1[[#This Row],[Ticker]],Industries!$A$2:$A$140,0),0)</f>
        <v>Mega-Cap</v>
      </c>
      <c r="G2366" t="str">
        <f ca="1">OFFSET(Industries!F$1,MATCH(Table1[[#This Row],[Ticker]],Industries!$A$2:$A$140,0),0)</f>
        <v>AA-</v>
      </c>
      <c r="H2366" t="s">
        <v>1443</v>
      </c>
      <c r="I2366" t="s">
        <v>1439</v>
      </c>
      <c r="J2366" s="2">
        <v>45376</v>
      </c>
      <c r="K2366" t="s">
        <v>21</v>
      </c>
      <c r="L2366" t="s">
        <v>1710</v>
      </c>
      <c r="M2366" t="s">
        <v>1709</v>
      </c>
      <c r="N2366" s="1">
        <f>Table1[[#This Row],[Consideration Weight]]</f>
        <v>0.25</v>
      </c>
      <c r="O2366" s="1" t="s">
        <v>476</v>
      </c>
      <c r="P2366" s="1">
        <v>0.25</v>
      </c>
      <c r="Q2366" s="1" t="s">
        <v>1636</v>
      </c>
      <c r="R2366" t="s">
        <v>25</v>
      </c>
      <c r="S2366" t="s">
        <v>1086</v>
      </c>
      <c r="T2366" t="s">
        <v>432</v>
      </c>
      <c r="U2366" s="1">
        <v>0.85</v>
      </c>
    </row>
    <row r="2367" spans="1:22" x14ac:dyDescent="0.3">
      <c r="A2367" t="s">
        <v>1352</v>
      </c>
      <c r="B2367" t="str">
        <f ca="1">OFFSET(Industries!C$1,MATCH(Table1[[#This Row],[Ticker]],Industries!$A$2:$A$150,0),0)</f>
        <v>Consumer Discretionary</v>
      </c>
      <c r="C2367" t="str">
        <f ca="1">OFFSET(Industries!D$1,MATCH(Table1[[#This Row],[Ticker]],Industries!$A$2:$A$150,0),0)</f>
        <v>Consumer Durables and Apparel</v>
      </c>
      <c r="D2367" t="str">
        <f ca="1">OFFSET(Industries!E$1,MATCH(Table1[[#This Row],[Ticker]],Industries!$A$2:$A$150,0),0)</f>
        <v>Textiles, Apparel and Luxury Goods</v>
      </c>
      <c r="E2367" t="s">
        <v>1453</v>
      </c>
      <c r="F2367" t="str">
        <f ca="1">OFFSET(Industries!B$1,MATCH(Table1[[#This Row],[Ticker]],Industries!$A$2:$A$140,0),0)</f>
        <v>Mega-Cap</v>
      </c>
      <c r="G2367" t="str">
        <f ca="1">OFFSET(Industries!F$1,MATCH(Table1[[#This Row],[Ticker]],Industries!$A$2:$A$140,0),0)</f>
        <v>AA-</v>
      </c>
      <c r="H2367" t="s">
        <v>1443</v>
      </c>
      <c r="I2367" t="s">
        <v>1439</v>
      </c>
      <c r="J2367" s="2">
        <v>45376</v>
      </c>
      <c r="K2367" t="s">
        <v>21</v>
      </c>
      <c r="L2367" t="s">
        <v>1710</v>
      </c>
      <c r="M2367" t="s">
        <v>1709</v>
      </c>
      <c r="N2367" s="1"/>
      <c r="O2367" s="1" t="s">
        <v>476</v>
      </c>
      <c r="P2367" s="1">
        <v>0.25</v>
      </c>
      <c r="Q2367" s="1" t="s">
        <v>1637</v>
      </c>
      <c r="R2367" t="s">
        <v>26</v>
      </c>
      <c r="S2367" t="s">
        <v>26</v>
      </c>
      <c r="T2367" t="s">
        <v>1458</v>
      </c>
      <c r="U2367" s="1">
        <v>0.15</v>
      </c>
    </row>
    <row r="2368" spans="1:22" x14ac:dyDescent="0.3">
      <c r="A2368" t="s">
        <v>1354</v>
      </c>
      <c r="B2368" t="str">
        <f ca="1">OFFSET(Industries!C$1,MATCH(Table1[[#This Row],[Ticker]],Industries!$A$2:$A$150,0),0)</f>
        <v>Consumer Staples</v>
      </c>
      <c r="C2368" t="str">
        <f ca="1">OFFSET(Industries!D$1,MATCH(Table1[[#This Row],[Ticker]],Industries!$A$2:$A$150,0),0)</f>
        <v>Food, Beverage and Tobacco</v>
      </c>
      <c r="D2368" t="str">
        <f ca="1">OFFSET(Industries!E$1,MATCH(Table1[[#This Row],[Ticker]],Industries!$A$2:$A$150,0),0)</f>
        <v>Food Products</v>
      </c>
      <c r="E2368" t="s">
        <v>1478</v>
      </c>
      <c r="F2368" t="str">
        <f ca="1">OFFSET(Industries!B$1,MATCH(Table1[[#This Row],[Ticker]],Industries!$A$2:$A$140,0),0)</f>
        <v>Mega-Cap</v>
      </c>
      <c r="G2368" t="str">
        <f ca="1">OFFSET(Industries!F$1,MATCH(Table1[[#This Row],[Ticker]],Industries!$A$2:$A$140,0),0)</f>
        <v>AA-</v>
      </c>
      <c r="H2368" t="s">
        <v>1462</v>
      </c>
      <c r="I2368" t="s">
        <v>1439</v>
      </c>
      <c r="J2368" s="2">
        <v>45344</v>
      </c>
      <c r="K2368" t="s">
        <v>2</v>
      </c>
      <c r="L2368" t="s">
        <v>3</v>
      </c>
      <c r="M2368" t="s">
        <v>1711</v>
      </c>
      <c r="N2368" s="1">
        <f>Table1[[#This Row],[Consideration Weight]]</f>
        <v>0.25</v>
      </c>
      <c r="O2368" s="1" t="s">
        <v>3</v>
      </c>
      <c r="P2368" s="1">
        <v>0.25</v>
      </c>
      <c r="V2368" t="s">
        <v>1464</v>
      </c>
    </row>
    <row r="2369" spans="1:22" x14ac:dyDescent="0.3">
      <c r="A2369" t="s">
        <v>1354</v>
      </c>
      <c r="B2369" t="str">
        <f ca="1">OFFSET(Industries!C$1,MATCH(Table1[[#This Row],[Ticker]],Industries!$A$2:$A$150,0),0)</f>
        <v>Consumer Staples</v>
      </c>
      <c r="C2369" t="str">
        <f ca="1">OFFSET(Industries!D$1,MATCH(Table1[[#This Row],[Ticker]],Industries!$A$2:$A$150,0),0)</f>
        <v>Food, Beverage and Tobacco</v>
      </c>
      <c r="D2369" t="str">
        <f ca="1">OFFSET(Industries!E$1,MATCH(Table1[[#This Row],[Ticker]],Industries!$A$2:$A$150,0),0)</f>
        <v>Food Products</v>
      </c>
      <c r="E2369" t="s">
        <v>1478</v>
      </c>
      <c r="F2369" t="str">
        <f ca="1">OFFSET(Industries!B$1,MATCH(Table1[[#This Row],[Ticker]],Industries!$A$2:$A$140,0),0)</f>
        <v>Mega-Cap</v>
      </c>
      <c r="G2369" t="str">
        <f ca="1">OFFSET(Industries!F$1,MATCH(Table1[[#This Row],[Ticker]],Industries!$A$2:$A$140,0),0)</f>
        <v>AA-</v>
      </c>
      <c r="H2369" t="s">
        <v>1462</v>
      </c>
      <c r="I2369" t="s">
        <v>1439</v>
      </c>
      <c r="J2369" s="2">
        <v>45344</v>
      </c>
      <c r="K2369" t="s">
        <v>2</v>
      </c>
      <c r="L2369" t="s">
        <v>1708</v>
      </c>
      <c r="M2369" t="s">
        <v>1709</v>
      </c>
      <c r="N2369" s="1">
        <f>Table1[[#This Row],[Consideration Weight]]</f>
        <v>0.1875</v>
      </c>
      <c r="O2369" s="1" t="s">
        <v>4</v>
      </c>
      <c r="P2369" s="1">
        <f>0.375/2</f>
        <v>0.1875</v>
      </c>
      <c r="Q2369" s="1" t="s">
        <v>1636</v>
      </c>
      <c r="R2369" t="s">
        <v>23</v>
      </c>
      <c r="S2369" t="s">
        <v>1083</v>
      </c>
      <c r="T2369" t="s">
        <v>226</v>
      </c>
      <c r="U2369" s="1">
        <v>0.51</v>
      </c>
      <c r="V2369" t="s">
        <v>1465</v>
      </c>
    </row>
    <row r="2370" spans="1:22" x14ac:dyDescent="0.3">
      <c r="A2370" t="s">
        <v>1354</v>
      </c>
      <c r="B2370" t="str">
        <f ca="1">OFFSET(Industries!C$1,MATCH(Table1[[#This Row],[Ticker]],Industries!$A$2:$A$150,0),0)</f>
        <v>Consumer Staples</v>
      </c>
      <c r="C2370" t="str">
        <f ca="1">OFFSET(Industries!D$1,MATCH(Table1[[#This Row],[Ticker]],Industries!$A$2:$A$150,0),0)</f>
        <v>Food, Beverage and Tobacco</v>
      </c>
      <c r="D2370" t="str">
        <f ca="1">OFFSET(Industries!E$1,MATCH(Table1[[#This Row],[Ticker]],Industries!$A$2:$A$150,0),0)</f>
        <v>Food Products</v>
      </c>
      <c r="E2370" t="s">
        <v>1478</v>
      </c>
      <c r="F2370" t="str">
        <f ca="1">OFFSET(Industries!B$1,MATCH(Table1[[#This Row],[Ticker]],Industries!$A$2:$A$140,0),0)</f>
        <v>Mega-Cap</v>
      </c>
      <c r="G2370" t="str">
        <f ca="1">OFFSET(Industries!F$1,MATCH(Table1[[#This Row],[Ticker]],Industries!$A$2:$A$140,0),0)</f>
        <v>AA-</v>
      </c>
      <c r="H2370" t="s">
        <v>1462</v>
      </c>
      <c r="I2370" t="s">
        <v>1439</v>
      </c>
      <c r="J2370" s="2">
        <v>45344</v>
      </c>
      <c r="K2370" t="s">
        <v>2</v>
      </c>
      <c r="L2370" t="s">
        <v>1708</v>
      </c>
      <c r="M2370" t="s">
        <v>1709</v>
      </c>
      <c r="N2370" s="1"/>
      <c r="O2370" s="1" t="s">
        <v>4</v>
      </c>
      <c r="P2370" s="1">
        <f t="shared" ref="P2370:P2372" si="53">0.375/2</f>
        <v>0.1875</v>
      </c>
      <c r="Q2370" s="1" t="s">
        <v>1636</v>
      </c>
      <c r="R2370" t="s">
        <v>24</v>
      </c>
      <c r="S2370" t="s">
        <v>90</v>
      </c>
      <c r="T2370" t="s">
        <v>8</v>
      </c>
      <c r="U2370" s="1">
        <v>0.34</v>
      </c>
      <c r="V2370" t="s">
        <v>1466</v>
      </c>
    </row>
    <row r="2371" spans="1:22" x14ac:dyDescent="0.3">
      <c r="A2371" t="s">
        <v>1354</v>
      </c>
      <c r="B2371" t="str">
        <f ca="1">OFFSET(Industries!C$1,MATCH(Table1[[#This Row],[Ticker]],Industries!$A$2:$A$150,0),0)</f>
        <v>Consumer Staples</v>
      </c>
      <c r="C2371" t="str">
        <f ca="1">OFFSET(Industries!D$1,MATCH(Table1[[#This Row],[Ticker]],Industries!$A$2:$A$150,0),0)</f>
        <v>Food, Beverage and Tobacco</v>
      </c>
      <c r="D2371" t="str">
        <f ca="1">OFFSET(Industries!E$1,MATCH(Table1[[#This Row],[Ticker]],Industries!$A$2:$A$150,0),0)</f>
        <v>Food Products</v>
      </c>
      <c r="E2371" t="s">
        <v>1478</v>
      </c>
      <c r="F2371" t="str">
        <f ca="1">OFFSET(Industries!B$1,MATCH(Table1[[#This Row],[Ticker]],Industries!$A$2:$A$140,0),0)</f>
        <v>Mega-Cap</v>
      </c>
      <c r="G2371" t="str">
        <f ca="1">OFFSET(Industries!F$1,MATCH(Table1[[#This Row],[Ticker]],Industries!$A$2:$A$140,0),0)</f>
        <v>AA-</v>
      </c>
      <c r="H2371" t="s">
        <v>1462</v>
      </c>
      <c r="I2371" t="s">
        <v>1439</v>
      </c>
      <c r="J2371" s="2">
        <v>45344</v>
      </c>
      <c r="K2371" t="s">
        <v>2</v>
      </c>
      <c r="L2371" t="s">
        <v>1708</v>
      </c>
      <c r="M2371" t="s">
        <v>1709</v>
      </c>
      <c r="N2371" s="1"/>
      <c r="O2371" s="1" t="s">
        <v>4</v>
      </c>
      <c r="P2371" s="1">
        <f t="shared" si="53"/>
        <v>0.1875</v>
      </c>
      <c r="Q2371" s="1" t="s">
        <v>1637</v>
      </c>
      <c r="R2371" t="s">
        <v>26</v>
      </c>
      <c r="S2371" t="s">
        <v>26</v>
      </c>
      <c r="T2371" t="s">
        <v>1463</v>
      </c>
      <c r="U2371" s="1">
        <v>0.15</v>
      </c>
      <c r="V2371" t="s">
        <v>1467</v>
      </c>
    </row>
    <row r="2372" spans="1:22" x14ac:dyDescent="0.3">
      <c r="A2372" t="s">
        <v>1354</v>
      </c>
      <c r="B2372" t="str">
        <f ca="1">OFFSET(Industries!C$1,MATCH(Table1[[#This Row],[Ticker]],Industries!$A$2:$A$150,0),0)</f>
        <v>Consumer Staples</v>
      </c>
      <c r="C2372" t="str">
        <f ca="1">OFFSET(Industries!D$1,MATCH(Table1[[#This Row],[Ticker]],Industries!$A$2:$A$150,0),0)</f>
        <v>Food, Beverage and Tobacco</v>
      </c>
      <c r="D2372" t="str">
        <f ca="1">OFFSET(Industries!E$1,MATCH(Table1[[#This Row],[Ticker]],Industries!$A$2:$A$150,0),0)</f>
        <v>Food Products</v>
      </c>
      <c r="E2372" t="s">
        <v>1478</v>
      </c>
      <c r="F2372" t="str">
        <f ca="1">OFFSET(Industries!B$1,MATCH(Table1[[#This Row],[Ticker]],Industries!$A$2:$A$140,0),0)</f>
        <v>Mega-Cap</v>
      </c>
      <c r="G2372" t="str">
        <f ca="1">OFFSET(Industries!F$1,MATCH(Table1[[#This Row],[Ticker]],Industries!$A$2:$A$140,0),0)</f>
        <v>AA-</v>
      </c>
      <c r="H2372" t="s">
        <v>1462</v>
      </c>
      <c r="I2372" t="s">
        <v>1439</v>
      </c>
      <c r="J2372" s="2">
        <v>45344</v>
      </c>
      <c r="K2372" t="s">
        <v>2</v>
      </c>
      <c r="L2372" t="s">
        <v>1708</v>
      </c>
      <c r="M2372" t="s">
        <v>1709</v>
      </c>
      <c r="N2372" s="1">
        <f>Table1[[#This Row],[Consideration Weight]]</f>
        <v>0.1875</v>
      </c>
      <c r="O2372" s="1" t="s">
        <v>862</v>
      </c>
      <c r="P2372" s="1">
        <f t="shared" si="53"/>
        <v>0.1875</v>
      </c>
      <c r="V2372" t="s">
        <v>1469</v>
      </c>
    </row>
    <row r="2373" spans="1:22" x14ac:dyDescent="0.3">
      <c r="A2373" t="s">
        <v>1354</v>
      </c>
      <c r="B2373" t="str">
        <f ca="1">OFFSET(Industries!C$1,MATCH(Table1[[#This Row],[Ticker]],Industries!$A$2:$A$150,0),0)</f>
        <v>Consumer Staples</v>
      </c>
      <c r="C2373" t="str">
        <f ca="1">OFFSET(Industries!D$1,MATCH(Table1[[#This Row],[Ticker]],Industries!$A$2:$A$150,0),0)</f>
        <v>Food, Beverage and Tobacco</v>
      </c>
      <c r="D2373" t="str">
        <f ca="1">OFFSET(Industries!E$1,MATCH(Table1[[#This Row],[Ticker]],Industries!$A$2:$A$150,0),0)</f>
        <v>Food Products</v>
      </c>
      <c r="E2373" t="s">
        <v>1478</v>
      </c>
      <c r="F2373" t="str">
        <f ca="1">OFFSET(Industries!B$1,MATCH(Table1[[#This Row],[Ticker]],Industries!$A$2:$A$140,0),0)</f>
        <v>Mega-Cap</v>
      </c>
      <c r="G2373" t="str">
        <f ca="1">OFFSET(Industries!F$1,MATCH(Table1[[#This Row],[Ticker]],Industries!$A$2:$A$140,0),0)</f>
        <v>AA-</v>
      </c>
      <c r="H2373" t="s">
        <v>1462</v>
      </c>
      <c r="I2373" t="s">
        <v>1439</v>
      </c>
      <c r="J2373" s="2">
        <v>45344</v>
      </c>
      <c r="K2373" t="s">
        <v>2</v>
      </c>
      <c r="L2373" t="s">
        <v>1710</v>
      </c>
      <c r="M2373" t="s">
        <v>1709</v>
      </c>
      <c r="N2373" s="1">
        <f>Table1[[#This Row],[Consideration Weight]]</f>
        <v>0.375</v>
      </c>
      <c r="O2373" s="1" t="s">
        <v>476</v>
      </c>
      <c r="P2373" s="1">
        <v>0.375</v>
      </c>
      <c r="Q2373" s="1" t="s">
        <v>1636</v>
      </c>
      <c r="R2373" t="s">
        <v>24</v>
      </c>
      <c r="S2373" t="s">
        <v>1089</v>
      </c>
      <c r="T2373" t="s">
        <v>1036</v>
      </c>
      <c r="U2373" s="1">
        <v>0.4</v>
      </c>
      <c r="V2373" t="s">
        <v>1468</v>
      </c>
    </row>
    <row r="2374" spans="1:22" x14ac:dyDescent="0.3">
      <c r="A2374" t="s">
        <v>1354</v>
      </c>
      <c r="B2374" t="str">
        <f ca="1">OFFSET(Industries!C$1,MATCH(Table1[[#This Row],[Ticker]],Industries!$A$2:$A$150,0),0)</f>
        <v>Consumer Staples</v>
      </c>
      <c r="C2374" t="str">
        <f ca="1">OFFSET(Industries!D$1,MATCH(Table1[[#This Row],[Ticker]],Industries!$A$2:$A$150,0),0)</f>
        <v>Food, Beverage and Tobacco</v>
      </c>
      <c r="D2374" t="str">
        <f ca="1">OFFSET(Industries!E$1,MATCH(Table1[[#This Row],[Ticker]],Industries!$A$2:$A$150,0),0)</f>
        <v>Food Products</v>
      </c>
      <c r="E2374" t="s">
        <v>1478</v>
      </c>
      <c r="F2374" t="str">
        <f ca="1">OFFSET(Industries!B$1,MATCH(Table1[[#This Row],[Ticker]],Industries!$A$2:$A$140,0),0)</f>
        <v>Mega-Cap</v>
      </c>
      <c r="G2374" t="str">
        <f ca="1">OFFSET(Industries!F$1,MATCH(Table1[[#This Row],[Ticker]],Industries!$A$2:$A$140,0),0)</f>
        <v>AA-</v>
      </c>
      <c r="H2374" t="s">
        <v>1462</v>
      </c>
      <c r="I2374" t="s">
        <v>1439</v>
      </c>
      <c r="J2374" s="2">
        <v>45344</v>
      </c>
      <c r="K2374" t="s">
        <v>2</v>
      </c>
      <c r="L2374" t="s">
        <v>1710</v>
      </c>
      <c r="M2374" t="s">
        <v>1709</v>
      </c>
      <c r="N2374" s="1"/>
      <c r="O2374" s="1" t="s">
        <v>476</v>
      </c>
      <c r="P2374" s="1">
        <v>0.375</v>
      </c>
      <c r="Q2374" s="1" t="s">
        <v>1646</v>
      </c>
      <c r="R2374" t="s">
        <v>35</v>
      </c>
      <c r="S2374" t="s">
        <v>29</v>
      </c>
      <c r="T2374" t="s">
        <v>30</v>
      </c>
      <c r="U2374" s="1">
        <v>0.2</v>
      </c>
      <c r="V2374" t="s">
        <v>1472</v>
      </c>
    </row>
    <row r="2375" spans="1:22" x14ac:dyDescent="0.3">
      <c r="A2375" t="s">
        <v>1354</v>
      </c>
      <c r="B2375" t="str">
        <f ca="1">OFFSET(Industries!C$1,MATCH(Table1[[#This Row],[Ticker]],Industries!$A$2:$A$150,0),0)</f>
        <v>Consumer Staples</v>
      </c>
      <c r="C2375" t="str">
        <f ca="1">OFFSET(Industries!D$1,MATCH(Table1[[#This Row],[Ticker]],Industries!$A$2:$A$150,0),0)</f>
        <v>Food, Beverage and Tobacco</v>
      </c>
      <c r="D2375" t="str">
        <f ca="1">OFFSET(Industries!E$1,MATCH(Table1[[#This Row],[Ticker]],Industries!$A$2:$A$150,0),0)</f>
        <v>Food Products</v>
      </c>
      <c r="E2375" t="s">
        <v>1478</v>
      </c>
      <c r="F2375" t="str">
        <f ca="1">OFFSET(Industries!B$1,MATCH(Table1[[#This Row],[Ticker]],Industries!$A$2:$A$140,0),0)</f>
        <v>Mega-Cap</v>
      </c>
      <c r="G2375" t="str">
        <f ca="1">OFFSET(Industries!F$1,MATCH(Table1[[#This Row],[Ticker]],Industries!$A$2:$A$140,0),0)</f>
        <v>AA-</v>
      </c>
      <c r="H2375" t="s">
        <v>1462</v>
      </c>
      <c r="I2375" t="s">
        <v>1439</v>
      </c>
      <c r="J2375" s="2">
        <v>45344</v>
      </c>
      <c r="K2375" t="s">
        <v>2</v>
      </c>
      <c r="L2375" t="s">
        <v>1710</v>
      </c>
      <c r="M2375" t="s">
        <v>1709</v>
      </c>
      <c r="N2375" s="1"/>
      <c r="O2375" s="1" t="s">
        <v>476</v>
      </c>
      <c r="P2375" s="1">
        <v>0.375</v>
      </c>
      <c r="Q2375" s="1" t="s">
        <v>1636</v>
      </c>
      <c r="R2375" t="s">
        <v>1059</v>
      </c>
      <c r="S2375" t="s">
        <v>1101</v>
      </c>
      <c r="T2375" t="s">
        <v>1470</v>
      </c>
      <c r="U2375" s="1">
        <v>0.2</v>
      </c>
    </row>
    <row r="2376" spans="1:22" x14ac:dyDescent="0.3">
      <c r="A2376" t="s">
        <v>1354</v>
      </c>
      <c r="B2376" t="str">
        <f ca="1">OFFSET(Industries!C$1,MATCH(Table1[[#This Row],[Ticker]],Industries!$A$2:$A$150,0),0)</f>
        <v>Consumer Staples</v>
      </c>
      <c r="C2376" t="str">
        <f ca="1">OFFSET(Industries!D$1,MATCH(Table1[[#This Row],[Ticker]],Industries!$A$2:$A$150,0),0)</f>
        <v>Food, Beverage and Tobacco</v>
      </c>
      <c r="D2376" t="str">
        <f ca="1">OFFSET(Industries!E$1,MATCH(Table1[[#This Row],[Ticker]],Industries!$A$2:$A$150,0),0)</f>
        <v>Food Products</v>
      </c>
      <c r="E2376" t="s">
        <v>1478</v>
      </c>
      <c r="F2376" t="str">
        <f ca="1">OFFSET(Industries!B$1,MATCH(Table1[[#This Row],[Ticker]],Industries!$A$2:$A$140,0),0)</f>
        <v>Mega-Cap</v>
      </c>
      <c r="G2376" t="str">
        <f ca="1">OFFSET(Industries!F$1,MATCH(Table1[[#This Row],[Ticker]],Industries!$A$2:$A$140,0),0)</f>
        <v>AA-</v>
      </c>
      <c r="H2376" t="s">
        <v>1462</v>
      </c>
      <c r="I2376" t="s">
        <v>1439</v>
      </c>
      <c r="J2376" s="2">
        <v>45344</v>
      </c>
      <c r="K2376" t="s">
        <v>2</v>
      </c>
      <c r="L2376" t="s">
        <v>1710</v>
      </c>
      <c r="M2376" t="s">
        <v>1709</v>
      </c>
      <c r="N2376" s="1"/>
      <c r="O2376" s="1" t="s">
        <v>476</v>
      </c>
      <c r="P2376" s="1">
        <v>0.375</v>
      </c>
      <c r="Q2376" s="1" t="s">
        <v>1637</v>
      </c>
      <c r="R2376" t="s">
        <v>26</v>
      </c>
      <c r="S2376" t="s">
        <v>26</v>
      </c>
      <c r="T2376" t="s">
        <v>1471</v>
      </c>
      <c r="U2376" s="1">
        <v>0.2</v>
      </c>
    </row>
    <row r="2377" spans="1:22" x14ac:dyDescent="0.3">
      <c r="A2377" t="s">
        <v>1354</v>
      </c>
      <c r="B2377" t="str">
        <f ca="1">OFFSET(Industries!C$1,MATCH(Table1[[#This Row],[Ticker]],Industries!$A$2:$A$150,0),0)</f>
        <v>Consumer Staples</v>
      </c>
      <c r="C2377" t="str">
        <f ca="1">OFFSET(Industries!D$1,MATCH(Table1[[#This Row],[Ticker]],Industries!$A$2:$A$150,0),0)</f>
        <v>Food, Beverage and Tobacco</v>
      </c>
      <c r="D2377" t="str">
        <f ca="1">OFFSET(Industries!E$1,MATCH(Table1[[#This Row],[Ticker]],Industries!$A$2:$A$150,0),0)</f>
        <v>Food Products</v>
      </c>
      <c r="E2377" t="s">
        <v>1478</v>
      </c>
      <c r="F2377" t="str">
        <f ca="1">OFFSET(Industries!B$1,MATCH(Table1[[#This Row],[Ticker]],Industries!$A$2:$A$140,0),0)</f>
        <v>Mega-Cap</v>
      </c>
      <c r="G2377" t="str">
        <f ca="1">OFFSET(Industries!F$1,MATCH(Table1[[#This Row],[Ticker]],Industries!$A$2:$A$140,0),0)</f>
        <v>AA-</v>
      </c>
      <c r="H2377" t="s">
        <v>1462</v>
      </c>
      <c r="I2377" t="s">
        <v>1439</v>
      </c>
      <c r="J2377" s="2">
        <v>45344</v>
      </c>
      <c r="K2377" t="s">
        <v>21</v>
      </c>
      <c r="L2377" t="s">
        <v>3</v>
      </c>
      <c r="M2377" t="s">
        <v>1711</v>
      </c>
      <c r="N2377" s="1">
        <f>Table1[[#This Row],[Consideration Weight]]</f>
        <v>0.33333333333333331</v>
      </c>
      <c r="O2377" s="1" t="s">
        <v>3</v>
      </c>
      <c r="P2377" s="1">
        <f>1/3</f>
        <v>0.33333333333333331</v>
      </c>
      <c r="V2377" t="s">
        <v>1474</v>
      </c>
    </row>
    <row r="2378" spans="1:22" x14ac:dyDescent="0.3">
      <c r="A2378" t="s">
        <v>1354</v>
      </c>
      <c r="B2378" t="str">
        <f ca="1">OFFSET(Industries!C$1,MATCH(Table1[[#This Row],[Ticker]],Industries!$A$2:$A$150,0),0)</f>
        <v>Consumer Staples</v>
      </c>
      <c r="C2378" t="str">
        <f ca="1">OFFSET(Industries!D$1,MATCH(Table1[[#This Row],[Ticker]],Industries!$A$2:$A$150,0),0)</f>
        <v>Food, Beverage and Tobacco</v>
      </c>
      <c r="D2378" t="str">
        <f ca="1">OFFSET(Industries!E$1,MATCH(Table1[[#This Row],[Ticker]],Industries!$A$2:$A$150,0),0)</f>
        <v>Food Products</v>
      </c>
      <c r="E2378" t="s">
        <v>1478</v>
      </c>
      <c r="F2378" t="str">
        <f ca="1">OFFSET(Industries!B$1,MATCH(Table1[[#This Row],[Ticker]],Industries!$A$2:$A$140,0),0)</f>
        <v>Mega-Cap</v>
      </c>
      <c r="G2378" t="str">
        <f ca="1">OFFSET(Industries!F$1,MATCH(Table1[[#This Row],[Ticker]],Industries!$A$2:$A$140,0),0)</f>
        <v>AA-</v>
      </c>
      <c r="H2378" t="s">
        <v>1462</v>
      </c>
      <c r="I2378" t="s">
        <v>1439</v>
      </c>
      <c r="J2378" s="2">
        <v>45344</v>
      </c>
      <c r="K2378" t="s">
        <v>21</v>
      </c>
      <c r="L2378" t="s">
        <v>1708</v>
      </c>
      <c r="M2378" t="s">
        <v>1709</v>
      </c>
      <c r="N2378" s="1">
        <f>Table1[[#This Row],[Consideration Weight]]</f>
        <v>0.33333333333333331</v>
      </c>
      <c r="O2378" s="1" t="s">
        <v>4</v>
      </c>
      <c r="P2378" s="1">
        <f t="shared" ref="P2378:P2384" si="54">1/3</f>
        <v>0.33333333333333331</v>
      </c>
      <c r="Q2378" s="1" t="s">
        <v>1636</v>
      </c>
      <c r="R2378" t="s">
        <v>23</v>
      </c>
      <c r="S2378" t="s">
        <v>1083</v>
      </c>
      <c r="T2378" t="s">
        <v>226</v>
      </c>
      <c r="U2378" s="1">
        <v>0.51</v>
      </c>
    </row>
    <row r="2379" spans="1:22" x14ac:dyDescent="0.3">
      <c r="A2379" t="s">
        <v>1354</v>
      </c>
      <c r="B2379" t="str">
        <f ca="1">OFFSET(Industries!C$1,MATCH(Table1[[#This Row],[Ticker]],Industries!$A$2:$A$150,0),0)</f>
        <v>Consumer Staples</v>
      </c>
      <c r="C2379" t="str">
        <f ca="1">OFFSET(Industries!D$1,MATCH(Table1[[#This Row],[Ticker]],Industries!$A$2:$A$150,0),0)</f>
        <v>Food, Beverage and Tobacco</v>
      </c>
      <c r="D2379" t="str">
        <f ca="1">OFFSET(Industries!E$1,MATCH(Table1[[#This Row],[Ticker]],Industries!$A$2:$A$150,0),0)</f>
        <v>Food Products</v>
      </c>
      <c r="E2379" t="s">
        <v>1478</v>
      </c>
      <c r="F2379" t="str">
        <f ca="1">OFFSET(Industries!B$1,MATCH(Table1[[#This Row],[Ticker]],Industries!$A$2:$A$140,0),0)</f>
        <v>Mega-Cap</v>
      </c>
      <c r="G2379" t="str">
        <f ca="1">OFFSET(Industries!F$1,MATCH(Table1[[#This Row],[Ticker]],Industries!$A$2:$A$140,0),0)</f>
        <v>AA-</v>
      </c>
      <c r="H2379" t="s">
        <v>1462</v>
      </c>
      <c r="I2379" t="s">
        <v>1439</v>
      </c>
      <c r="J2379" s="2">
        <v>45344</v>
      </c>
      <c r="K2379" t="s">
        <v>21</v>
      </c>
      <c r="L2379" t="s">
        <v>1708</v>
      </c>
      <c r="M2379" t="s">
        <v>1709</v>
      </c>
      <c r="N2379" s="1"/>
      <c r="O2379" s="1" t="s">
        <v>4</v>
      </c>
      <c r="P2379" s="1">
        <f t="shared" si="54"/>
        <v>0.33333333333333331</v>
      </c>
      <c r="Q2379" s="1" t="s">
        <v>1636</v>
      </c>
      <c r="R2379" t="s">
        <v>24</v>
      </c>
      <c r="S2379" t="s">
        <v>90</v>
      </c>
      <c r="T2379" t="s">
        <v>8</v>
      </c>
      <c r="U2379" s="1">
        <v>0.34</v>
      </c>
    </row>
    <row r="2380" spans="1:22" x14ac:dyDescent="0.3">
      <c r="A2380" t="s">
        <v>1354</v>
      </c>
      <c r="B2380" t="str">
        <f ca="1">OFFSET(Industries!C$1,MATCH(Table1[[#This Row],[Ticker]],Industries!$A$2:$A$150,0),0)</f>
        <v>Consumer Staples</v>
      </c>
      <c r="C2380" t="str">
        <f ca="1">OFFSET(Industries!D$1,MATCH(Table1[[#This Row],[Ticker]],Industries!$A$2:$A$150,0),0)</f>
        <v>Food, Beverage and Tobacco</v>
      </c>
      <c r="D2380" t="str">
        <f ca="1">OFFSET(Industries!E$1,MATCH(Table1[[#This Row],[Ticker]],Industries!$A$2:$A$150,0),0)</f>
        <v>Food Products</v>
      </c>
      <c r="E2380" t="s">
        <v>1478</v>
      </c>
      <c r="F2380" t="str">
        <f ca="1">OFFSET(Industries!B$1,MATCH(Table1[[#This Row],[Ticker]],Industries!$A$2:$A$140,0),0)</f>
        <v>Mega-Cap</v>
      </c>
      <c r="G2380" t="str">
        <f ca="1">OFFSET(Industries!F$1,MATCH(Table1[[#This Row],[Ticker]],Industries!$A$2:$A$140,0),0)</f>
        <v>AA-</v>
      </c>
      <c r="H2380" t="s">
        <v>1462</v>
      </c>
      <c r="I2380" t="s">
        <v>1439</v>
      </c>
      <c r="J2380" s="2">
        <v>45344</v>
      </c>
      <c r="K2380" t="s">
        <v>21</v>
      </c>
      <c r="L2380" t="s">
        <v>1708</v>
      </c>
      <c r="M2380" t="s">
        <v>1709</v>
      </c>
      <c r="N2380" s="1"/>
      <c r="O2380" s="1" t="s">
        <v>4</v>
      </c>
      <c r="P2380" s="1">
        <f t="shared" si="54"/>
        <v>0.33333333333333331</v>
      </c>
      <c r="Q2380" s="1" t="s">
        <v>1637</v>
      </c>
      <c r="R2380" t="s">
        <v>26</v>
      </c>
      <c r="S2380" t="s">
        <v>26</v>
      </c>
      <c r="T2380" t="s">
        <v>1463</v>
      </c>
      <c r="U2380" s="1">
        <v>0.15</v>
      </c>
    </row>
    <row r="2381" spans="1:22" x14ac:dyDescent="0.3">
      <c r="A2381" t="s">
        <v>1354</v>
      </c>
      <c r="B2381" t="str">
        <f ca="1">OFFSET(Industries!C$1,MATCH(Table1[[#This Row],[Ticker]],Industries!$A$2:$A$150,0),0)</f>
        <v>Consumer Staples</v>
      </c>
      <c r="C2381" t="str">
        <f ca="1">OFFSET(Industries!D$1,MATCH(Table1[[#This Row],[Ticker]],Industries!$A$2:$A$150,0),0)</f>
        <v>Food, Beverage and Tobacco</v>
      </c>
      <c r="D2381" t="str">
        <f ca="1">OFFSET(Industries!E$1,MATCH(Table1[[#This Row],[Ticker]],Industries!$A$2:$A$150,0),0)</f>
        <v>Food Products</v>
      </c>
      <c r="E2381" t="s">
        <v>1478</v>
      </c>
      <c r="F2381" t="str">
        <f ca="1">OFFSET(Industries!B$1,MATCH(Table1[[#This Row],[Ticker]],Industries!$A$2:$A$140,0),0)</f>
        <v>Mega-Cap</v>
      </c>
      <c r="G2381" t="str">
        <f ca="1">OFFSET(Industries!F$1,MATCH(Table1[[#This Row],[Ticker]],Industries!$A$2:$A$140,0),0)</f>
        <v>AA-</v>
      </c>
      <c r="H2381" t="s">
        <v>1462</v>
      </c>
      <c r="I2381" t="s">
        <v>1439</v>
      </c>
      <c r="J2381" s="2">
        <v>45344</v>
      </c>
      <c r="K2381" t="s">
        <v>21</v>
      </c>
      <c r="L2381" t="s">
        <v>1710</v>
      </c>
      <c r="M2381" t="s">
        <v>1709</v>
      </c>
      <c r="N2381" s="1">
        <f>Table1[[#This Row],[Consideration Weight]]</f>
        <v>0.33333333333333331</v>
      </c>
      <c r="O2381" s="1" t="s">
        <v>476</v>
      </c>
      <c r="P2381" s="1">
        <f t="shared" si="54"/>
        <v>0.33333333333333331</v>
      </c>
      <c r="Q2381" s="1" t="s">
        <v>1636</v>
      </c>
      <c r="R2381" t="s">
        <v>24</v>
      </c>
      <c r="S2381" t="s">
        <v>1089</v>
      </c>
      <c r="T2381" t="s">
        <v>1036</v>
      </c>
      <c r="U2381" s="1">
        <v>0.4</v>
      </c>
    </row>
    <row r="2382" spans="1:22" x14ac:dyDescent="0.3">
      <c r="A2382" t="s">
        <v>1354</v>
      </c>
      <c r="B2382" t="str">
        <f ca="1">OFFSET(Industries!C$1,MATCH(Table1[[#This Row],[Ticker]],Industries!$A$2:$A$150,0),0)</f>
        <v>Consumer Staples</v>
      </c>
      <c r="C2382" t="str">
        <f ca="1">OFFSET(Industries!D$1,MATCH(Table1[[#This Row],[Ticker]],Industries!$A$2:$A$150,0),0)</f>
        <v>Food, Beverage and Tobacco</v>
      </c>
      <c r="D2382" t="str">
        <f ca="1">OFFSET(Industries!E$1,MATCH(Table1[[#This Row],[Ticker]],Industries!$A$2:$A$150,0),0)</f>
        <v>Food Products</v>
      </c>
      <c r="E2382" t="s">
        <v>1478</v>
      </c>
      <c r="F2382" t="str">
        <f ca="1">OFFSET(Industries!B$1,MATCH(Table1[[#This Row],[Ticker]],Industries!$A$2:$A$140,0),0)</f>
        <v>Mega-Cap</v>
      </c>
      <c r="G2382" t="str">
        <f ca="1">OFFSET(Industries!F$1,MATCH(Table1[[#This Row],[Ticker]],Industries!$A$2:$A$140,0),0)</f>
        <v>AA-</v>
      </c>
      <c r="H2382" t="s">
        <v>1462</v>
      </c>
      <c r="I2382" t="s">
        <v>1439</v>
      </c>
      <c r="J2382" s="2">
        <v>45344</v>
      </c>
      <c r="K2382" t="s">
        <v>21</v>
      </c>
      <c r="L2382" t="s">
        <v>1710</v>
      </c>
      <c r="M2382" t="s">
        <v>1709</v>
      </c>
      <c r="N2382" s="1"/>
      <c r="O2382" s="1" t="s">
        <v>476</v>
      </c>
      <c r="P2382" s="1">
        <f t="shared" si="54"/>
        <v>0.33333333333333331</v>
      </c>
      <c r="Q2382" s="1" t="s">
        <v>1646</v>
      </c>
      <c r="R2382" t="s">
        <v>35</v>
      </c>
      <c r="S2382" t="s">
        <v>29</v>
      </c>
      <c r="T2382" t="s">
        <v>30</v>
      </c>
      <c r="U2382" s="1">
        <v>0.2</v>
      </c>
    </row>
    <row r="2383" spans="1:22" x14ac:dyDescent="0.3">
      <c r="A2383" t="s">
        <v>1354</v>
      </c>
      <c r="B2383" t="str">
        <f ca="1">OFFSET(Industries!C$1,MATCH(Table1[[#This Row],[Ticker]],Industries!$A$2:$A$150,0),0)</f>
        <v>Consumer Staples</v>
      </c>
      <c r="C2383" t="str">
        <f ca="1">OFFSET(Industries!D$1,MATCH(Table1[[#This Row],[Ticker]],Industries!$A$2:$A$150,0),0)</f>
        <v>Food, Beverage and Tobacco</v>
      </c>
      <c r="D2383" t="str">
        <f ca="1">OFFSET(Industries!E$1,MATCH(Table1[[#This Row],[Ticker]],Industries!$A$2:$A$150,0),0)</f>
        <v>Food Products</v>
      </c>
      <c r="E2383" t="s">
        <v>1478</v>
      </c>
      <c r="F2383" t="str">
        <f ca="1">OFFSET(Industries!B$1,MATCH(Table1[[#This Row],[Ticker]],Industries!$A$2:$A$140,0),0)</f>
        <v>Mega-Cap</v>
      </c>
      <c r="G2383" t="str">
        <f ca="1">OFFSET(Industries!F$1,MATCH(Table1[[#This Row],[Ticker]],Industries!$A$2:$A$140,0),0)</f>
        <v>AA-</v>
      </c>
      <c r="H2383" t="s">
        <v>1462</v>
      </c>
      <c r="I2383" t="s">
        <v>1439</v>
      </c>
      <c r="J2383" s="2">
        <v>45344</v>
      </c>
      <c r="K2383" t="s">
        <v>21</v>
      </c>
      <c r="L2383" t="s">
        <v>1710</v>
      </c>
      <c r="M2383" t="s">
        <v>1709</v>
      </c>
      <c r="N2383" s="1"/>
      <c r="O2383" s="1" t="s">
        <v>476</v>
      </c>
      <c r="P2383" s="1">
        <f t="shared" si="54"/>
        <v>0.33333333333333331</v>
      </c>
      <c r="Q2383" s="1" t="s">
        <v>1636</v>
      </c>
      <c r="R2383" t="s">
        <v>1059</v>
      </c>
      <c r="S2383" t="s">
        <v>1101</v>
      </c>
      <c r="T2383" t="s">
        <v>1470</v>
      </c>
      <c r="U2383" s="1">
        <v>0.2</v>
      </c>
    </row>
    <row r="2384" spans="1:22" x14ac:dyDescent="0.3">
      <c r="A2384" t="s">
        <v>1354</v>
      </c>
      <c r="B2384" t="str">
        <f ca="1">OFFSET(Industries!C$1,MATCH(Table1[[#This Row],[Ticker]],Industries!$A$2:$A$150,0),0)</f>
        <v>Consumer Staples</v>
      </c>
      <c r="C2384" t="str">
        <f ca="1">OFFSET(Industries!D$1,MATCH(Table1[[#This Row],[Ticker]],Industries!$A$2:$A$150,0),0)</f>
        <v>Food, Beverage and Tobacco</v>
      </c>
      <c r="D2384" t="str">
        <f ca="1">OFFSET(Industries!E$1,MATCH(Table1[[#This Row],[Ticker]],Industries!$A$2:$A$150,0),0)</f>
        <v>Food Products</v>
      </c>
      <c r="E2384" t="s">
        <v>1478</v>
      </c>
      <c r="F2384" t="str">
        <f ca="1">OFFSET(Industries!B$1,MATCH(Table1[[#This Row],[Ticker]],Industries!$A$2:$A$140,0),0)</f>
        <v>Mega-Cap</v>
      </c>
      <c r="G2384" t="str">
        <f ca="1">OFFSET(Industries!F$1,MATCH(Table1[[#This Row],[Ticker]],Industries!$A$2:$A$140,0),0)</f>
        <v>AA-</v>
      </c>
      <c r="H2384" t="s">
        <v>1462</v>
      </c>
      <c r="I2384" t="s">
        <v>1439</v>
      </c>
      <c r="J2384" s="2">
        <v>45344</v>
      </c>
      <c r="K2384" t="s">
        <v>21</v>
      </c>
      <c r="L2384" t="s">
        <v>1710</v>
      </c>
      <c r="M2384" t="s">
        <v>1709</v>
      </c>
      <c r="N2384" s="1"/>
      <c r="O2384" s="1" t="s">
        <v>476</v>
      </c>
      <c r="P2384" s="1">
        <f t="shared" si="54"/>
        <v>0.33333333333333331</v>
      </c>
      <c r="Q2384" s="1" t="s">
        <v>1637</v>
      </c>
      <c r="R2384" t="s">
        <v>26</v>
      </c>
      <c r="S2384" t="s">
        <v>26</v>
      </c>
      <c r="T2384" t="s">
        <v>1471</v>
      </c>
      <c r="U2384" s="1">
        <v>0.2</v>
      </c>
      <c r="V2384" t="s">
        <v>1473</v>
      </c>
    </row>
    <row r="2385" spans="1:22" x14ac:dyDescent="0.3">
      <c r="A2385" t="s">
        <v>1354</v>
      </c>
      <c r="B2385" t="str">
        <f ca="1">OFFSET(Industries!C$1,MATCH(Table1[[#This Row],[Ticker]],Industries!$A$2:$A$150,0),0)</f>
        <v>Consumer Staples</v>
      </c>
      <c r="C2385" t="str">
        <f ca="1">OFFSET(Industries!D$1,MATCH(Table1[[#This Row],[Ticker]],Industries!$A$2:$A$150,0),0)</f>
        <v>Food, Beverage and Tobacco</v>
      </c>
      <c r="D2385" t="str">
        <f ca="1">OFFSET(Industries!E$1,MATCH(Table1[[#This Row],[Ticker]],Industries!$A$2:$A$150,0),0)</f>
        <v>Food Products</v>
      </c>
      <c r="E2385" t="s">
        <v>1478</v>
      </c>
      <c r="F2385" t="str">
        <f ca="1">OFFSET(Industries!B$1,MATCH(Table1[[#This Row],[Ticker]],Industries!$A$2:$A$140,0),0)</f>
        <v>Mega-Cap</v>
      </c>
      <c r="G2385" t="str">
        <f ca="1">OFFSET(Industries!F$1,MATCH(Table1[[#This Row],[Ticker]],Industries!$A$2:$A$140,0),0)</f>
        <v>AA-</v>
      </c>
      <c r="H2385" t="s">
        <v>1462</v>
      </c>
      <c r="I2385" t="s">
        <v>1439</v>
      </c>
      <c r="J2385" s="2">
        <v>45344</v>
      </c>
      <c r="K2385" t="s">
        <v>21</v>
      </c>
      <c r="L2385" t="s">
        <v>1710</v>
      </c>
      <c r="M2385" t="s">
        <v>1709</v>
      </c>
      <c r="N2385" s="1"/>
      <c r="O2385" s="1" t="s">
        <v>488</v>
      </c>
      <c r="V2385" t="s">
        <v>1475</v>
      </c>
    </row>
    <row r="2386" spans="1:22" x14ac:dyDescent="0.3">
      <c r="A2386" t="s">
        <v>1355</v>
      </c>
      <c r="B2386" t="str">
        <f ca="1">OFFSET(Industries!C$1,MATCH(Table1[[#This Row],[Ticker]],Industries!$A$2:$A$150,0),0)</f>
        <v>Information Technology</v>
      </c>
      <c r="C2386" t="str">
        <f ca="1">OFFSET(Industries!D$1,MATCH(Table1[[#This Row],[Ticker]],Industries!$A$2:$A$150,0),0)</f>
        <v>Software and Services</v>
      </c>
      <c r="D2386" t="str">
        <f ca="1">OFFSET(Industries!E$1,MATCH(Table1[[#This Row],[Ticker]],Industries!$A$2:$A$150,0),0)</f>
        <v>IT Services</v>
      </c>
      <c r="E2386" t="s">
        <v>927</v>
      </c>
      <c r="F2386" t="str">
        <f ca="1">OFFSET(Industries!B$1,MATCH(Table1[[#This Row],[Ticker]],Industries!$A$2:$A$140,0),0)</f>
        <v>Ultra-Cap</v>
      </c>
      <c r="H2386" t="s">
        <v>1440</v>
      </c>
      <c r="I2386" t="s">
        <v>1440</v>
      </c>
      <c r="J2386" s="2">
        <v>45413</v>
      </c>
      <c r="K2386" t="s">
        <v>2</v>
      </c>
      <c r="L2386" t="s">
        <v>1710</v>
      </c>
      <c r="M2386" t="s">
        <v>1711</v>
      </c>
      <c r="N2386" s="1">
        <f>Table1[[#This Row],[Consideration Weight]]</f>
        <v>0.75</v>
      </c>
      <c r="O2386" s="1" t="s">
        <v>87</v>
      </c>
      <c r="P2386" s="1">
        <v>0.75</v>
      </c>
    </row>
    <row r="2387" spans="1:22" x14ac:dyDescent="0.3">
      <c r="A2387" t="s">
        <v>1355</v>
      </c>
      <c r="B2387" t="str">
        <f ca="1">OFFSET(Industries!C$1,MATCH(Table1[[#This Row],[Ticker]],Industries!$A$2:$A$150,0),0)</f>
        <v>Information Technology</v>
      </c>
      <c r="C2387" t="str">
        <f ca="1">OFFSET(Industries!D$1,MATCH(Table1[[#This Row],[Ticker]],Industries!$A$2:$A$150,0),0)</f>
        <v>Software and Services</v>
      </c>
      <c r="D2387" t="str">
        <f ca="1">OFFSET(Industries!E$1,MATCH(Table1[[#This Row],[Ticker]],Industries!$A$2:$A$150,0),0)</f>
        <v>IT Services</v>
      </c>
      <c r="E2387" t="s">
        <v>927</v>
      </c>
      <c r="F2387" t="str">
        <f ca="1">OFFSET(Industries!B$1,MATCH(Table1[[#This Row],[Ticker]],Industries!$A$2:$A$140,0),0)</f>
        <v>Ultra-Cap</v>
      </c>
      <c r="H2387" t="s">
        <v>1440</v>
      </c>
      <c r="I2387" t="s">
        <v>1440</v>
      </c>
      <c r="J2387" s="2">
        <v>45413</v>
      </c>
      <c r="K2387" t="s">
        <v>2</v>
      </c>
      <c r="L2387" t="s">
        <v>1710</v>
      </c>
      <c r="M2387" t="s">
        <v>1711</v>
      </c>
      <c r="N2387" s="1">
        <f>Table1[[#This Row],[Consideration Weight]]</f>
        <v>0.25</v>
      </c>
      <c r="O2387" s="1" t="s">
        <v>194</v>
      </c>
      <c r="P2387" s="1">
        <v>0.25</v>
      </c>
      <c r="V2387" t="s">
        <v>1476</v>
      </c>
    </row>
    <row r="2388" spans="1:22" x14ac:dyDescent="0.3">
      <c r="A2388" t="s">
        <v>1355</v>
      </c>
      <c r="B2388" t="str">
        <f ca="1">OFFSET(Industries!C$1,MATCH(Table1[[#This Row],[Ticker]],Industries!$A$2:$A$150,0),0)</f>
        <v>Information Technology</v>
      </c>
      <c r="C2388" t="str">
        <f ca="1">OFFSET(Industries!D$1,MATCH(Table1[[#This Row],[Ticker]],Industries!$A$2:$A$150,0),0)</f>
        <v>Software and Services</v>
      </c>
      <c r="D2388" t="str">
        <f ca="1">OFFSET(Industries!E$1,MATCH(Table1[[#This Row],[Ticker]],Industries!$A$2:$A$150,0),0)</f>
        <v>IT Services</v>
      </c>
      <c r="E2388" t="s">
        <v>927</v>
      </c>
      <c r="F2388" t="str">
        <f ca="1">OFFSET(Industries!B$1,MATCH(Table1[[#This Row],[Ticker]],Industries!$A$2:$A$140,0),0)</f>
        <v>Ultra-Cap</v>
      </c>
      <c r="H2388" t="s">
        <v>1440</v>
      </c>
      <c r="I2388" t="s">
        <v>1440</v>
      </c>
      <c r="J2388" s="2">
        <v>45413</v>
      </c>
      <c r="K2388" t="s">
        <v>21</v>
      </c>
      <c r="L2388" t="s">
        <v>3</v>
      </c>
      <c r="M2388" t="s">
        <v>1711</v>
      </c>
      <c r="N2388" s="1">
        <f>Table1[[#This Row],[Consideration Weight]]</f>
        <v>0.12</v>
      </c>
      <c r="O2388" s="1" t="s">
        <v>3</v>
      </c>
      <c r="P2388" s="1">
        <v>0.12</v>
      </c>
    </row>
    <row r="2389" spans="1:22" x14ac:dyDescent="0.3">
      <c r="A2389" t="s">
        <v>1355</v>
      </c>
      <c r="B2389" t="str">
        <f ca="1">OFFSET(Industries!C$1,MATCH(Table1[[#This Row],[Ticker]],Industries!$A$2:$A$150,0),0)</f>
        <v>Information Technology</v>
      </c>
      <c r="C2389" t="str">
        <f ca="1">OFFSET(Industries!D$1,MATCH(Table1[[#This Row],[Ticker]],Industries!$A$2:$A$150,0),0)</f>
        <v>Software and Services</v>
      </c>
      <c r="D2389" t="str">
        <f ca="1">OFFSET(Industries!E$1,MATCH(Table1[[#This Row],[Ticker]],Industries!$A$2:$A$150,0),0)</f>
        <v>IT Services</v>
      </c>
      <c r="E2389" t="s">
        <v>927</v>
      </c>
      <c r="F2389" t="str">
        <f ca="1">OFFSET(Industries!B$1,MATCH(Table1[[#This Row],[Ticker]],Industries!$A$2:$A$140,0),0)</f>
        <v>Ultra-Cap</v>
      </c>
      <c r="H2389" t="s">
        <v>1440</v>
      </c>
      <c r="I2389" t="s">
        <v>1440</v>
      </c>
      <c r="J2389" s="2">
        <v>45413</v>
      </c>
      <c r="K2389" t="s">
        <v>21</v>
      </c>
      <c r="L2389" t="s">
        <v>1710</v>
      </c>
      <c r="M2389" t="s">
        <v>1711</v>
      </c>
      <c r="N2389" s="1">
        <f>Table1[[#This Row],[Consideration Weight]]</f>
        <v>0.55000000000000004</v>
      </c>
      <c r="O2389" s="1" t="s">
        <v>194</v>
      </c>
      <c r="P2389" s="1">
        <v>0.55000000000000004</v>
      </c>
    </row>
    <row r="2390" spans="1:22" x14ac:dyDescent="0.3">
      <c r="A2390" t="s">
        <v>1355</v>
      </c>
      <c r="B2390" t="str">
        <f ca="1">OFFSET(Industries!C$1,MATCH(Table1[[#This Row],[Ticker]],Industries!$A$2:$A$150,0),0)</f>
        <v>Information Technology</v>
      </c>
      <c r="C2390" t="str">
        <f ca="1">OFFSET(Industries!D$1,MATCH(Table1[[#This Row],[Ticker]],Industries!$A$2:$A$150,0),0)</f>
        <v>Software and Services</v>
      </c>
      <c r="D2390" t="str">
        <f ca="1">OFFSET(Industries!E$1,MATCH(Table1[[#This Row],[Ticker]],Industries!$A$2:$A$150,0),0)</f>
        <v>IT Services</v>
      </c>
      <c r="E2390" t="s">
        <v>927</v>
      </c>
      <c r="F2390" t="str">
        <f ca="1">OFFSET(Industries!B$1,MATCH(Table1[[#This Row],[Ticker]],Industries!$A$2:$A$140,0),0)</f>
        <v>Ultra-Cap</v>
      </c>
      <c r="H2390" t="s">
        <v>1440</v>
      </c>
      <c r="I2390" t="s">
        <v>1440</v>
      </c>
      <c r="J2390" s="2">
        <v>45413</v>
      </c>
      <c r="K2390" t="s">
        <v>21</v>
      </c>
      <c r="L2390" t="s">
        <v>1710</v>
      </c>
      <c r="M2390" t="s">
        <v>1711</v>
      </c>
      <c r="N2390" s="1">
        <f>Table1[[#This Row],[Consideration Weight]]</f>
        <v>0.33</v>
      </c>
      <c r="O2390" s="1" t="s">
        <v>87</v>
      </c>
      <c r="P2390" s="1">
        <v>0.33</v>
      </c>
    </row>
    <row r="2391" spans="1:22" x14ac:dyDescent="0.3">
      <c r="A2391" t="s">
        <v>1477</v>
      </c>
      <c r="B2391" t="str">
        <f ca="1">OFFSET(Industries!C$1,MATCH(Table1[[#This Row],[Ticker]],Industries!$A$2:$A$150,0),0)</f>
        <v>Consumer Staples</v>
      </c>
      <c r="C2391" t="str">
        <f ca="1">OFFSET(Industries!D$1,MATCH(Table1[[#This Row],[Ticker]],Industries!$A$2:$A$150,0),0)</f>
        <v>Food, Beverage and Tobacco</v>
      </c>
      <c r="D2391" t="str">
        <f ca="1">OFFSET(Industries!E$1,MATCH(Table1[[#This Row],[Ticker]],Industries!$A$2:$A$150,0),0)</f>
        <v>Beverages</v>
      </c>
      <c r="E2391" t="s">
        <v>1478</v>
      </c>
      <c r="F2391" t="s">
        <v>1344</v>
      </c>
      <c r="G2391" t="s">
        <v>1376</v>
      </c>
      <c r="H2391" t="s">
        <v>1434</v>
      </c>
      <c r="I2391" t="s">
        <v>1434</v>
      </c>
      <c r="J2391" s="2">
        <v>45446</v>
      </c>
      <c r="K2391" t="s">
        <v>2</v>
      </c>
      <c r="L2391" t="s">
        <v>3</v>
      </c>
      <c r="M2391" t="s">
        <v>1711</v>
      </c>
      <c r="N2391" s="1">
        <f>Table1[[#This Row],[Consideration Weight]]</f>
        <v>0.1</v>
      </c>
      <c r="O2391" s="1" t="s">
        <v>3</v>
      </c>
      <c r="P2391" s="1">
        <v>0.1</v>
      </c>
      <c r="V2391" t="s">
        <v>1481</v>
      </c>
    </row>
    <row r="2392" spans="1:22" x14ac:dyDescent="0.3">
      <c r="A2392" t="s">
        <v>1477</v>
      </c>
      <c r="B2392" t="str">
        <f ca="1">OFFSET(Industries!C$1,MATCH(Table1[[#This Row],[Ticker]],Industries!$A$2:$A$150,0),0)</f>
        <v>Consumer Staples</v>
      </c>
      <c r="C2392" t="str">
        <f ca="1">OFFSET(Industries!D$1,MATCH(Table1[[#This Row],[Ticker]],Industries!$A$2:$A$150,0),0)</f>
        <v>Food, Beverage and Tobacco</v>
      </c>
      <c r="D2392" t="str">
        <f ca="1">OFFSET(Industries!E$1,MATCH(Table1[[#This Row],[Ticker]],Industries!$A$2:$A$150,0),0)</f>
        <v>Beverages</v>
      </c>
      <c r="E2392" t="s">
        <v>1478</v>
      </c>
      <c r="F2392" t="s">
        <v>1344</v>
      </c>
      <c r="G2392" t="s">
        <v>1376</v>
      </c>
      <c r="H2392" t="s">
        <v>1434</v>
      </c>
      <c r="I2392" t="s">
        <v>1434</v>
      </c>
      <c r="J2392" s="2">
        <v>45446</v>
      </c>
      <c r="K2392" t="s">
        <v>2</v>
      </c>
      <c r="L2392" t="s">
        <v>1708</v>
      </c>
      <c r="M2392" t="s">
        <v>1709</v>
      </c>
      <c r="N2392" s="1">
        <f>Table1[[#This Row],[Consideration Weight]]</f>
        <v>0.16</v>
      </c>
      <c r="O2392" s="1" t="s">
        <v>4</v>
      </c>
      <c r="P2392" s="1">
        <v>0.16</v>
      </c>
      <c r="Q2392" s="1" t="s">
        <v>1636</v>
      </c>
      <c r="R2392" t="s">
        <v>23</v>
      </c>
      <c r="S2392" t="s">
        <v>1083</v>
      </c>
      <c r="T2392" t="s">
        <v>7</v>
      </c>
      <c r="U2392" s="1">
        <v>0.4</v>
      </c>
      <c r="V2392" t="s">
        <v>1482</v>
      </c>
    </row>
    <row r="2393" spans="1:22" x14ac:dyDescent="0.3">
      <c r="A2393" t="s">
        <v>1477</v>
      </c>
      <c r="B2393" t="str">
        <f ca="1">OFFSET(Industries!C$1,MATCH(Table1[[#This Row],[Ticker]],Industries!$A$2:$A$150,0),0)</f>
        <v>Consumer Staples</v>
      </c>
      <c r="C2393" t="str">
        <f ca="1">OFFSET(Industries!D$1,MATCH(Table1[[#This Row],[Ticker]],Industries!$A$2:$A$150,0),0)</f>
        <v>Food, Beverage and Tobacco</v>
      </c>
      <c r="D2393" t="str">
        <f ca="1">OFFSET(Industries!E$1,MATCH(Table1[[#This Row],[Ticker]],Industries!$A$2:$A$150,0),0)</f>
        <v>Beverages</v>
      </c>
      <c r="E2393" t="s">
        <v>1478</v>
      </c>
      <c r="F2393" t="s">
        <v>1344</v>
      </c>
      <c r="G2393" t="s">
        <v>1376</v>
      </c>
      <c r="H2393" t="s">
        <v>1434</v>
      </c>
      <c r="I2393" t="s">
        <v>1434</v>
      </c>
      <c r="J2393" s="2">
        <v>45446</v>
      </c>
      <c r="K2393" t="s">
        <v>2</v>
      </c>
      <c r="L2393" t="s">
        <v>1708</v>
      </c>
      <c r="M2393" t="s">
        <v>1709</v>
      </c>
      <c r="N2393" s="1"/>
      <c r="O2393" s="1" t="s">
        <v>4</v>
      </c>
      <c r="P2393" s="1">
        <v>0.16</v>
      </c>
      <c r="Q2393" s="1" t="s">
        <v>1636</v>
      </c>
      <c r="R2393" t="s">
        <v>24</v>
      </c>
      <c r="S2393" t="s">
        <v>90</v>
      </c>
      <c r="T2393" t="s">
        <v>8</v>
      </c>
      <c r="U2393" s="1">
        <v>0.4</v>
      </c>
    </row>
    <row r="2394" spans="1:22" x14ac:dyDescent="0.3">
      <c r="A2394" t="s">
        <v>1477</v>
      </c>
      <c r="B2394" t="str">
        <f ca="1">OFFSET(Industries!C$1,MATCH(Table1[[#This Row],[Ticker]],Industries!$A$2:$A$150,0),0)</f>
        <v>Consumer Staples</v>
      </c>
      <c r="C2394" t="str">
        <f ca="1">OFFSET(Industries!D$1,MATCH(Table1[[#This Row],[Ticker]],Industries!$A$2:$A$150,0),0)</f>
        <v>Food, Beverage and Tobacco</v>
      </c>
      <c r="D2394" t="str">
        <f ca="1">OFFSET(Industries!E$1,MATCH(Table1[[#This Row],[Ticker]],Industries!$A$2:$A$150,0),0)</f>
        <v>Beverages</v>
      </c>
      <c r="E2394" t="s">
        <v>1478</v>
      </c>
      <c r="F2394" t="s">
        <v>1344</v>
      </c>
      <c r="G2394" t="s">
        <v>1376</v>
      </c>
      <c r="H2394" t="s">
        <v>1434</v>
      </c>
      <c r="I2394" t="s">
        <v>1434</v>
      </c>
      <c r="J2394" s="2">
        <v>45446</v>
      </c>
      <c r="K2394" t="s">
        <v>2</v>
      </c>
      <c r="L2394" t="s">
        <v>1708</v>
      </c>
      <c r="M2394" t="s">
        <v>1709</v>
      </c>
      <c r="N2394" s="1"/>
      <c r="O2394" s="1" t="s">
        <v>4</v>
      </c>
      <c r="P2394" s="1">
        <v>0.16</v>
      </c>
      <c r="Q2394" s="1" t="s">
        <v>1636</v>
      </c>
      <c r="R2394" t="s">
        <v>62</v>
      </c>
      <c r="S2394" t="s">
        <v>129</v>
      </c>
      <c r="T2394" t="s">
        <v>129</v>
      </c>
      <c r="U2394" s="1">
        <v>0.2</v>
      </c>
      <c r="V2394" t="s">
        <v>1451</v>
      </c>
    </row>
    <row r="2395" spans="1:22" x14ac:dyDescent="0.3">
      <c r="A2395" t="s">
        <v>1477</v>
      </c>
      <c r="B2395" t="str">
        <f ca="1">OFFSET(Industries!C$1,MATCH(Table1[[#This Row],[Ticker]],Industries!$A$2:$A$150,0),0)</f>
        <v>Consumer Staples</v>
      </c>
      <c r="C2395" t="str">
        <f ca="1">OFFSET(Industries!D$1,MATCH(Table1[[#This Row],[Ticker]],Industries!$A$2:$A$150,0),0)</f>
        <v>Food, Beverage and Tobacco</v>
      </c>
      <c r="D2395" t="str">
        <f ca="1">OFFSET(Industries!E$1,MATCH(Table1[[#This Row],[Ticker]],Industries!$A$2:$A$150,0),0)</f>
        <v>Beverages</v>
      </c>
      <c r="E2395" t="s">
        <v>1478</v>
      </c>
      <c r="F2395" t="s">
        <v>1344</v>
      </c>
      <c r="G2395" t="s">
        <v>1376</v>
      </c>
      <c r="H2395" t="s">
        <v>1434</v>
      </c>
      <c r="I2395" t="s">
        <v>1434</v>
      </c>
      <c r="J2395" s="2">
        <v>45446</v>
      </c>
      <c r="K2395" t="s">
        <v>2</v>
      </c>
      <c r="L2395" t="s">
        <v>1708</v>
      </c>
      <c r="M2395" t="s">
        <v>1709</v>
      </c>
      <c r="N2395" s="1"/>
      <c r="O2395" s="1" t="s">
        <v>4</v>
      </c>
      <c r="P2395" s="1">
        <v>0.16</v>
      </c>
      <c r="R2395" t="s">
        <v>28</v>
      </c>
      <c r="S2395" t="s">
        <v>1110</v>
      </c>
      <c r="T2395" t="s">
        <v>172</v>
      </c>
      <c r="V2395" t="s">
        <v>1480</v>
      </c>
    </row>
    <row r="2396" spans="1:22" x14ac:dyDescent="0.3">
      <c r="A2396" t="s">
        <v>1477</v>
      </c>
      <c r="B2396" t="str">
        <f ca="1">OFFSET(Industries!C$1,MATCH(Table1[[#This Row],[Ticker]],Industries!$A$2:$A$150,0),0)</f>
        <v>Consumer Staples</v>
      </c>
      <c r="C2396" t="str">
        <f ca="1">OFFSET(Industries!D$1,MATCH(Table1[[#This Row],[Ticker]],Industries!$A$2:$A$150,0),0)</f>
        <v>Food, Beverage and Tobacco</v>
      </c>
      <c r="D2396" t="str">
        <f ca="1">OFFSET(Industries!E$1,MATCH(Table1[[#This Row],[Ticker]],Industries!$A$2:$A$150,0),0)</f>
        <v>Beverages</v>
      </c>
      <c r="E2396" t="s">
        <v>1478</v>
      </c>
      <c r="F2396" t="s">
        <v>1344</v>
      </c>
      <c r="G2396" t="s">
        <v>1376</v>
      </c>
      <c r="H2396" t="s">
        <v>1434</v>
      </c>
      <c r="I2396" t="s">
        <v>1434</v>
      </c>
      <c r="J2396" s="2">
        <v>45446</v>
      </c>
      <c r="K2396" t="s">
        <v>2</v>
      </c>
      <c r="L2396" t="s">
        <v>1710</v>
      </c>
      <c r="M2396" t="s">
        <v>1709</v>
      </c>
      <c r="N2396" s="1">
        <f>Table1[[#This Row],[Consideration Weight]]</f>
        <v>0.37</v>
      </c>
      <c r="O2396" s="1" t="s">
        <v>476</v>
      </c>
      <c r="P2396" s="1">
        <f>0.74/2</f>
        <v>0.37</v>
      </c>
      <c r="Q2396" s="1" t="s">
        <v>1646</v>
      </c>
      <c r="R2396" t="s">
        <v>35</v>
      </c>
      <c r="S2396" t="s">
        <v>29</v>
      </c>
      <c r="T2396" t="s">
        <v>30</v>
      </c>
      <c r="U2396" s="1">
        <v>0.5</v>
      </c>
      <c r="V2396" t="s">
        <v>1481</v>
      </c>
    </row>
    <row r="2397" spans="1:22" x14ac:dyDescent="0.3">
      <c r="A2397" t="s">
        <v>1477</v>
      </c>
      <c r="B2397" t="str">
        <f ca="1">OFFSET(Industries!C$1,MATCH(Table1[[#This Row],[Ticker]],Industries!$A$2:$A$150,0),0)</f>
        <v>Consumer Staples</v>
      </c>
      <c r="C2397" t="str">
        <f ca="1">OFFSET(Industries!D$1,MATCH(Table1[[#This Row],[Ticker]],Industries!$A$2:$A$150,0),0)</f>
        <v>Food, Beverage and Tobacco</v>
      </c>
      <c r="D2397" t="str">
        <f ca="1">OFFSET(Industries!E$1,MATCH(Table1[[#This Row],[Ticker]],Industries!$A$2:$A$150,0),0)</f>
        <v>Beverages</v>
      </c>
      <c r="E2397" t="s">
        <v>1478</v>
      </c>
      <c r="F2397" t="s">
        <v>1344</v>
      </c>
      <c r="G2397" t="s">
        <v>1376</v>
      </c>
      <c r="H2397" t="s">
        <v>1434</v>
      </c>
      <c r="I2397" t="s">
        <v>1434</v>
      </c>
      <c r="J2397" s="2">
        <v>45446</v>
      </c>
      <c r="K2397" t="s">
        <v>2</v>
      </c>
      <c r="L2397" t="s">
        <v>1710</v>
      </c>
      <c r="M2397" t="s">
        <v>1709</v>
      </c>
      <c r="N2397" s="1"/>
      <c r="O2397" s="1" t="s">
        <v>476</v>
      </c>
      <c r="P2397" s="1">
        <f t="shared" ref="P2397:P2398" si="55">0.74/2</f>
        <v>0.37</v>
      </c>
      <c r="Q2397" s="1" t="s">
        <v>1636</v>
      </c>
      <c r="R2397" t="s">
        <v>23</v>
      </c>
      <c r="S2397" t="s">
        <v>1083</v>
      </c>
      <c r="T2397" t="s">
        <v>809</v>
      </c>
      <c r="U2397" s="1">
        <v>0.5</v>
      </c>
      <c r="V2397" t="s">
        <v>1479</v>
      </c>
    </row>
    <row r="2398" spans="1:22" x14ac:dyDescent="0.3">
      <c r="A2398" t="s">
        <v>1477</v>
      </c>
      <c r="B2398" t="str">
        <f ca="1">OFFSET(Industries!C$1,MATCH(Table1[[#This Row],[Ticker]],Industries!$A$2:$A$150,0),0)</f>
        <v>Consumer Staples</v>
      </c>
      <c r="C2398" t="str">
        <f ca="1">OFFSET(Industries!D$1,MATCH(Table1[[#This Row],[Ticker]],Industries!$A$2:$A$150,0),0)</f>
        <v>Food, Beverage and Tobacco</v>
      </c>
      <c r="D2398" t="str">
        <f ca="1">OFFSET(Industries!E$1,MATCH(Table1[[#This Row],[Ticker]],Industries!$A$2:$A$150,0),0)</f>
        <v>Beverages</v>
      </c>
      <c r="E2398" t="s">
        <v>1478</v>
      </c>
      <c r="F2398" t="s">
        <v>1344</v>
      </c>
      <c r="G2398" t="s">
        <v>1376</v>
      </c>
      <c r="H2398" t="s">
        <v>1434</v>
      </c>
      <c r="I2398" t="s">
        <v>1434</v>
      </c>
      <c r="J2398" s="2">
        <v>45446</v>
      </c>
      <c r="K2398" t="s">
        <v>2</v>
      </c>
      <c r="L2398" t="s">
        <v>1710</v>
      </c>
      <c r="M2398" t="s">
        <v>1709</v>
      </c>
      <c r="N2398" s="1"/>
      <c r="O2398" s="1" t="s">
        <v>476</v>
      </c>
      <c r="P2398" s="1">
        <f t="shared" si="55"/>
        <v>0.37</v>
      </c>
      <c r="R2398" t="s">
        <v>28</v>
      </c>
      <c r="S2398" t="s">
        <v>1095</v>
      </c>
      <c r="T2398" t="s">
        <v>55</v>
      </c>
    </row>
    <row r="2399" spans="1:22" x14ac:dyDescent="0.3">
      <c r="A2399" t="s">
        <v>1477</v>
      </c>
      <c r="B2399" t="str">
        <f ca="1">OFFSET(Industries!C$1,MATCH(Table1[[#This Row],[Ticker]],Industries!$A$2:$A$150,0),0)</f>
        <v>Consumer Staples</v>
      </c>
      <c r="C2399" t="str">
        <f ca="1">OFFSET(Industries!D$1,MATCH(Table1[[#This Row],[Ticker]],Industries!$A$2:$A$150,0),0)</f>
        <v>Food, Beverage and Tobacco</v>
      </c>
      <c r="D2399" t="str">
        <f ca="1">OFFSET(Industries!E$1,MATCH(Table1[[#This Row],[Ticker]],Industries!$A$2:$A$150,0),0)</f>
        <v>Beverages</v>
      </c>
      <c r="E2399" t="s">
        <v>1478</v>
      </c>
      <c r="F2399" t="s">
        <v>1344</v>
      </c>
      <c r="G2399" t="s">
        <v>1376</v>
      </c>
      <c r="H2399" t="s">
        <v>1434</v>
      </c>
      <c r="I2399" t="s">
        <v>1434</v>
      </c>
      <c r="J2399" s="2">
        <v>45446</v>
      </c>
      <c r="K2399" t="s">
        <v>2</v>
      </c>
      <c r="L2399" t="s">
        <v>1710</v>
      </c>
      <c r="M2399" t="s">
        <v>1711</v>
      </c>
      <c r="N2399" s="1">
        <f>Table1[[#This Row],[Consideration Weight]]</f>
        <v>0.222</v>
      </c>
      <c r="O2399" s="1" t="s">
        <v>194</v>
      </c>
      <c r="P2399" s="1">
        <f>0.3*0.74</f>
        <v>0.222</v>
      </c>
    </row>
    <row r="2400" spans="1:22" x14ac:dyDescent="0.3">
      <c r="A2400" t="s">
        <v>1477</v>
      </c>
      <c r="B2400" t="str">
        <f ca="1">OFFSET(Industries!C$1,MATCH(Table1[[#This Row],[Ticker]],Industries!$A$2:$A$150,0),0)</f>
        <v>Consumer Staples</v>
      </c>
      <c r="C2400" t="str">
        <f ca="1">OFFSET(Industries!D$1,MATCH(Table1[[#This Row],[Ticker]],Industries!$A$2:$A$150,0),0)</f>
        <v>Food, Beverage and Tobacco</v>
      </c>
      <c r="D2400" t="str">
        <f ca="1">OFFSET(Industries!E$1,MATCH(Table1[[#This Row],[Ticker]],Industries!$A$2:$A$150,0),0)</f>
        <v>Beverages</v>
      </c>
      <c r="E2400" t="s">
        <v>1478</v>
      </c>
      <c r="F2400" t="s">
        <v>1344</v>
      </c>
      <c r="G2400" t="s">
        <v>1376</v>
      </c>
      <c r="H2400" t="s">
        <v>1434</v>
      </c>
      <c r="I2400" t="s">
        <v>1434</v>
      </c>
      <c r="J2400" s="2">
        <v>45446</v>
      </c>
      <c r="K2400" t="s">
        <v>2</v>
      </c>
      <c r="L2400" t="s">
        <v>1710</v>
      </c>
      <c r="M2400" t="s">
        <v>1711</v>
      </c>
      <c r="N2400" s="1">
        <f>Table1[[#This Row],[Consideration Weight]]</f>
        <v>0.14799999999999999</v>
      </c>
      <c r="O2400" s="1" t="s">
        <v>87</v>
      </c>
      <c r="P2400" s="1">
        <f>0.2*0.74</f>
        <v>0.14799999999999999</v>
      </c>
    </row>
    <row r="2401" spans="1:22" x14ac:dyDescent="0.3">
      <c r="A2401" t="s">
        <v>1477</v>
      </c>
      <c r="B2401" t="str">
        <f ca="1">OFFSET(Industries!C$1,MATCH(Table1[[#This Row],[Ticker]],Industries!$A$2:$A$150,0),0)</f>
        <v>Consumer Staples</v>
      </c>
      <c r="C2401" t="str">
        <f ca="1">OFFSET(Industries!D$1,MATCH(Table1[[#This Row],[Ticker]],Industries!$A$2:$A$150,0),0)</f>
        <v>Food, Beverage and Tobacco</v>
      </c>
      <c r="D2401" t="str">
        <f ca="1">OFFSET(Industries!E$1,MATCH(Table1[[#This Row],[Ticker]],Industries!$A$2:$A$150,0),0)</f>
        <v>Beverages</v>
      </c>
      <c r="E2401" t="s">
        <v>1478</v>
      </c>
      <c r="F2401" t="s">
        <v>1344</v>
      </c>
      <c r="G2401" t="s">
        <v>1376</v>
      </c>
      <c r="H2401" t="s">
        <v>1434</v>
      </c>
      <c r="I2401" t="s">
        <v>1434</v>
      </c>
      <c r="J2401" s="2">
        <v>45446</v>
      </c>
      <c r="K2401" t="s">
        <v>21</v>
      </c>
      <c r="L2401" t="s">
        <v>3</v>
      </c>
      <c r="M2401" t="s">
        <v>1711</v>
      </c>
      <c r="N2401" s="1">
        <f>Table1[[#This Row],[Consideration Weight]]</f>
        <v>0.2</v>
      </c>
      <c r="O2401" s="1" t="s">
        <v>3</v>
      </c>
      <c r="P2401" s="1">
        <v>0.2</v>
      </c>
    </row>
    <row r="2402" spans="1:22" x14ac:dyDescent="0.3">
      <c r="A2402" t="s">
        <v>1477</v>
      </c>
      <c r="B2402" t="str">
        <f ca="1">OFFSET(Industries!C$1,MATCH(Table1[[#This Row],[Ticker]],Industries!$A$2:$A$150,0),0)</f>
        <v>Consumer Staples</v>
      </c>
      <c r="C2402" t="str">
        <f ca="1">OFFSET(Industries!D$1,MATCH(Table1[[#This Row],[Ticker]],Industries!$A$2:$A$150,0),0)</f>
        <v>Food, Beverage and Tobacco</v>
      </c>
      <c r="D2402" t="str">
        <f ca="1">OFFSET(Industries!E$1,MATCH(Table1[[#This Row],[Ticker]],Industries!$A$2:$A$150,0),0)</f>
        <v>Beverages</v>
      </c>
      <c r="E2402" t="s">
        <v>1478</v>
      </c>
      <c r="F2402" t="s">
        <v>1344</v>
      </c>
      <c r="G2402" t="s">
        <v>1376</v>
      </c>
      <c r="H2402" t="s">
        <v>1434</v>
      </c>
      <c r="I2402" t="s">
        <v>1434</v>
      </c>
      <c r="J2402" s="2">
        <v>45446</v>
      </c>
      <c r="K2402" t="s">
        <v>21</v>
      </c>
      <c r="L2402" t="s">
        <v>1708</v>
      </c>
      <c r="M2402" t="s">
        <v>1709</v>
      </c>
      <c r="N2402" s="1">
        <f>Table1[[#This Row],[Consideration Weight]]</f>
        <v>0.19</v>
      </c>
      <c r="O2402" s="1" t="s">
        <v>4</v>
      </c>
      <c r="P2402" s="1">
        <v>0.19</v>
      </c>
      <c r="Q2402" s="1" t="s">
        <v>1636</v>
      </c>
      <c r="R2402" t="s">
        <v>23</v>
      </c>
      <c r="S2402" t="s">
        <v>1083</v>
      </c>
      <c r="T2402" t="s">
        <v>7</v>
      </c>
      <c r="U2402" s="1">
        <v>0.4</v>
      </c>
    </row>
    <row r="2403" spans="1:22" x14ac:dyDescent="0.3">
      <c r="A2403" t="s">
        <v>1477</v>
      </c>
      <c r="B2403" t="str">
        <f ca="1">OFFSET(Industries!C$1,MATCH(Table1[[#This Row],[Ticker]],Industries!$A$2:$A$150,0),0)</f>
        <v>Consumer Staples</v>
      </c>
      <c r="C2403" t="str">
        <f ca="1">OFFSET(Industries!D$1,MATCH(Table1[[#This Row],[Ticker]],Industries!$A$2:$A$150,0),0)</f>
        <v>Food, Beverage and Tobacco</v>
      </c>
      <c r="D2403" t="str">
        <f ca="1">OFFSET(Industries!E$1,MATCH(Table1[[#This Row],[Ticker]],Industries!$A$2:$A$150,0),0)</f>
        <v>Beverages</v>
      </c>
      <c r="E2403" t="s">
        <v>1478</v>
      </c>
      <c r="F2403" t="s">
        <v>1344</v>
      </c>
      <c r="G2403" t="s">
        <v>1376</v>
      </c>
      <c r="H2403" t="s">
        <v>1434</v>
      </c>
      <c r="I2403" t="s">
        <v>1434</v>
      </c>
      <c r="J2403" s="2">
        <v>45446</v>
      </c>
      <c r="K2403" t="s">
        <v>21</v>
      </c>
      <c r="L2403" t="s">
        <v>1708</v>
      </c>
      <c r="M2403" t="s">
        <v>1709</v>
      </c>
      <c r="N2403" s="1"/>
      <c r="O2403" s="1" t="s">
        <v>4</v>
      </c>
      <c r="P2403" s="1">
        <v>0.19</v>
      </c>
      <c r="Q2403" s="1" t="s">
        <v>1636</v>
      </c>
      <c r="R2403" t="s">
        <v>24</v>
      </c>
      <c r="S2403" t="s">
        <v>90</v>
      </c>
      <c r="T2403" t="s">
        <v>8</v>
      </c>
      <c r="U2403" s="1">
        <v>0.4</v>
      </c>
    </row>
    <row r="2404" spans="1:22" x14ac:dyDescent="0.3">
      <c r="A2404" t="s">
        <v>1477</v>
      </c>
      <c r="B2404" t="str">
        <f ca="1">OFFSET(Industries!C$1,MATCH(Table1[[#This Row],[Ticker]],Industries!$A$2:$A$150,0),0)</f>
        <v>Consumer Staples</v>
      </c>
      <c r="C2404" t="str">
        <f ca="1">OFFSET(Industries!D$1,MATCH(Table1[[#This Row],[Ticker]],Industries!$A$2:$A$150,0),0)</f>
        <v>Food, Beverage and Tobacco</v>
      </c>
      <c r="D2404" t="str">
        <f ca="1">OFFSET(Industries!E$1,MATCH(Table1[[#This Row],[Ticker]],Industries!$A$2:$A$150,0),0)</f>
        <v>Beverages</v>
      </c>
      <c r="E2404" t="s">
        <v>1478</v>
      </c>
      <c r="F2404" t="s">
        <v>1344</v>
      </c>
      <c r="G2404" t="s">
        <v>1376</v>
      </c>
      <c r="H2404" t="s">
        <v>1434</v>
      </c>
      <c r="I2404" t="s">
        <v>1434</v>
      </c>
      <c r="J2404" s="2">
        <v>45446</v>
      </c>
      <c r="K2404" t="s">
        <v>21</v>
      </c>
      <c r="L2404" t="s">
        <v>1708</v>
      </c>
      <c r="M2404" t="s">
        <v>1709</v>
      </c>
      <c r="N2404" s="1"/>
      <c r="O2404" s="1" t="s">
        <v>4</v>
      </c>
      <c r="P2404" s="1">
        <v>0.19</v>
      </c>
      <c r="Q2404" s="1" t="s">
        <v>1636</v>
      </c>
      <c r="R2404" t="s">
        <v>62</v>
      </c>
      <c r="S2404" t="s">
        <v>129</v>
      </c>
      <c r="T2404" t="s">
        <v>129</v>
      </c>
      <c r="U2404" s="1">
        <v>0.2</v>
      </c>
    </row>
    <row r="2405" spans="1:22" x14ac:dyDescent="0.3">
      <c r="A2405" t="s">
        <v>1477</v>
      </c>
      <c r="B2405" t="str">
        <f ca="1">OFFSET(Industries!C$1,MATCH(Table1[[#This Row],[Ticker]],Industries!$A$2:$A$150,0),0)</f>
        <v>Consumer Staples</v>
      </c>
      <c r="C2405" t="str">
        <f ca="1">OFFSET(Industries!D$1,MATCH(Table1[[#This Row],[Ticker]],Industries!$A$2:$A$150,0),0)</f>
        <v>Food, Beverage and Tobacco</v>
      </c>
      <c r="D2405" t="str">
        <f ca="1">OFFSET(Industries!E$1,MATCH(Table1[[#This Row],[Ticker]],Industries!$A$2:$A$150,0),0)</f>
        <v>Beverages</v>
      </c>
      <c r="E2405" t="s">
        <v>1478</v>
      </c>
      <c r="F2405" t="s">
        <v>1344</v>
      </c>
      <c r="G2405" t="s">
        <v>1376</v>
      </c>
      <c r="H2405" t="s">
        <v>1434</v>
      </c>
      <c r="I2405" t="s">
        <v>1434</v>
      </c>
      <c r="J2405" s="2">
        <v>45446</v>
      </c>
      <c r="K2405" t="s">
        <v>21</v>
      </c>
      <c r="L2405" t="s">
        <v>1708</v>
      </c>
      <c r="M2405" t="s">
        <v>1709</v>
      </c>
      <c r="N2405" s="1"/>
      <c r="O2405" s="1" t="s">
        <v>4</v>
      </c>
      <c r="P2405" s="1">
        <v>0.19</v>
      </c>
      <c r="R2405" t="s">
        <v>28</v>
      </c>
      <c r="S2405" t="s">
        <v>1110</v>
      </c>
      <c r="T2405" t="s">
        <v>172</v>
      </c>
    </row>
    <row r="2406" spans="1:22" x14ac:dyDescent="0.3">
      <c r="A2406" t="s">
        <v>1477</v>
      </c>
      <c r="B2406" t="str">
        <f ca="1">OFFSET(Industries!C$1,MATCH(Table1[[#This Row],[Ticker]],Industries!$A$2:$A$150,0),0)</f>
        <v>Consumer Staples</v>
      </c>
      <c r="C2406" t="str">
        <f ca="1">OFFSET(Industries!D$1,MATCH(Table1[[#This Row],[Ticker]],Industries!$A$2:$A$150,0),0)</f>
        <v>Food, Beverage and Tobacco</v>
      </c>
      <c r="D2406" t="str">
        <f ca="1">OFFSET(Industries!E$1,MATCH(Table1[[#This Row],[Ticker]],Industries!$A$2:$A$150,0),0)</f>
        <v>Beverages</v>
      </c>
      <c r="E2406" t="s">
        <v>1478</v>
      </c>
      <c r="F2406" t="s">
        <v>1344</v>
      </c>
      <c r="G2406" t="s">
        <v>1376</v>
      </c>
      <c r="H2406" t="s">
        <v>1434</v>
      </c>
      <c r="I2406" t="s">
        <v>1434</v>
      </c>
      <c r="J2406" s="2">
        <v>45446</v>
      </c>
      <c r="K2406" t="s">
        <v>21</v>
      </c>
      <c r="L2406" t="s">
        <v>1710</v>
      </c>
      <c r="M2406" t="s">
        <v>1709</v>
      </c>
      <c r="N2406" s="1">
        <f>Table1[[#This Row],[Consideration Weight]]</f>
        <v>0.30499999999999999</v>
      </c>
      <c r="O2406" s="1" t="s">
        <v>476</v>
      </c>
      <c r="P2406" s="1">
        <f>0.61/2</f>
        <v>0.30499999999999999</v>
      </c>
      <c r="Q2406" s="1" t="s">
        <v>1646</v>
      </c>
      <c r="R2406" t="s">
        <v>35</v>
      </c>
      <c r="S2406" t="s">
        <v>29</v>
      </c>
      <c r="T2406" t="s">
        <v>30</v>
      </c>
      <c r="U2406" s="1">
        <v>0.5</v>
      </c>
    </row>
    <row r="2407" spans="1:22" x14ac:dyDescent="0.3">
      <c r="A2407" t="s">
        <v>1477</v>
      </c>
      <c r="B2407" t="str">
        <f ca="1">OFFSET(Industries!C$1,MATCH(Table1[[#This Row],[Ticker]],Industries!$A$2:$A$150,0),0)</f>
        <v>Consumer Staples</v>
      </c>
      <c r="C2407" t="str">
        <f ca="1">OFFSET(Industries!D$1,MATCH(Table1[[#This Row],[Ticker]],Industries!$A$2:$A$150,0),0)</f>
        <v>Food, Beverage and Tobacco</v>
      </c>
      <c r="D2407" t="str">
        <f ca="1">OFFSET(Industries!E$1,MATCH(Table1[[#This Row],[Ticker]],Industries!$A$2:$A$150,0),0)</f>
        <v>Beverages</v>
      </c>
      <c r="E2407" t="s">
        <v>1478</v>
      </c>
      <c r="F2407" t="s">
        <v>1344</v>
      </c>
      <c r="G2407" t="s">
        <v>1376</v>
      </c>
      <c r="H2407" t="s">
        <v>1434</v>
      </c>
      <c r="I2407" t="s">
        <v>1434</v>
      </c>
      <c r="J2407" s="2">
        <v>45446</v>
      </c>
      <c r="K2407" t="s">
        <v>21</v>
      </c>
      <c r="L2407" t="s">
        <v>1710</v>
      </c>
      <c r="M2407" t="s">
        <v>1709</v>
      </c>
      <c r="N2407" s="1"/>
      <c r="O2407" s="1" t="s">
        <v>476</v>
      </c>
      <c r="P2407" s="1">
        <f t="shared" ref="P2407:P2408" si="56">0.61/2</f>
        <v>0.30499999999999999</v>
      </c>
      <c r="Q2407" s="1" t="s">
        <v>1636</v>
      </c>
      <c r="R2407" t="s">
        <v>23</v>
      </c>
      <c r="S2407" t="s">
        <v>1083</v>
      </c>
      <c r="T2407" t="s">
        <v>809</v>
      </c>
      <c r="U2407" s="1">
        <v>0.5</v>
      </c>
    </row>
    <row r="2408" spans="1:22" x14ac:dyDescent="0.3">
      <c r="A2408" t="s">
        <v>1477</v>
      </c>
      <c r="B2408" t="str">
        <f ca="1">OFFSET(Industries!C$1,MATCH(Table1[[#This Row],[Ticker]],Industries!$A$2:$A$150,0),0)</f>
        <v>Consumer Staples</v>
      </c>
      <c r="C2408" t="str">
        <f ca="1">OFFSET(Industries!D$1,MATCH(Table1[[#This Row],[Ticker]],Industries!$A$2:$A$150,0),0)</f>
        <v>Food, Beverage and Tobacco</v>
      </c>
      <c r="D2408" t="str">
        <f ca="1">OFFSET(Industries!E$1,MATCH(Table1[[#This Row],[Ticker]],Industries!$A$2:$A$150,0),0)</f>
        <v>Beverages</v>
      </c>
      <c r="E2408" t="s">
        <v>1478</v>
      </c>
      <c r="F2408" t="s">
        <v>1344</v>
      </c>
      <c r="G2408" t="s">
        <v>1376</v>
      </c>
      <c r="H2408" t="s">
        <v>1434</v>
      </c>
      <c r="I2408" t="s">
        <v>1434</v>
      </c>
      <c r="J2408" s="2">
        <v>45446</v>
      </c>
      <c r="K2408" t="s">
        <v>21</v>
      </c>
      <c r="L2408" t="s">
        <v>1710</v>
      </c>
      <c r="M2408" t="s">
        <v>1709</v>
      </c>
      <c r="N2408" s="1"/>
      <c r="O2408" s="1" t="s">
        <v>476</v>
      </c>
      <c r="P2408" s="1">
        <f t="shared" si="56"/>
        <v>0.30499999999999999</v>
      </c>
      <c r="R2408" t="s">
        <v>28</v>
      </c>
      <c r="S2408" t="s">
        <v>1095</v>
      </c>
      <c r="T2408" t="s">
        <v>55</v>
      </c>
    </row>
    <row r="2409" spans="1:22" x14ac:dyDescent="0.3">
      <c r="A2409" t="s">
        <v>1477</v>
      </c>
      <c r="B2409" t="str">
        <f ca="1">OFFSET(Industries!C$1,MATCH(Table1[[#This Row],[Ticker]],Industries!$A$2:$A$150,0),0)</f>
        <v>Consumer Staples</v>
      </c>
      <c r="C2409" t="str">
        <f ca="1">OFFSET(Industries!D$1,MATCH(Table1[[#This Row],[Ticker]],Industries!$A$2:$A$150,0),0)</f>
        <v>Food, Beverage and Tobacco</v>
      </c>
      <c r="D2409" t="str">
        <f ca="1">OFFSET(Industries!E$1,MATCH(Table1[[#This Row],[Ticker]],Industries!$A$2:$A$150,0),0)</f>
        <v>Beverages</v>
      </c>
      <c r="E2409" t="s">
        <v>1478</v>
      </c>
      <c r="F2409" t="s">
        <v>1344</v>
      </c>
      <c r="G2409" t="s">
        <v>1376</v>
      </c>
      <c r="H2409" t="s">
        <v>1434</v>
      </c>
      <c r="I2409" t="s">
        <v>1434</v>
      </c>
      <c r="J2409" s="2">
        <v>45446</v>
      </c>
      <c r="K2409" t="s">
        <v>21</v>
      </c>
      <c r="L2409" t="s">
        <v>1710</v>
      </c>
      <c r="M2409" t="s">
        <v>1711</v>
      </c>
      <c r="N2409" s="1">
        <f>Table1[[#This Row],[Consideration Weight]]</f>
        <v>0.183</v>
      </c>
      <c r="O2409" s="1" t="s">
        <v>194</v>
      </c>
      <c r="P2409" s="1">
        <f>0.3*0.61</f>
        <v>0.183</v>
      </c>
    </row>
    <row r="2410" spans="1:22" x14ac:dyDescent="0.3">
      <c r="A2410" t="s">
        <v>1477</v>
      </c>
      <c r="B2410" t="str">
        <f ca="1">OFFSET(Industries!C$1,MATCH(Table1[[#This Row],[Ticker]],Industries!$A$2:$A$150,0),0)</f>
        <v>Consumer Staples</v>
      </c>
      <c r="C2410" t="str">
        <f ca="1">OFFSET(Industries!D$1,MATCH(Table1[[#This Row],[Ticker]],Industries!$A$2:$A$150,0),0)</f>
        <v>Food, Beverage and Tobacco</v>
      </c>
      <c r="D2410" t="str">
        <f ca="1">OFFSET(Industries!E$1,MATCH(Table1[[#This Row],[Ticker]],Industries!$A$2:$A$150,0),0)</f>
        <v>Beverages</v>
      </c>
      <c r="E2410" t="s">
        <v>1478</v>
      </c>
      <c r="F2410" t="s">
        <v>1344</v>
      </c>
      <c r="G2410" t="s">
        <v>1376</v>
      </c>
      <c r="H2410" t="s">
        <v>1434</v>
      </c>
      <c r="I2410" t="s">
        <v>1434</v>
      </c>
      <c r="J2410" s="2">
        <v>45446</v>
      </c>
      <c r="K2410" t="s">
        <v>21</v>
      </c>
      <c r="L2410" t="s">
        <v>1710</v>
      </c>
      <c r="M2410" t="s">
        <v>1711</v>
      </c>
      <c r="N2410" s="1">
        <f>Table1[[#This Row],[Consideration Weight]]</f>
        <v>0.122</v>
      </c>
      <c r="O2410" s="1" t="s">
        <v>87</v>
      </c>
      <c r="P2410" s="1">
        <f>0.2*0.61</f>
        <v>0.122</v>
      </c>
    </row>
    <row r="2411" spans="1:22" x14ac:dyDescent="0.3">
      <c r="A2411">
        <v>1299</v>
      </c>
      <c r="B2411" t="str">
        <f ca="1">OFFSET(Industries!C$1,MATCH(Table1[[#This Row],[Ticker]],Industries!$A$2:$A$150,0),0)</f>
        <v>Financials</v>
      </c>
      <c r="C2411" t="str">
        <f ca="1">OFFSET(Industries!D$1,MATCH(Table1[[#This Row],[Ticker]],Industries!$A$2:$A$150,0),0)</f>
        <v>Insurance</v>
      </c>
      <c r="D2411" t="str">
        <f ca="1">OFFSET(Industries!E$1,MATCH(Table1[[#This Row],[Ticker]],Industries!$A$2:$A$150,0),0)</f>
        <v>Insurance</v>
      </c>
      <c r="E2411" t="s">
        <v>496</v>
      </c>
      <c r="F2411" t="s">
        <v>1343</v>
      </c>
      <c r="G2411" t="s">
        <v>1380</v>
      </c>
      <c r="H2411" t="s">
        <v>1483</v>
      </c>
      <c r="I2411" t="s">
        <v>1437</v>
      </c>
      <c r="J2411" s="2">
        <v>45394</v>
      </c>
      <c r="K2411" t="s">
        <v>2</v>
      </c>
      <c r="L2411" t="s">
        <v>3</v>
      </c>
      <c r="M2411" t="s">
        <v>1711</v>
      </c>
      <c r="N2411" s="1">
        <f>Table1[[#This Row],[Consideration Weight]]</f>
        <v>0.14180000000000001</v>
      </c>
      <c r="O2411" s="1" t="s">
        <v>3</v>
      </c>
      <c r="P2411" s="1">
        <v>0.14180000000000001</v>
      </c>
      <c r="V2411" t="s">
        <v>1492</v>
      </c>
    </row>
    <row r="2412" spans="1:22" x14ac:dyDescent="0.3">
      <c r="A2412">
        <v>1299</v>
      </c>
      <c r="B2412" t="str">
        <f ca="1">OFFSET(Industries!C$1,MATCH(Table1[[#This Row],[Ticker]],Industries!$A$2:$A$150,0),0)</f>
        <v>Financials</v>
      </c>
      <c r="C2412" t="str">
        <f ca="1">OFFSET(Industries!D$1,MATCH(Table1[[#This Row],[Ticker]],Industries!$A$2:$A$150,0),0)</f>
        <v>Insurance</v>
      </c>
      <c r="D2412" t="str">
        <f ca="1">OFFSET(Industries!E$1,MATCH(Table1[[#This Row],[Ticker]],Industries!$A$2:$A$150,0),0)</f>
        <v>Insurance</v>
      </c>
      <c r="E2412" t="s">
        <v>496</v>
      </c>
      <c r="F2412" t="s">
        <v>1343</v>
      </c>
      <c r="G2412" t="s">
        <v>1380</v>
      </c>
      <c r="H2412" t="s">
        <v>1483</v>
      </c>
      <c r="I2412" t="s">
        <v>1437</v>
      </c>
      <c r="J2412" s="2">
        <v>45394</v>
      </c>
      <c r="K2412" t="s">
        <v>2</v>
      </c>
      <c r="L2412" t="s">
        <v>1708</v>
      </c>
      <c r="M2412" t="s">
        <v>1709</v>
      </c>
      <c r="N2412" s="1">
        <f>Table1[[#This Row],[Consideration Weight]]</f>
        <v>0.3029</v>
      </c>
      <c r="O2412" s="1" t="s">
        <v>4</v>
      </c>
      <c r="P2412" s="1">
        <v>0.3029</v>
      </c>
      <c r="Q2412" s="1" t="s">
        <v>1636</v>
      </c>
      <c r="R2412" t="s">
        <v>23</v>
      </c>
      <c r="S2412" t="s">
        <v>1086</v>
      </c>
      <c r="T2412" t="s">
        <v>1484</v>
      </c>
      <c r="U2412" s="1">
        <v>0.6</v>
      </c>
    </row>
    <row r="2413" spans="1:22" x14ac:dyDescent="0.3">
      <c r="A2413">
        <v>1299</v>
      </c>
      <c r="B2413" t="str">
        <f ca="1">OFFSET(Industries!C$1,MATCH(Table1[[#This Row],[Ticker]],Industries!$A$2:$A$150,0),0)</f>
        <v>Financials</v>
      </c>
      <c r="C2413" t="str">
        <f ca="1">OFFSET(Industries!D$1,MATCH(Table1[[#This Row],[Ticker]],Industries!$A$2:$A$150,0),0)</f>
        <v>Insurance</v>
      </c>
      <c r="D2413" t="str">
        <f ca="1">OFFSET(Industries!E$1,MATCH(Table1[[#This Row],[Ticker]],Industries!$A$2:$A$150,0),0)</f>
        <v>Insurance</v>
      </c>
      <c r="E2413" t="s">
        <v>496</v>
      </c>
      <c r="F2413" t="s">
        <v>1343</v>
      </c>
      <c r="G2413" t="s">
        <v>1380</v>
      </c>
      <c r="H2413" t="s">
        <v>1483</v>
      </c>
      <c r="I2413" t="s">
        <v>1437</v>
      </c>
      <c r="J2413" s="2">
        <v>45394</v>
      </c>
      <c r="K2413" t="s">
        <v>2</v>
      </c>
      <c r="L2413" t="s">
        <v>1708</v>
      </c>
      <c r="M2413" t="s">
        <v>1709</v>
      </c>
      <c r="N2413" s="1"/>
      <c r="O2413" s="1" t="s">
        <v>4</v>
      </c>
      <c r="P2413" s="1">
        <v>0.3029</v>
      </c>
      <c r="Q2413" s="1" t="s">
        <v>1636</v>
      </c>
      <c r="R2413" t="s">
        <v>24</v>
      </c>
      <c r="S2413" t="s">
        <v>1118</v>
      </c>
      <c r="T2413" t="s">
        <v>1485</v>
      </c>
      <c r="U2413" s="1">
        <v>0.25</v>
      </c>
      <c r="V2413" t="s">
        <v>1493</v>
      </c>
    </row>
    <row r="2414" spans="1:22" x14ac:dyDescent="0.3">
      <c r="A2414">
        <v>1299</v>
      </c>
      <c r="B2414" t="str">
        <f ca="1">OFFSET(Industries!C$1,MATCH(Table1[[#This Row],[Ticker]],Industries!$A$2:$A$150,0),0)</f>
        <v>Financials</v>
      </c>
      <c r="C2414" t="str">
        <f ca="1">OFFSET(Industries!D$1,MATCH(Table1[[#This Row],[Ticker]],Industries!$A$2:$A$150,0),0)</f>
        <v>Insurance</v>
      </c>
      <c r="D2414" t="str">
        <f ca="1">OFFSET(Industries!E$1,MATCH(Table1[[#This Row],[Ticker]],Industries!$A$2:$A$150,0),0)</f>
        <v>Insurance</v>
      </c>
      <c r="E2414" t="s">
        <v>496</v>
      </c>
      <c r="F2414" t="s">
        <v>1343</v>
      </c>
      <c r="G2414" t="s">
        <v>1380</v>
      </c>
      <c r="H2414" t="s">
        <v>1483</v>
      </c>
      <c r="I2414" t="s">
        <v>1437</v>
      </c>
      <c r="J2414" s="2">
        <v>45394</v>
      </c>
      <c r="K2414" t="s">
        <v>2</v>
      </c>
      <c r="L2414" t="s">
        <v>1708</v>
      </c>
      <c r="M2414" t="s">
        <v>1709</v>
      </c>
      <c r="N2414" s="1"/>
      <c r="O2414" s="1" t="s">
        <v>4</v>
      </c>
      <c r="P2414" s="1">
        <v>0.3029</v>
      </c>
      <c r="Q2414" s="1" t="s">
        <v>1636</v>
      </c>
      <c r="R2414" t="s">
        <v>62</v>
      </c>
      <c r="S2414" t="s">
        <v>129</v>
      </c>
      <c r="T2414" t="s">
        <v>1486</v>
      </c>
      <c r="U2414" s="1">
        <v>0.15</v>
      </c>
      <c r="V2414" t="s">
        <v>1487</v>
      </c>
    </row>
    <row r="2415" spans="1:22" x14ac:dyDescent="0.3">
      <c r="A2415">
        <v>1299</v>
      </c>
      <c r="B2415" t="str">
        <f ca="1">OFFSET(Industries!C$1,MATCH(Table1[[#This Row],[Ticker]],Industries!$A$2:$A$150,0),0)</f>
        <v>Financials</v>
      </c>
      <c r="C2415" t="str">
        <f ca="1">OFFSET(Industries!D$1,MATCH(Table1[[#This Row],[Ticker]],Industries!$A$2:$A$150,0),0)</f>
        <v>Insurance</v>
      </c>
      <c r="D2415" t="str">
        <f ca="1">OFFSET(Industries!E$1,MATCH(Table1[[#This Row],[Ticker]],Industries!$A$2:$A$150,0),0)</f>
        <v>Insurance</v>
      </c>
      <c r="E2415" t="s">
        <v>496</v>
      </c>
      <c r="F2415" t="s">
        <v>1343</v>
      </c>
      <c r="G2415" t="s">
        <v>1380</v>
      </c>
      <c r="H2415" t="s">
        <v>1483</v>
      </c>
      <c r="I2415" t="s">
        <v>1437</v>
      </c>
      <c r="J2415" s="2">
        <v>45394</v>
      </c>
      <c r="K2415" t="s">
        <v>2</v>
      </c>
      <c r="L2415" t="s">
        <v>1708</v>
      </c>
      <c r="M2415" t="s">
        <v>1709</v>
      </c>
      <c r="N2415" s="1"/>
      <c r="O2415" s="1" t="s">
        <v>4</v>
      </c>
      <c r="P2415" s="1">
        <v>0.3029</v>
      </c>
      <c r="R2415" t="s">
        <v>28</v>
      </c>
      <c r="S2415" t="s">
        <v>1110</v>
      </c>
      <c r="T2415" t="s">
        <v>172</v>
      </c>
    </row>
    <row r="2416" spans="1:22" x14ac:dyDescent="0.3">
      <c r="A2416">
        <v>1299</v>
      </c>
      <c r="B2416" t="str">
        <f ca="1">OFFSET(Industries!C$1,MATCH(Table1[[#This Row],[Ticker]],Industries!$A$2:$A$150,0),0)</f>
        <v>Financials</v>
      </c>
      <c r="C2416" t="str">
        <f ca="1">OFFSET(Industries!D$1,MATCH(Table1[[#This Row],[Ticker]],Industries!$A$2:$A$150,0),0)</f>
        <v>Insurance</v>
      </c>
      <c r="D2416" t="str">
        <f ca="1">OFFSET(Industries!E$1,MATCH(Table1[[#This Row],[Ticker]],Industries!$A$2:$A$150,0),0)</f>
        <v>Insurance</v>
      </c>
      <c r="E2416" t="s">
        <v>496</v>
      </c>
      <c r="F2416" t="s">
        <v>1343</v>
      </c>
      <c r="G2416" t="s">
        <v>1380</v>
      </c>
      <c r="H2416" t="s">
        <v>1483</v>
      </c>
      <c r="I2416" t="s">
        <v>1437</v>
      </c>
      <c r="J2416" s="2">
        <v>45394</v>
      </c>
      <c r="K2416" t="s">
        <v>2</v>
      </c>
      <c r="L2416" t="s">
        <v>1710</v>
      </c>
      <c r="M2416" t="s">
        <v>1709</v>
      </c>
      <c r="N2416" s="1">
        <f>Table1[[#This Row],[Consideration Weight]]</f>
        <v>0.4118</v>
      </c>
      <c r="O2416" s="1" t="s">
        <v>476</v>
      </c>
      <c r="P2416" s="1">
        <v>0.4118</v>
      </c>
      <c r="Q2416" s="1" t="s">
        <v>1636</v>
      </c>
      <c r="R2416" t="s">
        <v>23</v>
      </c>
      <c r="S2416" t="s">
        <v>1086</v>
      </c>
      <c r="T2416" t="s">
        <v>1488</v>
      </c>
      <c r="U2416" s="1">
        <f>1/3</f>
        <v>0.33333333333333331</v>
      </c>
      <c r="V2416" t="s">
        <v>1491</v>
      </c>
    </row>
    <row r="2417" spans="1:22" x14ac:dyDescent="0.3">
      <c r="A2417">
        <v>1299</v>
      </c>
      <c r="B2417" t="str">
        <f ca="1">OFFSET(Industries!C$1,MATCH(Table1[[#This Row],[Ticker]],Industries!$A$2:$A$150,0),0)</f>
        <v>Financials</v>
      </c>
      <c r="C2417" t="str">
        <f ca="1">OFFSET(Industries!D$1,MATCH(Table1[[#This Row],[Ticker]],Industries!$A$2:$A$150,0),0)</f>
        <v>Insurance</v>
      </c>
      <c r="D2417" t="str">
        <f ca="1">OFFSET(Industries!E$1,MATCH(Table1[[#This Row],[Ticker]],Industries!$A$2:$A$150,0),0)</f>
        <v>Insurance</v>
      </c>
      <c r="E2417" t="s">
        <v>496</v>
      </c>
      <c r="F2417" t="s">
        <v>1343</v>
      </c>
      <c r="G2417" t="s">
        <v>1380</v>
      </c>
      <c r="H2417" t="s">
        <v>1483</v>
      </c>
      <c r="I2417" t="s">
        <v>1437</v>
      </c>
      <c r="J2417" s="2">
        <v>45394</v>
      </c>
      <c r="K2417" t="s">
        <v>2</v>
      </c>
      <c r="L2417" t="s">
        <v>1710</v>
      </c>
      <c r="M2417" t="s">
        <v>1709</v>
      </c>
      <c r="N2417" s="1"/>
      <c r="O2417" s="1" t="s">
        <v>476</v>
      </c>
      <c r="P2417" s="1">
        <v>0.4118</v>
      </c>
      <c r="Q2417" s="1" t="s">
        <v>1636</v>
      </c>
      <c r="R2417" t="s">
        <v>25</v>
      </c>
      <c r="S2417" t="s">
        <v>1086</v>
      </c>
      <c r="T2417" t="s">
        <v>1489</v>
      </c>
      <c r="U2417" s="1">
        <f t="shared" ref="U2417:U2418" si="57">1/3</f>
        <v>0.33333333333333331</v>
      </c>
      <c r="V2417" t="s">
        <v>1490</v>
      </c>
    </row>
    <row r="2418" spans="1:22" x14ac:dyDescent="0.3">
      <c r="A2418">
        <v>1299</v>
      </c>
      <c r="B2418" t="str">
        <f ca="1">OFFSET(Industries!C$1,MATCH(Table1[[#This Row],[Ticker]],Industries!$A$2:$A$150,0),0)</f>
        <v>Financials</v>
      </c>
      <c r="C2418" t="str">
        <f ca="1">OFFSET(Industries!D$1,MATCH(Table1[[#This Row],[Ticker]],Industries!$A$2:$A$150,0),0)</f>
        <v>Insurance</v>
      </c>
      <c r="D2418" t="str">
        <f ca="1">OFFSET(Industries!E$1,MATCH(Table1[[#This Row],[Ticker]],Industries!$A$2:$A$150,0),0)</f>
        <v>Insurance</v>
      </c>
      <c r="E2418" t="s">
        <v>496</v>
      </c>
      <c r="F2418" t="s">
        <v>1343</v>
      </c>
      <c r="G2418" t="s">
        <v>1380</v>
      </c>
      <c r="H2418" t="s">
        <v>1483</v>
      </c>
      <c r="I2418" t="s">
        <v>1437</v>
      </c>
      <c r="J2418" s="2">
        <v>45394</v>
      </c>
      <c r="K2418" t="s">
        <v>2</v>
      </c>
      <c r="L2418" t="s">
        <v>1710</v>
      </c>
      <c r="M2418" t="s">
        <v>1709</v>
      </c>
      <c r="N2418" s="1"/>
      <c r="O2418" s="1" t="s">
        <v>476</v>
      </c>
      <c r="P2418" s="1">
        <v>0.4118</v>
      </c>
      <c r="Q2418" s="1" t="s">
        <v>1646</v>
      </c>
      <c r="R2418" t="s">
        <v>35</v>
      </c>
      <c r="S2418" t="s">
        <v>29</v>
      </c>
      <c r="T2418" t="s">
        <v>30</v>
      </c>
      <c r="U2418" s="1">
        <f t="shared" si="57"/>
        <v>0.33333333333333331</v>
      </c>
      <c r="V2418" t="s">
        <v>1494</v>
      </c>
    </row>
    <row r="2419" spans="1:22" x14ac:dyDescent="0.3">
      <c r="A2419">
        <v>1299</v>
      </c>
      <c r="B2419" t="str">
        <f ca="1">OFFSET(Industries!C$1,MATCH(Table1[[#This Row],[Ticker]],Industries!$A$2:$A$150,0),0)</f>
        <v>Financials</v>
      </c>
      <c r="C2419" t="str">
        <f ca="1">OFFSET(Industries!D$1,MATCH(Table1[[#This Row],[Ticker]],Industries!$A$2:$A$150,0),0)</f>
        <v>Insurance</v>
      </c>
      <c r="D2419" t="str">
        <f ca="1">OFFSET(Industries!E$1,MATCH(Table1[[#This Row],[Ticker]],Industries!$A$2:$A$150,0),0)</f>
        <v>Insurance</v>
      </c>
      <c r="E2419" t="s">
        <v>496</v>
      </c>
      <c r="F2419" t="s">
        <v>1343</v>
      </c>
      <c r="G2419" t="s">
        <v>1380</v>
      </c>
      <c r="H2419" t="s">
        <v>1483</v>
      </c>
      <c r="I2419" t="s">
        <v>1437</v>
      </c>
      <c r="J2419" s="2">
        <v>45394</v>
      </c>
      <c r="K2419" t="s">
        <v>2</v>
      </c>
      <c r="L2419" t="s">
        <v>1710</v>
      </c>
      <c r="M2419" t="s">
        <v>1709</v>
      </c>
      <c r="N2419" s="1"/>
      <c r="O2419" s="1" t="s">
        <v>476</v>
      </c>
      <c r="P2419" s="1">
        <v>0.4118</v>
      </c>
      <c r="R2419" t="s">
        <v>28</v>
      </c>
      <c r="S2419" t="s">
        <v>1110</v>
      </c>
      <c r="T2419" t="s">
        <v>172</v>
      </c>
    </row>
    <row r="2420" spans="1:22" x14ac:dyDescent="0.3">
      <c r="A2420">
        <v>1299</v>
      </c>
      <c r="B2420" t="str">
        <f ca="1">OFFSET(Industries!C$1,MATCH(Table1[[#This Row],[Ticker]],Industries!$A$2:$A$150,0),0)</f>
        <v>Financials</v>
      </c>
      <c r="C2420" t="str">
        <f ca="1">OFFSET(Industries!D$1,MATCH(Table1[[#This Row],[Ticker]],Industries!$A$2:$A$150,0),0)</f>
        <v>Insurance</v>
      </c>
      <c r="D2420" t="str">
        <f ca="1">OFFSET(Industries!E$1,MATCH(Table1[[#This Row],[Ticker]],Industries!$A$2:$A$150,0),0)</f>
        <v>Insurance</v>
      </c>
      <c r="E2420" t="s">
        <v>496</v>
      </c>
      <c r="F2420" t="s">
        <v>1343</v>
      </c>
      <c r="G2420" t="s">
        <v>1380</v>
      </c>
      <c r="H2420" t="s">
        <v>1483</v>
      </c>
      <c r="I2420" t="s">
        <v>1437</v>
      </c>
      <c r="J2420" s="2">
        <v>45394</v>
      </c>
      <c r="K2420" t="s">
        <v>2</v>
      </c>
      <c r="L2420" t="s">
        <v>1710</v>
      </c>
      <c r="M2420" t="s">
        <v>1711</v>
      </c>
      <c r="N2420" s="1">
        <f>Table1[[#This Row],[Consideration Weight]]</f>
        <v>0.14349999999999999</v>
      </c>
      <c r="O2420" s="1" t="s">
        <v>87</v>
      </c>
      <c r="P2420" s="1">
        <v>0.14349999999999999</v>
      </c>
      <c r="V2420" t="s">
        <v>1760</v>
      </c>
    </row>
    <row r="2421" spans="1:22" x14ac:dyDescent="0.3">
      <c r="A2421">
        <v>5930</v>
      </c>
      <c r="B2421" t="str">
        <f ca="1">OFFSET(Industries!C$1,MATCH(Table1[[#This Row],[Ticker]],Industries!$A$2:$A$150,0),0)</f>
        <v>Information Technology</v>
      </c>
      <c r="C2421" t="str">
        <f ca="1">OFFSET(Industries!D$1,MATCH(Table1[[#This Row],[Ticker]],Industries!$A$2:$A$150,0),0)</f>
        <v>Technology Hardware and Equipment</v>
      </c>
      <c r="D2421" t="str">
        <f ca="1">OFFSET(Industries!E$1,MATCH(Table1[[#This Row],[Ticker]],Industries!$A$2:$A$150,0),0)</f>
        <v>Technology Hardware, Storage and Peripherals</v>
      </c>
      <c r="E2421" t="s">
        <v>927</v>
      </c>
      <c r="F2421" t="str">
        <f ca="1">OFFSET(Industries!B$1,MATCH(Table1[[#This Row],[Ticker]],Industries!$A$2:$A$140,0),0)</f>
        <v>Mega-Cap</v>
      </c>
      <c r="G2421" t="str">
        <f ca="1">OFFSET(Industries!F$1,MATCH(Table1[[#This Row],[Ticker]],Industries!$A$2:$A$140,0),0)</f>
        <v>AA-</v>
      </c>
      <c r="H2421" t="s">
        <v>1495</v>
      </c>
      <c r="I2421" t="s">
        <v>1437</v>
      </c>
      <c r="J2421" s="2">
        <v>45363</v>
      </c>
      <c r="K2421" t="s">
        <v>2</v>
      </c>
      <c r="L2421" t="s">
        <v>3</v>
      </c>
      <c r="M2421" t="s">
        <v>1711</v>
      </c>
      <c r="N2421" s="1"/>
      <c r="O2421" s="1" t="s">
        <v>3</v>
      </c>
      <c r="V2421" t="s">
        <v>1757</v>
      </c>
    </row>
    <row r="2422" spans="1:22" x14ac:dyDescent="0.3">
      <c r="A2422">
        <v>5930</v>
      </c>
      <c r="B2422" t="str">
        <f ca="1">OFFSET(Industries!C$1,MATCH(Table1[[#This Row],[Ticker]],Industries!$A$2:$A$150,0),0)</f>
        <v>Information Technology</v>
      </c>
      <c r="C2422" t="str">
        <f ca="1">OFFSET(Industries!D$1,MATCH(Table1[[#This Row],[Ticker]],Industries!$A$2:$A$150,0),0)</f>
        <v>Technology Hardware and Equipment</v>
      </c>
      <c r="D2422" t="str">
        <f ca="1">OFFSET(Industries!E$1,MATCH(Table1[[#This Row],[Ticker]],Industries!$A$2:$A$150,0),0)</f>
        <v>Technology Hardware, Storage and Peripherals</v>
      </c>
      <c r="E2422" t="s">
        <v>927</v>
      </c>
      <c r="F2422" t="str">
        <f ca="1">OFFSET(Industries!B$1,MATCH(Table1[[#This Row],[Ticker]],Industries!$A$2:$A$140,0),0)</f>
        <v>Mega-Cap</v>
      </c>
      <c r="G2422" t="str">
        <f ca="1">OFFSET(Industries!F$1,MATCH(Table1[[#This Row],[Ticker]],Industries!$A$2:$A$140,0),0)</f>
        <v>AA-</v>
      </c>
      <c r="H2422" t="s">
        <v>1495</v>
      </c>
      <c r="I2422" t="s">
        <v>1437</v>
      </c>
      <c r="J2422" s="2">
        <v>45363</v>
      </c>
      <c r="K2422" t="s">
        <v>2</v>
      </c>
      <c r="L2422" t="s">
        <v>1708</v>
      </c>
      <c r="M2422" t="s">
        <v>1709</v>
      </c>
      <c r="N2422" s="1"/>
      <c r="O2422" s="1" t="s">
        <v>4</v>
      </c>
      <c r="Q2422" s="1" t="s">
        <v>1636</v>
      </c>
      <c r="R2422" t="s">
        <v>23</v>
      </c>
      <c r="S2422" t="s">
        <v>1083</v>
      </c>
      <c r="T2422" t="s">
        <v>1083</v>
      </c>
      <c r="U2422" s="1">
        <v>0.25</v>
      </c>
      <c r="V2422" t="s">
        <v>1502</v>
      </c>
    </row>
    <row r="2423" spans="1:22" x14ac:dyDescent="0.3">
      <c r="A2423">
        <v>5930</v>
      </c>
      <c r="B2423" t="str">
        <f ca="1">OFFSET(Industries!C$1,MATCH(Table1[[#This Row],[Ticker]],Industries!$A$2:$A$150,0),0)</f>
        <v>Information Technology</v>
      </c>
      <c r="C2423" t="str">
        <f ca="1">OFFSET(Industries!D$1,MATCH(Table1[[#This Row],[Ticker]],Industries!$A$2:$A$150,0),0)</f>
        <v>Technology Hardware and Equipment</v>
      </c>
      <c r="D2423" t="str">
        <f ca="1">OFFSET(Industries!E$1,MATCH(Table1[[#This Row],[Ticker]],Industries!$A$2:$A$150,0),0)</f>
        <v>Technology Hardware, Storage and Peripherals</v>
      </c>
      <c r="E2423" t="s">
        <v>927</v>
      </c>
      <c r="F2423" t="str">
        <f ca="1">OFFSET(Industries!B$1,MATCH(Table1[[#This Row],[Ticker]],Industries!$A$2:$A$140,0),0)</f>
        <v>Mega-Cap</v>
      </c>
      <c r="G2423" t="str">
        <f ca="1">OFFSET(Industries!F$1,MATCH(Table1[[#This Row],[Ticker]],Industries!$A$2:$A$140,0),0)</f>
        <v>AA-</v>
      </c>
      <c r="H2423" t="s">
        <v>1495</v>
      </c>
      <c r="I2423" t="s">
        <v>1437</v>
      </c>
      <c r="J2423" s="2">
        <v>45363</v>
      </c>
      <c r="K2423" t="s">
        <v>2</v>
      </c>
      <c r="L2423" t="s">
        <v>1708</v>
      </c>
      <c r="M2423" t="s">
        <v>1709</v>
      </c>
      <c r="N2423" s="1"/>
      <c r="O2423" s="1" t="s">
        <v>4</v>
      </c>
      <c r="Q2423" s="1" t="s">
        <v>1636</v>
      </c>
      <c r="R2423" t="s">
        <v>24</v>
      </c>
      <c r="S2423" t="s">
        <v>90</v>
      </c>
      <c r="T2423" t="s">
        <v>90</v>
      </c>
      <c r="U2423" s="1">
        <v>0.25</v>
      </c>
    </row>
    <row r="2424" spans="1:22" x14ac:dyDescent="0.3">
      <c r="A2424">
        <v>5930</v>
      </c>
      <c r="B2424" t="str">
        <f ca="1">OFFSET(Industries!C$1,MATCH(Table1[[#This Row],[Ticker]],Industries!$A$2:$A$150,0),0)</f>
        <v>Information Technology</v>
      </c>
      <c r="C2424" t="str">
        <f ca="1">OFFSET(Industries!D$1,MATCH(Table1[[#This Row],[Ticker]],Industries!$A$2:$A$150,0),0)</f>
        <v>Technology Hardware and Equipment</v>
      </c>
      <c r="D2424" t="str">
        <f ca="1">OFFSET(Industries!E$1,MATCH(Table1[[#This Row],[Ticker]],Industries!$A$2:$A$150,0),0)</f>
        <v>Technology Hardware, Storage and Peripherals</v>
      </c>
      <c r="E2424" t="s">
        <v>927</v>
      </c>
      <c r="F2424" t="str">
        <f ca="1">OFFSET(Industries!B$1,MATCH(Table1[[#This Row],[Ticker]],Industries!$A$2:$A$140,0),0)</f>
        <v>Mega-Cap</v>
      </c>
      <c r="G2424" t="str">
        <f ca="1">OFFSET(Industries!F$1,MATCH(Table1[[#This Row],[Ticker]],Industries!$A$2:$A$140,0),0)</f>
        <v>AA-</v>
      </c>
      <c r="H2424" t="s">
        <v>1495</v>
      </c>
      <c r="I2424" t="s">
        <v>1437</v>
      </c>
      <c r="J2424" s="2">
        <v>45363</v>
      </c>
      <c r="K2424" t="s">
        <v>2</v>
      </c>
      <c r="L2424" t="s">
        <v>1708</v>
      </c>
      <c r="M2424" t="s">
        <v>1709</v>
      </c>
      <c r="N2424" s="1"/>
      <c r="O2424" s="1" t="s">
        <v>4</v>
      </c>
      <c r="Q2424" s="1" t="s">
        <v>1636</v>
      </c>
      <c r="R2424" t="s">
        <v>24</v>
      </c>
      <c r="S2424" t="s">
        <v>1098</v>
      </c>
      <c r="T2424" t="s">
        <v>1496</v>
      </c>
      <c r="U2424" s="1">
        <v>0.25</v>
      </c>
    </row>
    <row r="2425" spans="1:22" x14ac:dyDescent="0.3">
      <c r="A2425">
        <v>5930</v>
      </c>
      <c r="B2425" t="str">
        <f ca="1">OFFSET(Industries!C$1,MATCH(Table1[[#This Row],[Ticker]],Industries!$A$2:$A$150,0),0)</f>
        <v>Information Technology</v>
      </c>
      <c r="C2425" t="str">
        <f ca="1">OFFSET(Industries!D$1,MATCH(Table1[[#This Row],[Ticker]],Industries!$A$2:$A$150,0),0)</f>
        <v>Technology Hardware and Equipment</v>
      </c>
      <c r="D2425" t="str">
        <f ca="1">OFFSET(Industries!E$1,MATCH(Table1[[#This Row],[Ticker]],Industries!$A$2:$A$150,0),0)</f>
        <v>Technology Hardware, Storage and Peripherals</v>
      </c>
      <c r="E2425" t="s">
        <v>927</v>
      </c>
      <c r="F2425" t="str">
        <f ca="1">OFFSET(Industries!B$1,MATCH(Table1[[#This Row],[Ticker]],Industries!$A$2:$A$140,0),0)</f>
        <v>Mega-Cap</v>
      </c>
      <c r="G2425" t="str">
        <f ca="1">OFFSET(Industries!F$1,MATCH(Table1[[#This Row],[Ticker]],Industries!$A$2:$A$140,0),0)</f>
        <v>AA-</v>
      </c>
      <c r="H2425" t="s">
        <v>1495</v>
      </c>
      <c r="I2425" t="s">
        <v>1437</v>
      </c>
      <c r="J2425" s="2">
        <v>45363</v>
      </c>
      <c r="K2425" t="s">
        <v>2</v>
      </c>
      <c r="L2425" t="s">
        <v>1708</v>
      </c>
      <c r="M2425" t="s">
        <v>1709</v>
      </c>
      <c r="N2425" s="1"/>
      <c r="O2425" s="1" t="s">
        <v>4</v>
      </c>
      <c r="Q2425" s="1" t="s">
        <v>1636</v>
      </c>
      <c r="R2425" t="s">
        <v>1059</v>
      </c>
      <c r="S2425" t="s">
        <v>1086</v>
      </c>
      <c r="T2425" t="s">
        <v>1497</v>
      </c>
      <c r="U2425" s="1">
        <v>0.25</v>
      </c>
    </row>
    <row r="2426" spans="1:22" x14ac:dyDescent="0.3">
      <c r="A2426">
        <v>5930</v>
      </c>
      <c r="B2426" t="str">
        <f ca="1">OFFSET(Industries!C$1,MATCH(Table1[[#This Row],[Ticker]],Industries!$A$2:$A$150,0),0)</f>
        <v>Information Technology</v>
      </c>
      <c r="C2426" t="str">
        <f ca="1">OFFSET(Industries!D$1,MATCH(Table1[[#This Row],[Ticker]],Industries!$A$2:$A$150,0),0)</f>
        <v>Technology Hardware and Equipment</v>
      </c>
      <c r="D2426" t="str">
        <f ca="1">OFFSET(Industries!E$1,MATCH(Table1[[#This Row],[Ticker]],Industries!$A$2:$A$150,0),0)</f>
        <v>Technology Hardware, Storage and Peripherals</v>
      </c>
      <c r="E2426" t="s">
        <v>927</v>
      </c>
      <c r="F2426" t="str">
        <f ca="1">OFFSET(Industries!B$1,MATCH(Table1[[#This Row],[Ticker]],Industries!$A$2:$A$140,0),0)</f>
        <v>Mega-Cap</v>
      </c>
      <c r="G2426" t="str">
        <f ca="1">OFFSET(Industries!F$1,MATCH(Table1[[#This Row],[Ticker]],Industries!$A$2:$A$140,0),0)</f>
        <v>AA-</v>
      </c>
      <c r="H2426" t="s">
        <v>1495</v>
      </c>
      <c r="I2426" t="s">
        <v>1437</v>
      </c>
      <c r="J2426" s="2">
        <v>45363</v>
      </c>
      <c r="K2426" t="s">
        <v>2</v>
      </c>
      <c r="L2426" t="s">
        <v>1708</v>
      </c>
      <c r="M2426" t="s">
        <v>1709</v>
      </c>
      <c r="N2426" s="1"/>
      <c r="O2426" s="1" t="s">
        <v>4</v>
      </c>
      <c r="R2426" t="s">
        <v>28</v>
      </c>
      <c r="S2426" t="s">
        <v>1087</v>
      </c>
      <c r="T2426" t="s">
        <v>1087</v>
      </c>
    </row>
    <row r="2427" spans="1:22" x14ac:dyDescent="0.3">
      <c r="A2427">
        <v>5930</v>
      </c>
      <c r="B2427" t="str">
        <f ca="1">OFFSET(Industries!C$1,MATCH(Table1[[#This Row],[Ticker]],Industries!$A$2:$A$150,0),0)</f>
        <v>Information Technology</v>
      </c>
      <c r="C2427" t="str">
        <f ca="1">OFFSET(Industries!D$1,MATCH(Table1[[#This Row],[Ticker]],Industries!$A$2:$A$150,0),0)</f>
        <v>Technology Hardware and Equipment</v>
      </c>
      <c r="D2427" t="str">
        <f ca="1">OFFSET(Industries!E$1,MATCH(Table1[[#This Row],[Ticker]],Industries!$A$2:$A$150,0),0)</f>
        <v>Technology Hardware, Storage and Peripherals</v>
      </c>
      <c r="E2427" t="s">
        <v>927</v>
      </c>
      <c r="F2427" t="str">
        <f ca="1">OFFSET(Industries!B$1,MATCH(Table1[[#This Row],[Ticker]],Industries!$A$2:$A$140,0),0)</f>
        <v>Mega-Cap</v>
      </c>
      <c r="G2427" t="str">
        <f ca="1">OFFSET(Industries!F$1,MATCH(Table1[[#This Row],[Ticker]],Industries!$A$2:$A$140,0),0)</f>
        <v>AA-</v>
      </c>
      <c r="H2427" t="s">
        <v>1495</v>
      </c>
      <c r="I2427" t="s">
        <v>1437</v>
      </c>
      <c r="J2427" s="2">
        <v>45363</v>
      </c>
      <c r="K2427" t="s">
        <v>2</v>
      </c>
      <c r="L2427" t="s">
        <v>1710</v>
      </c>
      <c r="M2427" t="s">
        <v>1709</v>
      </c>
      <c r="N2427" s="1"/>
      <c r="O2427" s="1" t="s">
        <v>488</v>
      </c>
      <c r="Q2427" s="1" t="s">
        <v>1636</v>
      </c>
      <c r="R2427" t="s">
        <v>1059</v>
      </c>
      <c r="S2427" t="s">
        <v>1092</v>
      </c>
      <c r="T2427" t="s">
        <v>1499</v>
      </c>
      <c r="V2427" t="s">
        <v>1498</v>
      </c>
    </row>
    <row r="2428" spans="1:22" x14ac:dyDescent="0.3">
      <c r="A2428">
        <v>5930</v>
      </c>
      <c r="B2428" t="str">
        <f ca="1">OFFSET(Industries!C$1,MATCH(Table1[[#This Row],[Ticker]],Industries!$A$2:$A$150,0),0)</f>
        <v>Information Technology</v>
      </c>
      <c r="C2428" t="str">
        <f ca="1">OFFSET(Industries!D$1,MATCH(Table1[[#This Row],[Ticker]],Industries!$A$2:$A$150,0),0)</f>
        <v>Technology Hardware and Equipment</v>
      </c>
      <c r="D2428" t="str">
        <f ca="1">OFFSET(Industries!E$1,MATCH(Table1[[#This Row],[Ticker]],Industries!$A$2:$A$150,0),0)</f>
        <v>Technology Hardware, Storage and Peripherals</v>
      </c>
      <c r="E2428" t="s">
        <v>927</v>
      </c>
      <c r="F2428" t="str">
        <f ca="1">OFFSET(Industries!B$1,MATCH(Table1[[#This Row],[Ticker]],Industries!$A$2:$A$140,0),0)</f>
        <v>Mega-Cap</v>
      </c>
      <c r="G2428" t="str">
        <f ca="1">OFFSET(Industries!F$1,MATCH(Table1[[#This Row],[Ticker]],Industries!$A$2:$A$140,0),0)</f>
        <v>AA-</v>
      </c>
      <c r="H2428" t="s">
        <v>1495</v>
      </c>
      <c r="I2428" t="s">
        <v>1437</v>
      </c>
      <c r="J2428" s="2">
        <v>45363</v>
      </c>
      <c r="K2428" t="s">
        <v>2</v>
      </c>
      <c r="L2428" t="s">
        <v>1710</v>
      </c>
      <c r="M2428" t="s">
        <v>1709</v>
      </c>
      <c r="N2428" s="1"/>
      <c r="O2428" s="1" t="s">
        <v>488</v>
      </c>
      <c r="Q2428" s="1" t="s">
        <v>1646</v>
      </c>
      <c r="R2428" t="s">
        <v>35</v>
      </c>
      <c r="S2428" t="s">
        <v>491</v>
      </c>
      <c r="T2428" t="s">
        <v>1500</v>
      </c>
    </row>
    <row r="2429" spans="1:22" x14ac:dyDescent="0.3">
      <c r="A2429">
        <v>5930</v>
      </c>
      <c r="B2429" t="str">
        <f ca="1">OFFSET(Industries!C$1,MATCH(Table1[[#This Row],[Ticker]],Industries!$A$2:$A$150,0),0)</f>
        <v>Information Technology</v>
      </c>
      <c r="C2429" t="str">
        <f ca="1">OFFSET(Industries!D$1,MATCH(Table1[[#This Row],[Ticker]],Industries!$A$2:$A$150,0),0)</f>
        <v>Technology Hardware and Equipment</v>
      </c>
      <c r="D2429" t="str">
        <f ca="1">OFFSET(Industries!E$1,MATCH(Table1[[#This Row],[Ticker]],Industries!$A$2:$A$150,0),0)</f>
        <v>Technology Hardware, Storage and Peripherals</v>
      </c>
      <c r="E2429" t="s">
        <v>927</v>
      </c>
      <c r="F2429" t="str">
        <f ca="1">OFFSET(Industries!B$1,MATCH(Table1[[#This Row],[Ticker]],Industries!$A$2:$A$140,0),0)</f>
        <v>Mega-Cap</v>
      </c>
      <c r="G2429" t="str">
        <f ca="1">OFFSET(Industries!F$1,MATCH(Table1[[#This Row],[Ticker]],Industries!$A$2:$A$140,0),0)</f>
        <v>AA-</v>
      </c>
      <c r="H2429" t="s">
        <v>1495</v>
      </c>
      <c r="I2429" t="s">
        <v>1437</v>
      </c>
      <c r="J2429" s="2">
        <v>45363</v>
      </c>
      <c r="K2429" t="s">
        <v>2</v>
      </c>
      <c r="L2429" t="s">
        <v>1710</v>
      </c>
      <c r="M2429" t="s">
        <v>1709</v>
      </c>
      <c r="N2429" s="1"/>
      <c r="O2429" s="1" t="s">
        <v>488</v>
      </c>
      <c r="Q2429" s="1" t="s">
        <v>1636</v>
      </c>
      <c r="R2429" t="s">
        <v>24</v>
      </c>
      <c r="S2429" t="s">
        <v>509</v>
      </c>
      <c r="T2429" t="s">
        <v>1501</v>
      </c>
      <c r="V2429" t="s">
        <v>1761</v>
      </c>
    </row>
    <row r="2430" spans="1:22" x14ac:dyDescent="0.3">
      <c r="A2430">
        <v>5930</v>
      </c>
      <c r="B2430" t="str">
        <f ca="1">OFFSET(Industries!C$1,MATCH(Table1[[#This Row],[Ticker]],Industries!$A$2:$A$150,0),0)</f>
        <v>Information Technology</v>
      </c>
      <c r="C2430" t="str">
        <f ca="1">OFFSET(Industries!D$1,MATCH(Table1[[#This Row],[Ticker]],Industries!$A$2:$A$150,0),0)</f>
        <v>Technology Hardware and Equipment</v>
      </c>
      <c r="D2430" t="str">
        <f ca="1">OFFSET(Industries!E$1,MATCH(Table1[[#This Row],[Ticker]],Industries!$A$2:$A$150,0),0)</f>
        <v>Technology Hardware, Storage and Peripherals</v>
      </c>
      <c r="E2430" t="s">
        <v>927</v>
      </c>
      <c r="F2430" t="str">
        <f ca="1">OFFSET(Industries!B$1,MATCH(Table1[[#This Row],[Ticker]],Industries!$A$2:$A$140,0),0)</f>
        <v>Mega-Cap</v>
      </c>
      <c r="G2430" t="str">
        <f ca="1">OFFSET(Industries!F$1,MATCH(Table1[[#This Row],[Ticker]],Industries!$A$2:$A$140,0),0)</f>
        <v>AA-</v>
      </c>
      <c r="H2430" t="s">
        <v>1495</v>
      </c>
      <c r="I2430" t="s">
        <v>1437</v>
      </c>
      <c r="J2430" s="2">
        <v>45363</v>
      </c>
      <c r="K2430" t="s">
        <v>21</v>
      </c>
      <c r="L2430" t="s">
        <v>3</v>
      </c>
      <c r="M2430" t="s">
        <v>1711</v>
      </c>
      <c r="N2430" s="1"/>
      <c r="O2430" s="1" t="s">
        <v>3</v>
      </c>
    </row>
    <row r="2431" spans="1:22" x14ac:dyDescent="0.3">
      <c r="A2431">
        <v>5930</v>
      </c>
      <c r="B2431" t="str">
        <f ca="1">OFFSET(Industries!C$1,MATCH(Table1[[#This Row],[Ticker]],Industries!$A$2:$A$150,0),0)</f>
        <v>Information Technology</v>
      </c>
      <c r="C2431" t="str">
        <f ca="1">OFFSET(Industries!D$1,MATCH(Table1[[#This Row],[Ticker]],Industries!$A$2:$A$150,0),0)</f>
        <v>Technology Hardware and Equipment</v>
      </c>
      <c r="D2431" t="str">
        <f ca="1">OFFSET(Industries!E$1,MATCH(Table1[[#This Row],[Ticker]],Industries!$A$2:$A$150,0),0)</f>
        <v>Technology Hardware, Storage and Peripherals</v>
      </c>
      <c r="E2431" t="s">
        <v>927</v>
      </c>
      <c r="F2431" t="str">
        <f ca="1">OFFSET(Industries!B$1,MATCH(Table1[[#This Row],[Ticker]],Industries!$A$2:$A$140,0),0)</f>
        <v>Mega-Cap</v>
      </c>
      <c r="G2431" t="str">
        <f ca="1">OFFSET(Industries!F$1,MATCH(Table1[[#This Row],[Ticker]],Industries!$A$2:$A$140,0),0)</f>
        <v>AA-</v>
      </c>
      <c r="H2431" t="s">
        <v>1495</v>
      </c>
      <c r="I2431" t="s">
        <v>1437</v>
      </c>
      <c r="J2431" s="2">
        <v>45363</v>
      </c>
      <c r="K2431" t="s">
        <v>21</v>
      </c>
      <c r="L2431" t="s">
        <v>1708</v>
      </c>
      <c r="M2431" t="s">
        <v>1709</v>
      </c>
      <c r="N2431" s="1"/>
      <c r="O2431" s="1" t="s">
        <v>4</v>
      </c>
      <c r="Q2431" s="1" t="s">
        <v>1636</v>
      </c>
      <c r="R2431" t="s">
        <v>23</v>
      </c>
      <c r="S2431" t="s">
        <v>1083</v>
      </c>
      <c r="T2431" t="s">
        <v>1083</v>
      </c>
      <c r="U2431" s="1">
        <v>0.25</v>
      </c>
    </row>
    <row r="2432" spans="1:22" x14ac:dyDescent="0.3">
      <c r="A2432">
        <v>5930</v>
      </c>
      <c r="B2432" t="str">
        <f ca="1">OFFSET(Industries!C$1,MATCH(Table1[[#This Row],[Ticker]],Industries!$A$2:$A$150,0),0)</f>
        <v>Information Technology</v>
      </c>
      <c r="C2432" t="str">
        <f ca="1">OFFSET(Industries!D$1,MATCH(Table1[[#This Row],[Ticker]],Industries!$A$2:$A$150,0),0)</f>
        <v>Technology Hardware and Equipment</v>
      </c>
      <c r="D2432" t="str">
        <f ca="1">OFFSET(Industries!E$1,MATCH(Table1[[#This Row],[Ticker]],Industries!$A$2:$A$150,0),0)</f>
        <v>Technology Hardware, Storage and Peripherals</v>
      </c>
      <c r="E2432" t="s">
        <v>927</v>
      </c>
      <c r="F2432" t="str">
        <f ca="1">OFFSET(Industries!B$1,MATCH(Table1[[#This Row],[Ticker]],Industries!$A$2:$A$140,0),0)</f>
        <v>Mega-Cap</v>
      </c>
      <c r="G2432" t="str">
        <f ca="1">OFFSET(Industries!F$1,MATCH(Table1[[#This Row],[Ticker]],Industries!$A$2:$A$140,0),0)</f>
        <v>AA-</v>
      </c>
      <c r="H2432" t="s">
        <v>1495</v>
      </c>
      <c r="I2432" t="s">
        <v>1437</v>
      </c>
      <c r="J2432" s="2">
        <v>45363</v>
      </c>
      <c r="K2432" t="s">
        <v>21</v>
      </c>
      <c r="L2432" t="s">
        <v>1708</v>
      </c>
      <c r="M2432" t="s">
        <v>1709</v>
      </c>
      <c r="N2432" s="1"/>
      <c r="O2432" s="1" t="s">
        <v>4</v>
      </c>
      <c r="Q2432" s="1" t="s">
        <v>1636</v>
      </c>
      <c r="R2432" t="s">
        <v>24</v>
      </c>
      <c r="S2432" t="s">
        <v>90</v>
      </c>
      <c r="T2432" t="s">
        <v>90</v>
      </c>
      <c r="U2432" s="1">
        <v>0.25</v>
      </c>
    </row>
    <row r="2433" spans="1:22" x14ac:dyDescent="0.3">
      <c r="A2433">
        <v>5930</v>
      </c>
      <c r="B2433" t="str">
        <f ca="1">OFFSET(Industries!C$1,MATCH(Table1[[#This Row],[Ticker]],Industries!$A$2:$A$150,0),0)</f>
        <v>Information Technology</v>
      </c>
      <c r="C2433" t="str">
        <f ca="1">OFFSET(Industries!D$1,MATCH(Table1[[#This Row],[Ticker]],Industries!$A$2:$A$150,0),0)</f>
        <v>Technology Hardware and Equipment</v>
      </c>
      <c r="D2433" t="str">
        <f ca="1">OFFSET(Industries!E$1,MATCH(Table1[[#This Row],[Ticker]],Industries!$A$2:$A$150,0),0)</f>
        <v>Technology Hardware, Storage and Peripherals</v>
      </c>
      <c r="E2433" t="s">
        <v>927</v>
      </c>
      <c r="F2433" t="str">
        <f ca="1">OFFSET(Industries!B$1,MATCH(Table1[[#This Row],[Ticker]],Industries!$A$2:$A$140,0),0)</f>
        <v>Mega-Cap</v>
      </c>
      <c r="G2433" t="str">
        <f ca="1">OFFSET(Industries!F$1,MATCH(Table1[[#This Row],[Ticker]],Industries!$A$2:$A$140,0),0)</f>
        <v>AA-</v>
      </c>
      <c r="H2433" t="s">
        <v>1495</v>
      </c>
      <c r="I2433" t="s">
        <v>1437</v>
      </c>
      <c r="J2433" s="2">
        <v>45363</v>
      </c>
      <c r="K2433" t="s">
        <v>21</v>
      </c>
      <c r="L2433" t="s">
        <v>1708</v>
      </c>
      <c r="M2433" t="s">
        <v>1709</v>
      </c>
      <c r="N2433" s="1"/>
      <c r="O2433" s="1" t="s">
        <v>4</v>
      </c>
      <c r="Q2433" s="1" t="s">
        <v>1636</v>
      </c>
      <c r="R2433" t="s">
        <v>24</v>
      </c>
      <c r="S2433" t="s">
        <v>1098</v>
      </c>
      <c r="T2433" t="s">
        <v>1496</v>
      </c>
      <c r="U2433" s="1">
        <v>0.25</v>
      </c>
    </row>
    <row r="2434" spans="1:22" x14ac:dyDescent="0.3">
      <c r="A2434">
        <v>5930</v>
      </c>
      <c r="B2434" t="str">
        <f ca="1">OFFSET(Industries!C$1,MATCH(Table1[[#This Row],[Ticker]],Industries!$A$2:$A$150,0),0)</f>
        <v>Information Technology</v>
      </c>
      <c r="C2434" t="str">
        <f ca="1">OFFSET(Industries!D$1,MATCH(Table1[[#This Row],[Ticker]],Industries!$A$2:$A$150,0),0)</f>
        <v>Technology Hardware and Equipment</v>
      </c>
      <c r="D2434" t="str">
        <f ca="1">OFFSET(Industries!E$1,MATCH(Table1[[#This Row],[Ticker]],Industries!$A$2:$A$150,0),0)</f>
        <v>Technology Hardware, Storage and Peripherals</v>
      </c>
      <c r="E2434" t="s">
        <v>927</v>
      </c>
      <c r="F2434" t="str">
        <f ca="1">OFFSET(Industries!B$1,MATCH(Table1[[#This Row],[Ticker]],Industries!$A$2:$A$140,0),0)</f>
        <v>Mega-Cap</v>
      </c>
      <c r="G2434" t="str">
        <f ca="1">OFFSET(Industries!F$1,MATCH(Table1[[#This Row],[Ticker]],Industries!$A$2:$A$140,0),0)</f>
        <v>AA-</v>
      </c>
      <c r="H2434" t="s">
        <v>1495</v>
      </c>
      <c r="I2434" t="s">
        <v>1437</v>
      </c>
      <c r="J2434" s="2">
        <v>45363</v>
      </c>
      <c r="K2434" t="s">
        <v>21</v>
      </c>
      <c r="L2434" t="s">
        <v>1708</v>
      </c>
      <c r="M2434" t="s">
        <v>1709</v>
      </c>
      <c r="N2434" s="1"/>
      <c r="O2434" s="1" t="s">
        <v>4</v>
      </c>
      <c r="Q2434" s="1" t="s">
        <v>1637</v>
      </c>
      <c r="R2434" t="s">
        <v>1059</v>
      </c>
      <c r="S2434" t="s">
        <v>1086</v>
      </c>
      <c r="T2434" t="s">
        <v>1497</v>
      </c>
      <c r="U2434" s="1">
        <v>0.25</v>
      </c>
    </row>
    <row r="2435" spans="1:22" x14ac:dyDescent="0.3">
      <c r="A2435">
        <v>5930</v>
      </c>
      <c r="B2435" t="str">
        <f ca="1">OFFSET(Industries!C$1,MATCH(Table1[[#This Row],[Ticker]],Industries!$A$2:$A$150,0),0)</f>
        <v>Information Technology</v>
      </c>
      <c r="C2435" t="str">
        <f ca="1">OFFSET(Industries!D$1,MATCH(Table1[[#This Row],[Ticker]],Industries!$A$2:$A$150,0),0)</f>
        <v>Technology Hardware and Equipment</v>
      </c>
      <c r="D2435" t="str">
        <f ca="1">OFFSET(Industries!E$1,MATCH(Table1[[#This Row],[Ticker]],Industries!$A$2:$A$150,0),0)</f>
        <v>Technology Hardware, Storage and Peripherals</v>
      </c>
      <c r="E2435" t="s">
        <v>927</v>
      </c>
      <c r="F2435" t="str">
        <f ca="1">OFFSET(Industries!B$1,MATCH(Table1[[#This Row],[Ticker]],Industries!$A$2:$A$140,0),0)</f>
        <v>Mega-Cap</v>
      </c>
      <c r="G2435" t="str">
        <f ca="1">OFFSET(Industries!F$1,MATCH(Table1[[#This Row],[Ticker]],Industries!$A$2:$A$140,0),0)</f>
        <v>AA-</v>
      </c>
      <c r="H2435" t="s">
        <v>1495</v>
      </c>
      <c r="I2435" t="s">
        <v>1437</v>
      </c>
      <c r="J2435" s="2">
        <v>45363</v>
      </c>
      <c r="K2435" t="s">
        <v>21</v>
      </c>
      <c r="L2435" t="s">
        <v>1708</v>
      </c>
      <c r="M2435" t="s">
        <v>1709</v>
      </c>
      <c r="N2435" s="1"/>
      <c r="O2435" s="1" t="s">
        <v>4</v>
      </c>
      <c r="R2435" t="s">
        <v>332</v>
      </c>
      <c r="S2435" t="s">
        <v>1087</v>
      </c>
      <c r="T2435" t="s">
        <v>1087</v>
      </c>
    </row>
    <row r="2436" spans="1:22" x14ac:dyDescent="0.3">
      <c r="A2436">
        <v>5930</v>
      </c>
      <c r="B2436" t="str">
        <f ca="1">OFFSET(Industries!C$1,MATCH(Table1[[#This Row],[Ticker]],Industries!$A$2:$A$150,0),0)</f>
        <v>Information Technology</v>
      </c>
      <c r="C2436" t="str">
        <f ca="1">OFFSET(Industries!D$1,MATCH(Table1[[#This Row],[Ticker]],Industries!$A$2:$A$150,0),0)</f>
        <v>Technology Hardware and Equipment</v>
      </c>
      <c r="D2436" t="str">
        <f ca="1">OFFSET(Industries!E$1,MATCH(Table1[[#This Row],[Ticker]],Industries!$A$2:$A$150,0),0)</f>
        <v>Technology Hardware, Storage and Peripherals</v>
      </c>
      <c r="E2436" t="s">
        <v>927</v>
      </c>
      <c r="F2436" t="str">
        <f ca="1">OFFSET(Industries!B$1,MATCH(Table1[[#This Row],[Ticker]],Industries!$A$2:$A$140,0),0)</f>
        <v>Mega-Cap</v>
      </c>
      <c r="G2436" t="str">
        <f ca="1">OFFSET(Industries!F$1,MATCH(Table1[[#This Row],[Ticker]],Industries!$A$2:$A$140,0),0)</f>
        <v>AA-</v>
      </c>
      <c r="H2436" t="s">
        <v>1495</v>
      </c>
      <c r="I2436" t="s">
        <v>1437</v>
      </c>
      <c r="J2436" s="2">
        <v>45363</v>
      </c>
      <c r="K2436" t="s">
        <v>21</v>
      </c>
      <c r="L2436" t="s">
        <v>1710</v>
      </c>
      <c r="M2436" t="s">
        <v>1709</v>
      </c>
      <c r="N2436" s="1"/>
      <c r="O2436" s="1" t="s">
        <v>488</v>
      </c>
      <c r="Q2436" s="1" t="s">
        <v>1636</v>
      </c>
      <c r="R2436" t="s">
        <v>1059</v>
      </c>
      <c r="S2436" t="s">
        <v>1092</v>
      </c>
      <c r="T2436" t="s">
        <v>1499</v>
      </c>
    </row>
    <row r="2437" spans="1:22" x14ac:dyDescent="0.3">
      <c r="A2437">
        <v>5930</v>
      </c>
      <c r="B2437" t="str">
        <f ca="1">OFFSET(Industries!C$1,MATCH(Table1[[#This Row],[Ticker]],Industries!$A$2:$A$150,0),0)</f>
        <v>Information Technology</v>
      </c>
      <c r="C2437" t="str">
        <f ca="1">OFFSET(Industries!D$1,MATCH(Table1[[#This Row],[Ticker]],Industries!$A$2:$A$150,0),0)</f>
        <v>Technology Hardware and Equipment</v>
      </c>
      <c r="D2437" t="str">
        <f ca="1">OFFSET(Industries!E$1,MATCH(Table1[[#This Row],[Ticker]],Industries!$A$2:$A$150,0),0)</f>
        <v>Technology Hardware, Storage and Peripherals</v>
      </c>
      <c r="E2437" t="s">
        <v>927</v>
      </c>
      <c r="F2437" t="str">
        <f ca="1">OFFSET(Industries!B$1,MATCH(Table1[[#This Row],[Ticker]],Industries!$A$2:$A$140,0),0)</f>
        <v>Mega-Cap</v>
      </c>
      <c r="G2437" t="str">
        <f ca="1">OFFSET(Industries!F$1,MATCH(Table1[[#This Row],[Ticker]],Industries!$A$2:$A$140,0),0)</f>
        <v>AA-</v>
      </c>
      <c r="H2437" t="s">
        <v>1495</v>
      </c>
      <c r="I2437" t="s">
        <v>1437</v>
      </c>
      <c r="J2437" s="2">
        <v>45363</v>
      </c>
      <c r="K2437" t="s">
        <v>21</v>
      </c>
      <c r="L2437" t="s">
        <v>1710</v>
      </c>
      <c r="M2437" t="s">
        <v>1709</v>
      </c>
      <c r="N2437" s="1"/>
      <c r="O2437" s="1" t="s">
        <v>488</v>
      </c>
      <c r="Q2437" s="1" t="s">
        <v>1646</v>
      </c>
      <c r="R2437" t="s">
        <v>35</v>
      </c>
      <c r="S2437" t="s">
        <v>491</v>
      </c>
      <c r="T2437" t="s">
        <v>1500</v>
      </c>
    </row>
    <row r="2438" spans="1:22" x14ac:dyDescent="0.3">
      <c r="A2438">
        <v>5930</v>
      </c>
      <c r="B2438" t="str">
        <f ca="1">OFFSET(Industries!C$1,MATCH(Table1[[#This Row],[Ticker]],Industries!$A$2:$A$150,0),0)</f>
        <v>Information Technology</v>
      </c>
      <c r="C2438" t="str">
        <f ca="1">OFFSET(Industries!D$1,MATCH(Table1[[#This Row],[Ticker]],Industries!$A$2:$A$150,0),0)</f>
        <v>Technology Hardware and Equipment</v>
      </c>
      <c r="D2438" t="str">
        <f ca="1">OFFSET(Industries!E$1,MATCH(Table1[[#This Row],[Ticker]],Industries!$A$2:$A$150,0),0)</f>
        <v>Technology Hardware, Storage and Peripherals</v>
      </c>
      <c r="E2438" t="s">
        <v>927</v>
      </c>
      <c r="F2438" t="str">
        <f ca="1">OFFSET(Industries!B$1,MATCH(Table1[[#This Row],[Ticker]],Industries!$A$2:$A$140,0),0)</f>
        <v>Mega-Cap</v>
      </c>
      <c r="G2438" t="str">
        <f ca="1">OFFSET(Industries!F$1,MATCH(Table1[[#This Row],[Ticker]],Industries!$A$2:$A$140,0),0)</f>
        <v>AA-</v>
      </c>
      <c r="H2438" t="s">
        <v>1495</v>
      </c>
      <c r="I2438" t="s">
        <v>1437</v>
      </c>
      <c r="J2438" s="2">
        <v>45363</v>
      </c>
      <c r="K2438" t="s">
        <v>21</v>
      </c>
      <c r="L2438" t="s">
        <v>1710</v>
      </c>
      <c r="M2438" t="s">
        <v>1709</v>
      </c>
      <c r="N2438" s="1"/>
      <c r="O2438" s="1" t="s">
        <v>488</v>
      </c>
      <c r="Q2438" s="1" t="s">
        <v>1636</v>
      </c>
      <c r="R2438" t="s">
        <v>24</v>
      </c>
      <c r="S2438" t="s">
        <v>509</v>
      </c>
      <c r="T2438" t="s">
        <v>1501</v>
      </c>
    </row>
    <row r="2439" spans="1:22" x14ac:dyDescent="0.3">
      <c r="A2439">
        <v>4568</v>
      </c>
      <c r="B2439" t="str">
        <f ca="1">OFFSET(Industries!C$1,MATCH(Table1[[#This Row],[Ticker]],Industries!$A$2:$A$150,0),0)</f>
        <v>Health Care</v>
      </c>
      <c r="C2439" t="str">
        <f ca="1">OFFSET(Industries!D$1,MATCH(Table1[[#This Row],[Ticker]],Industries!$A$2:$A$150,0),0)</f>
        <v>Pharmaceuticals, Biotechnology and Life Sciences</v>
      </c>
      <c r="D2439" t="str">
        <f ca="1">OFFSET(Industries!E$1,MATCH(Table1[[#This Row],[Ticker]],Industries!$A$2:$A$150,0),0)</f>
        <v>Pharmaceuticals</v>
      </c>
      <c r="E2439" t="s">
        <v>49</v>
      </c>
      <c r="F2439" t="str">
        <f ca="1">OFFSET(Industries!B$1,MATCH(Table1[[#This Row],[Ticker]],Industries!$A$2:$A$140,0),0)</f>
        <v>Ultra-Cap</v>
      </c>
      <c r="G2439" t="s">
        <v>1384</v>
      </c>
      <c r="H2439" t="s">
        <v>1503</v>
      </c>
      <c r="I2439" t="s">
        <v>1437</v>
      </c>
      <c r="J2439" s="2">
        <v>45432</v>
      </c>
      <c r="K2439" t="s">
        <v>2</v>
      </c>
      <c r="L2439" t="s">
        <v>3</v>
      </c>
      <c r="M2439" t="s">
        <v>1711</v>
      </c>
      <c r="N2439" s="1">
        <f>Table1[[#This Row],[Consideration Weight]]</f>
        <v>0.4</v>
      </c>
      <c r="O2439" s="1" t="s">
        <v>3</v>
      </c>
      <c r="P2439" s="1">
        <v>0.4</v>
      </c>
    </row>
    <row r="2440" spans="1:22" x14ac:dyDescent="0.3">
      <c r="A2440">
        <v>4568</v>
      </c>
      <c r="B2440" t="str">
        <f ca="1">OFFSET(Industries!C$1,MATCH(Table1[[#This Row],[Ticker]],Industries!$A$2:$A$150,0),0)</f>
        <v>Health Care</v>
      </c>
      <c r="C2440" t="str">
        <f ca="1">OFFSET(Industries!D$1,MATCH(Table1[[#This Row],[Ticker]],Industries!$A$2:$A$150,0),0)</f>
        <v>Pharmaceuticals, Biotechnology and Life Sciences</v>
      </c>
      <c r="D2440" t="str">
        <f ca="1">OFFSET(Industries!E$1,MATCH(Table1[[#This Row],[Ticker]],Industries!$A$2:$A$150,0),0)</f>
        <v>Pharmaceuticals</v>
      </c>
      <c r="E2440" t="s">
        <v>49</v>
      </c>
      <c r="F2440" t="str">
        <f ca="1">OFFSET(Industries!B$1,MATCH(Table1[[#This Row],[Ticker]],Industries!$A$2:$A$140,0),0)</f>
        <v>Ultra-Cap</v>
      </c>
      <c r="G2440" t="s">
        <v>1384</v>
      </c>
      <c r="H2440" t="s">
        <v>1503</v>
      </c>
      <c r="I2440" t="s">
        <v>1437</v>
      </c>
      <c r="J2440" s="2">
        <v>45432</v>
      </c>
      <c r="K2440" t="s">
        <v>2</v>
      </c>
      <c r="L2440" t="s">
        <v>1708</v>
      </c>
      <c r="M2440" t="s">
        <v>1709</v>
      </c>
      <c r="N2440" s="1">
        <f>Table1[[#This Row],[Consideration Weight]]</f>
        <v>0.3</v>
      </c>
      <c r="O2440" s="1" t="s">
        <v>4</v>
      </c>
      <c r="P2440" s="1">
        <v>0.3</v>
      </c>
      <c r="Q2440" s="1" t="s">
        <v>1636</v>
      </c>
      <c r="R2440" t="s">
        <v>24</v>
      </c>
      <c r="S2440" t="s">
        <v>1098</v>
      </c>
      <c r="T2440" t="s">
        <v>1098</v>
      </c>
      <c r="U2440" s="1">
        <v>0.8</v>
      </c>
      <c r="V2440" t="s">
        <v>1504</v>
      </c>
    </row>
    <row r="2441" spans="1:22" x14ac:dyDescent="0.3">
      <c r="A2441">
        <v>4568</v>
      </c>
      <c r="B2441" t="str">
        <f ca="1">OFFSET(Industries!C$1,MATCH(Table1[[#This Row],[Ticker]],Industries!$A$2:$A$150,0),0)</f>
        <v>Health Care</v>
      </c>
      <c r="C2441" t="str">
        <f ca="1">OFFSET(Industries!D$1,MATCH(Table1[[#This Row],[Ticker]],Industries!$A$2:$A$150,0),0)</f>
        <v>Pharmaceuticals, Biotechnology and Life Sciences</v>
      </c>
      <c r="D2441" t="str">
        <f ca="1">OFFSET(Industries!E$1,MATCH(Table1[[#This Row],[Ticker]],Industries!$A$2:$A$150,0),0)</f>
        <v>Pharmaceuticals</v>
      </c>
      <c r="E2441" t="s">
        <v>49</v>
      </c>
      <c r="F2441" t="str">
        <f ca="1">OFFSET(Industries!B$1,MATCH(Table1[[#This Row],[Ticker]],Industries!$A$2:$A$140,0),0)</f>
        <v>Ultra-Cap</v>
      </c>
      <c r="G2441" t="s">
        <v>1384</v>
      </c>
      <c r="H2441" t="s">
        <v>1503</v>
      </c>
      <c r="I2441" t="s">
        <v>1437</v>
      </c>
      <c r="J2441" s="2">
        <v>45432</v>
      </c>
      <c r="K2441" t="s">
        <v>2</v>
      </c>
      <c r="L2441" t="s">
        <v>1708</v>
      </c>
      <c r="M2441" t="s">
        <v>1709</v>
      </c>
      <c r="N2441" s="1"/>
      <c r="O2441" s="1" t="s">
        <v>4</v>
      </c>
      <c r="P2441" s="1">
        <v>0.3</v>
      </c>
      <c r="Q2441" s="1" t="s">
        <v>1636</v>
      </c>
      <c r="R2441" t="s">
        <v>24</v>
      </c>
      <c r="S2441" t="s">
        <v>509</v>
      </c>
      <c r="T2441" t="s">
        <v>38</v>
      </c>
      <c r="U2441" s="1">
        <v>0.1</v>
      </c>
    </row>
    <row r="2442" spans="1:22" x14ac:dyDescent="0.3">
      <c r="A2442">
        <v>4568</v>
      </c>
      <c r="B2442" t="str">
        <f ca="1">OFFSET(Industries!C$1,MATCH(Table1[[#This Row],[Ticker]],Industries!$A$2:$A$150,0),0)</f>
        <v>Health Care</v>
      </c>
      <c r="C2442" t="str">
        <f ca="1">OFFSET(Industries!D$1,MATCH(Table1[[#This Row],[Ticker]],Industries!$A$2:$A$150,0),0)</f>
        <v>Pharmaceuticals, Biotechnology and Life Sciences</v>
      </c>
      <c r="D2442" t="str">
        <f ca="1">OFFSET(Industries!E$1,MATCH(Table1[[#This Row],[Ticker]],Industries!$A$2:$A$150,0),0)</f>
        <v>Pharmaceuticals</v>
      </c>
      <c r="E2442" t="s">
        <v>49</v>
      </c>
      <c r="F2442" t="str">
        <f ca="1">OFFSET(Industries!B$1,MATCH(Table1[[#This Row],[Ticker]],Industries!$A$2:$A$140,0),0)</f>
        <v>Ultra-Cap</v>
      </c>
      <c r="G2442" t="s">
        <v>1384</v>
      </c>
      <c r="H2442" t="s">
        <v>1503</v>
      </c>
      <c r="I2442" t="s">
        <v>1437</v>
      </c>
      <c r="J2442" s="2">
        <v>45432</v>
      </c>
      <c r="K2442" t="s">
        <v>2</v>
      </c>
      <c r="L2442" t="s">
        <v>1708</v>
      </c>
      <c r="M2442" t="s">
        <v>1709</v>
      </c>
      <c r="N2442" s="1"/>
      <c r="O2442" s="1" t="s">
        <v>4</v>
      </c>
      <c r="P2442" s="1">
        <v>0.3</v>
      </c>
      <c r="Q2442" s="1" t="s">
        <v>1636</v>
      </c>
      <c r="R2442" t="s">
        <v>23</v>
      </c>
      <c r="S2442" t="s">
        <v>1083</v>
      </c>
      <c r="T2442" t="s">
        <v>1083</v>
      </c>
      <c r="U2442" s="1">
        <v>0.1</v>
      </c>
    </row>
    <row r="2443" spans="1:22" x14ac:dyDescent="0.3">
      <c r="A2443">
        <v>4568</v>
      </c>
      <c r="B2443" t="str">
        <f ca="1">OFFSET(Industries!C$1,MATCH(Table1[[#This Row],[Ticker]],Industries!$A$2:$A$150,0),0)</f>
        <v>Health Care</v>
      </c>
      <c r="C2443" t="str">
        <f ca="1">OFFSET(Industries!D$1,MATCH(Table1[[#This Row],[Ticker]],Industries!$A$2:$A$150,0),0)</f>
        <v>Pharmaceuticals, Biotechnology and Life Sciences</v>
      </c>
      <c r="D2443" t="str">
        <f ca="1">OFFSET(Industries!E$1,MATCH(Table1[[#This Row],[Ticker]],Industries!$A$2:$A$150,0),0)</f>
        <v>Pharmaceuticals</v>
      </c>
      <c r="E2443" t="s">
        <v>49</v>
      </c>
      <c r="F2443" t="str">
        <f ca="1">OFFSET(Industries!B$1,MATCH(Table1[[#This Row],[Ticker]],Industries!$A$2:$A$140,0),0)</f>
        <v>Ultra-Cap</v>
      </c>
      <c r="G2443" t="s">
        <v>1384</v>
      </c>
      <c r="H2443" t="s">
        <v>1503</v>
      </c>
      <c r="I2443" t="s">
        <v>1437</v>
      </c>
      <c r="J2443" s="2">
        <v>45432</v>
      </c>
      <c r="K2443" t="s">
        <v>2</v>
      </c>
      <c r="L2443" t="s">
        <v>1708</v>
      </c>
      <c r="M2443" t="s">
        <v>1709</v>
      </c>
      <c r="N2443" s="1"/>
      <c r="O2443" s="1" t="s">
        <v>4</v>
      </c>
      <c r="P2443" s="1">
        <v>0.3</v>
      </c>
      <c r="R2443" t="s">
        <v>28</v>
      </c>
      <c r="S2443" t="s">
        <v>1087</v>
      </c>
      <c r="T2443" t="s">
        <v>40</v>
      </c>
    </row>
    <row r="2444" spans="1:22" x14ac:dyDescent="0.3">
      <c r="A2444">
        <v>4568</v>
      </c>
      <c r="B2444" t="str">
        <f ca="1">OFFSET(Industries!C$1,MATCH(Table1[[#This Row],[Ticker]],Industries!$A$2:$A$150,0),0)</f>
        <v>Health Care</v>
      </c>
      <c r="C2444" t="str">
        <f ca="1">OFFSET(Industries!D$1,MATCH(Table1[[#This Row],[Ticker]],Industries!$A$2:$A$150,0),0)</f>
        <v>Pharmaceuticals, Biotechnology and Life Sciences</v>
      </c>
      <c r="D2444" t="str">
        <f ca="1">OFFSET(Industries!E$1,MATCH(Table1[[#This Row],[Ticker]],Industries!$A$2:$A$150,0),0)</f>
        <v>Pharmaceuticals</v>
      </c>
      <c r="E2444" t="s">
        <v>49</v>
      </c>
      <c r="F2444" t="str">
        <f ca="1">OFFSET(Industries!B$1,MATCH(Table1[[#This Row],[Ticker]],Industries!$A$2:$A$140,0),0)</f>
        <v>Ultra-Cap</v>
      </c>
      <c r="G2444" t="s">
        <v>1384</v>
      </c>
      <c r="H2444" t="s">
        <v>1503</v>
      </c>
      <c r="I2444" t="s">
        <v>1437</v>
      </c>
      <c r="J2444" s="2">
        <v>45432</v>
      </c>
      <c r="K2444" t="s">
        <v>2</v>
      </c>
      <c r="L2444" t="s">
        <v>1710</v>
      </c>
      <c r="M2444" t="s">
        <v>1709</v>
      </c>
      <c r="N2444" s="1">
        <f>Table1[[#This Row],[Consideration Weight]]</f>
        <v>0.15</v>
      </c>
      <c r="O2444" s="1" t="s">
        <v>476</v>
      </c>
      <c r="P2444" s="1">
        <v>0.15</v>
      </c>
      <c r="Q2444" s="1" t="s">
        <v>1636</v>
      </c>
      <c r="R2444" t="s">
        <v>23</v>
      </c>
      <c r="S2444" t="s">
        <v>1083</v>
      </c>
      <c r="T2444" t="s">
        <v>1083</v>
      </c>
      <c r="U2444" s="1">
        <v>0.2</v>
      </c>
      <c r="V2444" t="s">
        <v>231</v>
      </c>
    </row>
    <row r="2445" spans="1:22" x14ac:dyDescent="0.3">
      <c r="A2445">
        <v>4568</v>
      </c>
      <c r="B2445" t="str">
        <f ca="1">OFFSET(Industries!C$1,MATCH(Table1[[#This Row],[Ticker]],Industries!$A$2:$A$150,0),0)</f>
        <v>Health Care</v>
      </c>
      <c r="C2445" t="str">
        <f ca="1">OFFSET(Industries!D$1,MATCH(Table1[[#This Row],[Ticker]],Industries!$A$2:$A$150,0),0)</f>
        <v>Pharmaceuticals, Biotechnology and Life Sciences</v>
      </c>
      <c r="D2445" t="str">
        <f ca="1">OFFSET(Industries!E$1,MATCH(Table1[[#This Row],[Ticker]],Industries!$A$2:$A$150,0),0)</f>
        <v>Pharmaceuticals</v>
      </c>
      <c r="E2445" t="s">
        <v>49</v>
      </c>
      <c r="F2445" t="str">
        <f ca="1">OFFSET(Industries!B$1,MATCH(Table1[[#This Row],[Ticker]],Industries!$A$2:$A$140,0),0)</f>
        <v>Ultra-Cap</v>
      </c>
      <c r="G2445" t="s">
        <v>1384</v>
      </c>
      <c r="H2445" t="s">
        <v>1503</v>
      </c>
      <c r="I2445" t="s">
        <v>1437</v>
      </c>
      <c r="J2445" s="2">
        <v>45432</v>
      </c>
      <c r="K2445" t="s">
        <v>2</v>
      </c>
      <c r="L2445" t="s">
        <v>1710</v>
      </c>
      <c r="M2445" t="s">
        <v>1709</v>
      </c>
      <c r="N2445" s="1"/>
      <c r="O2445" s="1" t="s">
        <v>476</v>
      </c>
      <c r="P2445" s="1">
        <v>0.15</v>
      </c>
      <c r="Q2445" s="1" t="s">
        <v>1636</v>
      </c>
      <c r="R2445" t="s">
        <v>24</v>
      </c>
      <c r="S2445" t="s">
        <v>509</v>
      </c>
      <c r="T2445" t="s">
        <v>1505</v>
      </c>
      <c r="U2445" s="1">
        <v>0.2</v>
      </c>
    </row>
    <row r="2446" spans="1:22" x14ac:dyDescent="0.3">
      <c r="A2446">
        <v>4568</v>
      </c>
      <c r="B2446" t="str">
        <f ca="1">OFFSET(Industries!C$1,MATCH(Table1[[#This Row],[Ticker]],Industries!$A$2:$A$150,0),0)</f>
        <v>Health Care</v>
      </c>
      <c r="C2446" t="str">
        <f ca="1">OFFSET(Industries!D$1,MATCH(Table1[[#This Row],[Ticker]],Industries!$A$2:$A$150,0),0)</f>
        <v>Pharmaceuticals, Biotechnology and Life Sciences</v>
      </c>
      <c r="D2446" t="str">
        <f ca="1">OFFSET(Industries!E$1,MATCH(Table1[[#This Row],[Ticker]],Industries!$A$2:$A$150,0),0)</f>
        <v>Pharmaceuticals</v>
      </c>
      <c r="E2446" t="s">
        <v>49</v>
      </c>
      <c r="F2446" t="str">
        <f ca="1">OFFSET(Industries!B$1,MATCH(Table1[[#This Row],[Ticker]],Industries!$A$2:$A$140,0),0)</f>
        <v>Ultra-Cap</v>
      </c>
      <c r="G2446" t="s">
        <v>1384</v>
      </c>
      <c r="H2446" t="s">
        <v>1503</v>
      </c>
      <c r="I2446" t="s">
        <v>1437</v>
      </c>
      <c r="J2446" s="2">
        <v>45432</v>
      </c>
      <c r="K2446" t="s">
        <v>2</v>
      </c>
      <c r="L2446" t="s">
        <v>1710</v>
      </c>
      <c r="M2446" t="s">
        <v>1709</v>
      </c>
      <c r="N2446" s="1"/>
      <c r="O2446" s="1" t="s">
        <v>476</v>
      </c>
      <c r="P2446" s="1">
        <v>0.15</v>
      </c>
      <c r="Q2446" s="1" t="s">
        <v>1636</v>
      </c>
      <c r="R2446" t="s">
        <v>1059</v>
      </c>
      <c r="S2446" t="s">
        <v>1092</v>
      </c>
      <c r="T2446" t="s">
        <v>1092</v>
      </c>
      <c r="U2446" s="1">
        <v>0.2</v>
      </c>
      <c r="V2446" t="s">
        <v>1508</v>
      </c>
    </row>
    <row r="2447" spans="1:22" x14ac:dyDescent="0.3">
      <c r="A2447">
        <v>4568</v>
      </c>
      <c r="B2447" t="str">
        <f ca="1">OFFSET(Industries!C$1,MATCH(Table1[[#This Row],[Ticker]],Industries!$A$2:$A$150,0),0)</f>
        <v>Health Care</v>
      </c>
      <c r="C2447" t="str">
        <f ca="1">OFFSET(Industries!D$1,MATCH(Table1[[#This Row],[Ticker]],Industries!$A$2:$A$150,0),0)</f>
        <v>Pharmaceuticals, Biotechnology and Life Sciences</v>
      </c>
      <c r="D2447" t="str">
        <f ca="1">OFFSET(Industries!E$1,MATCH(Table1[[#This Row],[Ticker]],Industries!$A$2:$A$150,0),0)</f>
        <v>Pharmaceuticals</v>
      </c>
      <c r="E2447" t="s">
        <v>49</v>
      </c>
      <c r="F2447" t="str">
        <f ca="1">OFFSET(Industries!B$1,MATCH(Table1[[#This Row],[Ticker]],Industries!$A$2:$A$140,0),0)</f>
        <v>Ultra-Cap</v>
      </c>
      <c r="G2447" t="s">
        <v>1384</v>
      </c>
      <c r="H2447" t="s">
        <v>1503</v>
      </c>
      <c r="I2447" t="s">
        <v>1437</v>
      </c>
      <c r="J2447" s="2">
        <v>45432</v>
      </c>
      <c r="K2447" t="s">
        <v>2</v>
      </c>
      <c r="L2447" t="s">
        <v>1710</v>
      </c>
      <c r="M2447" t="s">
        <v>1709</v>
      </c>
      <c r="N2447" s="1"/>
      <c r="O2447" s="1" t="s">
        <v>476</v>
      </c>
      <c r="P2447" s="1">
        <v>0.15</v>
      </c>
      <c r="Q2447" s="1" t="s">
        <v>1637</v>
      </c>
      <c r="R2447" t="s">
        <v>25</v>
      </c>
      <c r="S2447" t="s">
        <v>344</v>
      </c>
      <c r="T2447" t="s">
        <v>1506</v>
      </c>
      <c r="U2447" s="1">
        <v>0.15</v>
      </c>
      <c r="V2447" t="s">
        <v>1509</v>
      </c>
    </row>
    <row r="2448" spans="1:22" x14ac:dyDescent="0.3">
      <c r="A2448">
        <v>4568</v>
      </c>
      <c r="B2448" t="str">
        <f ca="1">OFFSET(Industries!C$1,MATCH(Table1[[#This Row],[Ticker]],Industries!$A$2:$A$150,0),0)</f>
        <v>Health Care</v>
      </c>
      <c r="C2448" t="str">
        <f ca="1">OFFSET(Industries!D$1,MATCH(Table1[[#This Row],[Ticker]],Industries!$A$2:$A$150,0),0)</f>
        <v>Pharmaceuticals, Biotechnology and Life Sciences</v>
      </c>
      <c r="D2448" t="str">
        <f ca="1">OFFSET(Industries!E$1,MATCH(Table1[[#This Row],[Ticker]],Industries!$A$2:$A$150,0),0)</f>
        <v>Pharmaceuticals</v>
      </c>
      <c r="E2448" t="s">
        <v>49</v>
      </c>
      <c r="F2448" t="str">
        <f ca="1">OFFSET(Industries!B$1,MATCH(Table1[[#This Row],[Ticker]],Industries!$A$2:$A$140,0),0)</f>
        <v>Ultra-Cap</v>
      </c>
      <c r="G2448" t="s">
        <v>1384</v>
      </c>
      <c r="H2448" t="s">
        <v>1503</v>
      </c>
      <c r="I2448" t="s">
        <v>1437</v>
      </c>
      <c r="J2448" s="2">
        <v>45432</v>
      </c>
      <c r="K2448" t="s">
        <v>2</v>
      </c>
      <c r="L2448" t="s">
        <v>1710</v>
      </c>
      <c r="M2448" t="s">
        <v>1709</v>
      </c>
      <c r="N2448" s="1"/>
      <c r="O2448" s="1" t="s">
        <v>476</v>
      </c>
      <c r="P2448" s="1">
        <v>0.15</v>
      </c>
      <c r="Q2448" s="1" t="s">
        <v>1646</v>
      </c>
      <c r="R2448" t="s">
        <v>35</v>
      </c>
      <c r="S2448" t="s">
        <v>29</v>
      </c>
      <c r="T2448" t="s">
        <v>29</v>
      </c>
      <c r="U2448" s="1">
        <v>0.15</v>
      </c>
      <c r="V2448" t="s">
        <v>1510</v>
      </c>
    </row>
    <row r="2449" spans="1:22" x14ac:dyDescent="0.3">
      <c r="A2449">
        <v>4568</v>
      </c>
      <c r="B2449" t="str">
        <f ca="1">OFFSET(Industries!C$1,MATCH(Table1[[#This Row],[Ticker]],Industries!$A$2:$A$150,0),0)</f>
        <v>Health Care</v>
      </c>
      <c r="C2449" t="str">
        <f ca="1">OFFSET(Industries!D$1,MATCH(Table1[[#This Row],[Ticker]],Industries!$A$2:$A$150,0),0)</f>
        <v>Pharmaceuticals, Biotechnology and Life Sciences</v>
      </c>
      <c r="D2449" t="str">
        <f ca="1">OFFSET(Industries!E$1,MATCH(Table1[[#This Row],[Ticker]],Industries!$A$2:$A$150,0),0)</f>
        <v>Pharmaceuticals</v>
      </c>
      <c r="E2449" t="s">
        <v>49</v>
      </c>
      <c r="F2449" t="str">
        <f ca="1">OFFSET(Industries!B$1,MATCH(Table1[[#This Row],[Ticker]],Industries!$A$2:$A$140,0),0)</f>
        <v>Ultra-Cap</v>
      </c>
      <c r="G2449" t="s">
        <v>1384</v>
      </c>
      <c r="H2449" t="s">
        <v>1503</v>
      </c>
      <c r="I2449" t="s">
        <v>1437</v>
      </c>
      <c r="J2449" s="2">
        <v>45432</v>
      </c>
      <c r="K2449" t="s">
        <v>2</v>
      </c>
      <c r="L2449" t="s">
        <v>1710</v>
      </c>
      <c r="M2449" t="s">
        <v>1709</v>
      </c>
      <c r="N2449" s="1"/>
      <c r="O2449" s="1" t="s">
        <v>476</v>
      </c>
      <c r="P2449" s="1">
        <v>0.15</v>
      </c>
      <c r="Q2449" s="1" t="s">
        <v>1637</v>
      </c>
      <c r="R2449" t="s">
        <v>26</v>
      </c>
      <c r="S2449" t="s">
        <v>26</v>
      </c>
      <c r="T2449" t="s">
        <v>1507</v>
      </c>
      <c r="U2449" s="1">
        <v>0.1</v>
      </c>
    </row>
    <row r="2450" spans="1:22" x14ac:dyDescent="0.3">
      <c r="A2450">
        <v>4568</v>
      </c>
      <c r="B2450" t="str">
        <f ca="1">OFFSET(Industries!C$1,MATCH(Table1[[#This Row],[Ticker]],Industries!$A$2:$A$150,0),0)</f>
        <v>Health Care</v>
      </c>
      <c r="C2450" t="str">
        <f ca="1">OFFSET(Industries!D$1,MATCH(Table1[[#This Row],[Ticker]],Industries!$A$2:$A$150,0),0)</f>
        <v>Pharmaceuticals, Biotechnology and Life Sciences</v>
      </c>
      <c r="D2450" t="str">
        <f ca="1">OFFSET(Industries!E$1,MATCH(Table1[[#This Row],[Ticker]],Industries!$A$2:$A$150,0),0)</f>
        <v>Pharmaceuticals</v>
      </c>
      <c r="E2450" t="s">
        <v>49</v>
      </c>
      <c r="F2450" t="str">
        <f ca="1">OFFSET(Industries!B$1,MATCH(Table1[[#This Row],[Ticker]],Industries!$A$2:$A$140,0),0)</f>
        <v>Ultra-Cap</v>
      </c>
      <c r="G2450" t="s">
        <v>1384</v>
      </c>
      <c r="H2450" t="s">
        <v>1503</v>
      </c>
      <c r="I2450" t="s">
        <v>1437</v>
      </c>
      <c r="J2450" s="2">
        <v>45432</v>
      </c>
      <c r="K2450" t="s">
        <v>2</v>
      </c>
      <c r="L2450" t="s">
        <v>1710</v>
      </c>
      <c r="M2450" t="s">
        <v>1711</v>
      </c>
      <c r="N2450" s="1">
        <f>Table1[[#This Row],[Consideration Weight]]</f>
        <v>0.15</v>
      </c>
      <c r="O2450" s="1" t="s">
        <v>194</v>
      </c>
      <c r="P2450" s="1">
        <v>0.15</v>
      </c>
      <c r="V2450" t="s">
        <v>1514</v>
      </c>
    </row>
    <row r="2451" spans="1:22" x14ac:dyDescent="0.3">
      <c r="A2451" t="s">
        <v>1511</v>
      </c>
      <c r="B2451" t="str">
        <f ca="1">OFFSET(Industries!C$1,MATCH(Table1[[#This Row],[Ticker]],Industries!$A$2:$A$150,0),0)</f>
        <v>Consumer Staples</v>
      </c>
      <c r="C2451" t="str">
        <f ca="1">OFFSET(Industries!D$1,MATCH(Table1[[#This Row],[Ticker]],Industries!$A$2:$A$150,0),0)</f>
        <v>Food, Beverage and Tobacco</v>
      </c>
      <c r="D2451" t="str">
        <f ca="1">OFFSET(Industries!E$1,MATCH(Table1[[#This Row],[Ticker]],Industries!$A$2:$A$150,0),0)</f>
        <v>Tobacco</v>
      </c>
      <c r="E2451" t="s">
        <v>59</v>
      </c>
      <c r="F2451" t="s">
        <v>1343</v>
      </c>
      <c r="G2451" t="s">
        <v>1382</v>
      </c>
      <c r="H2451" t="s">
        <v>1441</v>
      </c>
      <c r="I2451" t="s">
        <v>1439</v>
      </c>
      <c r="J2451" s="2">
        <v>45331</v>
      </c>
      <c r="K2451" t="s">
        <v>2</v>
      </c>
      <c r="L2451" t="s">
        <v>3</v>
      </c>
      <c r="M2451" t="s">
        <v>1711</v>
      </c>
      <c r="N2451" s="1">
        <f>Table1[[#This Row],[Consideration Weight]]</f>
        <v>0.13800000000000001</v>
      </c>
      <c r="O2451" s="1" t="s">
        <v>3</v>
      </c>
      <c r="P2451" s="1">
        <v>0.13800000000000001</v>
      </c>
      <c r="V2451" t="s">
        <v>1515</v>
      </c>
    </row>
    <row r="2452" spans="1:22" x14ac:dyDescent="0.3">
      <c r="A2452" t="s">
        <v>1511</v>
      </c>
      <c r="B2452" t="str">
        <f ca="1">OFFSET(Industries!C$1,MATCH(Table1[[#This Row],[Ticker]],Industries!$A$2:$A$150,0),0)</f>
        <v>Consumer Staples</v>
      </c>
      <c r="C2452" t="str">
        <f ca="1">OFFSET(Industries!D$1,MATCH(Table1[[#This Row],[Ticker]],Industries!$A$2:$A$150,0),0)</f>
        <v>Food, Beverage and Tobacco</v>
      </c>
      <c r="D2452" t="str">
        <f ca="1">OFFSET(Industries!E$1,MATCH(Table1[[#This Row],[Ticker]],Industries!$A$2:$A$150,0),0)</f>
        <v>Tobacco</v>
      </c>
      <c r="E2452" t="s">
        <v>59</v>
      </c>
      <c r="F2452" t="s">
        <v>1343</v>
      </c>
      <c r="G2452" t="s">
        <v>1382</v>
      </c>
      <c r="H2452" t="s">
        <v>1441</v>
      </c>
      <c r="I2452" t="s">
        <v>1439</v>
      </c>
      <c r="J2452" s="2">
        <v>45331</v>
      </c>
      <c r="K2452" t="s">
        <v>2</v>
      </c>
      <c r="L2452" t="s">
        <v>1708</v>
      </c>
      <c r="M2452" t="s">
        <v>1709</v>
      </c>
      <c r="N2452" s="1">
        <f>Table1[[#This Row],[Consideration Weight]]</f>
        <v>8.5999999999999993E-2</v>
      </c>
      <c r="O2452" s="1" t="s">
        <v>4</v>
      </c>
      <c r="P2452" s="1">
        <v>8.5999999999999993E-2</v>
      </c>
      <c r="Q2452" s="1" t="s">
        <v>1636</v>
      </c>
      <c r="R2452" t="s">
        <v>62</v>
      </c>
      <c r="S2452" t="s">
        <v>63</v>
      </c>
      <c r="T2452" t="s">
        <v>81</v>
      </c>
      <c r="U2452" s="1">
        <v>0.3</v>
      </c>
      <c r="V2452" t="s">
        <v>1516</v>
      </c>
    </row>
    <row r="2453" spans="1:22" x14ac:dyDescent="0.3">
      <c r="A2453" t="s">
        <v>1511</v>
      </c>
      <c r="B2453" t="str">
        <f ca="1">OFFSET(Industries!C$1,MATCH(Table1[[#This Row],[Ticker]],Industries!$A$2:$A$150,0),0)</f>
        <v>Consumer Staples</v>
      </c>
      <c r="C2453" t="str">
        <f ca="1">OFFSET(Industries!D$1,MATCH(Table1[[#This Row],[Ticker]],Industries!$A$2:$A$150,0),0)</f>
        <v>Food, Beverage and Tobacco</v>
      </c>
      <c r="D2453" t="str">
        <f ca="1">OFFSET(Industries!E$1,MATCH(Table1[[#This Row],[Ticker]],Industries!$A$2:$A$150,0),0)</f>
        <v>Tobacco</v>
      </c>
      <c r="E2453" t="s">
        <v>59</v>
      </c>
      <c r="F2453" t="s">
        <v>1343</v>
      </c>
      <c r="G2453" t="s">
        <v>1382</v>
      </c>
      <c r="H2453" t="s">
        <v>1441</v>
      </c>
      <c r="I2453" t="s">
        <v>1439</v>
      </c>
      <c r="J2453" s="2">
        <v>45331</v>
      </c>
      <c r="K2453" t="s">
        <v>2</v>
      </c>
      <c r="L2453" t="s">
        <v>1708</v>
      </c>
      <c r="M2453" t="s">
        <v>1709</v>
      </c>
      <c r="N2453" s="1"/>
      <c r="O2453" s="1" t="s">
        <v>4</v>
      </c>
      <c r="P2453" s="1">
        <v>8.5999999999999993E-2</v>
      </c>
      <c r="Q2453" s="1" t="s">
        <v>1636</v>
      </c>
      <c r="R2453" t="s">
        <v>24</v>
      </c>
      <c r="S2453" t="s">
        <v>90</v>
      </c>
      <c r="T2453" t="s">
        <v>732</v>
      </c>
      <c r="U2453" s="1">
        <v>0.25</v>
      </c>
      <c r="V2453" t="s">
        <v>1516</v>
      </c>
    </row>
    <row r="2454" spans="1:22" x14ac:dyDescent="0.3">
      <c r="A2454" t="s">
        <v>1511</v>
      </c>
      <c r="B2454" t="str">
        <f ca="1">OFFSET(Industries!C$1,MATCH(Table1[[#This Row],[Ticker]],Industries!$A$2:$A$150,0),0)</f>
        <v>Consumer Staples</v>
      </c>
      <c r="C2454" t="str">
        <f ca="1">OFFSET(Industries!D$1,MATCH(Table1[[#This Row],[Ticker]],Industries!$A$2:$A$150,0),0)</f>
        <v>Food, Beverage and Tobacco</v>
      </c>
      <c r="D2454" t="str">
        <f ca="1">OFFSET(Industries!E$1,MATCH(Table1[[#This Row],[Ticker]],Industries!$A$2:$A$150,0),0)</f>
        <v>Tobacco</v>
      </c>
      <c r="E2454" t="s">
        <v>59</v>
      </c>
      <c r="F2454" t="s">
        <v>1343</v>
      </c>
      <c r="G2454" t="s">
        <v>1382</v>
      </c>
      <c r="H2454" t="s">
        <v>1441</v>
      </c>
      <c r="I2454" t="s">
        <v>1439</v>
      </c>
      <c r="J2454" s="2">
        <v>45331</v>
      </c>
      <c r="K2454" t="s">
        <v>2</v>
      </c>
      <c r="L2454" t="s">
        <v>1708</v>
      </c>
      <c r="M2454" t="s">
        <v>1709</v>
      </c>
      <c r="N2454" s="1"/>
      <c r="O2454" s="1" t="s">
        <v>4</v>
      </c>
      <c r="P2454" s="1">
        <v>8.5999999999999993E-2</v>
      </c>
      <c r="Q2454" s="1" t="s">
        <v>1636</v>
      </c>
      <c r="R2454" t="s">
        <v>23</v>
      </c>
      <c r="S2454" t="s">
        <v>1086</v>
      </c>
      <c r="T2454" t="s">
        <v>1512</v>
      </c>
      <c r="U2454" s="1">
        <v>0.2</v>
      </c>
      <c r="V2454" t="s">
        <v>1517</v>
      </c>
    </row>
    <row r="2455" spans="1:22" x14ac:dyDescent="0.3">
      <c r="A2455" t="s">
        <v>1511</v>
      </c>
      <c r="B2455" t="str">
        <f ca="1">OFFSET(Industries!C$1,MATCH(Table1[[#This Row],[Ticker]],Industries!$A$2:$A$150,0),0)</f>
        <v>Consumer Staples</v>
      </c>
      <c r="C2455" t="str">
        <f ca="1">OFFSET(Industries!D$1,MATCH(Table1[[#This Row],[Ticker]],Industries!$A$2:$A$150,0),0)</f>
        <v>Food, Beverage and Tobacco</v>
      </c>
      <c r="D2455" t="str">
        <f ca="1">OFFSET(Industries!E$1,MATCH(Table1[[#This Row],[Ticker]],Industries!$A$2:$A$150,0),0)</f>
        <v>Tobacco</v>
      </c>
      <c r="E2455" t="s">
        <v>59</v>
      </c>
      <c r="F2455" t="s">
        <v>1343</v>
      </c>
      <c r="G2455" t="s">
        <v>1382</v>
      </c>
      <c r="H2455" t="s">
        <v>1441</v>
      </c>
      <c r="I2455" t="s">
        <v>1439</v>
      </c>
      <c r="J2455" s="2">
        <v>45331</v>
      </c>
      <c r="K2455" t="s">
        <v>2</v>
      </c>
      <c r="L2455" t="s">
        <v>1708</v>
      </c>
      <c r="M2455" t="s">
        <v>1709</v>
      </c>
      <c r="N2455" s="1"/>
      <c r="O2455" s="1" t="s">
        <v>4</v>
      </c>
      <c r="P2455" s="1">
        <v>8.5999999999999993E-2</v>
      </c>
      <c r="Q2455" s="1" t="s">
        <v>1636</v>
      </c>
      <c r="R2455" t="s">
        <v>23</v>
      </c>
      <c r="S2455" t="s">
        <v>1083</v>
      </c>
      <c r="T2455" t="s">
        <v>1522</v>
      </c>
      <c r="U2455" s="1">
        <v>0.15</v>
      </c>
      <c r="V2455" t="s">
        <v>1518</v>
      </c>
    </row>
    <row r="2456" spans="1:22" x14ac:dyDescent="0.3">
      <c r="A2456" t="s">
        <v>1511</v>
      </c>
      <c r="B2456" t="str">
        <f ca="1">OFFSET(Industries!C$1,MATCH(Table1[[#This Row],[Ticker]],Industries!$A$2:$A$150,0),0)</f>
        <v>Consumer Staples</v>
      </c>
      <c r="C2456" t="str">
        <f ca="1">OFFSET(Industries!D$1,MATCH(Table1[[#This Row],[Ticker]],Industries!$A$2:$A$150,0),0)</f>
        <v>Food, Beverage and Tobacco</v>
      </c>
      <c r="D2456" t="str">
        <f ca="1">OFFSET(Industries!E$1,MATCH(Table1[[#This Row],[Ticker]],Industries!$A$2:$A$150,0),0)</f>
        <v>Tobacco</v>
      </c>
      <c r="E2456" t="s">
        <v>59</v>
      </c>
      <c r="F2456" t="s">
        <v>1343</v>
      </c>
      <c r="G2456" t="s">
        <v>1382</v>
      </c>
      <c r="H2456" t="s">
        <v>1441</v>
      </c>
      <c r="I2456" t="s">
        <v>1439</v>
      </c>
      <c r="J2456" s="2">
        <v>45331</v>
      </c>
      <c r="K2456" t="s">
        <v>2</v>
      </c>
      <c r="L2456" t="s">
        <v>1708</v>
      </c>
      <c r="M2456" t="s">
        <v>1709</v>
      </c>
      <c r="N2456" s="1"/>
      <c r="O2456" s="1" t="s">
        <v>4</v>
      </c>
      <c r="P2456" s="1">
        <v>8.5999999999999993E-2</v>
      </c>
      <c r="Q2456" s="1" t="s">
        <v>1636</v>
      </c>
      <c r="R2456" t="s">
        <v>23</v>
      </c>
      <c r="S2456" t="s">
        <v>1086</v>
      </c>
      <c r="T2456" t="s">
        <v>1513</v>
      </c>
      <c r="U2456" s="1">
        <v>0.1</v>
      </c>
      <c r="V2456" t="s">
        <v>1734</v>
      </c>
    </row>
    <row r="2457" spans="1:22" x14ac:dyDescent="0.3">
      <c r="A2457" t="s">
        <v>1511</v>
      </c>
      <c r="B2457" t="str">
        <f ca="1">OFFSET(Industries!C$1,MATCH(Table1[[#This Row],[Ticker]],Industries!$A$2:$A$150,0),0)</f>
        <v>Consumer Staples</v>
      </c>
      <c r="C2457" t="str">
        <f ca="1">OFFSET(Industries!D$1,MATCH(Table1[[#This Row],[Ticker]],Industries!$A$2:$A$150,0),0)</f>
        <v>Food, Beverage and Tobacco</v>
      </c>
      <c r="D2457" t="str">
        <f ca="1">OFFSET(Industries!E$1,MATCH(Table1[[#This Row],[Ticker]],Industries!$A$2:$A$150,0),0)</f>
        <v>Tobacco</v>
      </c>
      <c r="E2457" t="s">
        <v>59</v>
      </c>
      <c r="F2457" t="s">
        <v>1343</v>
      </c>
      <c r="G2457" t="s">
        <v>1382</v>
      </c>
      <c r="H2457" t="s">
        <v>1441</v>
      </c>
      <c r="I2457" t="s">
        <v>1439</v>
      </c>
      <c r="J2457" s="2">
        <v>45331</v>
      </c>
      <c r="K2457" t="s">
        <v>2</v>
      </c>
      <c r="L2457" t="s">
        <v>1708</v>
      </c>
      <c r="M2457" t="s">
        <v>1709</v>
      </c>
      <c r="N2457" s="1"/>
      <c r="O2457" s="1" t="s">
        <v>4</v>
      </c>
      <c r="P2457" s="1">
        <v>8.5999999999999993E-2</v>
      </c>
      <c r="R2457" t="s">
        <v>28</v>
      </c>
      <c r="S2457" t="s">
        <v>1110</v>
      </c>
      <c r="T2457" t="s">
        <v>172</v>
      </c>
    </row>
    <row r="2458" spans="1:22" x14ac:dyDescent="0.3">
      <c r="A2458" t="s">
        <v>1511</v>
      </c>
      <c r="B2458" t="str">
        <f ca="1">OFFSET(Industries!C$1,MATCH(Table1[[#This Row],[Ticker]],Industries!$A$2:$A$150,0),0)</f>
        <v>Consumer Staples</v>
      </c>
      <c r="C2458" t="str">
        <f ca="1">OFFSET(Industries!D$1,MATCH(Table1[[#This Row],[Ticker]],Industries!$A$2:$A$150,0),0)</f>
        <v>Food, Beverage and Tobacco</v>
      </c>
      <c r="D2458" t="str">
        <f ca="1">OFFSET(Industries!E$1,MATCH(Table1[[#This Row],[Ticker]],Industries!$A$2:$A$150,0),0)</f>
        <v>Tobacco</v>
      </c>
      <c r="E2458" t="s">
        <v>59</v>
      </c>
      <c r="F2458" t="s">
        <v>1343</v>
      </c>
      <c r="G2458" t="s">
        <v>1382</v>
      </c>
      <c r="H2458" t="s">
        <v>1441</v>
      </c>
      <c r="I2458" t="s">
        <v>1439</v>
      </c>
      <c r="J2458" s="2">
        <v>45331</v>
      </c>
      <c r="K2458" t="s">
        <v>2</v>
      </c>
      <c r="L2458" t="s">
        <v>1708</v>
      </c>
      <c r="M2458" t="s">
        <v>1709</v>
      </c>
      <c r="N2458" s="1">
        <f>Table1[[#This Row],[Consideration Weight]]</f>
        <v>8.5999999999999993E-2</v>
      </c>
      <c r="O2458" s="1" t="s">
        <v>862</v>
      </c>
      <c r="P2458" s="1">
        <v>8.5999999999999993E-2</v>
      </c>
    </row>
    <row r="2459" spans="1:22" x14ac:dyDescent="0.3">
      <c r="A2459" t="s">
        <v>1511</v>
      </c>
      <c r="B2459" t="str">
        <f ca="1">OFFSET(Industries!C$1,MATCH(Table1[[#This Row],[Ticker]],Industries!$A$2:$A$150,0),0)</f>
        <v>Consumer Staples</v>
      </c>
      <c r="C2459" t="str">
        <f ca="1">OFFSET(Industries!D$1,MATCH(Table1[[#This Row],[Ticker]],Industries!$A$2:$A$150,0),0)</f>
        <v>Food, Beverage and Tobacco</v>
      </c>
      <c r="D2459" t="str">
        <f ca="1">OFFSET(Industries!E$1,MATCH(Table1[[#This Row],[Ticker]],Industries!$A$2:$A$150,0),0)</f>
        <v>Tobacco</v>
      </c>
      <c r="E2459" t="s">
        <v>59</v>
      </c>
      <c r="F2459" t="s">
        <v>1343</v>
      </c>
      <c r="G2459" t="s">
        <v>1382</v>
      </c>
      <c r="H2459" t="s">
        <v>1441</v>
      </c>
      <c r="I2459" t="s">
        <v>1439</v>
      </c>
      <c r="J2459" s="2">
        <v>45331</v>
      </c>
      <c r="K2459" t="s">
        <v>2</v>
      </c>
      <c r="L2459" t="s">
        <v>1710</v>
      </c>
      <c r="M2459" t="s">
        <v>1709</v>
      </c>
      <c r="N2459" s="1">
        <f>Table1[[#This Row],[Consideration Weight]]</f>
        <v>0.69</v>
      </c>
      <c r="O2459" s="1" t="s">
        <v>476</v>
      </c>
      <c r="P2459" s="1">
        <v>0.69</v>
      </c>
      <c r="Q2459" s="1" t="s">
        <v>1636</v>
      </c>
      <c r="R2459" t="s">
        <v>24</v>
      </c>
      <c r="S2459" t="s">
        <v>1089</v>
      </c>
      <c r="T2459" t="s">
        <v>406</v>
      </c>
      <c r="U2459" s="1">
        <v>0.3</v>
      </c>
    </row>
    <row r="2460" spans="1:22" x14ac:dyDescent="0.3">
      <c r="A2460" t="s">
        <v>1511</v>
      </c>
      <c r="B2460" t="str">
        <f ca="1">OFFSET(Industries!C$1,MATCH(Table1[[#This Row],[Ticker]],Industries!$A$2:$A$150,0),0)</f>
        <v>Consumer Staples</v>
      </c>
      <c r="C2460" t="str">
        <f ca="1">OFFSET(Industries!D$1,MATCH(Table1[[#This Row],[Ticker]],Industries!$A$2:$A$150,0),0)</f>
        <v>Food, Beverage and Tobacco</v>
      </c>
      <c r="D2460" t="str">
        <f ca="1">OFFSET(Industries!E$1,MATCH(Table1[[#This Row],[Ticker]],Industries!$A$2:$A$150,0),0)</f>
        <v>Tobacco</v>
      </c>
      <c r="E2460" t="s">
        <v>59</v>
      </c>
      <c r="F2460" t="s">
        <v>1343</v>
      </c>
      <c r="G2460" t="s">
        <v>1382</v>
      </c>
      <c r="H2460" t="s">
        <v>1441</v>
      </c>
      <c r="I2460" t="s">
        <v>1439</v>
      </c>
      <c r="J2460" s="2">
        <v>45331</v>
      </c>
      <c r="K2460" t="s">
        <v>2</v>
      </c>
      <c r="L2460" t="s">
        <v>1710</v>
      </c>
      <c r="M2460" t="s">
        <v>1709</v>
      </c>
      <c r="N2460" s="1"/>
      <c r="O2460" s="1" t="s">
        <v>476</v>
      </c>
      <c r="P2460" s="1">
        <v>0.69</v>
      </c>
      <c r="Q2460" s="1" t="s">
        <v>1646</v>
      </c>
      <c r="R2460" t="s">
        <v>35</v>
      </c>
      <c r="S2460" t="s">
        <v>29</v>
      </c>
      <c r="T2460" t="s">
        <v>30</v>
      </c>
      <c r="U2460" s="1">
        <v>0.2</v>
      </c>
    </row>
    <row r="2461" spans="1:22" x14ac:dyDescent="0.3">
      <c r="A2461" t="s">
        <v>1511</v>
      </c>
      <c r="B2461" t="str">
        <f ca="1">OFFSET(Industries!C$1,MATCH(Table1[[#This Row],[Ticker]],Industries!$A$2:$A$150,0),0)</f>
        <v>Consumer Staples</v>
      </c>
      <c r="C2461" t="str">
        <f ca="1">OFFSET(Industries!D$1,MATCH(Table1[[#This Row],[Ticker]],Industries!$A$2:$A$150,0),0)</f>
        <v>Food, Beverage and Tobacco</v>
      </c>
      <c r="D2461" t="str">
        <f ca="1">OFFSET(Industries!E$1,MATCH(Table1[[#This Row],[Ticker]],Industries!$A$2:$A$150,0),0)</f>
        <v>Tobacco</v>
      </c>
      <c r="E2461" t="s">
        <v>59</v>
      </c>
      <c r="F2461" t="s">
        <v>1343</v>
      </c>
      <c r="G2461" t="s">
        <v>1382</v>
      </c>
      <c r="H2461" t="s">
        <v>1441</v>
      </c>
      <c r="I2461" t="s">
        <v>1439</v>
      </c>
      <c r="J2461" s="2">
        <v>45331</v>
      </c>
      <c r="K2461" t="s">
        <v>2</v>
      </c>
      <c r="L2461" t="s">
        <v>1710</v>
      </c>
      <c r="M2461" t="s">
        <v>1709</v>
      </c>
      <c r="N2461" s="1"/>
      <c r="O2461" s="1" t="s">
        <v>476</v>
      </c>
      <c r="P2461" s="1">
        <v>0.69</v>
      </c>
      <c r="Q2461" s="1" t="s">
        <v>1636</v>
      </c>
      <c r="R2461" t="s">
        <v>62</v>
      </c>
      <c r="S2461" t="s">
        <v>1108</v>
      </c>
      <c r="T2461" t="s">
        <v>1519</v>
      </c>
      <c r="U2461" s="1">
        <v>0.2</v>
      </c>
    </row>
    <row r="2462" spans="1:22" x14ac:dyDescent="0.3">
      <c r="A2462" t="s">
        <v>1511</v>
      </c>
      <c r="B2462" t="str">
        <f ca="1">OFFSET(Industries!C$1,MATCH(Table1[[#This Row],[Ticker]],Industries!$A$2:$A$150,0),0)</f>
        <v>Consumer Staples</v>
      </c>
      <c r="C2462" t="str">
        <f ca="1">OFFSET(Industries!D$1,MATCH(Table1[[#This Row],[Ticker]],Industries!$A$2:$A$150,0),0)</f>
        <v>Food, Beverage and Tobacco</v>
      </c>
      <c r="D2462" t="str">
        <f ca="1">OFFSET(Industries!E$1,MATCH(Table1[[#This Row],[Ticker]],Industries!$A$2:$A$150,0),0)</f>
        <v>Tobacco</v>
      </c>
      <c r="E2462" t="s">
        <v>59</v>
      </c>
      <c r="F2462" t="s">
        <v>1343</v>
      </c>
      <c r="G2462" t="s">
        <v>1382</v>
      </c>
      <c r="H2462" t="s">
        <v>1441</v>
      </c>
      <c r="I2462" t="s">
        <v>1439</v>
      </c>
      <c r="J2462" s="2">
        <v>45331</v>
      </c>
      <c r="K2462" t="s">
        <v>2</v>
      </c>
      <c r="L2462" t="s">
        <v>1710</v>
      </c>
      <c r="M2462" t="s">
        <v>1709</v>
      </c>
      <c r="N2462" s="1"/>
      <c r="O2462" s="1" t="s">
        <v>476</v>
      </c>
      <c r="P2462" s="1">
        <v>0.69</v>
      </c>
      <c r="Q2462" s="1" t="s">
        <v>1636</v>
      </c>
      <c r="R2462" t="s">
        <v>23</v>
      </c>
      <c r="S2462" t="s">
        <v>1083</v>
      </c>
      <c r="T2462" t="s">
        <v>631</v>
      </c>
      <c r="U2462" s="1">
        <v>0.15</v>
      </c>
      <c r="V2462" t="s">
        <v>1518</v>
      </c>
    </row>
    <row r="2463" spans="1:22" x14ac:dyDescent="0.3">
      <c r="A2463" t="s">
        <v>1511</v>
      </c>
      <c r="B2463" t="str">
        <f ca="1">OFFSET(Industries!C$1,MATCH(Table1[[#This Row],[Ticker]],Industries!$A$2:$A$150,0),0)</f>
        <v>Consumer Staples</v>
      </c>
      <c r="C2463" t="str">
        <f ca="1">OFFSET(Industries!D$1,MATCH(Table1[[#This Row],[Ticker]],Industries!$A$2:$A$150,0),0)</f>
        <v>Food, Beverage and Tobacco</v>
      </c>
      <c r="D2463" t="str">
        <f ca="1">OFFSET(Industries!E$1,MATCH(Table1[[#This Row],[Ticker]],Industries!$A$2:$A$150,0),0)</f>
        <v>Tobacco</v>
      </c>
      <c r="E2463" t="s">
        <v>59</v>
      </c>
      <c r="F2463" t="s">
        <v>1343</v>
      </c>
      <c r="G2463" t="s">
        <v>1382</v>
      </c>
      <c r="H2463" t="s">
        <v>1441</v>
      </c>
      <c r="I2463" t="s">
        <v>1439</v>
      </c>
      <c r="J2463" s="2">
        <v>45331</v>
      </c>
      <c r="K2463" t="s">
        <v>2</v>
      </c>
      <c r="L2463" t="s">
        <v>1710</v>
      </c>
      <c r="M2463" t="s">
        <v>1709</v>
      </c>
      <c r="N2463" s="1"/>
      <c r="O2463" s="1" t="s">
        <v>476</v>
      </c>
      <c r="P2463" s="1">
        <v>0.69</v>
      </c>
      <c r="Q2463" s="1" t="s">
        <v>1636</v>
      </c>
      <c r="R2463" t="s">
        <v>23</v>
      </c>
      <c r="S2463" t="s">
        <v>1083</v>
      </c>
      <c r="T2463" t="s">
        <v>1520</v>
      </c>
      <c r="U2463" s="1">
        <v>0.15</v>
      </c>
      <c r="V2463" t="s">
        <v>1521</v>
      </c>
    </row>
    <row r="2464" spans="1:22" x14ac:dyDescent="0.3">
      <c r="A2464" t="s">
        <v>1511</v>
      </c>
      <c r="B2464" t="str">
        <f ca="1">OFFSET(Industries!C$1,MATCH(Table1[[#This Row],[Ticker]],Industries!$A$2:$A$150,0),0)</f>
        <v>Consumer Staples</v>
      </c>
      <c r="C2464" t="str">
        <f ca="1">OFFSET(Industries!D$1,MATCH(Table1[[#This Row],[Ticker]],Industries!$A$2:$A$150,0),0)</f>
        <v>Food, Beverage and Tobacco</v>
      </c>
      <c r="D2464" t="str">
        <f ca="1">OFFSET(Industries!E$1,MATCH(Table1[[#This Row],[Ticker]],Industries!$A$2:$A$150,0),0)</f>
        <v>Tobacco</v>
      </c>
      <c r="E2464" t="s">
        <v>59</v>
      </c>
      <c r="F2464" t="s">
        <v>1343</v>
      </c>
      <c r="G2464" t="s">
        <v>1382</v>
      </c>
      <c r="H2464" t="s">
        <v>1441</v>
      </c>
      <c r="I2464" t="s">
        <v>1439</v>
      </c>
      <c r="J2464" s="2">
        <v>45331</v>
      </c>
      <c r="K2464" t="s">
        <v>2</v>
      </c>
      <c r="L2464" t="s">
        <v>1710</v>
      </c>
      <c r="M2464" t="s">
        <v>1709</v>
      </c>
      <c r="N2464" s="1"/>
      <c r="O2464" s="1" t="s">
        <v>476</v>
      </c>
      <c r="P2464" s="1">
        <v>0.69</v>
      </c>
      <c r="R2464" t="s">
        <v>28</v>
      </c>
      <c r="S2464" t="s">
        <v>1110</v>
      </c>
      <c r="T2464" t="s">
        <v>172</v>
      </c>
    </row>
    <row r="2465" spans="1:22" x14ac:dyDescent="0.3">
      <c r="A2465" t="s">
        <v>1511</v>
      </c>
      <c r="B2465" t="str">
        <f ca="1">OFFSET(Industries!C$1,MATCH(Table1[[#This Row],[Ticker]],Industries!$A$2:$A$150,0),0)</f>
        <v>Consumer Staples</v>
      </c>
      <c r="C2465" t="str">
        <f ca="1">OFFSET(Industries!D$1,MATCH(Table1[[#This Row],[Ticker]],Industries!$A$2:$A$150,0),0)</f>
        <v>Food, Beverage and Tobacco</v>
      </c>
      <c r="D2465" t="str">
        <f ca="1">OFFSET(Industries!E$1,MATCH(Table1[[#This Row],[Ticker]],Industries!$A$2:$A$150,0),0)</f>
        <v>Tobacco</v>
      </c>
      <c r="E2465" t="s">
        <v>59</v>
      </c>
      <c r="F2465" t="s">
        <v>1343</v>
      </c>
      <c r="G2465" t="s">
        <v>1382</v>
      </c>
      <c r="H2465" t="s">
        <v>1441</v>
      </c>
      <c r="I2465" t="s">
        <v>1439</v>
      </c>
      <c r="J2465" s="2">
        <v>45331</v>
      </c>
      <c r="K2465" t="s">
        <v>21</v>
      </c>
      <c r="L2465" t="s">
        <v>3</v>
      </c>
      <c r="M2465" t="s">
        <v>1711</v>
      </c>
      <c r="N2465" s="1">
        <f>Table1[[#This Row],[Consideration Weight]]</f>
        <v>0.16800000000000001</v>
      </c>
      <c r="O2465" s="1" t="s">
        <v>3</v>
      </c>
      <c r="P2465" s="1">
        <v>0.16800000000000001</v>
      </c>
    </row>
    <row r="2466" spans="1:22" x14ac:dyDescent="0.3">
      <c r="A2466" t="s">
        <v>1511</v>
      </c>
      <c r="B2466" t="str">
        <f ca="1">OFFSET(Industries!C$1,MATCH(Table1[[#This Row],[Ticker]],Industries!$A$2:$A$150,0),0)</f>
        <v>Consumer Staples</v>
      </c>
      <c r="C2466" t="str">
        <f ca="1">OFFSET(Industries!D$1,MATCH(Table1[[#This Row],[Ticker]],Industries!$A$2:$A$150,0),0)</f>
        <v>Food, Beverage and Tobacco</v>
      </c>
      <c r="D2466" t="str">
        <f ca="1">OFFSET(Industries!E$1,MATCH(Table1[[#This Row],[Ticker]],Industries!$A$2:$A$150,0),0)</f>
        <v>Tobacco</v>
      </c>
      <c r="E2466" t="s">
        <v>59</v>
      </c>
      <c r="F2466" t="s">
        <v>1343</v>
      </c>
      <c r="G2466" t="s">
        <v>1382</v>
      </c>
      <c r="H2466" t="s">
        <v>1441</v>
      </c>
      <c r="I2466" t="s">
        <v>1439</v>
      </c>
      <c r="J2466" s="2">
        <v>45331</v>
      </c>
      <c r="K2466" t="s">
        <v>21</v>
      </c>
      <c r="L2466" t="s">
        <v>1708</v>
      </c>
      <c r="M2466" t="s">
        <v>1709</v>
      </c>
      <c r="N2466" s="1">
        <f>Table1[[#This Row],[Consideration Weight]]</f>
        <v>0.08</v>
      </c>
      <c r="O2466" s="1" t="s">
        <v>4</v>
      </c>
      <c r="P2466" s="1">
        <v>0.08</v>
      </c>
      <c r="Q2466" s="1" t="s">
        <v>1636</v>
      </c>
      <c r="R2466" t="s">
        <v>62</v>
      </c>
      <c r="S2466" t="s">
        <v>63</v>
      </c>
      <c r="T2466" t="s">
        <v>81</v>
      </c>
      <c r="U2466" s="1">
        <v>0.3</v>
      </c>
    </row>
    <row r="2467" spans="1:22" x14ac:dyDescent="0.3">
      <c r="A2467" t="s">
        <v>1511</v>
      </c>
      <c r="B2467" t="str">
        <f ca="1">OFFSET(Industries!C$1,MATCH(Table1[[#This Row],[Ticker]],Industries!$A$2:$A$150,0),0)</f>
        <v>Consumer Staples</v>
      </c>
      <c r="C2467" t="str">
        <f ca="1">OFFSET(Industries!D$1,MATCH(Table1[[#This Row],[Ticker]],Industries!$A$2:$A$150,0),0)</f>
        <v>Food, Beverage and Tobacco</v>
      </c>
      <c r="D2467" t="str">
        <f ca="1">OFFSET(Industries!E$1,MATCH(Table1[[#This Row],[Ticker]],Industries!$A$2:$A$150,0),0)</f>
        <v>Tobacco</v>
      </c>
      <c r="E2467" t="s">
        <v>59</v>
      </c>
      <c r="F2467" t="s">
        <v>1343</v>
      </c>
      <c r="G2467" t="s">
        <v>1382</v>
      </c>
      <c r="H2467" t="s">
        <v>1441</v>
      </c>
      <c r="I2467" t="s">
        <v>1439</v>
      </c>
      <c r="J2467" s="2">
        <v>45331</v>
      </c>
      <c r="K2467" t="s">
        <v>21</v>
      </c>
      <c r="L2467" t="s">
        <v>1708</v>
      </c>
      <c r="M2467" t="s">
        <v>1709</v>
      </c>
      <c r="N2467" s="1"/>
      <c r="O2467" s="1" t="s">
        <v>4</v>
      </c>
      <c r="P2467" s="1">
        <v>0.08</v>
      </c>
      <c r="Q2467" s="1" t="s">
        <v>1636</v>
      </c>
      <c r="R2467" t="s">
        <v>24</v>
      </c>
      <c r="S2467" t="s">
        <v>90</v>
      </c>
      <c r="T2467" t="s">
        <v>732</v>
      </c>
      <c r="U2467" s="1">
        <v>0.25</v>
      </c>
    </row>
    <row r="2468" spans="1:22" x14ac:dyDescent="0.3">
      <c r="A2468" t="s">
        <v>1511</v>
      </c>
      <c r="B2468" t="str">
        <f ca="1">OFFSET(Industries!C$1,MATCH(Table1[[#This Row],[Ticker]],Industries!$A$2:$A$150,0),0)</f>
        <v>Consumer Staples</v>
      </c>
      <c r="C2468" t="str">
        <f ca="1">OFFSET(Industries!D$1,MATCH(Table1[[#This Row],[Ticker]],Industries!$A$2:$A$150,0),0)</f>
        <v>Food, Beverage and Tobacco</v>
      </c>
      <c r="D2468" t="str">
        <f ca="1">OFFSET(Industries!E$1,MATCH(Table1[[#This Row],[Ticker]],Industries!$A$2:$A$150,0),0)</f>
        <v>Tobacco</v>
      </c>
      <c r="E2468" t="s">
        <v>59</v>
      </c>
      <c r="F2468" t="s">
        <v>1343</v>
      </c>
      <c r="G2468" t="s">
        <v>1382</v>
      </c>
      <c r="H2468" t="s">
        <v>1441</v>
      </c>
      <c r="I2468" t="s">
        <v>1439</v>
      </c>
      <c r="J2468" s="2">
        <v>45331</v>
      </c>
      <c r="K2468" t="s">
        <v>21</v>
      </c>
      <c r="L2468" t="s">
        <v>1708</v>
      </c>
      <c r="M2468" t="s">
        <v>1709</v>
      </c>
      <c r="N2468" s="1"/>
      <c r="O2468" s="1" t="s">
        <v>4</v>
      </c>
      <c r="P2468" s="1">
        <v>0.08</v>
      </c>
      <c r="Q2468" s="1" t="s">
        <v>1636</v>
      </c>
      <c r="R2468" t="s">
        <v>23</v>
      </c>
      <c r="S2468" t="s">
        <v>1086</v>
      </c>
      <c r="T2468" t="s">
        <v>1512</v>
      </c>
      <c r="U2468" s="1">
        <v>0.2</v>
      </c>
    </row>
    <row r="2469" spans="1:22" x14ac:dyDescent="0.3">
      <c r="A2469" t="s">
        <v>1511</v>
      </c>
      <c r="B2469" t="str">
        <f ca="1">OFFSET(Industries!C$1,MATCH(Table1[[#This Row],[Ticker]],Industries!$A$2:$A$150,0),0)</f>
        <v>Consumer Staples</v>
      </c>
      <c r="C2469" t="str">
        <f ca="1">OFFSET(Industries!D$1,MATCH(Table1[[#This Row],[Ticker]],Industries!$A$2:$A$150,0),0)</f>
        <v>Food, Beverage and Tobacco</v>
      </c>
      <c r="D2469" t="str">
        <f ca="1">OFFSET(Industries!E$1,MATCH(Table1[[#This Row],[Ticker]],Industries!$A$2:$A$150,0),0)</f>
        <v>Tobacco</v>
      </c>
      <c r="E2469" t="s">
        <v>59</v>
      </c>
      <c r="F2469" t="s">
        <v>1343</v>
      </c>
      <c r="G2469" t="s">
        <v>1382</v>
      </c>
      <c r="H2469" t="s">
        <v>1441</v>
      </c>
      <c r="I2469" t="s">
        <v>1439</v>
      </c>
      <c r="J2469" s="2">
        <v>45331</v>
      </c>
      <c r="K2469" t="s">
        <v>21</v>
      </c>
      <c r="L2469" t="s">
        <v>1708</v>
      </c>
      <c r="M2469" t="s">
        <v>1709</v>
      </c>
      <c r="N2469" s="1"/>
      <c r="O2469" s="1" t="s">
        <v>4</v>
      </c>
      <c r="P2469" s="1">
        <v>0.08</v>
      </c>
      <c r="Q2469" s="1" t="s">
        <v>1636</v>
      </c>
      <c r="R2469" t="s">
        <v>23</v>
      </c>
      <c r="S2469" t="s">
        <v>1083</v>
      </c>
      <c r="T2469" t="s">
        <v>1522</v>
      </c>
      <c r="U2469" s="1">
        <v>0.15</v>
      </c>
    </row>
    <row r="2470" spans="1:22" x14ac:dyDescent="0.3">
      <c r="A2470" t="s">
        <v>1511</v>
      </c>
      <c r="B2470" t="str">
        <f ca="1">OFFSET(Industries!C$1,MATCH(Table1[[#This Row],[Ticker]],Industries!$A$2:$A$150,0),0)</f>
        <v>Consumer Staples</v>
      </c>
      <c r="C2470" t="str">
        <f ca="1">OFFSET(Industries!D$1,MATCH(Table1[[#This Row],[Ticker]],Industries!$A$2:$A$150,0),0)</f>
        <v>Food, Beverage and Tobacco</v>
      </c>
      <c r="D2470" t="str">
        <f ca="1">OFFSET(Industries!E$1,MATCH(Table1[[#This Row],[Ticker]],Industries!$A$2:$A$150,0),0)</f>
        <v>Tobacco</v>
      </c>
      <c r="E2470" t="s">
        <v>59</v>
      </c>
      <c r="F2470" t="s">
        <v>1343</v>
      </c>
      <c r="G2470" t="s">
        <v>1382</v>
      </c>
      <c r="H2470" t="s">
        <v>1441</v>
      </c>
      <c r="I2470" t="s">
        <v>1439</v>
      </c>
      <c r="J2470" s="2">
        <v>45331</v>
      </c>
      <c r="K2470" t="s">
        <v>21</v>
      </c>
      <c r="L2470" t="s">
        <v>1708</v>
      </c>
      <c r="M2470" t="s">
        <v>1709</v>
      </c>
      <c r="N2470" s="1"/>
      <c r="O2470" s="1" t="s">
        <v>4</v>
      </c>
      <c r="P2470" s="1">
        <v>0.08</v>
      </c>
      <c r="Q2470" s="1" t="s">
        <v>1636</v>
      </c>
      <c r="R2470" t="s">
        <v>23</v>
      </c>
      <c r="S2470" t="s">
        <v>1086</v>
      </c>
      <c r="T2470" t="s">
        <v>1513</v>
      </c>
      <c r="U2470" s="1">
        <v>0.1</v>
      </c>
      <c r="V2470" t="s">
        <v>1734</v>
      </c>
    </row>
    <row r="2471" spans="1:22" x14ac:dyDescent="0.3">
      <c r="A2471" t="s">
        <v>1511</v>
      </c>
      <c r="B2471" t="str">
        <f ca="1">OFFSET(Industries!C$1,MATCH(Table1[[#This Row],[Ticker]],Industries!$A$2:$A$150,0),0)</f>
        <v>Consumer Staples</v>
      </c>
      <c r="C2471" t="str">
        <f ca="1">OFFSET(Industries!D$1,MATCH(Table1[[#This Row],[Ticker]],Industries!$A$2:$A$150,0),0)</f>
        <v>Food, Beverage and Tobacco</v>
      </c>
      <c r="D2471" t="str">
        <f ca="1">OFFSET(Industries!E$1,MATCH(Table1[[#This Row],[Ticker]],Industries!$A$2:$A$150,0),0)</f>
        <v>Tobacco</v>
      </c>
      <c r="E2471" t="s">
        <v>59</v>
      </c>
      <c r="F2471" t="s">
        <v>1343</v>
      </c>
      <c r="G2471" t="s">
        <v>1382</v>
      </c>
      <c r="H2471" t="s">
        <v>1441</v>
      </c>
      <c r="I2471" t="s">
        <v>1439</v>
      </c>
      <c r="J2471" s="2">
        <v>45331</v>
      </c>
      <c r="K2471" t="s">
        <v>21</v>
      </c>
      <c r="L2471" t="s">
        <v>1708</v>
      </c>
      <c r="M2471" t="s">
        <v>1709</v>
      </c>
      <c r="N2471" s="1"/>
      <c r="O2471" s="1" t="s">
        <v>4</v>
      </c>
      <c r="P2471" s="1">
        <v>0.08</v>
      </c>
      <c r="R2471" t="s">
        <v>28</v>
      </c>
      <c r="S2471" t="s">
        <v>1110</v>
      </c>
      <c r="T2471" t="s">
        <v>172</v>
      </c>
    </row>
    <row r="2472" spans="1:22" x14ac:dyDescent="0.3">
      <c r="A2472" t="s">
        <v>1511</v>
      </c>
      <c r="B2472" t="str">
        <f ca="1">OFFSET(Industries!C$1,MATCH(Table1[[#This Row],[Ticker]],Industries!$A$2:$A$150,0),0)</f>
        <v>Consumer Staples</v>
      </c>
      <c r="C2472" t="str">
        <f ca="1">OFFSET(Industries!D$1,MATCH(Table1[[#This Row],[Ticker]],Industries!$A$2:$A$150,0),0)</f>
        <v>Food, Beverage and Tobacco</v>
      </c>
      <c r="D2472" t="str">
        <f ca="1">OFFSET(Industries!E$1,MATCH(Table1[[#This Row],[Ticker]],Industries!$A$2:$A$150,0),0)</f>
        <v>Tobacco</v>
      </c>
      <c r="E2472" t="s">
        <v>59</v>
      </c>
      <c r="F2472" t="s">
        <v>1343</v>
      </c>
      <c r="G2472" t="s">
        <v>1382</v>
      </c>
      <c r="H2472" t="s">
        <v>1441</v>
      </c>
      <c r="I2472" t="s">
        <v>1439</v>
      </c>
      <c r="J2472" s="2">
        <v>45331</v>
      </c>
      <c r="K2472" t="s">
        <v>21</v>
      </c>
      <c r="L2472" t="s">
        <v>1708</v>
      </c>
      <c r="M2472" t="s">
        <v>1709</v>
      </c>
      <c r="N2472" s="1">
        <f>Table1[[#This Row],[Consideration Weight]]</f>
        <v>0.08</v>
      </c>
      <c r="O2472" s="1" t="s">
        <v>862</v>
      </c>
      <c r="P2472" s="1">
        <v>0.08</v>
      </c>
    </row>
    <row r="2473" spans="1:22" x14ac:dyDescent="0.3">
      <c r="A2473" t="s">
        <v>1511</v>
      </c>
      <c r="B2473" t="str">
        <f ca="1">OFFSET(Industries!C$1,MATCH(Table1[[#This Row],[Ticker]],Industries!$A$2:$A$150,0),0)</f>
        <v>Consumer Staples</v>
      </c>
      <c r="C2473" t="str">
        <f ca="1">OFFSET(Industries!D$1,MATCH(Table1[[#This Row],[Ticker]],Industries!$A$2:$A$150,0),0)</f>
        <v>Food, Beverage and Tobacco</v>
      </c>
      <c r="D2473" t="str">
        <f ca="1">OFFSET(Industries!E$1,MATCH(Table1[[#This Row],[Ticker]],Industries!$A$2:$A$150,0),0)</f>
        <v>Tobacco</v>
      </c>
      <c r="E2473" t="s">
        <v>59</v>
      </c>
      <c r="F2473" t="s">
        <v>1343</v>
      </c>
      <c r="G2473" t="s">
        <v>1382</v>
      </c>
      <c r="H2473" t="s">
        <v>1441</v>
      </c>
      <c r="I2473" t="s">
        <v>1439</v>
      </c>
      <c r="J2473" s="2">
        <v>45331</v>
      </c>
      <c r="K2473" t="s">
        <v>21</v>
      </c>
      <c r="L2473" t="s">
        <v>1710</v>
      </c>
      <c r="M2473" t="s">
        <v>1709</v>
      </c>
      <c r="N2473" s="1">
        <f>Table1[[#This Row],[Consideration Weight]]</f>
        <v>0.67200000000000004</v>
      </c>
      <c r="O2473" s="1" t="s">
        <v>476</v>
      </c>
      <c r="P2473" s="1">
        <v>0.67200000000000004</v>
      </c>
      <c r="Q2473" s="1" t="s">
        <v>1636</v>
      </c>
      <c r="R2473" t="s">
        <v>24</v>
      </c>
      <c r="S2473" t="s">
        <v>1089</v>
      </c>
      <c r="T2473" t="s">
        <v>406</v>
      </c>
      <c r="U2473" s="1">
        <v>0.3</v>
      </c>
    </row>
    <row r="2474" spans="1:22" x14ac:dyDescent="0.3">
      <c r="A2474" t="s">
        <v>1511</v>
      </c>
      <c r="B2474" t="str">
        <f ca="1">OFFSET(Industries!C$1,MATCH(Table1[[#This Row],[Ticker]],Industries!$A$2:$A$150,0),0)</f>
        <v>Consumer Staples</v>
      </c>
      <c r="C2474" t="str">
        <f ca="1">OFFSET(Industries!D$1,MATCH(Table1[[#This Row],[Ticker]],Industries!$A$2:$A$150,0),0)</f>
        <v>Food, Beverage and Tobacco</v>
      </c>
      <c r="D2474" t="str">
        <f ca="1">OFFSET(Industries!E$1,MATCH(Table1[[#This Row],[Ticker]],Industries!$A$2:$A$150,0),0)</f>
        <v>Tobacco</v>
      </c>
      <c r="E2474" t="s">
        <v>59</v>
      </c>
      <c r="F2474" t="s">
        <v>1343</v>
      </c>
      <c r="G2474" t="s">
        <v>1382</v>
      </c>
      <c r="H2474" t="s">
        <v>1441</v>
      </c>
      <c r="I2474" t="s">
        <v>1439</v>
      </c>
      <c r="J2474" s="2">
        <v>45331</v>
      </c>
      <c r="K2474" t="s">
        <v>21</v>
      </c>
      <c r="L2474" t="s">
        <v>1710</v>
      </c>
      <c r="M2474" t="s">
        <v>1709</v>
      </c>
      <c r="N2474" s="1"/>
      <c r="O2474" s="1" t="s">
        <v>476</v>
      </c>
      <c r="P2474" s="1">
        <v>0.67200000000000004</v>
      </c>
      <c r="Q2474" s="1" t="s">
        <v>1646</v>
      </c>
      <c r="R2474" t="s">
        <v>35</v>
      </c>
      <c r="S2474" t="s">
        <v>29</v>
      </c>
      <c r="T2474" t="s">
        <v>30</v>
      </c>
      <c r="U2474" s="1">
        <v>0.2</v>
      </c>
    </row>
    <row r="2475" spans="1:22" x14ac:dyDescent="0.3">
      <c r="A2475" t="s">
        <v>1511</v>
      </c>
      <c r="B2475" t="str">
        <f ca="1">OFFSET(Industries!C$1,MATCH(Table1[[#This Row],[Ticker]],Industries!$A$2:$A$150,0),0)</f>
        <v>Consumer Staples</v>
      </c>
      <c r="C2475" t="str">
        <f ca="1">OFFSET(Industries!D$1,MATCH(Table1[[#This Row],[Ticker]],Industries!$A$2:$A$150,0),0)</f>
        <v>Food, Beverage and Tobacco</v>
      </c>
      <c r="D2475" t="str">
        <f ca="1">OFFSET(Industries!E$1,MATCH(Table1[[#This Row],[Ticker]],Industries!$A$2:$A$150,0),0)</f>
        <v>Tobacco</v>
      </c>
      <c r="E2475" t="s">
        <v>59</v>
      </c>
      <c r="F2475" t="s">
        <v>1343</v>
      </c>
      <c r="G2475" t="s">
        <v>1382</v>
      </c>
      <c r="H2475" t="s">
        <v>1441</v>
      </c>
      <c r="I2475" t="s">
        <v>1439</v>
      </c>
      <c r="J2475" s="2">
        <v>45331</v>
      </c>
      <c r="K2475" t="s">
        <v>21</v>
      </c>
      <c r="L2475" t="s">
        <v>1710</v>
      </c>
      <c r="M2475" t="s">
        <v>1709</v>
      </c>
      <c r="N2475" s="1"/>
      <c r="O2475" s="1" t="s">
        <v>476</v>
      </c>
      <c r="P2475" s="1">
        <v>0.67200000000000004</v>
      </c>
      <c r="Q2475" s="1" t="s">
        <v>1636</v>
      </c>
      <c r="R2475" t="s">
        <v>62</v>
      </c>
      <c r="S2475" t="s">
        <v>1108</v>
      </c>
      <c r="T2475" t="s">
        <v>1519</v>
      </c>
      <c r="U2475" s="1">
        <v>0.2</v>
      </c>
    </row>
    <row r="2476" spans="1:22" x14ac:dyDescent="0.3">
      <c r="A2476" t="s">
        <v>1511</v>
      </c>
      <c r="B2476" t="str">
        <f ca="1">OFFSET(Industries!C$1,MATCH(Table1[[#This Row],[Ticker]],Industries!$A$2:$A$150,0),0)</f>
        <v>Consumer Staples</v>
      </c>
      <c r="C2476" t="str">
        <f ca="1">OFFSET(Industries!D$1,MATCH(Table1[[#This Row],[Ticker]],Industries!$A$2:$A$150,0),0)</f>
        <v>Food, Beverage and Tobacco</v>
      </c>
      <c r="D2476" t="str">
        <f ca="1">OFFSET(Industries!E$1,MATCH(Table1[[#This Row],[Ticker]],Industries!$A$2:$A$150,0),0)</f>
        <v>Tobacco</v>
      </c>
      <c r="E2476" t="s">
        <v>59</v>
      </c>
      <c r="F2476" t="s">
        <v>1343</v>
      </c>
      <c r="G2476" t="s">
        <v>1382</v>
      </c>
      <c r="H2476" t="s">
        <v>1441</v>
      </c>
      <c r="I2476" t="s">
        <v>1439</v>
      </c>
      <c r="J2476" s="2">
        <v>45331</v>
      </c>
      <c r="K2476" t="s">
        <v>21</v>
      </c>
      <c r="L2476" t="s">
        <v>1710</v>
      </c>
      <c r="M2476" t="s">
        <v>1709</v>
      </c>
      <c r="N2476" s="1"/>
      <c r="O2476" s="1" t="s">
        <v>476</v>
      </c>
      <c r="P2476" s="1">
        <v>0.67200000000000004</v>
      </c>
      <c r="Q2476" s="1" t="s">
        <v>1636</v>
      </c>
      <c r="R2476" t="s">
        <v>23</v>
      </c>
      <c r="S2476" t="s">
        <v>1083</v>
      </c>
      <c r="T2476" t="s">
        <v>631</v>
      </c>
      <c r="U2476" s="1">
        <v>0.15</v>
      </c>
    </row>
    <row r="2477" spans="1:22" x14ac:dyDescent="0.3">
      <c r="A2477" t="s">
        <v>1511</v>
      </c>
      <c r="B2477" t="str">
        <f ca="1">OFFSET(Industries!C$1,MATCH(Table1[[#This Row],[Ticker]],Industries!$A$2:$A$150,0),0)</f>
        <v>Consumer Staples</v>
      </c>
      <c r="C2477" t="str">
        <f ca="1">OFFSET(Industries!D$1,MATCH(Table1[[#This Row],[Ticker]],Industries!$A$2:$A$150,0),0)</f>
        <v>Food, Beverage and Tobacco</v>
      </c>
      <c r="D2477" t="str">
        <f ca="1">OFFSET(Industries!E$1,MATCH(Table1[[#This Row],[Ticker]],Industries!$A$2:$A$150,0),0)</f>
        <v>Tobacco</v>
      </c>
      <c r="E2477" t="s">
        <v>59</v>
      </c>
      <c r="F2477" t="s">
        <v>1343</v>
      </c>
      <c r="G2477" t="s">
        <v>1382</v>
      </c>
      <c r="H2477" t="s">
        <v>1441</v>
      </c>
      <c r="I2477" t="s">
        <v>1439</v>
      </c>
      <c r="J2477" s="2">
        <v>45331</v>
      </c>
      <c r="K2477" t="s">
        <v>21</v>
      </c>
      <c r="L2477" t="s">
        <v>1710</v>
      </c>
      <c r="M2477" t="s">
        <v>1709</v>
      </c>
      <c r="N2477" s="1"/>
      <c r="O2477" s="1" t="s">
        <v>476</v>
      </c>
      <c r="P2477" s="1">
        <v>0.67200000000000004</v>
      </c>
      <c r="Q2477" s="1" t="s">
        <v>1636</v>
      </c>
      <c r="R2477" t="s">
        <v>23</v>
      </c>
      <c r="S2477" t="s">
        <v>1083</v>
      </c>
      <c r="T2477" t="s">
        <v>1520</v>
      </c>
      <c r="U2477" s="1">
        <v>0.15</v>
      </c>
    </row>
    <row r="2478" spans="1:22" x14ac:dyDescent="0.3">
      <c r="A2478" t="s">
        <v>1511</v>
      </c>
      <c r="B2478" t="str">
        <f ca="1">OFFSET(Industries!C$1,MATCH(Table1[[#This Row],[Ticker]],Industries!$A$2:$A$150,0),0)</f>
        <v>Consumer Staples</v>
      </c>
      <c r="C2478" t="str">
        <f ca="1">OFFSET(Industries!D$1,MATCH(Table1[[#This Row],[Ticker]],Industries!$A$2:$A$150,0),0)</f>
        <v>Food, Beverage and Tobacco</v>
      </c>
      <c r="D2478" t="str">
        <f ca="1">OFFSET(Industries!E$1,MATCH(Table1[[#This Row],[Ticker]],Industries!$A$2:$A$150,0),0)</f>
        <v>Tobacco</v>
      </c>
      <c r="E2478" t="s">
        <v>59</v>
      </c>
      <c r="F2478" t="s">
        <v>1343</v>
      </c>
      <c r="G2478" t="s">
        <v>1382</v>
      </c>
      <c r="H2478" t="s">
        <v>1441</v>
      </c>
      <c r="I2478" t="s">
        <v>1439</v>
      </c>
      <c r="J2478" s="2">
        <v>45331</v>
      </c>
      <c r="K2478" t="s">
        <v>21</v>
      </c>
      <c r="L2478" t="s">
        <v>1710</v>
      </c>
      <c r="M2478" t="s">
        <v>1709</v>
      </c>
      <c r="N2478" s="1"/>
      <c r="O2478" s="1" t="s">
        <v>476</v>
      </c>
      <c r="P2478" s="1">
        <v>0.67200000000000004</v>
      </c>
      <c r="R2478" t="s">
        <v>28</v>
      </c>
      <c r="S2478" t="s">
        <v>1110</v>
      </c>
      <c r="T2478" t="s">
        <v>172</v>
      </c>
      <c r="V2478" t="s">
        <v>1537</v>
      </c>
    </row>
    <row r="2479" spans="1:22" x14ac:dyDescent="0.3">
      <c r="A2479" t="s">
        <v>1523</v>
      </c>
      <c r="B2479" t="str">
        <f ca="1">OFFSET(Industries!C$1,MATCH(Table1[[#This Row],[Ticker]],Industries!$A$2:$A$150,0),0)</f>
        <v>Information Technology</v>
      </c>
      <c r="C2479" t="str">
        <f ca="1">OFFSET(Industries!D$1,MATCH(Table1[[#This Row],[Ticker]],Industries!$A$2:$A$150,0),0)</f>
        <v>Software and Services</v>
      </c>
      <c r="D2479" t="str">
        <f ca="1">OFFSET(Industries!E$1,MATCH(Table1[[#This Row],[Ticker]],Industries!$A$2:$A$150,0),0)</f>
        <v>Software</v>
      </c>
      <c r="E2479" t="s">
        <v>42</v>
      </c>
      <c r="F2479" t="s">
        <v>1342</v>
      </c>
      <c r="G2479" t="s">
        <v>1380</v>
      </c>
      <c r="H2479" t="s">
        <v>1524</v>
      </c>
      <c r="I2479" t="s">
        <v>1439</v>
      </c>
      <c r="J2479" s="2">
        <v>45343</v>
      </c>
      <c r="K2479" t="s">
        <v>2</v>
      </c>
      <c r="L2479" t="s">
        <v>3</v>
      </c>
      <c r="M2479" t="s">
        <v>1711</v>
      </c>
      <c r="N2479" s="1">
        <f>Table1[[#This Row],[Consideration Weight]]</f>
        <v>0.13</v>
      </c>
      <c r="O2479" s="1" t="s">
        <v>3</v>
      </c>
      <c r="P2479" s="1">
        <v>0.13</v>
      </c>
      <c r="V2479" t="s">
        <v>1533</v>
      </c>
    </row>
    <row r="2480" spans="1:22" x14ac:dyDescent="0.3">
      <c r="A2480" t="s">
        <v>1523</v>
      </c>
      <c r="B2480" t="str">
        <f ca="1">OFFSET(Industries!C$1,MATCH(Table1[[#This Row],[Ticker]],Industries!$A$2:$A$150,0),0)</f>
        <v>Information Technology</v>
      </c>
      <c r="C2480" t="str">
        <f ca="1">OFFSET(Industries!D$1,MATCH(Table1[[#This Row],[Ticker]],Industries!$A$2:$A$150,0),0)</f>
        <v>Software and Services</v>
      </c>
      <c r="D2480" t="str">
        <f ca="1">OFFSET(Industries!E$1,MATCH(Table1[[#This Row],[Ticker]],Industries!$A$2:$A$150,0),0)</f>
        <v>Software</v>
      </c>
      <c r="E2480" t="s">
        <v>42</v>
      </c>
      <c r="F2480" t="s">
        <v>1342</v>
      </c>
      <c r="G2480" t="s">
        <v>1380</v>
      </c>
      <c r="H2480" t="s">
        <v>1524</v>
      </c>
      <c r="I2480" t="s">
        <v>1439</v>
      </c>
      <c r="J2480" s="2">
        <v>45343</v>
      </c>
      <c r="K2480" t="s">
        <v>2</v>
      </c>
      <c r="L2480" t="s">
        <v>1708</v>
      </c>
      <c r="M2480" t="s">
        <v>1709</v>
      </c>
      <c r="N2480" s="1">
        <f>Table1[[#This Row],[Consideration Weight]]</f>
        <v>0.22</v>
      </c>
      <c r="O2480" s="1" t="s">
        <v>4</v>
      </c>
      <c r="P2480" s="1">
        <v>0.22</v>
      </c>
      <c r="Q2480" s="1" t="s">
        <v>1636</v>
      </c>
      <c r="R2480" t="s">
        <v>23</v>
      </c>
      <c r="S2480" t="s">
        <v>1086</v>
      </c>
      <c r="T2480" t="s">
        <v>1525</v>
      </c>
      <c r="U2480" s="1">
        <v>0.3</v>
      </c>
      <c r="V2480" t="s">
        <v>1534</v>
      </c>
    </row>
    <row r="2481" spans="1:22" x14ac:dyDescent="0.3">
      <c r="A2481" t="s">
        <v>1523</v>
      </c>
      <c r="B2481" t="str">
        <f ca="1">OFFSET(Industries!C$1,MATCH(Table1[[#This Row],[Ticker]],Industries!$A$2:$A$150,0),0)</f>
        <v>Information Technology</v>
      </c>
      <c r="C2481" t="str">
        <f ca="1">OFFSET(Industries!D$1,MATCH(Table1[[#This Row],[Ticker]],Industries!$A$2:$A$150,0),0)</f>
        <v>Software and Services</v>
      </c>
      <c r="D2481" t="str">
        <f ca="1">OFFSET(Industries!E$1,MATCH(Table1[[#This Row],[Ticker]],Industries!$A$2:$A$150,0),0)</f>
        <v>Software</v>
      </c>
      <c r="E2481" t="s">
        <v>42</v>
      </c>
      <c r="F2481" t="s">
        <v>1342</v>
      </c>
      <c r="G2481" t="s">
        <v>1380</v>
      </c>
      <c r="H2481" t="s">
        <v>1524</v>
      </c>
      <c r="I2481" t="s">
        <v>1439</v>
      </c>
      <c r="J2481" s="2">
        <v>45343</v>
      </c>
      <c r="K2481" t="s">
        <v>2</v>
      </c>
      <c r="L2481" t="s">
        <v>1708</v>
      </c>
      <c r="M2481" t="s">
        <v>1709</v>
      </c>
      <c r="N2481" s="1"/>
      <c r="O2481" s="1" t="s">
        <v>4</v>
      </c>
      <c r="P2481" s="1">
        <v>0.22</v>
      </c>
      <c r="Q2481" s="1" t="s">
        <v>1636</v>
      </c>
      <c r="R2481" t="s">
        <v>23</v>
      </c>
      <c r="S2481" t="s">
        <v>1083</v>
      </c>
      <c r="T2481" t="s">
        <v>1526</v>
      </c>
      <c r="U2481" s="1">
        <v>0.25</v>
      </c>
    </row>
    <row r="2482" spans="1:22" x14ac:dyDescent="0.3">
      <c r="A2482" t="s">
        <v>1523</v>
      </c>
      <c r="B2482" t="str">
        <f ca="1">OFFSET(Industries!C$1,MATCH(Table1[[#This Row],[Ticker]],Industries!$A$2:$A$150,0),0)</f>
        <v>Information Technology</v>
      </c>
      <c r="C2482" t="str">
        <f ca="1">OFFSET(Industries!D$1,MATCH(Table1[[#This Row],[Ticker]],Industries!$A$2:$A$150,0),0)</f>
        <v>Software and Services</v>
      </c>
      <c r="D2482" t="str">
        <f ca="1">OFFSET(Industries!E$1,MATCH(Table1[[#This Row],[Ticker]],Industries!$A$2:$A$150,0),0)</f>
        <v>Software</v>
      </c>
      <c r="E2482" t="s">
        <v>42</v>
      </c>
      <c r="F2482" t="s">
        <v>1342</v>
      </c>
      <c r="G2482" t="s">
        <v>1380</v>
      </c>
      <c r="H2482" t="s">
        <v>1524</v>
      </c>
      <c r="I2482" t="s">
        <v>1439</v>
      </c>
      <c r="J2482" s="2">
        <v>45343</v>
      </c>
      <c r="K2482" t="s">
        <v>2</v>
      </c>
      <c r="L2482" t="s">
        <v>1708</v>
      </c>
      <c r="M2482" t="s">
        <v>1709</v>
      </c>
      <c r="N2482" s="1"/>
      <c r="O2482" s="1" t="s">
        <v>4</v>
      </c>
      <c r="P2482" s="1">
        <v>0.22</v>
      </c>
      <c r="Q2482" s="1" t="s">
        <v>1636</v>
      </c>
      <c r="R2482" t="s">
        <v>24</v>
      </c>
      <c r="S2482" t="s">
        <v>509</v>
      </c>
      <c r="T2482" t="s">
        <v>1527</v>
      </c>
      <c r="U2482" s="1">
        <v>0.25</v>
      </c>
    </row>
    <row r="2483" spans="1:22" x14ac:dyDescent="0.3">
      <c r="A2483" t="s">
        <v>1523</v>
      </c>
      <c r="B2483" t="str">
        <f ca="1">OFFSET(Industries!C$1,MATCH(Table1[[#This Row],[Ticker]],Industries!$A$2:$A$150,0),0)</f>
        <v>Information Technology</v>
      </c>
      <c r="C2483" t="str">
        <f ca="1">OFFSET(Industries!D$1,MATCH(Table1[[#This Row],[Ticker]],Industries!$A$2:$A$150,0),0)</f>
        <v>Software and Services</v>
      </c>
      <c r="D2483" t="str">
        <f ca="1">OFFSET(Industries!E$1,MATCH(Table1[[#This Row],[Ticker]],Industries!$A$2:$A$150,0),0)</f>
        <v>Software</v>
      </c>
      <c r="E2483" t="s">
        <v>42</v>
      </c>
      <c r="F2483" t="s">
        <v>1342</v>
      </c>
      <c r="G2483" t="s">
        <v>1380</v>
      </c>
      <c r="H2483" t="s">
        <v>1524</v>
      </c>
      <c r="I2483" t="s">
        <v>1439</v>
      </c>
      <c r="J2483" s="2">
        <v>45343</v>
      </c>
      <c r="K2483" t="s">
        <v>2</v>
      </c>
      <c r="L2483" t="s">
        <v>1708</v>
      </c>
      <c r="M2483" t="s">
        <v>1709</v>
      </c>
      <c r="N2483" s="1"/>
      <c r="O2483" s="1" t="s">
        <v>4</v>
      </c>
      <c r="P2483" s="1">
        <v>0.22</v>
      </c>
      <c r="Q2483" s="1" t="s">
        <v>1637</v>
      </c>
      <c r="R2483" t="s">
        <v>25</v>
      </c>
      <c r="S2483" t="s">
        <v>1130</v>
      </c>
      <c r="T2483" t="s">
        <v>1528</v>
      </c>
      <c r="U2483" s="1">
        <f>2/3/10</f>
        <v>6.6666666666666666E-2</v>
      </c>
    </row>
    <row r="2484" spans="1:22" x14ac:dyDescent="0.3">
      <c r="A2484" t="s">
        <v>1523</v>
      </c>
      <c r="B2484" t="str">
        <f ca="1">OFFSET(Industries!C$1,MATCH(Table1[[#This Row],[Ticker]],Industries!$A$2:$A$150,0),0)</f>
        <v>Information Technology</v>
      </c>
      <c r="C2484" t="str">
        <f ca="1">OFFSET(Industries!D$1,MATCH(Table1[[#This Row],[Ticker]],Industries!$A$2:$A$150,0),0)</f>
        <v>Software and Services</v>
      </c>
      <c r="D2484" t="str">
        <f ca="1">OFFSET(Industries!E$1,MATCH(Table1[[#This Row],[Ticker]],Industries!$A$2:$A$150,0),0)</f>
        <v>Software</v>
      </c>
      <c r="E2484" t="s">
        <v>42</v>
      </c>
      <c r="F2484" t="s">
        <v>1342</v>
      </c>
      <c r="G2484" t="s">
        <v>1380</v>
      </c>
      <c r="H2484" t="s">
        <v>1524</v>
      </c>
      <c r="I2484" t="s">
        <v>1439</v>
      </c>
      <c r="J2484" s="2">
        <v>45343</v>
      </c>
      <c r="K2484" t="s">
        <v>2</v>
      </c>
      <c r="L2484" t="s">
        <v>1708</v>
      </c>
      <c r="M2484" t="s">
        <v>1709</v>
      </c>
      <c r="N2484" s="1"/>
      <c r="O2484" s="1" t="s">
        <v>4</v>
      </c>
      <c r="P2484" s="1">
        <v>0.22</v>
      </c>
      <c r="Q2484" s="1" t="s">
        <v>1637</v>
      </c>
      <c r="R2484" t="s">
        <v>26</v>
      </c>
      <c r="S2484" t="s">
        <v>26</v>
      </c>
      <c r="T2484" t="s">
        <v>1529</v>
      </c>
      <c r="U2484" s="1">
        <f t="shared" ref="U2484:U2485" si="58">2/3/10</f>
        <v>6.6666666666666666E-2</v>
      </c>
      <c r="V2484" t="s">
        <v>1532</v>
      </c>
    </row>
    <row r="2485" spans="1:22" x14ac:dyDescent="0.3">
      <c r="A2485" t="s">
        <v>1523</v>
      </c>
      <c r="B2485" t="str">
        <f ca="1">OFFSET(Industries!C$1,MATCH(Table1[[#This Row],[Ticker]],Industries!$A$2:$A$150,0),0)</f>
        <v>Information Technology</v>
      </c>
      <c r="C2485" t="str">
        <f ca="1">OFFSET(Industries!D$1,MATCH(Table1[[#This Row],[Ticker]],Industries!$A$2:$A$150,0),0)</f>
        <v>Software and Services</v>
      </c>
      <c r="D2485" t="str">
        <f ca="1">OFFSET(Industries!E$1,MATCH(Table1[[#This Row],[Ticker]],Industries!$A$2:$A$150,0),0)</f>
        <v>Software</v>
      </c>
      <c r="E2485" t="s">
        <v>42</v>
      </c>
      <c r="F2485" t="s">
        <v>1342</v>
      </c>
      <c r="G2485" t="s">
        <v>1380</v>
      </c>
      <c r="H2485" t="s">
        <v>1524</v>
      </c>
      <c r="I2485" t="s">
        <v>1439</v>
      </c>
      <c r="J2485" s="2">
        <v>45343</v>
      </c>
      <c r="K2485" t="s">
        <v>2</v>
      </c>
      <c r="L2485" t="s">
        <v>1708</v>
      </c>
      <c r="M2485" t="s">
        <v>1709</v>
      </c>
      <c r="N2485" s="1"/>
      <c r="O2485" s="1" t="s">
        <v>4</v>
      </c>
      <c r="P2485" s="1">
        <v>0.22</v>
      </c>
      <c r="Q2485" s="1" t="s">
        <v>1637</v>
      </c>
      <c r="R2485" t="s">
        <v>26</v>
      </c>
      <c r="S2485" t="s">
        <v>26</v>
      </c>
      <c r="T2485" t="s">
        <v>1530</v>
      </c>
      <c r="U2485" s="1">
        <f t="shared" si="58"/>
        <v>6.6666666666666666E-2</v>
      </c>
      <c r="V2485" t="s">
        <v>1535</v>
      </c>
    </row>
    <row r="2486" spans="1:22" x14ac:dyDescent="0.3">
      <c r="A2486" t="s">
        <v>1523</v>
      </c>
      <c r="B2486" t="str">
        <f ca="1">OFFSET(Industries!C$1,MATCH(Table1[[#This Row],[Ticker]],Industries!$A$2:$A$150,0),0)</f>
        <v>Information Technology</v>
      </c>
      <c r="C2486" t="str">
        <f ca="1">OFFSET(Industries!D$1,MATCH(Table1[[#This Row],[Ticker]],Industries!$A$2:$A$150,0),0)</f>
        <v>Software and Services</v>
      </c>
      <c r="D2486" t="str">
        <f ca="1">OFFSET(Industries!E$1,MATCH(Table1[[#This Row],[Ticker]],Industries!$A$2:$A$150,0),0)</f>
        <v>Software</v>
      </c>
      <c r="E2486" t="s">
        <v>42</v>
      </c>
      <c r="F2486" t="s">
        <v>1342</v>
      </c>
      <c r="G2486" t="s">
        <v>1380</v>
      </c>
      <c r="H2486" t="s">
        <v>1524</v>
      </c>
      <c r="I2486" t="s">
        <v>1439</v>
      </c>
      <c r="J2486" s="2">
        <v>45343</v>
      </c>
      <c r="K2486" t="s">
        <v>2</v>
      </c>
      <c r="L2486" t="s">
        <v>1708</v>
      </c>
      <c r="M2486" t="s">
        <v>1709</v>
      </c>
      <c r="N2486" s="1"/>
      <c r="O2486" s="1" t="s">
        <v>4</v>
      </c>
      <c r="P2486" s="1">
        <v>0.22</v>
      </c>
      <c r="R2486" t="s">
        <v>28</v>
      </c>
      <c r="S2486" t="s">
        <v>1086</v>
      </c>
      <c r="T2486" t="s">
        <v>1531</v>
      </c>
      <c r="V2486" t="s">
        <v>231</v>
      </c>
    </row>
    <row r="2487" spans="1:22" x14ac:dyDescent="0.3">
      <c r="A2487" t="s">
        <v>1523</v>
      </c>
      <c r="B2487" t="str">
        <f ca="1">OFFSET(Industries!C$1,MATCH(Table1[[#This Row],[Ticker]],Industries!$A$2:$A$150,0),0)</f>
        <v>Information Technology</v>
      </c>
      <c r="C2487" t="str">
        <f ca="1">OFFSET(Industries!D$1,MATCH(Table1[[#This Row],[Ticker]],Industries!$A$2:$A$150,0),0)</f>
        <v>Software and Services</v>
      </c>
      <c r="D2487" t="str">
        <f ca="1">OFFSET(Industries!E$1,MATCH(Table1[[#This Row],[Ticker]],Industries!$A$2:$A$150,0),0)</f>
        <v>Software</v>
      </c>
      <c r="E2487" t="s">
        <v>42</v>
      </c>
      <c r="F2487" t="s">
        <v>1342</v>
      </c>
      <c r="G2487" t="s">
        <v>1380</v>
      </c>
      <c r="H2487" t="s">
        <v>1524</v>
      </c>
      <c r="I2487" t="s">
        <v>1439</v>
      </c>
      <c r="J2487" s="2">
        <v>45343</v>
      </c>
      <c r="K2487" t="s">
        <v>2</v>
      </c>
      <c r="L2487" t="s">
        <v>1708</v>
      </c>
      <c r="M2487" t="s">
        <v>1709</v>
      </c>
      <c r="N2487" s="1"/>
      <c r="O2487" s="1" t="s">
        <v>4</v>
      </c>
      <c r="P2487" s="1">
        <v>0.22</v>
      </c>
      <c r="R2487" t="s">
        <v>28</v>
      </c>
      <c r="S2487" t="s">
        <v>1110</v>
      </c>
      <c r="T2487" t="s">
        <v>172</v>
      </c>
      <c r="V2487" t="s">
        <v>231</v>
      </c>
    </row>
    <row r="2488" spans="1:22" x14ac:dyDescent="0.3">
      <c r="A2488" t="s">
        <v>1523</v>
      </c>
      <c r="B2488" t="str">
        <f ca="1">OFFSET(Industries!C$1,MATCH(Table1[[#This Row],[Ticker]],Industries!$A$2:$A$150,0),0)</f>
        <v>Information Technology</v>
      </c>
      <c r="C2488" t="str">
        <f ca="1">OFFSET(Industries!D$1,MATCH(Table1[[#This Row],[Ticker]],Industries!$A$2:$A$150,0),0)</f>
        <v>Software and Services</v>
      </c>
      <c r="D2488" t="str">
        <f ca="1">OFFSET(Industries!E$1,MATCH(Table1[[#This Row],[Ticker]],Industries!$A$2:$A$150,0),0)</f>
        <v>Software</v>
      </c>
      <c r="E2488" t="s">
        <v>42</v>
      </c>
      <c r="F2488" t="s">
        <v>1342</v>
      </c>
      <c r="G2488" t="s">
        <v>1380</v>
      </c>
      <c r="H2488" t="s">
        <v>1524</v>
      </c>
      <c r="I2488" t="s">
        <v>1439</v>
      </c>
      <c r="J2488" s="2">
        <v>45343</v>
      </c>
      <c r="K2488" t="s">
        <v>2</v>
      </c>
      <c r="L2488" t="s">
        <v>1710</v>
      </c>
      <c r="M2488" t="s">
        <v>1709</v>
      </c>
      <c r="N2488" s="1">
        <f>Table1[[#This Row],[Consideration Weight]]</f>
        <v>0.43</v>
      </c>
      <c r="O2488" s="1" t="s">
        <v>476</v>
      </c>
      <c r="P2488" s="1">
        <v>0.43</v>
      </c>
      <c r="Q2488" s="1" t="s">
        <v>1636</v>
      </c>
      <c r="R2488" t="s">
        <v>23</v>
      </c>
      <c r="S2488" t="s">
        <v>1083</v>
      </c>
      <c r="T2488" t="s">
        <v>1539</v>
      </c>
      <c r="U2488" s="1">
        <f>1/3/2</f>
        <v>0.16666666666666666</v>
      </c>
      <c r="V2488" t="s">
        <v>231</v>
      </c>
    </row>
    <row r="2489" spans="1:22" x14ac:dyDescent="0.3">
      <c r="A2489" t="s">
        <v>1523</v>
      </c>
      <c r="B2489" t="str">
        <f ca="1">OFFSET(Industries!C$1,MATCH(Table1[[#This Row],[Ticker]],Industries!$A$2:$A$150,0),0)</f>
        <v>Information Technology</v>
      </c>
      <c r="C2489" t="str">
        <f ca="1">OFFSET(Industries!D$1,MATCH(Table1[[#This Row],[Ticker]],Industries!$A$2:$A$150,0),0)</f>
        <v>Software and Services</v>
      </c>
      <c r="D2489" t="str">
        <f ca="1">OFFSET(Industries!E$1,MATCH(Table1[[#This Row],[Ticker]],Industries!$A$2:$A$150,0),0)</f>
        <v>Software</v>
      </c>
      <c r="E2489" t="s">
        <v>42</v>
      </c>
      <c r="F2489" t="s">
        <v>1342</v>
      </c>
      <c r="G2489" t="s">
        <v>1380</v>
      </c>
      <c r="H2489" t="s">
        <v>1524</v>
      </c>
      <c r="I2489" t="s">
        <v>1439</v>
      </c>
      <c r="J2489" s="2">
        <v>45343</v>
      </c>
      <c r="K2489" t="s">
        <v>2</v>
      </c>
      <c r="L2489" t="s">
        <v>1710</v>
      </c>
      <c r="M2489" t="s">
        <v>1709</v>
      </c>
      <c r="N2489" s="1"/>
      <c r="O2489" s="1" t="s">
        <v>476</v>
      </c>
      <c r="P2489" s="1">
        <v>0.43</v>
      </c>
      <c r="Q2489" s="1" t="s">
        <v>1636</v>
      </c>
      <c r="R2489" t="s">
        <v>23</v>
      </c>
      <c r="S2489" t="s">
        <v>1083</v>
      </c>
      <c r="T2489" t="s">
        <v>1326</v>
      </c>
      <c r="U2489" s="1">
        <f t="shared" ref="U2489:U2490" si="59">1/3/2</f>
        <v>0.16666666666666666</v>
      </c>
      <c r="V2489" t="s">
        <v>1735</v>
      </c>
    </row>
    <row r="2490" spans="1:22" x14ac:dyDescent="0.3">
      <c r="A2490" t="s">
        <v>1523</v>
      </c>
      <c r="B2490" t="str">
        <f ca="1">OFFSET(Industries!C$1,MATCH(Table1[[#This Row],[Ticker]],Industries!$A$2:$A$150,0),0)</f>
        <v>Information Technology</v>
      </c>
      <c r="C2490" t="str">
        <f ca="1">OFFSET(Industries!D$1,MATCH(Table1[[#This Row],[Ticker]],Industries!$A$2:$A$150,0),0)</f>
        <v>Software and Services</v>
      </c>
      <c r="D2490" t="str">
        <f ca="1">OFFSET(Industries!E$1,MATCH(Table1[[#This Row],[Ticker]],Industries!$A$2:$A$150,0),0)</f>
        <v>Software</v>
      </c>
      <c r="E2490" t="s">
        <v>42</v>
      </c>
      <c r="F2490" t="s">
        <v>1342</v>
      </c>
      <c r="G2490" t="s">
        <v>1380</v>
      </c>
      <c r="H2490" t="s">
        <v>1524</v>
      </c>
      <c r="I2490" t="s">
        <v>1439</v>
      </c>
      <c r="J2490" s="2">
        <v>45343</v>
      </c>
      <c r="K2490" t="s">
        <v>2</v>
      </c>
      <c r="L2490" t="s">
        <v>1710</v>
      </c>
      <c r="M2490" t="s">
        <v>1709</v>
      </c>
      <c r="N2490" s="1"/>
      <c r="O2490" s="1" t="s">
        <v>476</v>
      </c>
      <c r="P2490" s="1">
        <v>0.43</v>
      </c>
      <c r="Q2490" s="1" t="s">
        <v>1636</v>
      </c>
      <c r="R2490" t="s">
        <v>24</v>
      </c>
      <c r="S2490" t="s">
        <v>90</v>
      </c>
      <c r="T2490" t="s">
        <v>1540</v>
      </c>
      <c r="U2490" s="1">
        <f t="shared" si="59"/>
        <v>0.16666666666666666</v>
      </c>
      <c r="V2490" t="s">
        <v>1536</v>
      </c>
    </row>
    <row r="2491" spans="1:22" x14ac:dyDescent="0.3">
      <c r="A2491" t="s">
        <v>1523</v>
      </c>
      <c r="B2491" t="str">
        <f ca="1">OFFSET(Industries!C$1,MATCH(Table1[[#This Row],[Ticker]],Industries!$A$2:$A$150,0),0)</f>
        <v>Information Technology</v>
      </c>
      <c r="C2491" t="str">
        <f ca="1">OFFSET(Industries!D$1,MATCH(Table1[[#This Row],[Ticker]],Industries!$A$2:$A$150,0),0)</f>
        <v>Software and Services</v>
      </c>
      <c r="D2491" t="str">
        <f ca="1">OFFSET(Industries!E$1,MATCH(Table1[[#This Row],[Ticker]],Industries!$A$2:$A$150,0),0)</f>
        <v>Software</v>
      </c>
      <c r="E2491" t="s">
        <v>42</v>
      </c>
      <c r="F2491" t="s">
        <v>1342</v>
      </c>
      <c r="G2491" t="s">
        <v>1380</v>
      </c>
      <c r="H2491" t="s">
        <v>1524</v>
      </c>
      <c r="I2491" t="s">
        <v>1439</v>
      </c>
      <c r="J2491" s="2">
        <v>45343</v>
      </c>
      <c r="K2491" t="s">
        <v>2</v>
      </c>
      <c r="L2491" t="s">
        <v>1710</v>
      </c>
      <c r="M2491" t="s">
        <v>1709</v>
      </c>
      <c r="N2491" s="1"/>
      <c r="O2491" s="1" t="s">
        <v>476</v>
      </c>
      <c r="P2491" s="1">
        <v>0.43</v>
      </c>
      <c r="Q2491" s="1" t="s">
        <v>1646</v>
      </c>
      <c r="R2491" t="s">
        <v>35</v>
      </c>
      <c r="S2491" t="s">
        <v>29</v>
      </c>
      <c r="T2491" t="s">
        <v>30</v>
      </c>
      <c r="U2491" s="1">
        <f>0.5</f>
        <v>0.5</v>
      </c>
    </row>
    <row r="2492" spans="1:22" x14ac:dyDescent="0.3">
      <c r="A2492" t="s">
        <v>1523</v>
      </c>
      <c r="B2492" t="str">
        <f ca="1">OFFSET(Industries!C$1,MATCH(Table1[[#This Row],[Ticker]],Industries!$A$2:$A$150,0),0)</f>
        <v>Information Technology</v>
      </c>
      <c r="C2492" t="str">
        <f ca="1">OFFSET(Industries!D$1,MATCH(Table1[[#This Row],[Ticker]],Industries!$A$2:$A$150,0),0)</f>
        <v>Software and Services</v>
      </c>
      <c r="D2492" t="str">
        <f ca="1">OFFSET(Industries!E$1,MATCH(Table1[[#This Row],[Ticker]],Industries!$A$2:$A$150,0),0)</f>
        <v>Software</v>
      </c>
      <c r="E2492" t="s">
        <v>42</v>
      </c>
      <c r="F2492" t="s">
        <v>1342</v>
      </c>
      <c r="G2492" t="s">
        <v>1380</v>
      </c>
      <c r="H2492" t="s">
        <v>1524</v>
      </c>
      <c r="I2492" t="s">
        <v>1439</v>
      </c>
      <c r="J2492" s="2">
        <v>45343</v>
      </c>
      <c r="K2492" t="s">
        <v>2</v>
      </c>
      <c r="L2492" t="s">
        <v>1710</v>
      </c>
      <c r="N2492" s="1"/>
      <c r="O2492" s="1" t="s">
        <v>476</v>
      </c>
      <c r="P2492" s="1">
        <v>0.43</v>
      </c>
      <c r="R2492" t="s">
        <v>28</v>
      </c>
      <c r="S2492" t="s">
        <v>1110</v>
      </c>
      <c r="T2492" t="s">
        <v>172</v>
      </c>
    </row>
    <row r="2493" spans="1:22" x14ac:dyDescent="0.3">
      <c r="A2493" t="s">
        <v>1523</v>
      </c>
      <c r="B2493" t="str">
        <f ca="1">OFFSET(Industries!C$1,MATCH(Table1[[#This Row],[Ticker]],Industries!$A$2:$A$150,0),0)</f>
        <v>Information Technology</v>
      </c>
      <c r="C2493" t="str">
        <f ca="1">OFFSET(Industries!D$1,MATCH(Table1[[#This Row],[Ticker]],Industries!$A$2:$A$150,0),0)</f>
        <v>Software and Services</v>
      </c>
      <c r="D2493" t="str">
        <f ca="1">OFFSET(Industries!E$1,MATCH(Table1[[#This Row],[Ticker]],Industries!$A$2:$A$150,0),0)</f>
        <v>Software</v>
      </c>
      <c r="E2493" t="s">
        <v>42</v>
      </c>
      <c r="F2493" t="s">
        <v>1342</v>
      </c>
      <c r="G2493" t="s">
        <v>1380</v>
      </c>
      <c r="H2493" t="s">
        <v>1524</v>
      </c>
      <c r="I2493" t="s">
        <v>1439</v>
      </c>
      <c r="J2493" s="2">
        <v>45343</v>
      </c>
      <c r="K2493" t="s">
        <v>2</v>
      </c>
      <c r="L2493" t="s">
        <v>1710</v>
      </c>
      <c r="M2493" t="s">
        <v>1711</v>
      </c>
      <c r="N2493" s="1">
        <f>Table1[[#This Row],[Consideration Weight]]</f>
        <v>0.22</v>
      </c>
      <c r="O2493" s="1" t="s">
        <v>194</v>
      </c>
      <c r="P2493" s="1">
        <v>0.22</v>
      </c>
      <c r="V2493" t="s">
        <v>1538</v>
      </c>
    </row>
    <row r="2494" spans="1:22" x14ac:dyDescent="0.3">
      <c r="A2494" t="s">
        <v>1523</v>
      </c>
      <c r="B2494" t="str">
        <f ca="1">OFFSET(Industries!C$1,MATCH(Table1[[#This Row],[Ticker]],Industries!$A$2:$A$150,0),0)</f>
        <v>Information Technology</v>
      </c>
      <c r="C2494" t="str">
        <f ca="1">OFFSET(Industries!D$1,MATCH(Table1[[#This Row],[Ticker]],Industries!$A$2:$A$150,0),0)</f>
        <v>Software and Services</v>
      </c>
      <c r="D2494" t="str">
        <f ca="1">OFFSET(Industries!E$1,MATCH(Table1[[#This Row],[Ticker]],Industries!$A$2:$A$150,0),0)</f>
        <v>Software</v>
      </c>
      <c r="E2494" t="s">
        <v>42</v>
      </c>
      <c r="F2494" t="s">
        <v>1342</v>
      </c>
      <c r="G2494" t="s">
        <v>1380</v>
      </c>
      <c r="H2494" t="s">
        <v>1524</v>
      </c>
      <c r="I2494" t="s">
        <v>1439</v>
      </c>
      <c r="J2494" s="2">
        <v>45343</v>
      </c>
      <c r="K2494" t="s">
        <v>21</v>
      </c>
      <c r="L2494" t="s">
        <v>3</v>
      </c>
      <c r="M2494" t="s">
        <v>1711</v>
      </c>
      <c r="N2494" s="1">
        <f>Table1[[#This Row],[Consideration Weight]]</f>
        <v>0.17</v>
      </c>
      <c r="O2494" s="1" t="s">
        <v>3</v>
      </c>
      <c r="P2494" s="1">
        <v>0.17</v>
      </c>
    </row>
    <row r="2495" spans="1:22" x14ac:dyDescent="0.3">
      <c r="A2495" t="s">
        <v>1523</v>
      </c>
      <c r="B2495" t="str">
        <f ca="1">OFFSET(Industries!C$1,MATCH(Table1[[#This Row],[Ticker]],Industries!$A$2:$A$150,0),0)</f>
        <v>Information Technology</v>
      </c>
      <c r="C2495" t="str">
        <f ca="1">OFFSET(Industries!D$1,MATCH(Table1[[#This Row],[Ticker]],Industries!$A$2:$A$150,0),0)</f>
        <v>Software and Services</v>
      </c>
      <c r="D2495" t="str">
        <f ca="1">OFFSET(Industries!E$1,MATCH(Table1[[#This Row],[Ticker]],Industries!$A$2:$A$150,0),0)</f>
        <v>Software</v>
      </c>
      <c r="E2495" t="s">
        <v>42</v>
      </c>
      <c r="F2495" t="s">
        <v>1342</v>
      </c>
      <c r="G2495" t="s">
        <v>1380</v>
      </c>
      <c r="H2495" t="s">
        <v>1524</v>
      </c>
      <c r="I2495" t="s">
        <v>1439</v>
      </c>
      <c r="J2495" s="2">
        <v>45343</v>
      </c>
      <c r="K2495" t="s">
        <v>21</v>
      </c>
      <c r="L2495" t="s">
        <v>1708</v>
      </c>
      <c r="M2495" t="s">
        <v>1709</v>
      </c>
      <c r="N2495" s="1">
        <f>Table1[[#This Row],[Consideration Weight]]</f>
        <v>0.27</v>
      </c>
      <c r="O2495" s="1" t="s">
        <v>4</v>
      </c>
      <c r="P2495" s="1">
        <v>0.27</v>
      </c>
      <c r="Q2495" s="1" t="s">
        <v>1636</v>
      </c>
      <c r="R2495" t="s">
        <v>23</v>
      </c>
      <c r="S2495" t="s">
        <v>1086</v>
      </c>
      <c r="T2495" t="s">
        <v>1525</v>
      </c>
      <c r="U2495" s="1">
        <v>0.3</v>
      </c>
    </row>
    <row r="2496" spans="1:22" x14ac:dyDescent="0.3">
      <c r="A2496" t="s">
        <v>1523</v>
      </c>
      <c r="B2496" t="str">
        <f ca="1">OFFSET(Industries!C$1,MATCH(Table1[[#This Row],[Ticker]],Industries!$A$2:$A$150,0),0)</f>
        <v>Information Technology</v>
      </c>
      <c r="C2496" t="str">
        <f ca="1">OFFSET(Industries!D$1,MATCH(Table1[[#This Row],[Ticker]],Industries!$A$2:$A$150,0),0)</f>
        <v>Software and Services</v>
      </c>
      <c r="D2496" t="str">
        <f ca="1">OFFSET(Industries!E$1,MATCH(Table1[[#This Row],[Ticker]],Industries!$A$2:$A$150,0),0)</f>
        <v>Software</v>
      </c>
      <c r="E2496" t="s">
        <v>42</v>
      </c>
      <c r="F2496" t="s">
        <v>1342</v>
      </c>
      <c r="G2496" t="s">
        <v>1380</v>
      </c>
      <c r="H2496" t="s">
        <v>1524</v>
      </c>
      <c r="I2496" t="s">
        <v>1439</v>
      </c>
      <c r="J2496" s="2">
        <v>45343</v>
      </c>
      <c r="K2496" t="s">
        <v>21</v>
      </c>
      <c r="L2496" t="s">
        <v>1708</v>
      </c>
      <c r="M2496" t="s">
        <v>1709</v>
      </c>
      <c r="N2496" s="1"/>
      <c r="O2496" s="1" t="s">
        <v>4</v>
      </c>
      <c r="P2496" s="1">
        <v>0.27</v>
      </c>
      <c r="Q2496" s="1" t="s">
        <v>1636</v>
      </c>
      <c r="R2496" t="s">
        <v>23</v>
      </c>
      <c r="S2496" t="s">
        <v>1083</v>
      </c>
      <c r="T2496" t="s">
        <v>1526</v>
      </c>
      <c r="U2496" s="1">
        <v>0.25</v>
      </c>
    </row>
    <row r="2497" spans="1:22" x14ac:dyDescent="0.3">
      <c r="A2497" t="s">
        <v>1523</v>
      </c>
      <c r="B2497" t="str">
        <f ca="1">OFFSET(Industries!C$1,MATCH(Table1[[#This Row],[Ticker]],Industries!$A$2:$A$150,0),0)</f>
        <v>Information Technology</v>
      </c>
      <c r="C2497" t="str">
        <f ca="1">OFFSET(Industries!D$1,MATCH(Table1[[#This Row],[Ticker]],Industries!$A$2:$A$150,0),0)</f>
        <v>Software and Services</v>
      </c>
      <c r="D2497" t="str">
        <f ca="1">OFFSET(Industries!E$1,MATCH(Table1[[#This Row],[Ticker]],Industries!$A$2:$A$150,0),0)</f>
        <v>Software</v>
      </c>
      <c r="E2497" t="s">
        <v>42</v>
      </c>
      <c r="F2497" t="s">
        <v>1342</v>
      </c>
      <c r="G2497" t="s">
        <v>1380</v>
      </c>
      <c r="H2497" t="s">
        <v>1524</v>
      </c>
      <c r="I2497" t="s">
        <v>1439</v>
      </c>
      <c r="J2497" s="2">
        <v>45343</v>
      </c>
      <c r="K2497" t="s">
        <v>21</v>
      </c>
      <c r="L2497" t="s">
        <v>1708</v>
      </c>
      <c r="M2497" t="s">
        <v>1709</v>
      </c>
      <c r="N2497" s="1"/>
      <c r="O2497" s="1" t="s">
        <v>4</v>
      </c>
      <c r="P2497" s="1">
        <v>0.27</v>
      </c>
      <c r="Q2497" s="1" t="s">
        <v>1636</v>
      </c>
      <c r="R2497" t="s">
        <v>24</v>
      </c>
      <c r="S2497" t="s">
        <v>509</v>
      </c>
      <c r="T2497" t="s">
        <v>1527</v>
      </c>
      <c r="U2497" s="1">
        <v>0.25</v>
      </c>
    </row>
    <row r="2498" spans="1:22" x14ac:dyDescent="0.3">
      <c r="A2498" t="s">
        <v>1523</v>
      </c>
      <c r="B2498" t="str">
        <f ca="1">OFFSET(Industries!C$1,MATCH(Table1[[#This Row],[Ticker]],Industries!$A$2:$A$150,0),0)</f>
        <v>Information Technology</v>
      </c>
      <c r="C2498" t="str">
        <f ca="1">OFFSET(Industries!D$1,MATCH(Table1[[#This Row],[Ticker]],Industries!$A$2:$A$150,0),0)</f>
        <v>Software and Services</v>
      </c>
      <c r="D2498" t="str">
        <f ca="1">OFFSET(Industries!E$1,MATCH(Table1[[#This Row],[Ticker]],Industries!$A$2:$A$150,0),0)</f>
        <v>Software</v>
      </c>
      <c r="E2498" t="s">
        <v>42</v>
      </c>
      <c r="F2498" t="s">
        <v>1342</v>
      </c>
      <c r="G2498" t="s">
        <v>1380</v>
      </c>
      <c r="H2498" t="s">
        <v>1524</v>
      </c>
      <c r="I2498" t="s">
        <v>1439</v>
      </c>
      <c r="J2498" s="2">
        <v>45343</v>
      </c>
      <c r="K2498" t="s">
        <v>21</v>
      </c>
      <c r="L2498" t="s">
        <v>1708</v>
      </c>
      <c r="M2498" t="s">
        <v>1709</v>
      </c>
      <c r="N2498" s="1"/>
      <c r="O2498" s="1" t="s">
        <v>4</v>
      </c>
      <c r="P2498" s="1">
        <v>0.27</v>
      </c>
      <c r="Q2498" s="1" t="s">
        <v>1637</v>
      </c>
      <c r="R2498" t="s">
        <v>25</v>
      </c>
      <c r="S2498" t="s">
        <v>1130</v>
      </c>
      <c r="T2498" t="s">
        <v>1528</v>
      </c>
      <c r="U2498" s="1">
        <f>2/3/10</f>
        <v>6.6666666666666666E-2</v>
      </c>
    </row>
    <row r="2499" spans="1:22" x14ac:dyDescent="0.3">
      <c r="A2499" t="s">
        <v>1523</v>
      </c>
      <c r="B2499" t="str">
        <f ca="1">OFFSET(Industries!C$1,MATCH(Table1[[#This Row],[Ticker]],Industries!$A$2:$A$150,0),0)</f>
        <v>Information Technology</v>
      </c>
      <c r="C2499" t="str">
        <f ca="1">OFFSET(Industries!D$1,MATCH(Table1[[#This Row],[Ticker]],Industries!$A$2:$A$150,0),0)</f>
        <v>Software and Services</v>
      </c>
      <c r="D2499" t="str">
        <f ca="1">OFFSET(Industries!E$1,MATCH(Table1[[#This Row],[Ticker]],Industries!$A$2:$A$150,0),0)</f>
        <v>Software</v>
      </c>
      <c r="E2499" t="s">
        <v>42</v>
      </c>
      <c r="F2499" t="s">
        <v>1342</v>
      </c>
      <c r="G2499" t="s">
        <v>1380</v>
      </c>
      <c r="H2499" t="s">
        <v>1524</v>
      </c>
      <c r="I2499" t="s">
        <v>1439</v>
      </c>
      <c r="J2499" s="2">
        <v>45343</v>
      </c>
      <c r="K2499" t="s">
        <v>21</v>
      </c>
      <c r="L2499" t="s">
        <v>1708</v>
      </c>
      <c r="M2499" t="s">
        <v>1709</v>
      </c>
      <c r="N2499" s="1"/>
      <c r="O2499" s="1" t="s">
        <v>4</v>
      </c>
      <c r="P2499" s="1">
        <v>0.27</v>
      </c>
      <c r="Q2499" s="1" t="s">
        <v>1637</v>
      </c>
      <c r="R2499" t="s">
        <v>26</v>
      </c>
      <c r="S2499" t="s">
        <v>26</v>
      </c>
      <c r="T2499" t="s">
        <v>1529</v>
      </c>
      <c r="U2499" s="1">
        <f t="shared" ref="U2499:U2500" si="60">2/3/10</f>
        <v>6.6666666666666666E-2</v>
      </c>
    </row>
    <row r="2500" spans="1:22" x14ac:dyDescent="0.3">
      <c r="A2500" t="s">
        <v>1523</v>
      </c>
      <c r="B2500" t="str">
        <f ca="1">OFFSET(Industries!C$1,MATCH(Table1[[#This Row],[Ticker]],Industries!$A$2:$A$150,0),0)</f>
        <v>Information Technology</v>
      </c>
      <c r="C2500" t="str">
        <f ca="1">OFFSET(Industries!D$1,MATCH(Table1[[#This Row],[Ticker]],Industries!$A$2:$A$150,0),0)</f>
        <v>Software and Services</v>
      </c>
      <c r="D2500" t="str">
        <f ca="1">OFFSET(Industries!E$1,MATCH(Table1[[#This Row],[Ticker]],Industries!$A$2:$A$150,0),0)</f>
        <v>Software</v>
      </c>
      <c r="E2500" t="s">
        <v>42</v>
      </c>
      <c r="F2500" t="s">
        <v>1342</v>
      </c>
      <c r="G2500" t="s">
        <v>1380</v>
      </c>
      <c r="H2500" t="s">
        <v>1524</v>
      </c>
      <c r="I2500" t="s">
        <v>1439</v>
      </c>
      <c r="J2500" s="2">
        <v>45343</v>
      </c>
      <c r="K2500" t="s">
        <v>21</v>
      </c>
      <c r="L2500" t="s">
        <v>1708</v>
      </c>
      <c r="M2500" t="s">
        <v>1709</v>
      </c>
      <c r="N2500" s="1"/>
      <c r="O2500" s="1" t="s">
        <v>4</v>
      </c>
      <c r="P2500" s="1">
        <v>0.27</v>
      </c>
      <c r="Q2500" s="1" t="s">
        <v>1637</v>
      </c>
      <c r="R2500" t="s">
        <v>26</v>
      </c>
      <c r="S2500" t="s">
        <v>26</v>
      </c>
      <c r="T2500" t="s">
        <v>1530</v>
      </c>
      <c r="U2500" s="1">
        <f t="shared" si="60"/>
        <v>6.6666666666666666E-2</v>
      </c>
    </row>
    <row r="2501" spans="1:22" x14ac:dyDescent="0.3">
      <c r="A2501" t="s">
        <v>1523</v>
      </c>
      <c r="B2501" t="str">
        <f ca="1">OFFSET(Industries!C$1,MATCH(Table1[[#This Row],[Ticker]],Industries!$A$2:$A$150,0),0)</f>
        <v>Information Technology</v>
      </c>
      <c r="C2501" t="str">
        <f ca="1">OFFSET(Industries!D$1,MATCH(Table1[[#This Row],[Ticker]],Industries!$A$2:$A$150,0),0)</f>
        <v>Software and Services</v>
      </c>
      <c r="D2501" t="str">
        <f ca="1">OFFSET(Industries!E$1,MATCH(Table1[[#This Row],[Ticker]],Industries!$A$2:$A$150,0),0)</f>
        <v>Software</v>
      </c>
      <c r="E2501" t="s">
        <v>42</v>
      </c>
      <c r="F2501" t="s">
        <v>1342</v>
      </c>
      <c r="G2501" t="s">
        <v>1380</v>
      </c>
      <c r="H2501" t="s">
        <v>1524</v>
      </c>
      <c r="I2501" t="s">
        <v>1439</v>
      </c>
      <c r="J2501" s="2">
        <v>45343</v>
      </c>
      <c r="K2501" t="s">
        <v>21</v>
      </c>
      <c r="L2501" t="s">
        <v>1708</v>
      </c>
      <c r="M2501" t="s">
        <v>1709</v>
      </c>
      <c r="N2501" s="1"/>
      <c r="O2501" s="1" t="s">
        <v>4</v>
      </c>
      <c r="P2501" s="1">
        <v>0.27</v>
      </c>
      <c r="R2501" t="s">
        <v>28</v>
      </c>
      <c r="S2501" t="s">
        <v>1086</v>
      </c>
      <c r="T2501" t="s">
        <v>1531</v>
      </c>
    </row>
    <row r="2502" spans="1:22" x14ac:dyDescent="0.3">
      <c r="A2502" t="s">
        <v>1523</v>
      </c>
      <c r="B2502" t="str">
        <f ca="1">OFFSET(Industries!C$1,MATCH(Table1[[#This Row],[Ticker]],Industries!$A$2:$A$150,0),0)</f>
        <v>Information Technology</v>
      </c>
      <c r="C2502" t="str">
        <f ca="1">OFFSET(Industries!D$1,MATCH(Table1[[#This Row],[Ticker]],Industries!$A$2:$A$150,0),0)</f>
        <v>Software and Services</v>
      </c>
      <c r="D2502" t="str">
        <f ca="1">OFFSET(Industries!E$1,MATCH(Table1[[#This Row],[Ticker]],Industries!$A$2:$A$150,0),0)</f>
        <v>Software</v>
      </c>
      <c r="E2502" t="s">
        <v>42</v>
      </c>
      <c r="F2502" t="s">
        <v>1342</v>
      </c>
      <c r="G2502" t="s">
        <v>1380</v>
      </c>
      <c r="H2502" t="s">
        <v>1524</v>
      </c>
      <c r="I2502" t="s">
        <v>1439</v>
      </c>
      <c r="J2502" s="2">
        <v>45343</v>
      </c>
      <c r="K2502" t="s">
        <v>21</v>
      </c>
      <c r="L2502" t="s">
        <v>1708</v>
      </c>
      <c r="M2502" t="s">
        <v>1709</v>
      </c>
      <c r="N2502" s="1"/>
      <c r="O2502" s="1" t="s">
        <v>4</v>
      </c>
      <c r="P2502" s="1">
        <v>0.27</v>
      </c>
      <c r="R2502" t="s">
        <v>28</v>
      </c>
      <c r="S2502" t="s">
        <v>1110</v>
      </c>
      <c r="T2502" t="s">
        <v>172</v>
      </c>
    </row>
    <row r="2503" spans="1:22" x14ac:dyDescent="0.3">
      <c r="A2503" t="s">
        <v>1523</v>
      </c>
      <c r="B2503" t="str">
        <f ca="1">OFFSET(Industries!C$1,MATCH(Table1[[#This Row],[Ticker]],Industries!$A$2:$A$150,0),0)</f>
        <v>Information Technology</v>
      </c>
      <c r="C2503" t="str">
        <f ca="1">OFFSET(Industries!D$1,MATCH(Table1[[#This Row],[Ticker]],Industries!$A$2:$A$150,0),0)</f>
        <v>Software and Services</v>
      </c>
      <c r="D2503" t="str">
        <f ca="1">OFFSET(Industries!E$1,MATCH(Table1[[#This Row],[Ticker]],Industries!$A$2:$A$150,0),0)</f>
        <v>Software</v>
      </c>
      <c r="E2503" t="s">
        <v>42</v>
      </c>
      <c r="F2503" t="s">
        <v>1342</v>
      </c>
      <c r="G2503" t="s">
        <v>1380</v>
      </c>
      <c r="H2503" t="s">
        <v>1524</v>
      </c>
      <c r="I2503" t="s">
        <v>1439</v>
      </c>
      <c r="J2503" s="2">
        <v>45343</v>
      </c>
      <c r="K2503" t="s">
        <v>21</v>
      </c>
      <c r="L2503" t="s">
        <v>1710</v>
      </c>
      <c r="M2503" t="s">
        <v>1709</v>
      </c>
      <c r="N2503" s="1">
        <f>Table1[[#This Row],[Consideration Weight]]</f>
        <v>0.37</v>
      </c>
      <c r="O2503" s="1" t="s">
        <v>476</v>
      </c>
      <c r="P2503" s="1">
        <v>0.37</v>
      </c>
      <c r="Q2503" s="1" t="s">
        <v>1636</v>
      </c>
      <c r="R2503" t="s">
        <v>23</v>
      </c>
      <c r="S2503" t="s">
        <v>1083</v>
      </c>
      <c r="T2503" t="s">
        <v>1539</v>
      </c>
      <c r="U2503" s="1">
        <f>1/3/2</f>
        <v>0.16666666666666666</v>
      </c>
    </row>
    <row r="2504" spans="1:22" x14ac:dyDescent="0.3">
      <c r="A2504" t="s">
        <v>1523</v>
      </c>
      <c r="B2504" t="str">
        <f ca="1">OFFSET(Industries!C$1,MATCH(Table1[[#This Row],[Ticker]],Industries!$A$2:$A$150,0),0)</f>
        <v>Information Technology</v>
      </c>
      <c r="C2504" t="str">
        <f ca="1">OFFSET(Industries!D$1,MATCH(Table1[[#This Row],[Ticker]],Industries!$A$2:$A$150,0),0)</f>
        <v>Software and Services</v>
      </c>
      <c r="D2504" t="str">
        <f ca="1">OFFSET(Industries!E$1,MATCH(Table1[[#This Row],[Ticker]],Industries!$A$2:$A$150,0),0)</f>
        <v>Software</v>
      </c>
      <c r="E2504" t="s">
        <v>42</v>
      </c>
      <c r="F2504" t="s">
        <v>1342</v>
      </c>
      <c r="G2504" t="s">
        <v>1380</v>
      </c>
      <c r="H2504" t="s">
        <v>1524</v>
      </c>
      <c r="I2504" t="s">
        <v>1439</v>
      </c>
      <c r="J2504" s="2">
        <v>45343</v>
      </c>
      <c r="K2504" t="s">
        <v>21</v>
      </c>
      <c r="L2504" t="s">
        <v>1710</v>
      </c>
      <c r="M2504" t="s">
        <v>1709</v>
      </c>
      <c r="N2504" s="1"/>
      <c r="O2504" s="1" t="s">
        <v>476</v>
      </c>
      <c r="P2504" s="1">
        <v>0.37</v>
      </c>
      <c r="Q2504" s="1" t="s">
        <v>1636</v>
      </c>
      <c r="R2504" t="s">
        <v>23</v>
      </c>
      <c r="S2504" t="s">
        <v>1083</v>
      </c>
      <c r="T2504" t="s">
        <v>1326</v>
      </c>
      <c r="U2504" s="1">
        <f t="shared" ref="U2504:U2505" si="61">1/3/2</f>
        <v>0.16666666666666666</v>
      </c>
    </row>
    <row r="2505" spans="1:22" x14ac:dyDescent="0.3">
      <c r="A2505" t="s">
        <v>1523</v>
      </c>
      <c r="B2505" t="str">
        <f ca="1">OFFSET(Industries!C$1,MATCH(Table1[[#This Row],[Ticker]],Industries!$A$2:$A$150,0),0)</f>
        <v>Information Technology</v>
      </c>
      <c r="C2505" t="str">
        <f ca="1">OFFSET(Industries!D$1,MATCH(Table1[[#This Row],[Ticker]],Industries!$A$2:$A$150,0),0)</f>
        <v>Software and Services</v>
      </c>
      <c r="D2505" t="str">
        <f ca="1">OFFSET(Industries!E$1,MATCH(Table1[[#This Row],[Ticker]],Industries!$A$2:$A$150,0),0)</f>
        <v>Software</v>
      </c>
      <c r="E2505" t="s">
        <v>42</v>
      </c>
      <c r="F2505" t="s">
        <v>1342</v>
      </c>
      <c r="G2505" t="s">
        <v>1380</v>
      </c>
      <c r="H2505" t="s">
        <v>1524</v>
      </c>
      <c r="I2505" t="s">
        <v>1439</v>
      </c>
      <c r="J2505" s="2">
        <v>45343</v>
      </c>
      <c r="K2505" t="s">
        <v>21</v>
      </c>
      <c r="L2505" t="s">
        <v>1710</v>
      </c>
      <c r="M2505" t="s">
        <v>1709</v>
      </c>
      <c r="N2505" s="1"/>
      <c r="O2505" s="1" t="s">
        <v>476</v>
      </c>
      <c r="P2505" s="1">
        <v>0.37</v>
      </c>
      <c r="Q2505" s="1" t="s">
        <v>1636</v>
      </c>
      <c r="R2505" t="s">
        <v>24</v>
      </c>
      <c r="S2505" t="s">
        <v>90</v>
      </c>
      <c r="T2505" t="s">
        <v>1540</v>
      </c>
      <c r="U2505" s="1">
        <f t="shared" si="61"/>
        <v>0.16666666666666666</v>
      </c>
      <c r="V2505" t="s">
        <v>1536</v>
      </c>
    </row>
    <row r="2506" spans="1:22" x14ac:dyDescent="0.3">
      <c r="A2506" t="s">
        <v>1523</v>
      </c>
      <c r="B2506" t="str">
        <f ca="1">OFFSET(Industries!C$1,MATCH(Table1[[#This Row],[Ticker]],Industries!$A$2:$A$150,0),0)</f>
        <v>Information Technology</v>
      </c>
      <c r="C2506" t="str">
        <f ca="1">OFFSET(Industries!D$1,MATCH(Table1[[#This Row],[Ticker]],Industries!$A$2:$A$150,0),0)</f>
        <v>Software and Services</v>
      </c>
      <c r="D2506" t="str">
        <f ca="1">OFFSET(Industries!E$1,MATCH(Table1[[#This Row],[Ticker]],Industries!$A$2:$A$150,0),0)</f>
        <v>Software</v>
      </c>
      <c r="E2506" t="s">
        <v>42</v>
      </c>
      <c r="F2506" t="s">
        <v>1342</v>
      </c>
      <c r="G2506" t="s">
        <v>1380</v>
      </c>
      <c r="H2506" t="s">
        <v>1524</v>
      </c>
      <c r="I2506" t="s">
        <v>1439</v>
      </c>
      <c r="J2506" s="2">
        <v>45343</v>
      </c>
      <c r="K2506" t="s">
        <v>21</v>
      </c>
      <c r="L2506" t="s">
        <v>1710</v>
      </c>
      <c r="M2506" t="s">
        <v>1709</v>
      </c>
      <c r="N2506" s="1"/>
      <c r="O2506" s="1" t="s">
        <v>476</v>
      </c>
      <c r="P2506" s="1">
        <v>0.37</v>
      </c>
      <c r="Q2506" s="1" t="s">
        <v>1646</v>
      </c>
      <c r="R2506" t="s">
        <v>35</v>
      </c>
      <c r="S2506" t="s">
        <v>29</v>
      </c>
      <c r="T2506" t="s">
        <v>30</v>
      </c>
      <c r="U2506" s="1">
        <f>0.5</f>
        <v>0.5</v>
      </c>
    </row>
    <row r="2507" spans="1:22" x14ac:dyDescent="0.3">
      <c r="A2507" t="s">
        <v>1523</v>
      </c>
      <c r="B2507" t="str">
        <f ca="1">OFFSET(Industries!C$1,MATCH(Table1[[#This Row],[Ticker]],Industries!$A$2:$A$150,0),0)</f>
        <v>Information Technology</v>
      </c>
      <c r="C2507" t="str">
        <f ca="1">OFFSET(Industries!D$1,MATCH(Table1[[#This Row],[Ticker]],Industries!$A$2:$A$150,0),0)</f>
        <v>Software and Services</v>
      </c>
      <c r="D2507" t="str">
        <f ca="1">OFFSET(Industries!E$1,MATCH(Table1[[#This Row],[Ticker]],Industries!$A$2:$A$150,0),0)</f>
        <v>Software</v>
      </c>
      <c r="E2507" t="s">
        <v>42</v>
      </c>
      <c r="F2507" t="s">
        <v>1342</v>
      </c>
      <c r="G2507" t="s">
        <v>1380</v>
      </c>
      <c r="H2507" t="s">
        <v>1524</v>
      </c>
      <c r="I2507" t="s">
        <v>1439</v>
      </c>
      <c r="J2507" s="2">
        <v>45343</v>
      </c>
      <c r="K2507" t="s">
        <v>21</v>
      </c>
      <c r="L2507" t="s">
        <v>1710</v>
      </c>
      <c r="N2507" s="1"/>
      <c r="O2507" s="1" t="s">
        <v>476</v>
      </c>
      <c r="P2507" s="1">
        <v>0.37</v>
      </c>
      <c r="R2507" t="s">
        <v>28</v>
      </c>
      <c r="S2507" t="s">
        <v>1110</v>
      </c>
      <c r="T2507" t="s">
        <v>172</v>
      </c>
    </row>
    <row r="2508" spans="1:22" x14ac:dyDescent="0.3">
      <c r="A2508" t="s">
        <v>1523</v>
      </c>
      <c r="B2508" t="str">
        <f ca="1">OFFSET(Industries!C$1,MATCH(Table1[[#This Row],[Ticker]],Industries!$A$2:$A$150,0),0)</f>
        <v>Information Technology</v>
      </c>
      <c r="C2508" t="str">
        <f ca="1">OFFSET(Industries!D$1,MATCH(Table1[[#This Row],[Ticker]],Industries!$A$2:$A$150,0),0)</f>
        <v>Software and Services</v>
      </c>
      <c r="D2508" t="str">
        <f ca="1">OFFSET(Industries!E$1,MATCH(Table1[[#This Row],[Ticker]],Industries!$A$2:$A$150,0),0)</f>
        <v>Software</v>
      </c>
      <c r="E2508" t="s">
        <v>42</v>
      </c>
      <c r="F2508" t="s">
        <v>1342</v>
      </c>
      <c r="G2508" t="s">
        <v>1380</v>
      </c>
      <c r="H2508" t="s">
        <v>1524</v>
      </c>
      <c r="I2508" t="s">
        <v>1439</v>
      </c>
      <c r="J2508" s="2">
        <v>45343</v>
      </c>
      <c r="K2508" t="s">
        <v>21</v>
      </c>
      <c r="L2508" t="s">
        <v>1710</v>
      </c>
      <c r="M2508" t="s">
        <v>1711</v>
      </c>
      <c r="N2508" s="1">
        <f>Table1[[#This Row],[Consideration Weight]]</f>
        <v>0.19</v>
      </c>
      <c r="O2508" s="1" t="s">
        <v>194</v>
      </c>
      <c r="P2508" s="1">
        <v>0.19</v>
      </c>
      <c r="V2508" t="s">
        <v>1703</v>
      </c>
    </row>
    <row r="2509" spans="1:22" x14ac:dyDescent="0.3">
      <c r="A2509" t="s">
        <v>1541</v>
      </c>
      <c r="B2509" t="str">
        <f ca="1">OFFSET(Industries!C$1,MATCH(Table1[[#This Row],[Ticker]],Industries!$A$2:$A$150,0),0)</f>
        <v>Energy</v>
      </c>
      <c r="C2509" t="str">
        <f ca="1">OFFSET(Industries!D$1,MATCH(Table1[[#This Row],[Ticker]],Industries!$A$2:$A$150,0),0)</f>
        <v>Energy</v>
      </c>
      <c r="D2509" t="str">
        <f ca="1">OFFSET(Industries!E$1,MATCH(Table1[[#This Row],[Ticker]],Industries!$A$2:$A$150,0),0)</f>
        <v>Oil, Gas and Consumable Fuels</v>
      </c>
      <c r="E2509" t="s">
        <v>1397</v>
      </c>
      <c r="F2509" t="s">
        <v>1342</v>
      </c>
      <c r="G2509" t="s">
        <v>1380</v>
      </c>
      <c r="H2509" t="s">
        <v>1443</v>
      </c>
      <c r="I2509" t="s">
        <v>1439</v>
      </c>
      <c r="J2509" s="2">
        <v>45380</v>
      </c>
      <c r="K2509" t="s">
        <v>2</v>
      </c>
      <c r="L2509" t="s">
        <v>3</v>
      </c>
      <c r="M2509" t="s">
        <v>1711</v>
      </c>
      <c r="N2509" s="1">
        <f>Table1[[#This Row],[Consideration Weight]]</f>
        <v>0.15</v>
      </c>
      <c r="O2509" s="1" t="s">
        <v>3</v>
      </c>
      <c r="P2509" s="1">
        <v>0.15</v>
      </c>
      <c r="V2509" t="s">
        <v>1557</v>
      </c>
    </row>
    <row r="2510" spans="1:22" x14ac:dyDescent="0.3">
      <c r="A2510" t="s">
        <v>1541</v>
      </c>
      <c r="B2510" t="str">
        <f ca="1">OFFSET(Industries!C$1,MATCH(Table1[[#This Row],[Ticker]],Industries!$A$2:$A$150,0),0)</f>
        <v>Energy</v>
      </c>
      <c r="C2510" t="str">
        <f ca="1">OFFSET(Industries!D$1,MATCH(Table1[[#This Row],[Ticker]],Industries!$A$2:$A$150,0),0)</f>
        <v>Energy</v>
      </c>
      <c r="D2510" t="str">
        <f ca="1">OFFSET(Industries!E$1,MATCH(Table1[[#This Row],[Ticker]],Industries!$A$2:$A$150,0),0)</f>
        <v>Oil, Gas and Consumable Fuels</v>
      </c>
      <c r="E2510" t="s">
        <v>1397</v>
      </c>
      <c r="F2510" t="s">
        <v>1342</v>
      </c>
      <c r="G2510" t="s">
        <v>1380</v>
      </c>
      <c r="H2510" t="s">
        <v>1443</v>
      </c>
      <c r="I2510" t="s">
        <v>1439</v>
      </c>
      <c r="J2510" s="2">
        <v>45380</v>
      </c>
      <c r="K2510" t="s">
        <v>2</v>
      </c>
      <c r="L2510" t="s">
        <v>1708</v>
      </c>
      <c r="M2510" t="s">
        <v>1709</v>
      </c>
      <c r="N2510" s="1">
        <f>Table1[[#This Row],[Consideration Weight]]</f>
        <v>0.13</v>
      </c>
      <c r="O2510" s="1" t="s">
        <v>4</v>
      </c>
      <c r="P2510" s="1">
        <v>0.13</v>
      </c>
      <c r="Q2510" s="1" t="s">
        <v>1637</v>
      </c>
      <c r="R2510" t="s">
        <v>332</v>
      </c>
      <c r="S2510" t="s">
        <v>380</v>
      </c>
      <c r="T2510" t="s">
        <v>380</v>
      </c>
      <c r="U2510" s="1">
        <f>40/180</f>
        <v>0.22222222222222221</v>
      </c>
      <c r="V2510" t="s">
        <v>1555</v>
      </c>
    </row>
    <row r="2511" spans="1:22" x14ac:dyDescent="0.3">
      <c r="A2511" t="s">
        <v>1541</v>
      </c>
      <c r="B2511" t="str">
        <f ca="1">OFFSET(Industries!C$1,MATCH(Table1[[#This Row],[Ticker]],Industries!$A$2:$A$150,0),0)</f>
        <v>Energy</v>
      </c>
      <c r="C2511" t="str">
        <f ca="1">OFFSET(Industries!D$1,MATCH(Table1[[#This Row],[Ticker]],Industries!$A$2:$A$150,0),0)</f>
        <v>Energy</v>
      </c>
      <c r="D2511" t="str">
        <f ca="1">OFFSET(Industries!E$1,MATCH(Table1[[#This Row],[Ticker]],Industries!$A$2:$A$150,0),0)</f>
        <v>Oil, Gas and Consumable Fuels</v>
      </c>
      <c r="E2511" t="s">
        <v>1397</v>
      </c>
      <c r="F2511" t="s">
        <v>1342</v>
      </c>
      <c r="G2511" t="s">
        <v>1380</v>
      </c>
      <c r="H2511" t="s">
        <v>1443</v>
      </c>
      <c r="I2511" t="s">
        <v>1439</v>
      </c>
      <c r="J2511" s="2">
        <v>45380</v>
      </c>
      <c r="K2511" t="s">
        <v>2</v>
      </c>
      <c r="L2511" t="s">
        <v>1708</v>
      </c>
      <c r="M2511" t="s">
        <v>1709</v>
      </c>
      <c r="N2511" s="1"/>
      <c r="O2511" s="1" t="s">
        <v>4</v>
      </c>
      <c r="P2511" s="1">
        <v>0.13</v>
      </c>
      <c r="Q2511" s="1" t="s">
        <v>1636</v>
      </c>
      <c r="R2511" t="s">
        <v>1059</v>
      </c>
      <c r="S2511" t="s">
        <v>1092</v>
      </c>
      <c r="T2511" t="s">
        <v>133</v>
      </c>
      <c r="U2511" s="1">
        <f>30/180</f>
        <v>0.16666666666666666</v>
      </c>
      <c r="V2511" t="s">
        <v>1558</v>
      </c>
    </row>
    <row r="2512" spans="1:22" x14ac:dyDescent="0.3">
      <c r="A2512" t="s">
        <v>1541</v>
      </c>
      <c r="B2512" t="str">
        <f ca="1">OFFSET(Industries!C$1,MATCH(Table1[[#This Row],[Ticker]],Industries!$A$2:$A$150,0),0)</f>
        <v>Energy</v>
      </c>
      <c r="C2512" t="str">
        <f ca="1">OFFSET(Industries!D$1,MATCH(Table1[[#This Row],[Ticker]],Industries!$A$2:$A$150,0),0)</f>
        <v>Energy</v>
      </c>
      <c r="D2512" t="str">
        <f ca="1">OFFSET(Industries!E$1,MATCH(Table1[[#This Row],[Ticker]],Industries!$A$2:$A$150,0),0)</f>
        <v>Oil, Gas and Consumable Fuels</v>
      </c>
      <c r="E2512" t="s">
        <v>1397</v>
      </c>
      <c r="F2512" t="s">
        <v>1342</v>
      </c>
      <c r="G2512" t="s">
        <v>1380</v>
      </c>
      <c r="H2512" t="s">
        <v>1443</v>
      </c>
      <c r="I2512" t="s">
        <v>1439</v>
      </c>
      <c r="J2512" s="2">
        <v>45380</v>
      </c>
      <c r="K2512" t="s">
        <v>2</v>
      </c>
      <c r="L2512" t="s">
        <v>1708</v>
      </c>
      <c r="M2512" t="s">
        <v>1709</v>
      </c>
      <c r="N2512" s="1"/>
      <c r="O2512" s="1" t="s">
        <v>4</v>
      </c>
      <c r="P2512" s="1">
        <v>0.13</v>
      </c>
      <c r="Q2512" s="1" t="s">
        <v>1636</v>
      </c>
      <c r="R2512" t="s">
        <v>24</v>
      </c>
      <c r="S2512" t="s">
        <v>1086</v>
      </c>
      <c r="T2512" t="s">
        <v>1542</v>
      </c>
      <c r="U2512" s="1">
        <f>30/180</f>
        <v>0.16666666666666666</v>
      </c>
      <c r="V2512" t="s">
        <v>1552</v>
      </c>
    </row>
    <row r="2513" spans="1:22" x14ac:dyDescent="0.3">
      <c r="A2513" t="s">
        <v>1541</v>
      </c>
      <c r="B2513" t="str">
        <f ca="1">OFFSET(Industries!C$1,MATCH(Table1[[#This Row],[Ticker]],Industries!$A$2:$A$150,0),0)</f>
        <v>Energy</v>
      </c>
      <c r="C2513" t="str">
        <f ca="1">OFFSET(Industries!D$1,MATCH(Table1[[#This Row],[Ticker]],Industries!$A$2:$A$150,0),0)</f>
        <v>Energy</v>
      </c>
      <c r="D2513" t="str">
        <f ca="1">OFFSET(Industries!E$1,MATCH(Table1[[#This Row],[Ticker]],Industries!$A$2:$A$150,0),0)</f>
        <v>Oil, Gas and Consumable Fuels</v>
      </c>
      <c r="E2513" t="s">
        <v>1397</v>
      </c>
      <c r="F2513" t="s">
        <v>1342</v>
      </c>
      <c r="G2513" t="s">
        <v>1380</v>
      </c>
      <c r="H2513" t="s">
        <v>1443</v>
      </c>
      <c r="I2513" t="s">
        <v>1439</v>
      </c>
      <c r="J2513" s="2">
        <v>45380</v>
      </c>
      <c r="K2513" t="s">
        <v>2</v>
      </c>
      <c r="L2513" t="s">
        <v>1708</v>
      </c>
      <c r="M2513" t="s">
        <v>1709</v>
      </c>
      <c r="N2513" s="1"/>
      <c r="O2513" s="1" t="s">
        <v>4</v>
      </c>
      <c r="P2513" s="1">
        <v>0.13</v>
      </c>
      <c r="Q2513" s="1" t="s">
        <v>1636</v>
      </c>
      <c r="R2513" t="s">
        <v>1059</v>
      </c>
      <c r="S2513" t="s">
        <v>1119</v>
      </c>
      <c r="T2513" t="s">
        <v>1556</v>
      </c>
      <c r="U2513" s="1">
        <f>20/180</f>
        <v>0.1111111111111111</v>
      </c>
      <c r="V2513" t="s">
        <v>1554</v>
      </c>
    </row>
    <row r="2514" spans="1:22" x14ac:dyDescent="0.3">
      <c r="A2514" t="s">
        <v>1541</v>
      </c>
      <c r="B2514" t="str">
        <f ca="1">OFFSET(Industries!C$1,MATCH(Table1[[#This Row],[Ticker]],Industries!$A$2:$A$150,0),0)</f>
        <v>Energy</v>
      </c>
      <c r="C2514" t="str">
        <f ca="1">OFFSET(Industries!D$1,MATCH(Table1[[#This Row],[Ticker]],Industries!$A$2:$A$150,0),0)</f>
        <v>Energy</v>
      </c>
      <c r="D2514" t="str">
        <f ca="1">OFFSET(Industries!E$1,MATCH(Table1[[#This Row],[Ticker]],Industries!$A$2:$A$150,0),0)</f>
        <v>Oil, Gas and Consumable Fuels</v>
      </c>
      <c r="E2514" t="s">
        <v>1397</v>
      </c>
      <c r="F2514" t="s">
        <v>1342</v>
      </c>
      <c r="G2514" t="s">
        <v>1380</v>
      </c>
      <c r="H2514" t="s">
        <v>1443</v>
      </c>
      <c r="I2514" t="s">
        <v>1439</v>
      </c>
      <c r="J2514" s="2">
        <v>45380</v>
      </c>
      <c r="K2514" t="s">
        <v>2</v>
      </c>
      <c r="L2514" t="s">
        <v>1708</v>
      </c>
      <c r="M2514" t="s">
        <v>1709</v>
      </c>
      <c r="N2514" s="1"/>
      <c r="O2514" s="1" t="s">
        <v>4</v>
      </c>
      <c r="P2514" s="1">
        <v>0.13</v>
      </c>
      <c r="Q2514" s="1" t="s">
        <v>1636</v>
      </c>
      <c r="R2514" t="s">
        <v>25</v>
      </c>
      <c r="S2514" t="s">
        <v>1086</v>
      </c>
      <c r="T2514" t="s">
        <v>1543</v>
      </c>
      <c r="U2514" s="1">
        <f t="shared" ref="U2514:U2515" si="62">20/180</f>
        <v>0.1111111111111111</v>
      </c>
      <c r="V2514" t="s">
        <v>1553</v>
      </c>
    </row>
    <row r="2515" spans="1:22" x14ac:dyDescent="0.3">
      <c r="A2515" t="s">
        <v>1541</v>
      </c>
      <c r="B2515" t="str">
        <f ca="1">OFFSET(Industries!C$1,MATCH(Table1[[#This Row],[Ticker]],Industries!$A$2:$A$150,0),0)</f>
        <v>Energy</v>
      </c>
      <c r="C2515" t="str">
        <f ca="1">OFFSET(Industries!D$1,MATCH(Table1[[#This Row],[Ticker]],Industries!$A$2:$A$150,0),0)</f>
        <v>Energy</v>
      </c>
      <c r="D2515" t="str">
        <f ca="1">OFFSET(Industries!E$1,MATCH(Table1[[#This Row],[Ticker]],Industries!$A$2:$A$150,0),0)</f>
        <v>Oil, Gas and Consumable Fuels</v>
      </c>
      <c r="E2515" t="s">
        <v>1397</v>
      </c>
      <c r="F2515" t="s">
        <v>1342</v>
      </c>
      <c r="G2515" t="s">
        <v>1380</v>
      </c>
      <c r="H2515" t="s">
        <v>1443</v>
      </c>
      <c r="I2515" t="s">
        <v>1439</v>
      </c>
      <c r="J2515" s="2">
        <v>45380</v>
      </c>
      <c r="K2515" t="s">
        <v>2</v>
      </c>
      <c r="L2515" t="s">
        <v>1708</v>
      </c>
      <c r="M2515" t="s">
        <v>1709</v>
      </c>
      <c r="N2515" s="1"/>
      <c r="O2515" s="1" t="s">
        <v>4</v>
      </c>
      <c r="P2515" s="1">
        <v>0.13</v>
      </c>
      <c r="Q2515" s="1" t="s">
        <v>1637</v>
      </c>
      <c r="R2515" t="s">
        <v>26</v>
      </c>
      <c r="S2515" t="s">
        <v>814</v>
      </c>
      <c r="T2515" t="s">
        <v>814</v>
      </c>
      <c r="U2515" s="1">
        <f t="shared" si="62"/>
        <v>0.1111111111111111</v>
      </c>
    </row>
    <row r="2516" spans="1:22" x14ac:dyDescent="0.3">
      <c r="A2516" t="s">
        <v>1541</v>
      </c>
      <c r="B2516" t="str">
        <f ca="1">OFFSET(Industries!C$1,MATCH(Table1[[#This Row],[Ticker]],Industries!$A$2:$A$150,0),0)</f>
        <v>Energy</v>
      </c>
      <c r="C2516" t="str">
        <f ca="1">OFFSET(Industries!D$1,MATCH(Table1[[#This Row],[Ticker]],Industries!$A$2:$A$150,0),0)</f>
        <v>Energy</v>
      </c>
      <c r="D2516" t="str">
        <f ca="1">OFFSET(Industries!E$1,MATCH(Table1[[#This Row],[Ticker]],Industries!$A$2:$A$150,0),0)</f>
        <v>Oil, Gas and Consumable Fuels</v>
      </c>
      <c r="E2516" t="s">
        <v>1397</v>
      </c>
      <c r="F2516" t="s">
        <v>1342</v>
      </c>
      <c r="G2516" t="s">
        <v>1380</v>
      </c>
      <c r="H2516" t="s">
        <v>1443</v>
      </c>
      <c r="I2516" t="s">
        <v>1439</v>
      </c>
      <c r="J2516" s="2">
        <v>45380</v>
      </c>
      <c r="K2516" t="s">
        <v>2</v>
      </c>
      <c r="L2516" t="s">
        <v>1708</v>
      </c>
      <c r="M2516" t="s">
        <v>1709</v>
      </c>
      <c r="N2516" s="1"/>
      <c r="O2516" s="1" t="s">
        <v>4</v>
      </c>
      <c r="P2516" s="1">
        <v>0.13</v>
      </c>
      <c r="Q2516" s="1" t="s">
        <v>1636</v>
      </c>
      <c r="R2516" t="s">
        <v>62</v>
      </c>
      <c r="S2516" t="s">
        <v>63</v>
      </c>
      <c r="T2516" t="s">
        <v>1544</v>
      </c>
      <c r="U2516" s="1">
        <f>10/180</f>
        <v>5.5555555555555552E-2</v>
      </c>
    </row>
    <row r="2517" spans="1:22" x14ac:dyDescent="0.3">
      <c r="A2517" t="s">
        <v>1541</v>
      </c>
      <c r="B2517" t="str">
        <f ca="1">OFFSET(Industries!C$1,MATCH(Table1[[#This Row],[Ticker]],Industries!$A$2:$A$150,0),0)</f>
        <v>Energy</v>
      </c>
      <c r="C2517" t="str">
        <f ca="1">OFFSET(Industries!D$1,MATCH(Table1[[#This Row],[Ticker]],Industries!$A$2:$A$150,0),0)</f>
        <v>Energy</v>
      </c>
      <c r="D2517" t="str">
        <f ca="1">OFFSET(Industries!E$1,MATCH(Table1[[#This Row],[Ticker]],Industries!$A$2:$A$150,0),0)</f>
        <v>Oil, Gas and Consumable Fuels</v>
      </c>
      <c r="E2517" t="s">
        <v>1397</v>
      </c>
      <c r="F2517" t="s">
        <v>1342</v>
      </c>
      <c r="G2517" t="s">
        <v>1380</v>
      </c>
      <c r="H2517" t="s">
        <v>1443</v>
      </c>
      <c r="I2517" t="s">
        <v>1439</v>
      </c>
      <c r="J2517" s="2">
        <v>45380</v>
      </c>
      <c r="K2517" t="s">
        <v>2</v>
      </c>
      <c r="L2517" t="s">
        <v>1708</v>
      </c>
      <c r="M2517" t="s">
        <v>1709</v>
      </c>
      <c r="N2517" s="1"/>
      <c r="O2517" s="1" t="s">
        <v>4</v>
      </c>
      <c r="P2517" s="1">
        <v>0.13</v>
      </c>
      <c r="Q2517" s="1" t="s">
        <v>1637</v>
      </c>
      <c r="R2517" t="s">
        <v>26</v>
      </c>
      <c r="S2517" t="s">
        <v>26</v>
      </c>
      <c r="T2517" t="s">
        <v>1545</v>
      </c>
      <c r="U2517" s="1">
        <f>10/180</f>
        <v>5.5555555555555552E-2</v>
      </c>
      <c r="V2517" t="s">
        <v>1547</v>
      </c>
    </row>
    <row r="2518" spans="1:22" x14ac:dyDescent="0.3">
      <c r="A2518" t="s">
        <v>1541</v>
      </c>
      <c r="B2518" t="str">
        <f ca="1">OFFSET(Industries!C$1,MATCH(Table1[[#This Row],[Ticker]],Industries!$A$2:$A$150,0),0)</f>
        <v>Energy</v>
      </c>
      <c r="C2518" t="str">
        <f ca="1">OFFSET(Industries!D$1,MATCH(Table1[[#This Row],[Ticker]],Industries!$A$2:$A$150,0),0)</f>
        <v>Energy</v>
      </c>
      <c r="D2518" t="str">
        <f ca="1">OFFSET(Industries!E$1,MATCH(Table1[[#This Row],[Ticker]],Industries!$A$2:$A$150,0),0)</f>
        <v>Oil, Gas and Consumable Fuels</v>
      </c>
      <c r="E2518" t="s">
        <v>1397</v>
      </c>
      <c r="F2518" t="s">
        <v>1342</v>
      </c>
      <c r="G2518" t="s">
        <v>1380</v>
      </c>
      <c r="H2518" t="s">
        <v>1443</v>
      </c>
      <c r="I2518" t="s">
        <v>1439</v>
      </c>
      <c r="J2518" s="2">
        <v>45380</v>
      </c>
      <c r="K2518" t="s">
        <v>2</v>
      </c>
      <c r="L2518" t="s">
        <v>1708</v>
      </c>
      <c r="M2518" t="s">
        <v>1709</v>
      </c>
      <c r="N2518" s="1"/>
      <c r="O2518" s="1" t="s">
        <v>4</v>
      </c>
      <c r="P2518" s="1">
        <v>0.13</v>
      </c>
      <c r="R2518" t="s">
        <v>28</v>
      </c>
      <c r="S2518" t="s">
        <v>1110</v>
      </c>
      <c r="T2518" t="s">
        <v>172</v>
      </c>
      <c r="V2518" t="s">
        <v>1549</v>
      </c>
    </row>
    <row r="2519" spans="1:22" x14ac:dyDescent="0.3">
      <c r="A2519" t="s">
        <v>1541</v>
      </c>
      <c r="B2519" t="str">
        <f ca="1">OFFSET(Industries!C$1,MATCH(Table1[[#This Row],[Ticker]],Industries!$A$2:$A$150,0),0)</f>
        <v>Energy</v>
      </c>
      <c r="C2519" t="str">
        <f ca="1">OFFSET(Industries!D$1,MATCH(Table1[[#This Row],[Ticker]],Industries!$A$2:$A$150,0),0)</f>
        <v>Energy</v>
      </c>
      <c r="D2519" t="str">
        <f ca="1">OFFSET(Industries!E$1,MATCH(Table1[[#This Row],[Ticker]],Industries!$A$2:$A$150,0),0)</f>
        <v>Oil, Gas and Consumable Fuels</v>
      </c>
      <c r="E2519" t="s">
        <v>1397</v>
      </c>
      <c r="F2519" t="s">
        <v>1342</v>
      </c>
      <c r="G2519" t="s">
        <v>1380</v>
      </c>
      <c r="H2519" t="s">
        <v>1443</v>
      </c>
      <c r="I2519" t="s">
        <v>1439</v>
      </c>
      <c r="J2519" s="2">
        <v>45380</v>
      </c>
      <c r="K2519" t="s">
        <v>2</v>
      </c>
      <c r="L2519" t="s">
        <v>1710</v>
      </c>
      <c r="M2519" t="s">
        <v>1709</v>
      </c>
      <c r="N2519" s="1">
        <f>Table1[[#This Row],[Consideration Weight]]</f>
        <v>0.72</v>
      </c>
      <c r="O2519" s="1" t="s">
        <v>476</v>
      </c>
      <c r="P2519" s="1">
        <v>0.72</v>
      </c>
      <c r="Q2519" s="1" t="s">
        <v>1646</v>
      </c>
      <c r="R2519" t="s">
        <v>35</v>
      </c>
      <c r="S2519" t="s">
        <v>29</v>
      </c>
      <c r="T2519" t="s">
        <v>29</v>
      </c>
      <c r="U2519" s="1">
        <v>0.25</v>
      </c>
      <c r="V2519" t="s">
        <v>1549</v>
      </c>
    </row>
    <row r="2520" spans="1:22" x14ac:dyDescent="0.3">
      <c r="A2520" t="s">
        <v>1541</v>
      </c>
      <c r="B2520" t="str">
        <f ca="1">OFFSET(Industries!C$1,MATCH(Table1[[#This Row],[Ticker]],Industries!$A$2:$A$150,0),0)</f>
        <v>Energy</v>
      </c>
      <c r="C2520" t="str">
        <f ca="1">OFFSET(Industries!D$1,MATCH(Table1[[#This Row],[Ticker]],Industries!$A$2:$A$150,0),0)</f>
        <v>Energy</v>
      </c>
      <c r="D2520" t="str">
        <f ca="1">OFFSET(Industries!E$1,MATCH(Table1[[#This Row],[Ticker]],Industries!$A$2:$A$150,0),0)</f>
        <v>Oil, Gas and Consumable Fuels</v>
      </c>
      <c r="E2520" t="s">
        <v>1397</v>
      </c>
      <c r="F2520" t="s">
        <v>1342</v>
      </c>
      <c r="G2520" t="s">
        <v>1380</v>
      </c>
      <c r="H2520" t="s">
        <v>1443</v>
      </c>
      <c r="I2520" t="s">
        <v>1439</v>
      </c>
      <c r="J2520" s="2">
        <v>45380</v>
      </c>
      <c r="K2520" t="s">
        <v>2</v>
      </c>
      <c r="L2520" t="s">
        <v>1710</v>
      </c>
      <c r="M2520" t="s">
        <v>1709</v>
      </c>
      <c r="N2520" s="1"/>
      <c r="O2520" s="1" t="s">
        <v>476</v>
      </c>
      <c r="P2520" s="1">
        <v>0.72</v>
      </c>
      <c r="Q2520" s="1" t="s">
        <v>1636</v>
      </c>
      <c r="R2520" t="s">
        <v>62</v>
      </c>
      <c r="S2520" t="s">
        <v>1086</v>
      </c>
      <c r="T2520" t="s">
        <v>1548</v>
      </c>
      <c r="U2520" s="1">
        <v>0.25</v>
      </c>
    </row>
    <row r="2521" spans="1:22" x14ac:dyDescent="0.3">
      <c r="A2521" t="s">
        <v>1541</v>
      </c>
      <c r="B2521" t="str">
        <f ca="1">OFFSET(Industries!C$1,MATCH(Table1[[#This Row],[Ticker]],Industries!$A$2:$A$150,0),0)</f>
        <v>Energy</v>
      </c>
      <c r="C2521" t="str">
        <f ca="1">OFFSET(Industries!D$1,MATCH(Table1[[#This Row],[Ticker]],Industries!$A$2:$A$150,0),0)</f>
        <v>Energy</v>
      </c>
      <c r="D2521" t="str">
        <f ca="1">OFFSET(Industries!E$1,MATCH(Table1[[#This Row],[Ticker]],Industries!$A$2:$A$150,0),0)</f>
        <v>Oil, Gas and Consumable Fuels</v>
      </c>
      <c r="E2521" t="s">
        <v>1397</v>
      </c>
      <c r="F2521" t="s">
        <v>1342</v>
      </c>
      <c r="G2521" t="s">
        <v>1380</v>
      </c>
      <c r="H2521" t="s">
        <v>1443</v>
      </c>
      <c r="I2521" t="s">
        <v>1439</v>
      </c>
      <c r="J2521" s="2">
        <v>45380</v>
      </c>
      <c r="K2521" t="s">
        <v>2</v>
      </c>
      <c r="L2521" t="s">
        <v>1710</v>
      </c>
      <c r="M2521" t="s">
        <v>1709</v>
      </c>
      <c r="N2521" s="1"/>
      <c r="O2521" s="1" t="s">
        <v>476</v>
      </c>
      <c r="P2521" s="1">
        <v>0.72</v>
      </c>
      <c r="Q2521" s="1" t="s">
        <v>1636</v>
      </c>
      <c r="R2521" t="s">
        <v>24</v>
      </c>
      <c r="S2521" t="s">
        <v>1086</v>
      </c>
      <c r="T2521" t="s">
        <v>1542</v>
      </c>
      <c r="U2521" s="1">
        <v>0.2</v>
      </c>
    </row>
    <row r="2522" spans="1:22" x14ac:dyDescent="0.3">
      <c r="A2522" t="s">
        <v>1541</v>
      </c>
      <c r="B2522" t="str">
        <f ca="1">OFFSET(Industries!C$1,MATCH(Table1[[#This Row],[Ticker]],Industries!$A$2:$A$150,0),0)</f>
        <v>Energy</v>
      </c>
      <c r="C2522" t="str">
        <f ca="1">OFFSET(Industries!D$1,MATCH(Table1[[#This Row],[Ticker]],Industries!$A$2:$A$150,0),0)</f>
        <v>Energy</v>
      </c>
      <c r="D2522" t="str">
        <f ca="1">OFFSET(Industries!E$1,MATCH(Table1[[#This Row],[Ticker]],Industries!$A$2:$A$150,0),0)</f>
        <v>Oil, Gas and Consumable Fuels</v>
      </c>
      <c r="E2522" t="s">
        <v>1397</v>
      </c>
      <c r="F2522" t="s">
        <v>1342</v>
      </c>
      <c r="G2522" t="s">
        <v>1380</v>
      </c>
      <c r="H2522" t="s">
        <v>1443</v>
      </c>
      <c r="I2522" t="s">
        <v>1439</v>
      </c>
      <c r="J2522" s="2">
        <v>45380</v>
      </c>
      <c r="K2522" t="s">
        <v>2</v>
      </c>
      <c r="L2522" t="s">
        <v>1710</v>
      </c>
      <c r="M2522" t="s">
        <v>1709</v>
      </c>
      <c r="N2522" s="1"/>
      <c r="O2522" s="1" t="s">
        <v>476</v>
      </c>
      <c r="P2522" s="1">
        <v>0.72</v>
      </c>
      <c r="Q2522" s="1" t="s">
        <v>1637</v>
      </c>
      <c r="R2522" t="s">
        <v>26</v>
      </c>
      <c r="S2522" t="s">
        <v>26</v>
      </c>
      <c r="T2522" t="s">
        <v>1550</v>
      </c>
      <c r="U2522" s="1">
        <v>0.15</v>
      </c>
      <c r="V2522" t="s">
        <v>1546</v>
      </c>
    </row>
    <row r="2523" spans="1:22" x14ac:dyDescent="0.3">
      <c r="A2523" t="s">
        <v>1541</v>
      </c>
      <c r="B2523" t="str">
        <f ca="1">OFFSET(Industries!C$1,MATCH(Table1[[#This Row],[Ticker]],Industries!$A$2:$A$150,0),0)</f>
        <v>Energy</v>
      </c>
      <c r="C2523" t="str">
        <f ca="1">OFFSET(Industries!D$1,MATCH(Table1[[#This Row],[Ticker]],Industries!$A$2:$A$150,0),0)</f>
        <v>Energy</v>
      </c>
      <c r="D2523" t="str">
        <f ca="1">OFFSET(Industries!E$1,MATCH(Table1[[#This Row],[Ticker]],Industries!$A$2:$A$150,0),0)</f>
        <v>Oil, Gas and Consumable Fuels</v>
      </c>
      <c r="E2523" t="s">
        <v>1397</v>
      </c>
      <c r="F2523" t="s">
        <v>1342</v>
      </c>
      <c r="G2523" t="s">
        <v>1380</v>
      </c>
      <c r="H2523" t="s">
        <v>1443</v>
      </c>
      <c r="I2523" t="s">
        <v>1439</v>
      </c>
      <c r="J2523" s="2">
        <v>45380</v>
      </c>
      <c r="K2523" t="s">
        <v>2</v>
      </c>
      <c r="L2523" t="s">
        <v>1710</v>
      </c>
      <c r="M2523" t="s">
        <v>1709</v>
      </c>
      <c r="N2523" s="1"/>
      <c r="O2523" s="1" t="s">
        <v>476</v>
      </c>
      <c r="P2523" s="1">
        <v>0.72</v>
      </c>
      <c r="Q2523" s="1" t="s">
        <v>1637</v>
      </c>
      <c r="R2523" t="s">
        <v>26</v>
      </c>
      <c r="S2523" t="s">
        <v>26</v>
      </c>
      <c r="T2523" t="s">
        <v>1551</v>
      </c>
      <c r="U2523" s="1">
        <v>0.15</v>
      </c>
    </row>
    <row r="2524" spans="1:22" x14ac:dyDescent="0.3">
      <c r="A2524" t="s">
        <v>1541</v>
      </c>
      <c r="B2524" t="str">
        <f ca="1">OFFSET(Industries!C$1,MATCH(Table1[[#This Row],[Ticker]],Industries!$A$2:$A$150,0),0)</f>
        <v>Energy</v>
      </c>
      <c r="C2524" t="str">
        <f ca="1">OFFSET(Industries!D$1,MATCH(Table1[[#This Row],[Ticker]],Industries!$A$2:$A$150,0),0)</f>
        <v>Energy</v>
      </c>
      <c r="D2524" t="str">
        <f ca="1">OFFSET(Industries!E$1,MATCH(Table1[[#This Row],[Ticker]],Industries!$A$2:$A$150,0),0)</f>
        <v>Oil, Gas and Consumable Fuels</v>
      </c>
      <c r="E2524" t="s">
        <v>1397</v>
      </c>
      <c r="F2524" t="s">
        <v>1342</v>
      </c>
      <c r="G2524" t="s">
        <v>1380</v>
      </c>
      <c r="H2524" t="s">
        <v>1443</v>
      </c>
      <c r="I2524" t="s">
        <v>1439</v>
      </c>
      <c r="J2524" s="2">
        <v>45380</v>
      </c>
      <c r="K2524" t="s">
        <v>2</v>
      </c>
      <c r="L2524" t="s">
        <v>1710</v>
      </c>
      <c r="M2524" t="s">
        <v>1709</v>
      </c>
      <c r="N2524" s="1"/>
      <c r="O2524" s="1" t="s">
        <v>476</v>
      </c>
      <c r="P2524" s="1">
        <v>0.72</v>
      </c>
      <c r="R2524" t="s">
        <v>28</v>
      </c>
      <c r="S2524" t="s">
        <v>1110</v>
      </c>
      <c r="T2524" t="s">
        <v>172</v>
      </c>
      <c r="V2524" t="s">
        <v>1560</v>
      </c>
    </row>
    <row r="2525" spans="1:22" x14ac:dyDescent="0.3">
      <c r="A2525" t="s">
        <v>1559</v>
      </c>
      <c r="B2525" t="str">
        <f ca="1">OFFSET(Industries!C$1,MATCH(Table1[[#This Row],[Ticker]],Industries!$A$2:$A$150,0),0)</f>
        <v>Materials</v>
      </c>
      <c r="C2525" t="str">
        <f ca="1">OFFSET(Industries!D$1,MATCH(Table1[[#This Row],[Ticker]],Industries!$A$2:$A$150,0),0)</f>
        <v>Materials</v>
      </c>
      <c r="D2525" t="str">
        <f ca="1">OFFSET(Industries!E$1,MATCH(Table1[[#This Row],[Ticker]],Industries!$A$2:$A$150,0),0)</f>
        <v>Metals and Mining</v>
      </c>
      <c r="E2525" t="s">
        <v>545</v>
      </c>
      <c r="F2525" t="s">
        <v>1343</v>
      </c>
      <c r="G2525" t="s">
        <v>1382</v>
      </c>
      <c r="H2525" t="s">
        <v>1441</v>
      </c>
      <c r="I2525" t="s">
        <v>1439</v>
      </c>
      <c r="J2525" s="2">
        <v>45370</v>
      </c>
      <c r="K2525" t="s">
        <v>2</v>
      </c>
      <c r="L2525" t="s">
        <v>3</v>
      </c>
      <c r="M2525" t="s">
        <v>1711</v>
      </c>
      <c r="N2525" s="1">
        <f>Table1[[#This Row],[Consideration Weight]]</f>
        <v>0.22</v>
      </c>
      <c r="O2525" s="1" t="s">
        <v>3</v>
      </c>
      <c r="P2525" s="1">
        <v>0.22</v>
      </c>
      <c r="V2525" t="s">
        <v>1561</v>
      </c>
    </row>
    <row r="2526" spans="1:22" x14ac:dyDescent="0.3">
      <c r="A2526" t="s">
        <v>1559</v>
      </c>
      <c r="B2526" t="str">
        <f ca="1">OFFSET(Industries!C$1,MATCH(Table1[[#This Row],[Ticker]],Industries!$A$2:$A$150,0),0)</f>
        <v>Materials</v>
      </c>
      <c r="C2526" t="str">
        <f ca="1">OFFSET(Industries!D$1,MATCH(Table1[[#This Row],[Ticker]],Industries!$A$2:$A$150,0),0)</f>
        <v>Materials</v>
      </c>
      <c r="D2526" t="str">
        <f ca="1">OFFSET(Industries!E$1,MATCH(Table1[[#This Row],[Ticker]],Industries!$A$2:$A$150,0),0)</f>
        <v>Metals and Mining</v>
      </c>
      <c r="E2526" t="s">
        <v>545</v>
      </c>
      <c r="F2526" t="s">
        <v>1343</v>
      </c>
      <c r="G2526" t="s">
        <v>1382</v>
      </c>
      <c r="H2526" t="s">
        <v>1441</v>
      </c>
      <c r="I2526" t="s">
        <v>1439</v>
      </c>
      <c r="J2526" s="2">
        <v>45370</v>
      </c>
      <c r="K2526" t="s">
        <v>2</v>
      </c>
      <c r="L2526" t="s">
        <v>1710</v>
      </c>
      <c r="M2526" t="s">
        <v>1709</v>
      </c>
      <c r="N2526" s="1">
        <f>Table1[[#This Row],[Consideration Weight]]</f>
        <v>0.78</v>
      </c>
      <c r="O2526" s="1" t="s">
        <v>476</v>
      </c>
      <c r="P2526" s="1">
        <v>0.78</v>
      </c>
      <c r="Q2526" s="1" t="s">
        <v>1636</v>
      </c>
      <c r="R2526" t="s">
        <v>25</v>
      </c>
      <c r="S2526" t="s">
        <v>1086</v>
      </c>
      <c r="T2526" t="s">
        <v>844</v>
      </c>
      <c r="U2526" s="1">
        <v>1</v>
      </c>
    </row>
    <row r="2527" spans="1:22" x14ac:dyDescent="0.3">
      <c r="A2527" t="s">
        <v>1559</v>
      </c>
      <c r="B2527" t="str">
        <f ca="1">OFFSET(Industries!C$1,MATCH(Table1[[#This Row],[Ticker]],Industries!$A$2:$A$150,0),0)</f>
        <v>Materials</v>
      </c>
      <c r="C2527" t="str">
        <f ca="1">OFFSET(Industries!D$1,MATCH(Table1[[#This Row],[Ticker]],Industries!$A$2:$A$150,0),0)</f>
        <v>Materials</v>
      </c>
      <c r="D2527" t="str">
        <f ca="1">OFFSET(Industries!E$1,MATCH(Table1[[#This Row],[Ticker]],Industries!$A$2:$A$150,0),0)</f>
        <v>Metals and Mining</v>
      </c>
      <c r="E2527" t="s">
        <v>545</v>
      </c>
      <c r="F2527" t="s">
        <v>1343</v>
      </c>
      <c r="G2527" t="s">
        <v>1382</v>
      </c>
      <c r="H2527" t="s">
        <v>1441</v>
      </c>
      <c r="I2527" t="s">
        <v>1439</v>
      </c>
      <c r="J2527" s="2">
        <v>45370</v>
      </c>
      <c r="K2527" t="s">
        <v>2</v>
      </c>
      <c r="L2527" t="s">
        <v>1710</v>
      </c>
      <c r="M2527" t="s">
        <v>1709</v>
      </c>
      <c r="N2527" s="1"/>
      <c r="O2527" s="1" t="s">
        <v>476</v>
      </c>
      <c r="P2527" s="1">
        <v>0.78</v>
      </c>
      <c r="R2527" t="s">
        <v>28</v>
      </c>
      <c r="S2527" t="s">
        <v>1110</v>
      </c>
      <c r="T2527" t="s">
        <v>172</v>
      </c>
      <c r="V2527" t="s">
        <v>1572</v>
      </c>
    </row>
    <row r="2528" spans="1:22" x14ac:dyDescent="0.3">
      <c r="A2528" t="s">
        <v>1564</v>
      </c>
      <c r="B2528" t="str">
        <f ca="1">OFFSET(Industries!C$1,MATCH(Table1[[#This Row],[Ticker]],Industries!$A$2:$A$150,0),0)</f>
        <v>Consumer Discretionary</v>
      </c>
      <c r="C2528" t="str">
        <f ca="1">OFFSET(Industries!D$1,MATCH(Table1[[#This Row],[Ticker]],Industries!$A$2:$A$150,0),0)</f>
        <v>Consumer Services</v>
      </c>
      <c r="D2528" t="str">
        <f ca="1">OFFSET(Industries!E$1,MATCH(Table1[[#This Row],[Ticker]],Industries!$A$2:$A$150,0),0)</f>
        <v>Hotels, Restaurants and Leisure</v>
      </c>
      <c r="E2528" t="s">
        <v>1565</v>
      </c>
      <c r="F2528" t="s">
        <v>1344</v>
      </c>
      <c r="G2528" t="s">
        <v>1385</v>
      </c>
      <c r="H2528" t="s">
        <v>1434</v>
      </c>
      <c r="I2528" t="s">
        <v>1434</v>
      </c>
      <c r="J2528" s="2">
        <v>45377</v>
      </c>
      <c r="K2528" t="s">
        <v>2</v>
      </c>
      <c r="L2528" t="s">
        <v>3</v>
      </c>
      <c r="M2528" t="s">
        <v>1711</v>
      </c>
      <c r="N2528" s="1">
        <f>Table1[[#This Row],[Consideration Weight]]</f>
        <v>0.18</v>
      </c>
      <c r="O2528" s="1" t="s">
        <v>3</v>
      </c>
      <c r="P2528" s="1">
        <v>0.18</v>
      </c>
      <c r="V2528" t="s">
        <v>1568</v>
      </c>
    </row>
    <row r="2529" spans="1:22" x14ac:dyDescent="0.3">
      <c r="A2529" t="s">
        <v>1564</v>
      </c>
      <c r="B2529" t="str">
        <f ca="1">OFFSET(Industries!C$1,MATCH(Table1[[#This Row],[Ticker]],Industries!$A$2:$A$150,0),0)</f>
        <v>Consumer Discretionary</v>
      </c>
      <c r="C2529" t="str">
        <f ca="1">OFFSET(Industries!D$1,MATCH(Table1[[#This Row],[Ticker]],Industries!$A$2:$A$150,0),0)</f>
        <v>Consumer Services</v>
      </c>
      <c r="D2529" t="str">
        <f ca="1">OFFSET(Industries!E$1,MATCH(Table1[[#This Row],[Ticker]],Industries!$A$2:$A$150,0),0)</f>
        <v>Hotels, Restaurants and Leisure</v>
      </c>
      <c r="E2529" t="s">
        <v>1565</v>
      </c>
      <c r="F2529" t="s">
        <v>1344</v>
      </c>
      <c r="G2529" t="s">
        <v>1385</v>
      </c>
      <c r="H2529" t="s">
        <v>1434</v>
      </c>
      <c r="I2529" t="s">
        <v>1434</v>
      </c>
      <c r="J2529" s="2">
        <v>45377</v>
      </c>
      <c r="K2529" t="s">
        <v>2</v>
      </c>
      <c r="L2529" t="s">
        <v>1708</v>
      </c>
      <c r="M2529" t="s">
        <v>1709</v>
      </c>
      <c r="N2529" s="1">
        <f>Table1[[#This Row],[Consideration Weight]]</f>
        <v>0.17</v>
      </c>
      <c r="O2529" s="1" t="s">
        <v>4</v>
      </c>
      <c r="P2529" s="1">
        <v>0.17</v>
      </c>
      <c r="Q2529" s="1" t="s">
        <v>1636</v>
      </c>
      <c r="R2529" t="s">
        <v>23</v>
      </c>
      <c r="S2529" t="s">
        <v>1083</v>
      </c>
      <c r="T2529" t="s">
        <v>1083</v>
      </c>
      <c r="U2529" s="1">
        <v>0.3</v>
      </c>
      <c r="V2529" t="s">
        <v>1568</v>
      </c>
    </row>
    <row r="2530" spans="1:22" x14ac:dyDescent="0.3">
      <c r="A2530" t="s">
        <v>1564</v>
      </c>
      <c r="B2530" t="str">
        <f ca="1">OFFSET(Industries!C$1,MATCH(Table1[[#This Row],[Ticker]],Industries!$A$2:$A$150,0),0)</f>
        <v>Consumer Discretionary</v>
      </c>
      <c r="C2530" t="str">
        <f ca="1">OFFSET(Industries!D$1,MATCH(Table1[[#This Row],[Ticker]],Industries!$A$2:$A$150,0),0)</f>
        <v>Consumer Services</v>
      </c>
      <c r="D2530" t="str">
        <f ca="1">OFFSET(Industries!E$1,MATCH(Table1[[#This Row],[Ticker]],Industries!$A$2:$A$150,0),0)</f>
        <v>Hotels, Restaurants and Leisure</v>
      </c>
      <c r="E2530" t="s">
        <v>1565</v>
      </c>
      <c r="F2530" t="s">
        <v>1344</v>
      </c>
      <c r="G2530" t="s">
        <v>1385</v>
      </c>
      <c r="H2530" t="s">
        <v>1434</v>
      </c>
      <c r="I2530" t="s">
        <v>1434</v>
      </c>
      <c r="J2530" s="2">
        <v>45377</v>
      </c>
      <c r="K2530" t="s">
        <v>2</v>
      </c>
      <c r="L2530" t="s">
        <v>1708</v>
      </c>
      <c r="M2530" t="s">
        <v>1709</v>
      </c>
      <c r="N2530" s="1"/>
      <c r="O2530" s="1" t="s">
        <v>4</v>
      </c>
      <c r="P2530" s="1">
        <v>0.17</v>
      </c>
      <c r="Q2530" s="1" t="s">
        <v>1636</v>
      </c>
      <c r="R2530" t="s">
        <v>24</v>
      </c>
      <c r="S2530" t="s">
        <v>90</v>
      </c>
      <c r="T2530" t="s">
        <v>8</v>
      </c>
      <c r="U2530" s="1">
        <v>0.25</v>
      </c>
      <c r="V2530" t="s">
        <v>1569</v>
      </c>
    </row>
    <row r="2531" spans="1:22" x14ac:dyDescent="0.3">
      <c r="A2531" t="s">
        <v>1564</v>
      </c>
      <c r="B2531" t="str">
        <f ca="1">OFFSET(Industries!C$1,MATCH(Table1[[#This Row],[Ticker]],Industries!$A$2:$A$150,0),0)</f>
        <v>Consumer Discretionary</v>
      </c>
      <c r="C2531" t="str">
        <f ca="1">OFFSET(Industries!D$1,MATCH(Table1[[#This Row],[Ticker]],Industries!$A$2:$A$150,0),0)</f>
        <v>Consumer Services</v>
      </c>
      <c r="D2531" t="str">
        <f ca="1">OFFSET(Industries!E$1,MATCH(Table1[[#This Row],[Ticker]],Industries!$A$2:$A$150,0),0)</f>
        <v>Hotels, Restaurants and Leisure</v>
      </c>
      <c r="E2531" t="s">
        <v>1565</v>
      </c>
      <c r="F2531" t="s">
        <v>1344</v>
      </c>
      <c r="G2531" t="s">
        <v>1385</v>
      </c>
      <c r="H2531" t="s">
        <v>1434</v>
      </c>
      <c r="I2531" t="s">
        <v>1434</v>
      </c>
      <c r="J2531" s="2">
        <v>45377</v>
      </c>
      <c r="K2531" t="s">
        <v>2</v>
      </c>
      <c r="L2531" t="s">
        <v>1708</v>
      </c>
      <c r="M2531" t="s">
        <v>1709</v>
      </c>
      <c r="N2531" s="1"/>
      <c r="O2531" s="1" t="s">
        <v>4</v>
      </c>
      <c r="P2531" s="1">
        <v>0.17</v>
      </c>
      <c r="Q2531" s="1" t="s">
        <v>1636</v>
      </c>
      <c r="R2531" t="s">
        <v>24</v>
      </c>
      <c r="S2531" t="s">
        <v>90</v>
      </c>
      <c r="T2531" t="s">
        <v>1566</v>
      </c>
      <c r="U2531" s="1">
        <v>0.25</v>
      </c>
      <c r="V2531" t="s">
        <v>1570</v>
      </c>
    </row>
    <row r="2532" spans="1:22" x14ac:dyDescent="0.3">
      <c r="A2532" t="s">
        <v>1564</v>
      </c>
      <c r="B2532" t="str">
        <f ca="1">OFFSET(Industries!C$1,MATCH(Table1[[#This Row],[Ticker]],Industries!$A$2:$A$150,0),0)</f>
        <v>Consumer Discretionary</v>
      </c>
      <c r="C2532" t="str">
        <f ca="1">OFFSET(Industries!D$1,MATCH(Table1[[#This Row],[Ticker]],Industries!$A$2:$A$150,0),0)</f>
        <v>Consumer Services</v>
      </c>
      <c r="D2532" t="str">
        <f ca="1">OFFSET(Industries!E$1,MATCH(Table1[[#This Row],[Ticker]],Industries!$A$2:$A$150,0),0)</f>
        <v>Hotels, Restaurants and Leisure</v>
      </c>
      <c r="E2532" t="s">
        <v>1565</v>
      </c>
      <c r="F2532" t="s">
        <v>1344</v>
      </c>
      <c r="G2532" t="s">
        <v>1385</v>
      </c>
      <c r="H2532" t="s">
        <v>1434</v>
      </c>
      <c r="I2532" t="s">
        <v>1434</v>
      </c>
      <c r="J2532" s="2">
        <v>45377</v>
      </c>
      <c r="K2532" t="s">
        <v>2</v>
      </c>
      <c r="L2532" t="s">
        <v>1708</v>
      </c>
      <c r="M2532" t="s">
        <v>1709</v>
      </c>
      <c r="N2532" s="1"/>
      <c r="O2532" s="1" t="s">
        <v>4</v>
      </c>
      <c r="P2532" s="1">
        <v>0.17</v>
      </c>
      <c r="Q2532" s="1" t="s">
        <v>1637</v>
      </c>
      <c r="R2532" t="s">
        <v>26</v>
      </c>
      <c r="S2532" t="s">
        <v>26</v>
      </c>
      <c r="T2532" t="s">
        <v>1567</v>
      </c>
      <c r="U2532" s="1">
        <v>0.2</v>
      </c>
      <c r="V2532" t="s">
        <v>1736</v>
      </c>
    </row>
    <row r="2533" spans="1:22" x14ac:dyDescent="0.3">
      <c r="A2533" t="s">
        <v>1564</v>
      </c>
      <c r="B2533" t="str">
        <f ca="1">OFFSET(Industries!C$1,MATCH(Table1[[#This Row],[Ticker]],Industries!$A$2:$A$150,0),0)</f>
        <v>Consumer Discretionary</v>
      </c>
      <c r="C2533" t="str">
        <f ca="1">OFFSET(Industries!D$1,MATCH(Table1[[#This Row],[Ticker]],Industries!$A$2:$A$150,0),0)</f>
        <v>Consumer Services</v>
      </c>
      <c r="D2533" t="str">
        <f ca="1">OFFSET(Industries!E$1,MATCH(Table1[[#This Row],[Ticker]],Industries!$A$2:$A$150,0),0)</f>
        <v>Hotels, Restaurants and Leisure</v>
      </c>
      <c r="E2533" t="s">
        <v>1565</v>
      </c>
      <c r="F2533" t="s">
        <v>1344</v>
      </c>
      <c r="G2533" t="s">
        <v>1385</v>
      </c>
      <c r="H2533" t="s">
        <v>1434</v>
      </c>
      <c r="I2533" t="s">
        <v>1434</v>
      </c>
      <c r="J2533" s="2">
        <v>45377</v>
      </c>
      <c r="K2533" t="s">
        <v>2</v>
      </c>
      <c r="L2533" t="s">
        <v>1708</v>
      </c>
      <c r="M2533" t="s">
        <v>1709</v>
      </c>
      <c r="N2533" s="1"/>
      <c r="O2533" s="1" t="s">
        <v>4</v>
      </c>
      <c r="P2533" s="1">
        <v>0.17</v>
      </c>
      <c r="R2533" t="s">
        <v>28</v>
      </c>
      <c r="S2533" t="s">
        <v>1110</v>
      </c>
      <c r="T2533" t="s">
        <v>172</v>
      </c>
      <c r="V2533" t="s">
        <v>367</v>
      </c>
    </row>
    <row r="2534" spans="1:22" x14ac:dyDescent="0.3">
      <c r="A2534" t="s">
        <v>1564</v>
      </c>
      <c r="B2534" t="str">
        <f ca="1">OFFSET(Industries!C$1,MATCH(Table1[[#This Row],[Ticker]],Industries!$A$2:$A$150,0),0)</f>
        <v>Consumer Discretionary</v>
      </c>
      <c r="C2534" t="str">
        <f ca="1">OFFSET(Industries!D$1,MATCH(Table1[[#This Row],[Ticker]],Industries!$A$2:$A$150,0),0)</f>
        <v>Consumer Services</v>
      </c>
      <c r="D2534" t="str">
        <f ca="1">OFFSET(Industries!E$1,MATCH(Table1[[#This Row],[Ticker]],Industries!$A$2:$A$150,0),0)</f>
        <v>Hotels, Restaurants and Leisure</v>
      </c>
      <c r="E2534" t="s">
        <v>1565</v>
      </c>
      <c r="F2534" t="s">
        <v>1344</v>
      </c>
      <c r="G2534" t="s">
        <v>1385</v>
      </c>
      <c r="H2534" t="s">
        <v>1434</v>
      </c>
      <c r="I2534" t="s">
        <v>1434</v>
      </c>
      <c r="J2534" s="2">
        <v>45377</v>
      </c>
      <c r="K2534" t="s">
        <v>2</v>
      </c>
      <c r="L2534" t="s">
        <v>1708</v>
      </c>
      <c r="M2534" t="s">
        <v>1709</v>
      </c>
      <c r="N2534" s="1">
        <f>Table1[[#This Row],[Consideration Weight]]</f>
        <v>0.17</v>
      </c>
      <c r="O2534" s="1" t="s">
        <v>1571</v>
      </c>
      <c r="P2534" s="1">
        <v>0.17</v>
      </c>
      <c r="V2534" t="s">
        <v>1570</v>
      </c>
    </row>
    <row r="2535" spans="1:22" x14ac:dyDescent="0.3">
      <c r="A2535" t="s">
        <v>1564</v>
      </c>
      <c r="B2535" t="str">
        <f ca="1">OFFSET(Industries!C$1,MATCH(Table1[[#This Row],[Ticker]],Industries!$A$2:$A$150,0),0)</f>
        <v>Consumer Discretionary</v>
      </c>
      <c r="C2535" t="str">
        <f ca="1">OFFSET(Industries!D$1,MATCH(Table1[[#This Row],[Ticker]],Industries!$A$2:$A$150,0),0)</f>
        <v>Consumer Services</v>
      </c>
      <c r="D2535" t="str">
        <f ca="1">OFFSET(Industries!E$1,MATCH(Table1[[#This Row],[Ticker]],Industries!$A$2:$A$150,0),0)</f>
        <v>Hotels, Restaurants and Leisure</v>
      </c>
      <c r="E2535" t="s">
        <v>1565</v>
      </c>
      <c r="F2535" t="s">
        <v>1344</v>
      </c>
      <c r="G2535" t="s">
        <v>1385</v>
      </c>
      <c r="H2535" t="s">
        <v>1434</v>
      </c>
      <c r="I2535" t="s">
        <v>1434</v>
      </c>
      <c r="J2535" s="2">
        <v>45377</v>
      </c>
      <c r="K2535" t="s">
        <v>2</v>
      </c>
      <c r="L2535" t="s">
        <v>1710</v>
      </c>
      <c r="M2535" t="s">
        <v>1709</v>
      </c>
      <c r="N2535" s="1">
        <f>Table1[[#This Row],[Consideration Weight]]</f>
        <v>0.48</v>
      </c>
      <c r="O2535" s="1" t="s">
        <v>462</v>
      </c>
      <c r="P2535" s="1">
        <v>0.48</v>
      </c>
      <c r="Q2535" s="1" t="s">
        <v>1646</v>
      </c>
      <c r="R2535" t="s">
        <v>35</v>
      </c>
      <c r="S2535" t="s">
        <v>29</v>
      </c>
      <c r="T2535" t="s">
        <v>30</v>
      </c>
      <c r="U2535" s="1">
        <v>1</v>
      </c>
    </row>
    <row r="2536" spans="1:22" x14ac:dyDescent="0.3">
      <c r="A2536" t="s">
        <v>1564</v>
      </c>
      <c r="B2536" t="str">
        <f ca="1">OFFSET(Industries!C$1,MATCH(Table1[[#This Row],[Ticker]],Industries!$A$2:$A$150,0),0)</f>
        <v>Consumer Discretionary</v>
      </c>
      <c r="C2536" t="str">
        <f ca="1">OFFSET(Industries!D$1,MATCH(Table1[[#This Row],[Ticker]],Industries!$A$2:$A$150,0),0)</f>
        <v>Consumer Services</v>
      </c>
      <c r="D2536" t="str">
        <f ca="1">OFFSET(Industries!E$1,MATCH(Table1[[#This Row],[Ticker]],Industries!$A$2:$A$150,0),0)</f>
        <v>Hotels, Restaurants and Leisure</v>
      </c>
      <c r="E2536" t="s">
        <v>1565</v>
      </c>
      <c r="F2536" t="s">
        <v>1344</v>
      </c>
      <c r="G2536" t="s">
        <v>1385</v>
      </c>
      <c r="H2536" t="s">
        <v>1434</v>
      </c>
      <c r="I2536" t="s">
        <v>1434</v>
      </c>
      <c r="J2536" s="2">
        <v>45377</v>
      </c>
      <c r="K2536" t="s">
        <v>2</v>
      </c>
      <c r="L2536" t="s">
        <v>1710</v>
      </c>
      <c r="M2536" t="s">
        <v>1709</v>
      </c>
      <c r="N2536" s="1"/>
      <c r="O2536" s="1" t="s">
        <v>462</v>
      </c>
      <c r="P2536" s="1">
        <v>0.48</v>
      </c>
      <c r="R2536" t="s">
        <v>28</v>
      </c>
      <c r="S2536" t="s">
        <v>1110</v>
      </c>
      <c r="T2536" t="s">
        <v>172</v>
      </c>
    </row>
    <row r="2537" spans="1:22" x14ac:dyDescent="0.3">
      <c r="A2537" t="s">
        <v>1564</v>
      </c>
      <c r="B2537" t="str">
        <f ca="1">OFFSET(Industries!C$1,MATCH(Table1[[#This Row],[Ticker]],Industries!$A$2:$A$150,0),0)</f>
        <v>Consumer Discretionary</v>
      </c>
      <c r="C2537" t="str">
        <f ca="1">OFFSET(Industries!D$1,MATCH(Table1[[#This Row],[Ticker]],Industries!$A$2:$A$150,0),0)</f>
        <v>Consumer Services</v>
      </c>
      <c r="D2537" t="str">
        <f ca="1">OFFSET(Industries!E$1,MATCH(Table1[[#This Row],[Ticker]],Industries!$A$2:$A$150,0),0)</f>
        <v>Hotels, Restaurants and Leisure</v>
      </c>
      <c r="E2537" t="s">
        <v>1565</v>
      </c>
      <c r="F2537" t="s">
        <v>1344</v>
      </c>
      <c r="G2537" t="s">
        <v>1385</v>
      </c>
      <c r="H2537" t="s">
        <v>1434</v>
      </c>
      <c r="I2537" t="s">
        <v>1434</v>
      </c>
      <c r="J2537" s="2">
        <v>45377</v>
      </c>
      <c r="K2537" t="s">
        <v>21</v>
      </c>
      <c r="L2537" t="s">
        <v>3</v>
      </c>
      <c r="M2537" t="s">
        <v>1711</v>
      </c>
      <c r="N2537" s="1">
        <f>Table1[[#This Row],[Consideration Weight]]</f>
        <v>0.21</v>
      </c>
      <c r="O2537" s="1" t="s">
        <v>3</v>
      </c>
      <c r="P2537" s="1">
        <v>0.21</v>
      </c>
    </row>
    <row r="2538" spans="1:22" x14ac:dyDescent="0.3">
      <c r="A2538" t="s">
        <v>1564</v>
      </c>
      <c r="B2538" t="str">
        <f ca="1">OFFSET(Industries!C$1,MATCH(Table1[[#This Row],[Ticker]],Industries!$A$2:$A$150,0),0)</f>
        <v>Consumer Discretionary</v>
      </c>
      <c r="C2538" t="str">
        <f ca="1">OFFSET(Industries!D$1,MATCH(Table1[[#This Row],[Ticker]],Industries!$A$2:$A$150,0),0)</f>
        <v>Consumer Services</v>
      </c>
      <c r="D2538" t="str">
        <f ca="1">OFFSET(Industries!E$1,MATCH(Table1[[#This Row],[Ticker]],Industries!$A$2:$A$150,0),0)</f>
        <v>Hotels, Restaurants and Leisure</v>
      </c>
      <c r="E2538" t="s">
        <v>1565</v>
      </c>
      <c r="F2538" t="s">
        <v>1344</v>
      </c>
      <c r="G2538" t="s">
        <v>1385</v>
      </c>
      <c r="H2538" t="s">
        <v>1434</v>
      </c>
      <c r="I2538" t="s">
        <v>1434</v>
      </c>
      <c r="J2538" s="2">
        <v>45377</v>
      </c>
      <c r="K2538" t="s">
        <v>21</v>
      </c>
      <c r="L2538" t="s">
        <v>1708</v>
      </c>
      <c r="M2538" t="s">
        <v>1709</v>
      </c>
      <c r="N2538" s="1">
        <f>Table1[[#This Row],[Consideration Weight]]</f>
        <v>0.185</v>
      </c>
      <c r="O2538" s="1" t="s">
        <v>4</v>
      </c>
      <c r="P2538" s="1">
        <v>0.185</v>
      </c>
      <c r="Q2538" s="1" t="s">
        <v>1636</v>
      </c>
      <c r="R2538" t="s">
        <v>23</v>
      </c>
      <c r="S2538" t="s">
        <v>1083</v>
      </c>
      <c r="T2538" t="s">
        <v>1083</v>
      </c>
      <c r="U2538" s="1">
        <v>0.3</v>
      </c>
    </row>
    <row r="2539" spans="1:22" x14ac:dyDescent="0.3">
      <c r="A2539" t="s">
        <v>1564</v>
      </c>
      <c r="B2539" t="str">
        <f ca="1">OFFSET(Industries!C$1,MATCH(Table1[[#This Row],[Ticker]],Industries!$A$2:$A$150,0),0)</f>
        <v>Consumer Discretionary</v>
      </c>
      <c r="C2539" t="str">
        <f ca="1">OFFSET(Industries!D$1,MATCH(Table1[[#This Row],[Ticker]],Industries!$A$2:$A$150,0),0)</f>
        <v>Consumer Services</v>
      </c>
      <c r="D2539" t="str">
        <f ca="1">OFFSET(Industries!E$1,MATCH(Table1[[#This Row],[Ticker]],Industries!$A$2:$A$150,0),0)</f>
        <v>Hotels, Restaurants and Leisure</v>
      </c>
      <c r="E2539" t="s">
        <v>1565</v>
      </c>
      <c r="F2539" t="s">
        <v>1344</v>
      </c>
      <c r="G2539" t="s">
        <v>1385</v>
      </c>
      <c r="H2539" t="s">
        <v>1434</v>
      </c>
      <c r="I2539" t="s">
        <v>1434</v>
      </c>
      <c r="J2539" s="2">
        <v>45377</v>
      </c>
      <c r="K2539" t="s">
        <v>21</v>
      </c>
      <c r="L2539" t="s">
        <v>1708</v>
      </c>
      <c r="M2539" t="s">
        <v>1709</v>
      </c>
      <c r="N2539" s="1"/>
      <c r="O2539" s="1" t="s">
        <v>4</v>
      </c>
      <c r="P2539" s="1">
        <v>0.185</v>
      </c>
      <c r="Q2539" s="1" t="s">
        <v>1636</v>
      </c>
      <c r="R2539" t="s">
        <v>24</v>
      </c>
      <c r="S2539" t="s">
        <v>90</v>
      </c>
      <c r="T2539" t="s">
        <v>8</v>
      </c>
      <c r="U2539" s="1">
        <v>0.25</v>
      </c>
    </row>
    <row r="2540" spans="1:22" x14ac:dyDescent="0.3">
      <c r="A2540" t="s">
        <v>1564</v>
      </c>
      <c r="B2540" t="str">
        <f ca="1">OFFSET(Industries!C$1,MATCH(Table1[[#This Row],[Ticker]],Industries!$A$2:$A$150,0),0)</f>
        <v>Consumer Discretionary</v>
      </c>
      <c r="C2540" t="str">
        <f ca="1">OFFSET(Industries!D$1,MATCH(Table1[[#This Row],[Ticker]],Industries!$A$2:$A$150,0),0)</f>
        <v>Consumer Services</v>
      </c>
      <c r="D2540" t="str">
        <f ca="1">OFFSET(Industries!E$1,MATCH(Table1[[#This Row],[Ticker]],Industries!$A$2:$A$150,0),0)</f>
        <v>Hotels, Restaurants and Leisure</v>
      </c>
      <c r="E2540" t="s">
        <v>1565</v>
      </c>
      <c r="F2540" t="s">
        <v>1344</v>
      </c>
      <c r="G2540" t="s">
        <v>1385</v>
      </c>
      <c r="H2540" t="s">
        <v>1434</v>
      </c>
      <c r="I2540" t="s">
        <v>1434</v>
      </c>
      <c r="J2540" s="2">
        <v>45377</v>
      </c>
      <c r="K2540" t="s">
        <v>21</v>
      </c>
      <c r="L2540" t="s">
        <v>1708</v>
      </c>
      <c r="M2540" t="s">
        <v>1709</v>
      </c>
      <c r="N2540" s="1"/>
      <c r="O2540" s="1" t="s">
        <v>4</v>
      </c>
      <c r="P2540" s="1">
        <v>0.185</v>
      </c>
      <c r="Q2540" s="1" t="s">
        <v>1636</v>
      </c>
      <c r="R2540" t="s">
        <v>24</v>
      </c>
      <c r="S2540" t="s">
        <v>90</v>
      </c>
      <c r="T2540" t="s">
        <v>1566</v>
      </c>
      <c r="U2540" s="1">
        <v>0.25</v>
      </c>
    </row>
    <row r="2541" spans="1:22" x14ac:dyDescent="0.3">
      <c r="A2541" t="s">
        <v>1564</v>
      </c>
      <c r="B2541" t="str">
        <f ca="1">OFFSET(Industries!C$1,MATCH(Table1[[#This Row],[Ticker]],Industries!$A$2:$A$150,0),0)</f>
        <v>Consumer Discretionary</v>
      </c>
      <c r="C2541" t="str">
        <f ca="1">OFFSET(Industries!D$1,MATCH(Table1[[#This Row],[Ticker]],Industries!$A$2:$A$150,0),0)</f>
        <v>Consumer Services</v>
      </c>
      <c r="D2541" t="str">
        <f ca="1">OFFSET(Industries!E$1,MATCH(Table1[[#This Row],[Ticker]],Industries!$A$2:$A$150,0),0)</f>
        <v>Hotels, Restaurants and Leisure</v>
      </c>
      <c r="E2541" t="s">
        <v>1565</v>
      </c>
      <c r="F2541" t="s">
        <v>1344</v>
      </c>
      <c r="G2541" t="s">
        <v>1385</v>
      </c>
      <c r="H2541" t="s">
        <v>1434</v>
      </c>
      <c r="I2541" t="s">
        <v>1434</v>
      </c>
      <c r="J2541" s="2">
        <v>45377</v>
      </c>
      <c r="K2541" t="s">
        <v>21</v>
      </c>
      <c r="L2541" t="s">
        <v>1708</v>
      </c>
      <c r="M2541" t="s">
        <v>1709</v>
      </c>
      <c r="N2541" s="1"/>
      <c r="O2541" s="1" t="s">
        <v>4</v>
      </c>
      <c r="P2541" s="1">
        <v>0.185</v>
      </c>
      <c r="Q2541" s="1" t="s">
        <v>1637</v>
      </c>
      <c r="R2541" t="s">
        <v>26</v>
      </c>
      <c r="S2541" t="s">
        <v>26</v>
      </c>
      <c r="T2541" t="s">
        <v>1567</v>
      </c>
      <c r="U2541" s="1">
        <v>0.2</v>
      </c>
      <c r="V2541" t="s">
        <v>1736</v>
      </c>
    </row>
    <row r="2542" spans="1:22" x14ac:dyDescent="0.3">
      <c r="A2542" t="s">
        <v>1564</v>
      </c>
      <c r="B2542" t="str">
        <f ca="1">OFFSET(Industries!C$1,MATCH(Table1[[#This Row],[Ticker]],Industries!$A$2:$A$150,0),0)</f>
        <v>Consumer Discretionary</v>
      </c>
      <c r="C2542" t="str">
        <f ca="1">OFFSET(Industries!D$1,MATCH(Table1[[#This Row],[Ticker]],Industries!$A$2:$A$150,0),0)</f>
        <v>Consumer Services</v>
      </c>
      <c r="D2542" t="str">
        <f ca="1">OFFSET(Industries!E$1,MATCH(Table1[[#This Row],[Ticker]],Industries!$A$2:$A$150,0),0)</f>
        <v>Hotels, Restaurants and Leisure</v>
      </c>
      <c r="E2542" t="s">
        <v>1565</v>
      </c>
      <c r="F2542" t="s">
        <v>1344</v>
      </c>
      <c r="G2542" t="s">
        <v>1385</v>
      </c>
      <c r="H2542" t="s">
        <v>1434</v>
      </c>
      <c r="I2542" t="s">
        <v>1434</v>
      </c>
      <c r="J2542" s="2">
        <v>45377</v>
      </c>
      <c r="K2542" t="s">
        <v>21</v>
      </c>
      <c r="L2542" t="s">
        <v>1708</v>
      </c>
      <c r="M2542" t="s">
        <v>1709</v>
      </c>
      <c r="N2542" s="1"/>
      <c r="O2542" s="1" t="s">
        <v>4</v>
      </c>
      <c r="P2542" s="1">
        <v>0.185</v>
      </c>
      <c r="R2542" t="s">
        <v>28</v>
      </c>
      <c r="S2542" t="s">
        <v>1110</v>
      </c>
      <c r="T2542" t="s">
        <v>172</v>
      </c>
    </row>
    <row r="2543" spans="1:22" x14ac:dyDescent="0.3">
      <c r="A2543" t="s">
        <v>1564</v>
      </c>
      <c r="B2543" t="str">
        <f ca="1">OFFSET(Industries!C$1,MATCH(Table1[[#This Row],[Ticker]],Industries!$A$2:$A$150,0),0)</f>
        <v>Consumer Discretionary</v>
      </c>
      <c r="C2543" t="str">
        <f ca="1">OFFSET(Industries!D$1,MATCH(Table1[[#This Row],[Ticker]],Industries!$A$2:$A$150,0),0)</f>
        <v>Consumer Services</v>
      </c>
      <c r="D2543" t="str">
        <f ca="1">OFFSET(Industries!E$1,MATCH(Table1[[#This Row],[Ticker]],Industries!$A$2:$A$150,0),0)</f>
        <v>Hotels, Restaurants and Leisure</v>
      </c>
      <c r="E2543" t="s">
        <v>1565</v>
      </c>
      <c r="F2543" t="s">
        <v>1344</v>
      </c>
      <c r="G2543" t="s">
        <v>1385</v>
      </c>
      <c r="H2543" t="s">
        <v>1434</v>
      </c>
      <c r="I2543" t="s">
        <v>1434</v>
      </c>
      <c r="J2543" s="2">
        <v>45377</v>
      </c>
      <c r="K2543" t="s">
        <v>21</v>
      </c>
      <c r="L2543" t="s">
        <v>1708</v>
      </c>
      <c r="M2543" t="s">
        <v>1709</v>
      </c>
      <c r="N2543" s="1">
        <f>Table1[[#This Row],[Consideration Weight]]</f>
        <v>0.185</v>
      </c>
      <c r="O2543" s="1" t="s">
        <v>1571</v>
      </c>
      <c r="P2543" s="1">
        <v>0.185</v>
      </c>
    </row>
    <row r="2544" spans="1:22" x14ac:dyDescent="0.3">
      <c r="A2544" t="s">
        <v>1564</v>
      </c>
      <c r="B2544" t="str">
        <f ca="1">OFFSET(Industries!C$1,MATCH(Table1[[#This Row],[Ticker]],Industries!$A$2:$A$150,0),0)</f>
        <v>Consumer Discretionary</v>
      </c>
      <c r="C2544" t="str">
        <f ca="1">OFFSET(Industries!D$1,MATCH(Table1[[#This Row],[Ticker]],Industries!$A$2:$A$150,0),0)</f>
        <v>Consumer Services</v>
      </c>
      <c r="D2544" t="str">
        <f ca="1">OFFSET(Industries!E$1,MATCH(Table1[[#This Row],[Ticker]],Industries!$A$2:$A$150,0),0)</f>
        <v>Hotels, Restaurants and Leisure</v>
      </c>
      <c r="E2544" t="s">
        <v>1565</v>
      </c>
      <c r="F2544" t="s">
        <v>1344</v>
      </c>
      <c r="G2544" t="s">
        <v>1385</v>
      </c>
      <c r="H2544" t="s">
        <v>1434</v>
      </c>
      <c r="I2544" t="s">
        <v>1434</v>
      </c>
      <c r="J2544" s="2">
        <v>45377</v>
      </c>
      <c r="K2544" t="s">
        <v>21</v>
      </c>
      <c r="L2544" t="s">
        <v>1710</v>
      </c>
      <c r="M2544" t="s">
        <v>1709</v>
      </c>
      <c r="N2544" s="1">
        <f>Table1[[#This Row],[Consideration Weight]]</f>
        <v>0.42</v>
      </c>
      <c r="O2544" s="1" t="s">
        <v>462</v>
      </c>
      <c r="P2544" s="1">
        <v>0.42</v>
      </c>
      <c r="Q2544" s="1" t="s">
        <v>1646</v>
      </c>
      <c r="R2544" t="s">
        <v>35</v>
      </c>
      <c r="S2544" t="s">
        <v>29</v>
      </c>
      <c r="T2544" t="s">
        <v>30</v>
      </c>
      <c r="U2544" s="1">
        <v>1</v>
      </c>
    </row>
    <row r="2545" spans="1:22" x14ac:dyDescent="0.3">
      <c r="A2545" t="s">
        <v>1564</v>
      </c>
      <c r="B2545" t="str">
        <f ca="1">OFFSET(Industries!C$1,MATCH(Table1[[#This Row],[Ticker]],Industries!$A$2:$A$150,0),0)</f>
        <v>Consumer Discretionary</v>
      </c>
      <c r="C2545" t="str">
        <f ca="1">OFFSET(Industries!D$1,MATCH(Table1[[#This Row],[Ticker]],Industries!$A$2:$A$150,0),0)</f>
        <v>Consumer Services</v>
      </c>
      <c r="D2545" t="str">
        <f ca="1">OFFSET(Industries!E$1,MATCH(Table1[[#This Row],[Ticker]],Industries!$A$2:$A$150,0),0)</f>
        <v>Hotels, Restaurants and Leisure</v>
      </c>
      <c r="E2545" t="s">
        <v>1565</v>
      </c>
      <c r="F2545" t="s">
        <v>1344</v>
      </c>
      <c r="G2545" t="s">
        <v>1385</v>
      </c>
      <c r="H2545" t="s">
        <v>1434</v>
      </c>
      <c r="I2545" t="s">
        <v>1434</v>
      </c>
      <c r="J2545" s="2">
        <v>45377</v>
      </c>
      <c r="K2545" t="s">
        <v>21</v>
      </c>
      <c r="L2545" t="s">
        <v>1710</v>
      </c>
      <c r="M2545" t="s">
        <v>1709</v>
      </c>
      <c r="N2545" s="1"/>
      <c r="O2545" s="1" t="s">
        <v>462</v>
      </c>
      <c r="P2545" s="1">
        <v>0.42</v>
      </c>
      <c r="R2545" t="s">
        <v>28</v>
      </c>
      <c r="S2545" t="s">
        <v>1110</v>
      </c>
      <c r="T2545" t="s">
        <v>172</v>
      </c>
      <c r="V2545" t="s">
        <v>1577</v>
      </c>
    </row>
    <row r="2546" spans="1:22" x14ac:dyDescent="0.3">
      <c r="A2546" t="s">
        <v>1573</v>
      </c>
      <c r="B2546" t="str">
        <f ca="1">OFFSET(Industries!C$1,MATCH(Table1[[#This Row],[Ticker]],Industries!$A$2:$A$150,0),0)</f>
        <v>Industrials</v>
      </c>
      <c r="C2546" t="str">
        <f ca="1">OFFSET(Industries!D$1,MATCH(Table1[[#This Row],[Ticker]],Industries!$A$2:$A$150,0),0)</f>
        <v>Capital Goods</v>
      </c>
      <c r="D2546" t="str">
        <f ca="1">OFFSET(Industries!E$1,MATCH(Table1[[#This Row],[Ticker]],Industries!$A$2:$A$150,0),0)</f>
        <v>Aerospace and Defense</v>
      </c>
      <c r="E2546" t="s">
        <v>116</v>
      </c>
      <c r="F2546" t="s">
        <v>1344</v>
      </c>
      <c r="G2546" t="s">
        <v>1382</v>
      </c>
      <c r="H2546" t="s">
        <v>1441</v>
      </c>
      <c r="I2546" t="s">
        <v>1439</v>
      </c>
      <c r="J2546" s="2">
        <v>45343</v>
      </c>
      <c r="K2546" t="s">
        <v>2</v>
      </c>
      <c r="L2546" t="s">
        <v>3</v>
      </c>
      <c r="M2546" t="s">
        <v>1711</v>
      </c>
      <c r="N2546" s="1">
        <f>Table1[[#This Row],[Consideration Weight]]</f>
        <v>0.25</v>
      </c>
      <c r="O2546" s="1" t="s">
        <v>3</v>
      </c>
      <c r="P2546" s="1">
        <v>0.25</v>
      </c>
    </row>
    <row r="2547" spans="1:22" x14ac:dyDescent="0.3">
      <c r="A2547" t="s">
        <v>1573</v>
      </c>
      <c r="B2547" t="str">
        <f ca="1">OFFSET(Industries!C$1,MATCH(Table1[[#This Row],[Ticker]],Industries!$A$2:$A$150,0),0)</f>
        <v>Industrials</v>
      </c>
      <c r="C2547" t="str">
        <f ca="1">OFFSET(Industries!D$1,MATCH(Table1[[#This Row],[Ticker]],Industries!$A$2:$A$150,0),0)</f>
        <v>Capital Goods</v>
      </c>
      <c r="D2547" t="str">
        <f ca="1">OFFSET(Industries!E$1,MATCH(Table1[[#This Row],[Ticker]],Industries!$A$2:$A$150,0),0)</f>
        <v>Aerospace and Defense</v>
      </c>
      <c r="E2547" t="s">
        <v>116</v>
      </c>
      <c r="F2547" t="s">
        <v>1344</v>
      </c>
      <c r="G2547" t="s">
        <v>1382</v>
      </c>
      <c r="H2547" t="s">
        <v>1441</v>
      </c>
      <c r="I2547" t="s">
        <v>1439</v>
      </c>
      <c r="J2547" s="2">
        <v>45343</v>
      </c>
      <c r="K2547" t="s">
        <v>2</v>
      </c>
      <c r="L2547" t="s">
        <v>1708</v>
      </c>
      <c r="M2547" t="s">
        <v>1709</v>
      </c>
      <c r="N2547" s="1">
        <f>Table1[[#This Row],[Consideration Weight]]</f>
        <v>0.18666666666666668</v>
      </c>
      <c r="O2547" s="1" t="s">
        <v>4</v>
      </c>
      <c r="P2547" s="1">
        <f>0.28*2/3</f>
        <v>0.18666666666666668</v>
      </c>
      <c r="Q2547" s="1" t="s">
        <v>1636</v>
      </c>
      <c r="R2547" t="s">
        <v>24</v>
      </c>
      <c r="S2547" t="s">
        <v>1089</v>
      </c>
      <c r="T2547" t="s">
        <v>50</v>
      </c>
      <c r="U2547" s="1">
        <v>0.45</v>
      </c>
    </row>
    <row r="2548" spans="1:22" x14ac:dyDescent="0.3">
      <c r="A2548" t="s">
        <v>1573</v>
      </c>
      <c r="B2548" t="str">
        <f ca="1">OFFSET(Industries!C$1,MATCH(Table1[[#This Row],[Ticker]],Industries!$A$2:$A$150,0),0)</f>
        <v>Industrials</v>
      </c>
      <c r="C2548" t="str">
        <f ca="1">OFFSET(Industries!D$1,MATCH(Table1[[#This Row],[Ticker]],Industries!$A$2:$A$150,0),0)</f>
        <v>Capital Goods</v>
      </c>
      <c r="D2548" t="str">
        <f ca="1">OFFSET(Industries!E$1,MATCH(Table1[[#This Row],[Ticker]],Industries!$A$2:$A$150,0),0)</f>
        <v>Aerospace and Defense</v>
      </c>
      <c r="E2548" t="s">
        <v>116</v>
      </c>
      <c r="F2548" t="s">
        <v>1344</v>
      </c>
      <c r="G2548" t="s">
        <v>1382</v>
      </c>
      <c r="H2548" t="s">
        <v>1441</v>
      </c>
      <c r="I2548" t="s">
        <v>1439</v>
      </c>
      <c r="J2548" s="2">
        <v>45343</v>
      </c>
      <c r="K2548" t="s">
        <v>2</v>
      </c>
      <c r="L2548" t="s">
        <v>1708</v>
      </c>
      <c r="M2548" t="s">
        <v>1709</v>
      </c>
      <c r="N2548" s="1"/>
      <c r="O2548" s="1" t="s">
        <v>4</v>
      </c>
      <c r="P2548" s="1">
        <f>0.28*2/3</f>
        <v>0.18666666666666668</v>
      </c>
      <c r="Q2548" s="1" t="s">
        <v>1637</v>
      </c>
      <c r="R2548" t="s">
        <v>332</v>
      </c>
      <c r="S2548" t="s">
        <v>380</v>
      </c>
      <c r="T2548" t="s">
        <v>380</v>
      </c>
      <c r="U2548" s="1">
        <v>0.25</v>
      </c>
    </row>
    <row r="2549" spans="1:22" x14ac:dyDescent="0.3">
      <c r="A2549" t="s">
        <v>1573</v>
      </c>
      <c r="B2549" t="str">
        <f ca="1">OFFSET(Industries!C$1,MATCH(Table1[[#This Row],[Ticker]],Industries!$A$2:$A$150,0),0)</f>
        <v>Industrials</v>
      </c>
      <c r="C2549" t="str">
        <f ca="1">OFFSET(Industries!D$1,MATCH(Table1[[#This Row],[Ticker]],Industries!$A$2:$A$150,0),0)</f>
        <v>Capital Goods</v>
      </c>
      <c r="D2549" t="str">
        <f ca="1">OFFSET(Industries!E$1,MATCH(Table1[[#This Row],[Ticker]],Industries!$A$2:$A$150,0),0)</f>
        <v>Aerospace and Defense</v>
      </c>
      <c r="E2549" t="s">
        <v>116</v>
      </c>
      <c r="F2549" t="s">
        <v>1344</v>
      </c>
      <c r="G2549" t="s">
        <v>1382</v>
      </c>
      <c r="H2549" t="s">
        <v>1441</v>
      </c>
      <c r="I2549" t="s">
        <v>1439</v>
      </c>
      <c r="J2549" s="2">
        <v>45343</v>
      </c>
      <c r="K2549" t="s">
        <v>2</v>
      </c>
      <c r="L2549" t="s">
        <v>1708</v>
      </c>
      <c r="M2549" t="s">
        <v>1709</v>
      </c>
      <c r="N2549" s="1"/>
      <c r="O2549" s="1" t="s">
        <v>4</v>
      </c>
      <c r="P2549" s="1">
        <f t="shared" ref="P2549:P2552" si="63">0.28*2/3</f>
        <v>0.18666666666666668</v>
      </c>
      <c r="Q2549" s="1" t="s">
        <v>1636</v>
      </c>
      <c r="R2549" t="s">
        <v>62</v>
      </c>
      <c r="S2549" t="s">
        <v>129</v>
      </c>
      <c r="T2549" t="s">
        <v>129</v>
      </c>
      <c r="U2549" s="1">
        <v>0.22500000000000001</v>
      </c>
    </row>
    <row r="2550" spans="1:22" x14ac:dyDescent="0.3">
      <c r="A2550" t="s">
        <v>1573</v>
      </c>
      <c r="B2550" t="str">
        <f ca="1">OFFSET(Industries!C$1,MATCH(Table1[[#This Row],[Ticker]],Industries!$A$2:$A$150,0),0)</f>
        <v>Industrials</v>
      </c>
      <c r="C2550" t="str">
        <f ca="1">OFFSET(Industries!D$1,MATCH(Table1[[#This Row],[Ticker]],Industries!$A$2:$A$150,0),0)</f>
        <v>Capital Goods</v>
      </c>
      <c r="D2550" t="str">
        <f ca="1">OFFSET(Industries!E$1,MATCH(Table1[[#This Row],[Ticker]],Industries!$A$2:$A$150,0),0)</f>
        <v>Aerospace and Defense</v>
      </c>
      <c r="E2550" t="s">
        <v>116</v>
      </c>
      <c r="F2550" t="s">
        <v>1344</v>
      </c>
      <c r="G2550" t="s">
        <v>1382</v>
      </c>
      <c r="H2550" t="s">
        <v>1441</v>
      </c>
      <c r="I2550" t="s">
        <v>1439</v>
      </c>
      <c r="J2550" s="2">
        <v>45343</v>
      </c>
      <c r="K2550" t="s">
        <v>2</v>
      </c>
      <c r="L2550" t="s">
        <v>1708</v>
      </c>
      <c r="M2550" t="s">
        <v>1709</v>
      </c>
      <c r="N2550" s="1"/>
      <c r="O2550" s="1" t="s">
        <v>4</v>
      </c>
      <c r="P2550" s="1">
        <f t="shared" si="63"/>
        <v>0.18666666666666668</v>
      </c>
      <c r="Q2550" s="1" t="s">
        <v>1636</v>
      </c>
      <c r="R2550" t="s">
        <v>23</v>
      </c>
      <c r="S2550" t="s">
        <v>1086</v>
      </c>
      <c r="T2550" t="s">
        <v>1574</v>
      </c>
      <c r="U2550" s="1">
        <v>7.4999999999999997E-2</v>
      </c>
      <c r="V2550" t="s">
        <v>1579</v>
      </c>
    </row>
    <row r="2551" spans="1:22" x14ac:dyDescent="0.3">
      <c r="A2551" t="s">
        <v>1573</v>
      </c>
      <c r="B2551" t="str">
        <f ca="1">OFFSET(Industries!C$1,MATCH(Table1[[#This Row],[Ticker]],Industries!$A$2:$A$150,0),0)</f>
        <v>Industrials</v>
      </c>
      <c r="C2551" t="str">
        <f ca="1">OFFSET(Industries!D$1,MATCH(Table1[[#This Row],[Ticker]],Industries!$A$2:$A$150,0),0)</f>
        <v>Capital Goods</v>
      </c>
      <c r="D2551" t="str">
        <f ca="1">OFFSET(Industries!E$1,MATCH(Table1[[#This Row],[Ticker]],Industries!$A$2:$A$150,0),0)</f>
        <v>Aerospace and Defense</v>
      </c>
      <c r="E2551" t="s">
        <v>116</v>
      </c>
      <c r="F2551" t="s">
        <v>1344</v>
      </c>
      <c r="G2551" t="s">
        <v>1382</v>
      </c>
      <c r="H2551" t="s">
        <v>1441</v>
      </c>
      <c r="I2551" t="s">
        <v>1439</v>
      </c>
      <c r="J2551" s="2">
        <v>45343</v>
      </c>
      <c r="K2551" t="s">
        <v>2</v>
      </c>
      <c r="L2551" t="s">
        <v>1708</v>
      </c>
      <c r="M2551" t="s">
        <v>1709</v>
      </c>
      <c r="N2551" s="1"/>
      <c r="O2551" s="1" t="s">
        <v>4</v>
      </c>
      <c r="P2551" s="1">
        <f t="shared" si="63"/>
        <v>0.18666666666666668</v>
      </c>
      <c r="R2551" t="s">
        <v>28</v>
      </c>
      <c r="S2551" t="s">
        <v>1093</v>
      </c>
      <c r="T2551" t="s">
        <v>1575</v>
      </c>
      <c r="V2551" t="s">
        <v>1576</v>
      </c>
    </row>
    <row r="2552" spans="1:22" x14ac:dyDescent="0.3">
      <c r="A2552" t="s">
        <v>1573</v>
      </c>
      <c r="B2552" t="str">
        <f ca="1">OFFSET(Industries!C$1,MATCH(Table1[[#This Row],[Ticker]],Industries!$A$2:$A$150,0),0)</f>
        <v>Industrials</v>
      </c>
      <c r="C2552" t="str">
        <f ca="1">OFFSET(Industries!D$1,MATCH(Table1[[#This Row],[Ticker]],Industries!$A$2:$A$150,0),0)</f>
        <v>Capital Goods</v>
      </c>
      <c r="D2552" t="str">
        <f ca="1">OFFSET(Industries!E$1,MATCH(Table1[[#This Row],[Ticker]],Industries!$A$2:$A$150,0),0)</f>
        <v>Aerospace and Defense</v>
      </c>
      <c r="E2552" t="s">
        <v>116</v>
      </c>
      <c r="F2552" t="s">
        <v>1344</v>
      </c>
      <c r="G2552" t="s">
        <v>1382</v>
      </c>
      <c r="H2552" t="s">
        <v>1441</v>
      </c>
      <c r="I2552" t="s">
        <v>1439</v>
      </c>
      <c r="J2552" s="2">
        <v>45343</v>
      </c>
      <c r="K2552" t="s">
        <v>2</v>
      </c>
      <c r="L2552" t="s">
        <v>1708</v>
      </c>
      <c r="M2552" t="s">
        <v>1709</v>
      </c>
      <c r="N2552" s="1"/>
      <c r="O2552" s="1" t="s">
        <v>4</v>
      </c>
      <c r="P2552" s="1">
        <f t="shared" si="63"/>
        <v>0.18666666666666668</v>
      </c>
      <c r="R2552" t="s">
        <v>28</v>
      </c>
      <c r="S2552" t="s">
        <v>1110</v>
      </c>
      <c r="T2552" t="s">
        <v>172</v>
      </c>
      <c r="V2552" t="s">
        <v>1451</v>
      </c>
    </row>
    <row r="2553" spans="1:22" x14ac:dyDescent="0.3">
      <c r="A2553" t="s">
        <v>1573</v>
      </c>
      <c r="B2553" t="str">
        <f ca="1">OFFSET(Industries!C$1,MATCH(Table1[[#This Row],[Ticker]],Industries!$A$2:$A$150,0),0)</f>
        <v>Industrials</v>
      </c>
      <c r="C2553" t="str">
        <f ca="1">OFFSET(Industries!D$1,MATCH(Table1[[#This Row],[Ticker]],Industries!$A$2:$A$150,0),0)</f>
        <v>Capital Goods</v>
      </c>
      <c r="D2553" t="str">
        <f ca="1">OFFSET(Industries!E$1,MATCH(Table1[[#This Row],[Ticker]],Industries!$A$2:$A$150,0),0)</f>
        <v>Aerospace and Defense</v>
      </c>
      <c r="E2553" t="s">
        <v>116</v>
      </c>
      <c r="F2553" t="s">
        <v>1344</v>
      </c>
      <c r="G2553" t="s">
        <v>1382</v>
      </c>
      <c r="H2553" t="s">
        <v>1441</v>
      </c>
      <c r="I2553" t="s">
        <v>1439</v>
      </c>
      <c r="J2553" s="2">
        <v>45343</v>
      </c>
      <c r="K2553" t="s">
        <v>2</v>
      </c>
      <c r="L2553" t="s">
        <v>1708</v>
      </c>
      <c r="M2553" t="s">
        <v>1709</v>
      </c>
      <c r="N2553" s="1">
        <f>Table1[[#This Row],[Consideration Weight]]</f>
        <v>9.3333333333333338E-2</v>
      </c>
      <c r="O2553" s="1" t="s">
        <v>862</v>
      </c>
      <c r="P2553" s="1">
        <f>0.28/3</f>
        <v>9.3333333333333338E-2</v>
      </c>
      <c r="V2553" t="s">
        <v>1737</v>
      </c>
    </row>
    <row r="2554" spans="1:22" x14ac:dyDescent="0.3">
      <c r="A2554" t="s">
        <v>1573</v>
      </c>
      <c r="B2554" t="str">
        <f ca="1">OFFSET(Industries!C$1,MATCH(Table1[[#This Row],[Ticker]],Industries!$A$2:$A$150,0),0)</f>
        <v>Industrials</v>
      </c>
      <c r="C2554" t="str">
        <f ca="1">OFFSET(Industries!D$1,MATCH(Table1[[#This Row],[Ticker]],Industries!$A$2:$A$150,0),0)</f>
        <v>Capital Goods</v>
      </c>
      <c r="D2554" t="str">
        <f ca="1">OFFSET(Industries!E$1,MATCH(Table1[[#This Row],[Ticker]],Industries!$A$2:$A$150,0),0)</f>
        <v>Aerospace and Defense</v>
      </c>
      <c r="E2554" t="s">
        <v>116</v>
      </c>
      <c r="F2554" t="s">
        <v>1344</v>
      </c>
      <c r="G2554" t="s">
        <v>1382</v>
      </c>
      <c r="H2554" t="s">
        <v>1441</v>
      </c>
      <c r="I2554" t="s">
        <v>1439</v>
      </c>
      <c r="J2554" s="2">
        <v>45343</v>
      </c>
      <c r="K2554" t="s">
        <v>2</v>
      </c>
      <c r="L2554" t="s">
        <v>1710</v>
      </c>
      <c r="M2554" t="s">
        <v>1709</v>
      </c>
      <c r="N2554" s="1">
        <f>Table1[[#This Row],[Consideration Weight]]</f>
        <v>0.47</v>
      </c>
      <c r="O2554" s="1" t="s">
        <v>476</v>
      </c>
      <c r="P2554" s="1">
        <v>0.47</v>
      </c>
      <c r="Q2554" s="1" t="s">
        <v>1636</v>
      </c>
      <c r="R2554" t="s">
        <v>24</v>
      </c>
      <c r="S2554" t="s">
        <v>1089</v>
      </c>
      <c r="T2554" t="s">
        <v>406</v>
      </c>
      <c r="U2554" s="1">
        <v>0.3</v>
      </c>
      <c r="V2554" t="s">
        <v>231</v>
      </c>
    </row>
    <row r="2555" spans="1:22" x14ac:dyDescent="0.3">
      <c r="A2555" t="s">
        <v>1573</v>
      </c>
      <c r="B2555" t="str">
        <f ca="1">OFFSET(Industries!C$1,MATCH(Table1[[#This Row],[Ticker]],Industries!$A$2:$A$150,0),0)</f>
        <v>Industrials</v>
      </c>
      <c r="C2555" t="str">
        <f ca="1">OFFSET(Industries!D$1,MATCH(Table1[[#This Row],[Ticker]],Industries!$A$2:$A$150,0),0)</f>
        <v>Capital Goods</v>
      </c>
      <c r="D2555" t="str">
        <f ca="1">OFFSET(Industries!E$1,MATCH(Table1[[#This Row],[Ticker]],Industries!$A$2:$A$150,0),0)</f>
        <v>Aerospace and Defense</v>
      </c>
      <c r="E2555" t="s">
        <v>116</v>
      </c>
      <c r="F2555" t="s">
        <v>1344</v>
      </c>
      <c r="G2555" t="s">
        <v>1382</v>
      </c>
      <c r="H2555" t="s">
        <v>1441</v>
      </c>
      <c r="I2555" t="s">
        <v>1439</v>
      </c>
      <c r="J2555" s="2">
        <v>45343</v>
      </c>
      <c r="K2555" t="s">
        <v>2</v>
      </c>
      <c r="L2555" t="s">
        <v>1710</v>
      </c>
      <c r="M2555" t="s">
        <v>1709</v>
      </c>
      <c r="N2555" s="1"/>
      <c r="O2555" s="1" t="s">
        <v>476</v>
      </c>
      <c r="P2555" s="1">
        <v>0.47</v>
      </c>
      <c r="Q2555" s="1" t="s">
        <v>1636</v>
      </c>
      <c r="R2555" t="s">
        <v>62</v>
      </c>
      <c r="S2555" t="s">
        <v>129</v>
      </c>
      <c r="T2555" t="s">
        <v>611</v>
      </c>
      <c r="U2555" s="1">
        <v>0.3</v>
      </c>
    </row>
    <row r="2556" spans="1:22" x14ac:dyDescent="0.3">
      <c r="A2556" t="s">
        <v>1573</v>
      </c>
      <c r="B2556" t="str">
        <f ca="1">OFFSET(Industries!C$1,MATCH(Table1[[#This Row],[Ticker]],Industries!$A$2:$A$150,0),0)</f>
        <v>Industrials</v>
      </c>
      <c r="C2556" t="str">
        <f ca="1">OFFSET(Industries!D$1,MATCH(Table1[[#This Row],[Ticker]],Industries!$A$2:$A$150,0),0)</f>
        <v>Capital Goods</v>
      </c>
      <c r="D2556" t="str">
        <f ca="1">OFFSET(Industries!E$1,MATCH(Table1[[#This Row],[Ticker]],Industries!$A$2:$A$150,0),0)</f>
        <v>Aerospace and Defense</v>
      </c>
      <c r="E2556" t="s">
        <v>116</v>
      </c>
      <c r="F2556" t="s">
        <v>1344</v>
      </c>
      <c r="G2556" t="s">
        <v>1382</v>
      </c>
      <c r="H2556" t="s">
        <v>1441</v>
      </c>
      <c r="I2556" t="s">
        <v>1439</v>
      </c>
      <c r="J2556" s="2">
        <v>45343</v>
      </c>
      <c r="K2556" t="s">
        <v>2</v>
      </c>
      <c r="L2556" t="s">
        <v>1710</v>
      </c>
      <c r="M2556" t="s">
        <v>1709</v>
      </c>
      <c r="N2556" s="1"/>
      <c r="O2556" s="1" t="s">
        <v>476</v>
      </c>
      <c r="P2556" s="1">
        <v>0.47</v>
      </c>
      <c r="Q2556" s="1" t="s">
        <v>1636</v>
      </c>
      <c r="R2556" t="s">
        <v>1059</v>
      </c>
      <c r="S2556" t="s">
        <v>1119</v>
      </c>
      <c r="T2556" t="s">
        <v>1580</v>
      </c>
      <c r="U2556" s="1">
        <v>0.15</v>
      </c>
    </row>
    <row r="2557" spans="1:22" x14ac:dyDescent="0.3">
      <c r="A2557" t="s">
        <v>1573</v>
      </c>
      <c r="B2557" t="str">
        <f ca="1">OFFSET(Industries!C$1,MATCH(Table1[[#This Row],[Ticker]],Industries!$A$2:$A$150,0),0)</f>
        <v>Industrials</v>
      </c>
      <c r="C2557" t="str">
        <f ca="1">OFFSET(Industries!D$1,MATCH(Table1[[#This Row],[Ticker]],Industries!$A$2:$A$150,0),0)</f>
        <v>Capital Goods</v>
      </c>
      <c r="D2557" t="str">
        <f ca="1">OFFSET(Industries!E$1,MATCH(Table1[[#This Row],[Ticker]],Industries!$A$2:$A$150,0),0)</f>
        <v>Aerospace and Defense</v>
      </c>
      <c r="E2557" t="s">
        <v>116</v>
      </c>
      <c r="F2557" t="s">
        <v>1344</v>
      </c>
      <c r="G2557" t="s">
        <v>1382</v>
      </c>
      <c r="H2557" t="s">
        <v>1441</v>
      </c>
      <c r="I2557" t="s">
        <v>1439</v>
      </c>
      <c r="J2557" s="2">
        <v>45343</v>
      </c>
      <c r="K2557" t="s">
        <v>2</v>
      </c>
      <c r="L2557" t="s">
        <v>1710</v>
      </c>
      <c r="M2557" t="s">
        <v>1709</v>
      </c>
      <c r="N2557" s="1"/>
      <c r="O2557" s="1" t="s">
        <v>476</v>
      </c>
      <c r="P2557" s="1">
        <v>0.47</v>
      </c>
      <c r="Q2557" s="1" t="s">
        <v>1646</v>
      </c>
      <c r="R2557" t="s">
        <v>35</v>
      </c>
      <c r="S2557" t="s">
        <v>29</v>
      </c>
      <c r="T2557" t="s">
        <v>30</v>
      </c>
      <c r="U2557" s="1">
        <v>0.15</v>
      </c>
      <c r="V2557" t="s">
        <v>1451</v>
      </c>
    </row>
    <row r="2558" spans="1:22" x14ac:dyDescent="0.3">
      <c r="A2558" t="s">
        <v>1573</v>
      </c>
      <c r="B2558" t="str">
        <f ca="1">OFFSET(Industries!C$1,MATCH(Table1[[#This Row],[Ticker]],Industries!$A$2:$A$150,0),0)</f>
        <v>Industrials</v>
      </c>
      <c r="C2558" t="str">
        <f ca="1">OFFSET(Industries!D$1,MATCH(Table1[[#This Row],[Ticker]],Industries!$A$2:$A$150,0),0)</f>
        <v>Capital Goods</v>
      </c>
      <c r="D2558" t="str">
        <f ca="1">OFFSET(Industries!E$1,MATCH(Table1[[#This Row],[Ticker]],Industries!$A$2:$A$150,0),0)</f>
        <v>Aerospace and Defense</v>
      </c>
      <c r="E2558" t="s">
        <v>116</v>
      </c>
      <c r="F2558" t="s">
        <v>1344</v>
      </c>
      <c r="G2558" t="s">
        <v>1382</v>
      </c>
      <c r="H2558" t="s">
        <v>1441</v>
      </c>
      <c r="I2558" t="s">
        <v>1439</v>
      </c>
      <c r="J2558" s="2">
        <v>45343</v>
      </c>
      <c r="K2558" t="s">
        <v>2</v>
      </c>
      <c r="L2558" t="s">
        <v>1710</v>
      </c>
      <c r="M2558" t="s">
        <v>1709</v>
      </c>
      <c r="N2558" s="1"/>
      <c r="O2558" s="1" t="s">
        <v>476</v>
      </c>
      <c r="P2558" s="1">
        <v>0.47</v>
      </c>
      <c r="Q2558" s="1" t="s">
        <v>1637</v>
      </c>
      <c r="R2558" t="s">
        <v>26</v>
      </c>
      <c r="S2558" t="s">
        <v>26</v>
      </c>
      <c r="T2558" t="s">
        <v>1581</v>
      </c>
      <c r="U2558" s="1">
        <v>0.1</v>
      </c>
    </row>
    <row r="2559" spans="1:22" x14ac:dyDescent="0.3">
      <c r="A2559" t="s">
        <v>1573</v>
      </c>
      <c r="B2559" t="str">
        <f ca="1">OFFSET(Industries!C$1,MATCH(Table1[[#This Row],[Ticker]],Industries!$A$2:$A$150,0),0)</f>
        <v>Industrials</v>
      </c>
      <c r="C2559" t="str">
        <f ca="1">OFFSET(Industries!D$1,MATCH(Table1[[#This Row],[Ticker]],Industries!$A$2:$A$150,0),0)</f>
        <v>Capital Goods</v>
      </c>
      <c r="D2559" t="str">
        <f ca="1">OFFSET(Industries!E$1,MATCH(Table1[[#This Row],[Ticker]],Industries!$A$2:$A$150,0),0)</f>
        <v>Aerospace and Defense</v>
      </c>
      <c r="E2559" t="s">
        <v>116</v>
      </c>
      <c r="F2559" t="s">
        <v>1344</v>
      </c>
      <c r="G2559" t="s">
        <v>1382</v>
      </c>
      <c r="H2559" t="s">
        <v>1441</v>
      </c>
      <c r="I2559" t="s">
        <v>1439</v>
      </c>
      <c r="J2559" s="2">
        <v>45343</v>
      </c>
      <c r="K2559" t="s">
        <v>2</v>
      </c>
      <c r="L2559" t="s">
        <v>1710</v>
      </c>
      <c r="M2559" t="s">
        <v>1709</v>
      </c>
      <c r="N2559" s="1"/>
      <c r="O2559" s="1" t="s">
        <v>476</v>
      </c>
      <c r="P2559" s="1">
        <v>0.47</v>
      </c>
      <c r="R2559" t="s">
        <v>28</v>
      </c>
      <c r="S2559" t="s">
        <v>1110</v>
      </c>
      <c r="T2559" t="s">
        <v>172</v>
      </c>
      <c r="V2559" t="s">
        <v>1583</v>
      </c>
    </row>
    <row r="2560" spans="1:22" x14ac:dyDescent="0.3">
      <c r="A2560" t="s">
        <v>1573</v>
      </c>
      <c r="B2560" t="str">
        <f ca="1">OFFSET(Industries!C$1,MATCH(Table1[[#This Row],[Ticker]],Industries!$A$2:$A$150,0),0)</f>
        <v>Industrials</v>
      </c>
      <c r="C2560" t="str">
        <f ca="1">OFFSET(Industries!D$1,MATCH(Table1[[#This Row],[Ticker]],Industries!$A$2:$A$150,0),0)</f>
        <v>Capital Goods</v>
      </c>
      <c r="D2560" t="str">
        <f ca="1">OFFSET(Industries!E$1,MATCH(Table1[[#This Row],[Ticker]],Industries!$A$2:$A$150,0),0)</f>
        <v>Aerospace and Defense</v>
      </c>
      <c r="E2560" t="s">
        <v>116</v>
      </c>
      <c r="F2560" t="s">
        <v>1344</v>
      </c>
      <c r="G2560" t="s">
        <v>1382</v>
      </c>
      <c r="H2560" t="s">
        <v>1441</v>
      </c>
      <c r="I2560" t="s">
        <v>1439</v>
      </c>
      <c r="J2560" s="2">
        <v>45343</v>
      </c>
      <c r="K2560" t="s">
        <v>21</v>
      </c>
      <c r="L2560" t="s">
        <v>3</v>
      </c>
      <c r="M2560" t="s">
        <v>1711</v>
      </c>
      <c r="N2560" s="1">
        <f>Table1[[#This Row],[Consideration Weight]]</f>
        <v>0.22</v>
      </c>
      <c r="O2560" s="1" t="s">
        <v>3</v>
      </c>
      <c r="P2560" s="1">
        <v>0.22</v>
      </c>
      <c r="V2560" t="s">
        <v>1584</v>
      </c>
    </row>
    <row r="2561" spans="1:22" x14ac:dyDescent="0.3">
      <c r="A2561" t="s">
        <v>1573</v>
      </c>
      <c r="B2561" t="str">
        <f ca="1">OFFSET(Industries!C$1,MATCH(Table1[[#This Row],[Ticker]],Industries!$A$2:$A$150,0),0)</f>
        <v>Industrials</v>
      </c>
      <c r="C2561" t="str">
        <f ca="1">OFFSET(Industries!D$1,MATCH(Table1[[#This Row],[Ticker]],Industries!$A$2:$A$150,0),0)</f>
        <v>Capital Goods</v>
      </c>
      <c r="D2561" t="str">
        <f ca="1">OFFSET(Industries!E$1,MATCH(Table1[[#This Row],[Ticker]],Industries!$A$2:$A$150,0),0)</f>
        <v>Aerospace and Defense</v>
      </c>
      <c r="E2561" t="s">
        <v>116</v>
      </c>
      <c r="F2561" t="s">
        <v>1344</v>
      </c>
      <c r="G2561" t="s">
        <v>1382</v>
      </c>
      <c r="H2561" t="s">
        <v>1441</v>
      </c>
      <c r="I2561" t="s">
        <v>1439</v>
      </c>
      <c r="J2561" s="2">
        <v>45343</v>
      </c>
      <c r="K2561" t="s">
        <v>21</v>
      </c>
      <c r="L2561" t="s">
        <v>1708</v>
      </c>
      <c r="M2561" t="s">
        <v>1709</v>
      </c>
      <c r="N2561" s="1">
        <f>Table1[[#This Row],[Consideration Weight]]</f>
        <v>0.15333333333333335</v>
      </c>
      <c r="O2561" s="1" t="s">
        <v>4</v>
      </c>
      <c r="P2561" s="1">
        <f>0.23*2/3</f>
        <v>0.15333333333333335</v>
      </c>
      <c r="Q2561" s="1" t="s">
        <v>1636</v>
      </c>
      <c r="R2561" t="s">
        <v>24</v>
      </c>
      <c r="S2561" t="s">
        <v>1089</v>
      </c>
      <c r="T2561" t="s">
        <v>50</v>
      </c>
      <c r="U2561" s="1">
        <v>0.3</v>
      </c>
    </row>
    <row r="2562" spans="1:22" x14ac:dyDescent="0.3">
      <c r="A2562" t="s">
        <v>1573</v>
      </c>
      <c r="B2562" t="str">
        <f ca="1">OFFSET(Industries!C$1,MATCH(Table1[[#This Row],[Ticker]],Industries!$A$2:$A$150,0),0)</f>
        <v>Industrials</v>
      </c>
      <c r="C2562" t="str">
        <f ca="1">OFFSET(Industries!D$1,MATCH(Table1[[#This Row],[Ticker]],Industries!$A$2:$A$150,0),0)</f>
        <v>Capital Goods</v>
      </c>
      <c r="D2562" t="str">
        <f ca="1">OFFSET(Industries!E$1,MATCH(Table1[[#This Row],[Ticker]],Industries!$A$2:$A$150,0),0)</f>
        <v>Aerospace and Defense</v>
      </c>
      <c r="E2562" t="s">
        <v>116</v>
      </c>
      <c r="F2562" t="s">
        <v>1344</v>
      </c>
      <c r="G2562" t="s">
        <v>1382</v>
      </c>
      <c r="H2562" t="s">
        <v>1441</v>
      </c>
      <c r="I2562" t="s">
        <v>1439</v>
      </c>
      <c r="J2562" s="2">
        <v>45343</v>
      </c>
      <c r="K2562" t="s">
        <v>21</v>
      </c>
      <c r="L2562" t="s">
        <v>1708</v>
      </c>
      <c r="M2562" t="s">
        <v>1709</v>
      </c>
      <c r="N2562" s="1"/>
      <c r="O2562" s="1" t="s">
        <v>4</v>
      </c>
      <c r="P2562" s="1">
        <f>0.23*2/3</f>
        <v>0.15333333333333335</v>
      </c>
      <c r="Q2562" s="1" t="s">
        <v>1636</v>
      </c>
      <c r="R2562" t="s">
        <v>24</v>
      </c>
      <c r="S2562" t="s">
        <v>90</v>
      </c>
      <c r="T2562" t="s">
        <v>1587</v>
      </c>
      <c r="U2562" s="1">
        <v>0.15</v>
      </c>
    </row>
    <row r="2563" spans="1:22" x14ac:dyDescent="0.3">
      <c r="A2563" t="s">
        <v>1573</v>
      </c>
      <c r="B2563" t="str">
        <f ca="1">OFFSET(Industries!C$1,MATCH(Table1[[#This Row],[Ticker]],Industries!$A$2:$A$150,0),0)</f>
        <v>Industrials</v>
      </c>
      <c r="C2563" t="str">
        <f ca="1">OFFSET(Industries!D$1,MATCH(Table1[[#This Row],[Ticker]],Industries!$A$2:$A$150,0),0)</f>
        <v>Capital Goods</v>
      </c>
      <c r="D2563" t="str">
        <f ca="1">OFFSET(Industries!E$1,MATCH(Table1[[#This Row],[Ticker]],Industries!$A$2:$A$150,0),0)</f>
        <v>Aerospace and Defense</v>
      </c>
      <c r="E2563" t="s">
        <v>116</v>
      </c>
      <c r="F2563" t="s">
        <v>1344</v>
      </c>
      <c r="G2563" t="s">
        <v>1382</v>
      </c>
      <c r="H2563" t="s">
        <v>1441</v>
      </c>
      <c r="I2563" t="s">
        <v>1439</v>
      </c>
      <c r="J2563" s="2">
        <v>45343</v>
      </c>
      <c r="K2563" t="s">
        <v>21</v>
      </c>
      <c r="L2563" t="s">
        <v>1708</v>
      </c>
      <c r="M2563" t="s">
        <v>1709</v>
      </c>
      <c r="N2563" s="1"/>
      <c r="O2563" s="1" t="s">
        <v>4</v>
      </c>
      <c r="P2563" s="1">
        <f t="shared" ref="P2563:P2567" si="64">0.23*2/3</f>
        <v>0.15333333333333335</v>
      </c>
      <c r="Q2563" s="1" t="s">
        <v>1637</v>
      </c>
      <c r="R2563" t="s">
        <v>332</v>
      </c>
      <c r="S2563" t="s">
        <v>380</v>
      </c>
      <c r="T2563" t="s">
        <v>380</v>
      </c>
      <c r="U2563" s="1">
        <v>0.25</v>
      </c>
    </row>
    <row r="2564" spans="1:22" x14ac:dyDescent="0.3">
      <c r="A2564" t="s">
        <v>1573</v>
      </c>
      <c r="B2564" t="str">
        <f ca="1">OFFSET(Industries!C$1,MATCH(Table1[[#This Row],[Ticker]],Industries!$A$2:$A$150,0),0)</f>
        <v>Industrials</v>
      </c>
      <c r="C2564" t="str">
        <f ca="1">OFFSET(Industries!D$1,MATCH(Table1[[#This Row],[Ticker]],Industries!$A$2:$A$150,0),0)</f>
        <v>Capital Goods</v>
      </c>
      <c r="D2564" t="str">
        <f ca="1">OFFSET(Industries!E$1,MATCH(Table1[[#This Row],[Ticker]],Industries!$A$2:$A$150,0),0)</f>
        <v>Aerospace and Defense</v>
      </c>
      <c r="E2564" t="s">
        <v>116</v>
      </c>
      <c r="F2564" t="s">
        <v>1344</v>
      </c>
      <c r="G2564" t="s">
        <v>1382</v>
      </c>
      <c r="H2564" t="s">
        <v>1441</v>
      </c>
      <c r="I2564" t="s">
        <v>1439</v>
      </c>
      <c r="J2564" s="2">
        <v>45343</v>
      </c>
      <c r="K2564" t="s">
        <v>21</v>
      </c>
      <c r="L2564" t="s">
        <v>1708</v>
      </c>
      <c r="M2564" t="s">
        <v>1709</v>
      </c>
      <c r="N2564" s="1"/>
      <c r="O2564" s="1" t="s">
        <v>4</v>
      </c>
      <c r="P2564" s="1">
        <f t="shared" si="64"/>
        <v>0.15333333333333335</v>
      </c>
      <c r="Q2564" s="1" t="s">
        <v>1636</v>
      </c>
      <c r="R2564" t="s">
        <v>62</v>
      </c>
      <c r="S2564" t="s">
        <v>129</v>
      </c>
      <c r="T2564" t="s">
        <v>129</v>
      </c>
      <c r="U2564" s="1">
        <v>0.22500000000000001</v>
      </c>
    </row>
    <row r="2565" spans="1:22" x14ac:dyDescent="0.3">
      <c r="A2565" t="s">
        <v>1573</v>
      </c>
      <c r="B2565" t="str">
        <f ca="1">OFFSET(Industries!C$1,MATCH(Table1[[#This Row],[Ticker]],Industries!$A$2:$A$150,0),0)</f>
        <v>Industrials</v>
      </c>
      <c r="C2565" t="str">
        <f ca="1">OFFSET(Industries!D$1,MATCH(Table1[[#This Row],[Ticker]],Industries!$A$2:$A$150,0),0)</f>
        <v>Capital Goods</v>
      </c>
      <c r="D2565" t="str">
        <f ca="1">OFFSET(Industries!E$1,MATCH(Table1[[#This Row],[Ticker]],Industries!$A$2:$A$150,0),0)</f>
        <v>Aerospace and Defense</v>
      </c>
      <c r="E2565" t="s">
        <v>116</v>
      </c>
      <c r="F2565" t="s">
        <v>1344</v>
      </c>
      <c r="G2565" t="s">
        <v>1382</v>
      </c>
      <c r="H2565" t="s">
        <v>1441</v>
      </c>
      <c r="I2565" t="s">
        <v>1439</v>
      </c>
      <c r="J2565" s="2">
        <v>45343</v>
      </c>
      <c r="K2565" t="s">
        <v>21</v>
      </c>
      <c r="L2565" t="s">
        <v>1708</v>
      </c>
      <c r="M2565" t="s">
        <v>1709</v>
      </c>
      <c r="N2565" s="1"/>
      <c r="O2565" s="1" t="s">
        <v>4</v>
      </c>
      <c r="P2565" s="1">
        <f t="shared" si="64"/>
        <v>0.15333333333333335</v>
      </c>
      <c r="Q2565" s="1" t="s">
        <v>1636</v>
      </c>
      <c r="R2565" t="s">
        <v>23</v>
      </c>
      <c r="S2565" t="s">
        <v>1086</v>
      </c>
      <c r="T2565" t="s">
        <v>1574</v>
      </c>
      <c r="U2565" s="1">
        <v>7.4999999999999997E-2</v>
      </c>
    </row>
    <row r="2566" spans="1:22" x14ac:dyDescent="0.3">
      <c r="A2566" t="s">
        <v>1573</v>
      </c>
      <c r="B2566" t="str">
        <f ca="1">OFFSET(Industries!C$1,MATCH(Table1[[#This Row],[Ticker]],Industries!$A$2:$A$150,0),0)</f>
        <v>Industrials</v>
      </c>
      <c r="C2566" t="str">
        <f ca="1">OFFSET(Industries!D$1,MATCH(Table1[[#This Row],[Ticker]],Industries!$A$2:$A$150,0),0)</f>
        <v>Capital Goods</v>
      </c>
      <c r="D2566" t="str">
        <f ca="1">OFFSET(Industries!E$1,MATCH(Table1[[#This Row],[Ticker]],Industries!$A$2:$A$150,0),0)</f>
        <v>Aerospace and Defense</v>
      </c>
      <c r="E2566" t="s">
        <v>116</v>
      </c>
      <c r="F2566" t="s">
        <v>1344</v>
      </c>
      <c r="G2566" t="s">
        <v>1382</v>
      </c>
      <c r="H2566" t="s">
        <v>1441</v>
      </c>
      <c r="I2566" t="s">
        <v>1439</v>
      </c>
      <c r="J2566" s="2">
        <v>45343</v>
      </c>
      <c r="K2566" t="s">
        <v>21</v>
      </c>
      <c r="L2566" t="s">
        <v>1708</v>
      </c>
      <c r="M2566" t="s">
        <v>1709</v>
      </c>
      <c r="N2566" s="1"/>
      <c r="O2566" s="1" t="s">
        <v>4</v>
      </c>
      <c r="P2566" s="1">
        <f t="shared" si="64"/>
        <v>0.15333333333333335</v>
      </c>
      <c r="R2566" t="s">
        <v>28</v>
      </c>
      <c r="S2566" t="s">
        <v>1093</v>
      </c>
      <c r="T2566" t="s">
        <v>1575</v>
      </c>
      <c r="V2566" t="s">
        <v>1737</v>
      </c>
    </row>
    <row r="2567" spans="1:22" x14ac:dyDescent="0.3">
      <c r="A2567" t="s">
        <v>1573</v>
      </c>
      <c r="B2567" t="str">
        <f ca="1">OFFSET(Industries!C$1,MATCH(Table1[[#This Row],[Ticker]],Industries!$A$2:$A$150,0),0)</f>
        <v>Industrials</v>
      </c>
      <c r="C2567" t="str">
        <f ca="1">OFFSET(Industries!D$1,MATCH(Table1[[#This Row],[Ticker]],Industries!$A$2:$A$150,0),0)</f>
        <v>Capital Goods</v>
      </c>
      <c r="D2567" t="str">
        <f ca="1">OFFSET(Industries!E$1,MATCH(Table1[[#This Row],[Ticker]],Industries!$A$2:$A$150,0),0)</f>
        <v>Aerospace and Defense</v>
      </c>
      <c r="E2567" t="s">
        <v>116</v>
      </c>
      <c r="F2567" t="s">
        <v>1344</v>
      </c>
      <c r="G2567" t="s">
        <v>1382</v>
      </c>
      <c r="H2567" t="s">
        <v>1441</v>
      </c>
      <c r="I2567" t="s">
        <v>1439</v>
      </c>
      <c r="J2567" s="2">
        <v>45343</v>
      </c>
      <c r="K2567" t="s">
        <v>21</v>
      </c>
      <c r="L2567" t="s">
        <v>1708</v>
      </c>
      <c r="M2567" t="s">
        <v>1709</v>
      </c>
      <c r="N2567" s="1"/>
      <c r="O2567" s="1" t="s">
        <v>4</v>
      </c>
      <c r="P2567" s="1">
        <f t="shared" si="64"/>
        <v>0.15333333333333335</v>
      </c>
      <c r="R2567" t="s">
        <v>28</v>
      </c>
      <c r="S2567" t="s">
        <v>1110</v>
      </c>
      <c r="T2567" t="s">
        <v>172</v>
      </c>
    </row>
    <row r="2568" spans="1:22" x14ac:dyDescent="0.3">
      <c r="A2568" t="s">
        <v>1573</v>
      </c>
      <c r="B2568" t="str">
        <f ca="1">OFFSET(Industries!C$1,MATCH(Table1[[#This Row],[Ticker]],Industries!$A$2:$A$150,0),0)</f>
        <v>Industrials</v>
      </c>
      <c r="C2568" t="str">
        <f ca="1">OFFSET(Industries!D$1,MATCH(Table1[[#This Row],[Ticker]],Industries!$A$2:$A$150,0),0)</f>
        <v>Capital Goods</v>
      </c>
      <c r="D2568" t="str">
        <f ca="1">OFFSET(Industries!E$1,MATCH(Table1[[#This Row],[Ticker]],Industries!$A$2:$A$150,0),0)</f>
        <v>Aerospace and Defense</v>
      </c>
      <c r="E2568" t="s">
        <v>116</v>
      </c>
      <c r="F2568" t="s">
        <v>1344</v>
      </c>
      <c r="G2568" t="s">
        <v>1382</v>
      </c>
      <c r="H2568" t="s">
        <v>1441</v>
      </c>
      <c r="I2568" t="s">
        <v>1439</v>
      </c>
      <c r="J2568" s="2">
        <v>45343</v>
      </c>
      <c r="K2568" t="s">
        <v>21</v>
      </c>
      <c r="L2568" t="s">
        <v>1708</v>
      </c>
      <c r="M2568" t="s">
        <v>1709</v>
      </c>
      <c r="N2568" s="1">
        <f>Table1[[#This Row],[Consideration Weight]]</f>
        <v>7.6666666666666675E-2</v>
      </c>
      <c r="O2568" s="1" t="s">
        <v>862</v>
      </c>
      <c r="P2568" s="1">
        <f>0.23/3</f>
        <v>7.6666666666666675E-2</v>
      </c>
      <c r="V2568" t="s">
        <v>1586</v>
      </c>
    </row>
    <row r="2569" spans="1:22" x14ac:dyDescent="0.3">
      <c r="A2569" t="s">
        <v>1573</v>
      </c>
      <c r="B2569" t="str">
        <f ca="1">OFFSET(Industries!C$1,MATCH(Table1[[#This Row],[Ticker]],Industries!$A$2:$A$150,0),0)</f>
        <v>Industrials</v>
      </c>
      <c r="C2569" t="str">
        <f ca="1">OFFSET(Industries!D$1,MATCH(Table1[[#This Row],[Ticker]],Industries!$A$2:$A$150,0),0)</f>
        <v>Capital Goods</v>
      </c>
      <c r="D2569" t="str">
        <f ca="1">OFFSET(Industries!E$1,MATCH(Table1[[#This Row],[Ticker]],Industries!$A$2:$A$150,0),0)</f>
        <v>Aerospace and Defense</v>
      </c>
      <c r="E2569" t="s">
        <v>116</v>
      </c>
      <c r="F2569" t="s">
        <v>1344</v>
      </c>
      <c r="G2569" t="s">
        <v>1382</v>
      </c>
      <c r="H2569" t="s">
        <v>1441</v>
      </c>
      <c r="I2569" t="s">
        <v>1439</v>
      </c>
      <c r="J2569" s="2">
        <v>45343</v>
      </c>
      <c r="K2569" t="s">
        <v>21</v>
      </c>
      <c r="L2569" t="s">
        <v>1710</v>
      </c>
      <c r="M2569" t="s">
        <v>1709</v>
      </c>
      <c r="N2569" s="1">
        <f>Table1[[#This Row],[Consideration Weight]]</f>
        <v>0.42</v>
      </c>
      <c r="O2569" s="1" t="s">
        <v>476</v>
      </c>
      <c r="P2569" s="1">
        <v>0.42</v>
      </c>
      <c r="Q2569" s="1" t="s">
        <v>1636</v>
      </c>
      <c r="R2569" t="s">
        <v>24</v>
      </c>
      <c r="S2569" t="s">
        <v>1089</v>
      </c>
      <c r="T2569" t="s">
        <v>406</v>
      </c>
      <c r="U2569" s="1">
        <v>0.3</v>
      </c>
      <c r="V2569" t="s">
        <v>1584</v>
      </c>
    </row>
    <row r="2570" spans="1:22" x14ac:dyDescent="0.3">
      <c r="A2570" t="s">
        <v>1573</v>
      </c>
      <c r="B2570" t="str">
        <f ca="1">OFFSET(Industries!C$1,MATCH(Table1[[#This Row],[Ticker]],Industries!$A$2:$A$150,0),0)</f>
        <v>Industrials</v>
      </c>
      <c r="C2570" t="str">
        <f ca="1">OFFSET(Industries!D$1,MATCH(Table1[[#This Row],[Ticker]],Industries!$A$2:$A$150,0),0)</f>
        <v>Capital Goods</v>
      </c>
      <c r="D2570" t="str">
        <f ca="1">OFFSET(Industries!E$1,MATCH(Table1[[#This Row],[Ticker]],Industries!$A$2:$A$150,0),0)</f>
        <v>Aerospace and Defense</v>
      </c>
      <c r="E2570" t="s">
        <v>116</v>
      </c>
      <c r="F2570" t="s">
        <v>1344</v>
      </c>
      <c r="G2570" t="s">
        <v>1382</v>
      </c>
      <c r="H2570" t="s">
        <v>1441</v>
      </c>
      <c r="I2570" t="s">
        <v>1439</v>
      </c>
      <c r="J2570" s="2">
        <v>45343</v>
      </c>
      <c r="K2570" t="s">
        <v>21</v>
      </c>
      <c r="L2570" t="s">
        <v>1710</v>
      </c>
      <c r="M2570" t="s">
        <v>1709</v>
      </c>
      <c r="N2570" s="1"/>
      <c r="O2570" s="1" t="s">
        <v>476</v>
      </c>
      <c r="P2570" s="1">
        <v>0.42</v>
      </c>
      <c r="Q2570" s="1" t="s">
        <v>1636</v>
      </c>
      <c r="R2570" t="s">
        <v>62</v>
      </c>
      <c r="S2570" t="s">
        <v>129</v>
      </c>
      <c r="T2570" t="s">
        <v>611</v>
      </c>
      <c r="U2570" s="1">
        <v>0.15</v>
      </c>
    </row>
    <row r="2571" spans="1:22" x14ac:dyDescent="0.3">
      <c r="A2571" t="s">
        <v>1573</v>
      </c>
      <c r="B2571" t="str">
        <f ca="1">OFFSET(Industries!C$1,MATCH(Table1[[#This Row],[Ticker]],Industries!$A$2:$A$150,0),0)</f>
        <v>Industrials</v>
      </c>
      <c r="C2571" t="str">
        <f ca="1">OFFSET(Industries!D$1,MATCH(Table1[[#This Row],[Ticker]],Industries!$A$2:$A$150,0),0)</f>
        <v>Capital Goods</v>
      </c>
      <c r="D2571" t="str">
        <f ca="1">OFFSET(Industries!E$1,MATCH(Table1[[#This Row],[Ticker]],Industries!$A$2:$A$150,0),0)</f>
        <v>Aerospace and Defense</v>
      </c>
      <c r="E2571" t="s">
        <v>116</v>
      </c>
      <c r="F2571" t="s">
        <v>1344</v>
      </c>
      <c r="G2571" t="s">
        <v>1382</v>
      </c>
      <c r="H2571" t="s">
        <v>1441</v>
      </c>
      <c r="I2571" t="s">
        <v>1439</v>
      </c>
      <c r="J2571" s="2">
        <v>45343</v>
      </c>
      <c r="K2571" t="s">
        <v>21</v>
      </c>
      <c r="L2571" t="s">
        <v>1710</v>
      </c>
      <c r="M2571" t="s">
        <v>1709</v>
      </c>
      <c r="N2571" s="1"/>
      <c r="O2571" s="1" t="s">
        <v>476</v>
      </c>
      <c r="P2571" s="1">
        <v>0.42</v>
      </c>
      <c r="Q2571" s="1" t="s">
        <v>1636</v>
      </c>
      <c r="R2571" t="s">
        <v>62</v>
      </c>
      <c r="S2571" t="s">
        <v>63</v>
      </c>
      <c r="T2571" t="s">
        <v>1585</v>
      </c>
      <c r="U2571" s="1">
        <v>0.15</v>
      </c>
    </row>
    <row r="2572" spans="1:22" x14ac:dyDescent="0.3">
      <c r="A2572" t="s">
        <v>1573</v>
      </c>
      <c r="B2572" t="str">
        <f ca="1">OFFSET(Industries!C$1,MATCH(Table1[[#This Row],[Ticker]],Industries!$A$2:$A$150,0),0)</f>
        <v>Industrials</v>
      </c>
      <c r="C2572" t="str">
        <f ca="1">OFFSET(Industries!D$1,MATCH(Table1[[#This Row],[Ticker]],Industries!$A$2:$A$150,0),0)</f>
        <v>Capital Goods</v>
      </c>
      <c r="D2572" t="str">
        <f ca="1">OFFSET(Industries!E$1,MATCH(Table1[[#This Row],[Ticker]],Industries!$A$2:$A$150,0),0)</f>
        <v>Aerospace and Defense</v>
      </c>
      <c r="E2572" t="s">
        <v>116</v>
      </c>
      <c r="F2572" t="s">
        <v>1344</v>
      </c>
      <c r="G2572" t="s">
        <v>1382</v>
      </c>
      <c r="H2572" t="s">
        <v>1441</v>
      </c>
      <c r="I2572" t="s">
        <v>1439</v>
      </c>
      <c r="J2572" s="2">
        <v>45343</v>
      </c>
      <c r="K2572" t="s">
        <v>21</v>
      </c>
      <c r="L2572" t="s">
        <v>1710</v>
      </c>
      <c r="M2572" t="s">
        <v>1709</v>
      </c>
      <c r="N2572" s="1"/>
      <c r="O2572" s="1" t="s">
        <v>476</v>
      </c>
      <c r="P2572" s="1">
        <v>0.42</v>
      </c>
      <c r="Q2572" s="1" t="s">
        <v>1636</v>
      </c>
      <c r="R2572" t="s">
        <v>1059</v>
      </c>
      <c r="S2572" t="s">
        <v>1119</v>
      </c>
      <c r="T2572" t="s">
        <v>1580</v>
      </c>
      <c r="U2572" s="1">
        <v>0.15</v>
      </c>
    </row>
    <row r="2573" spans="1:22" x14ac:dyDescent="0.3">
      <c r="A2573" t="s">
        <v>1573</v>
      </c>
      <c r="B2573" t="str">
        <f ca="1">OFFSET(Industries!C$1,MATCH(Table1[[#This Row],[Ticker]],Industries!$A$2:$A$150,0),0)</f>
        <v>Industrials</v>
      </c>
      <c r="C2573" t="str">
        <f ca="1">OFFSET(Industries!D$1,MATCH(Table1[[#This Row],[Ticker]],Industries!$A$2:$A$150,0),0)</f>
        <v>Capital Goods</v>
      </c>
      <c r="D2573" t="str">
        <f ca="1">OFFSET(Industries!E$1,MATCH(Table1[[#This Row],[Ticker]],Industries!$A$2:$A$150,0),0)</f>
        <v>Aerospace and Defense</v>
      </c>
      <c r="E2573" t="s">
        <v>116</v>
      </c>
      <c r="F2573" t="s">
        <v>1344</v>
      </c>
      <c r="G2573" t="s">
        <v>1382</v>
      </c>
      <c r="H2573" t="s">
        <v>1441</v>
      </c>
      <c r="I2573" t="s">
        <v>1439</v>
      </c>
      <c r="J2573" s="2">
        <v>45343</v>
      </c>
      <c r="K2573" t="s">
        <v>21</v>
      </c>
      <c r="L2573" t="s">
        <v>1710</v>
      </c>
      <c r="M2573" t="s">
        <v>1709</v>
      </c>
      <c r="N2573" s="1"/>
      <c r="O2573" s="1" t="s">
        <v>476</v>
      </c>
      <c r="P2573" s="1">
        <v>0.42</v>
      </c>
      <c r="Q2573" s="1" t="s">
        <v>1646</v>
      </c>
      <c r="R2573" t="s">
        <v>35</v>
      </c>
      <c r="S2573" t="s">
        <v>29</v>
      </c>
      <c r="T2573" t="s">
        <v>30</v>
      </c>
      <c r="U2573" s="1">
        <v>0.15</v>
      </c>
    </row>
    <row r="2574" spans="1:22" x14ac:dyDescent="0.3">
      <c r="A2574" t="s">
        <v>1573</v>
      </c>
      <c r="B2574" t="str">
        <f ca="1">OFFSET(Industries!C$1,MATCH(Table1[[#This Row],[Ticker]],Industries!$A$2:$A$150,0),0)</f>
        <v>Industrials</v>
      </c>
      <c r="C2574" t="str">
        <f ca="1">OFFSET(Industries!D$1,MATCH(Table1[[#This Row],[Ticker]],Industries!$A$2:$A$150,0),0)</f>
        <v>Capital Goods</v>
      </c>
      <c r="D2574" t="str">
        <f ca="1">OFFSET(Industries!E$1,MATCH(Table1[[#This Row],[Ticker]],Industries!$A$2:$A$150,0),0)</f>
        <v>Aerospace and Defense</v>
      </c>
      <c r="E2574" t="s">
        <v>116</v>
      </c>
      <c r="F2574" t="s">
        <v>1344</v>
      </c>
      <c r="G2574" t="s">
        <v>1382</v>
      </c>
      <c r="H2574" t="s">
        <v>1441</v>
      </c>
      <c r="I2574" t="s">
        <v>1439</v>
      </c>
      <c r="J2574" s="2">
        <v>45343</v>
      </c>
      <c r="K2574" t="s">
        <v>21</v>
      </c>
      <c r="L2574" t="s">
        <v>1710</v>
      </c>
      <c r="M2574" t="s">
        <v>1709</v>
      </c>
      <c r="N2574" s="1"/>
      <c r="O2574" s="1" t="s">
        <v>476</v>
      </c>
      <c r="P2574" s="1">
        <v>0.42</v>
      </c>
      <c r="Q2574" s="1" t="s">
        <v>1637</v>
      </c>
      <c r="R2574" t="s">
        <v>26</v>
      </c>
      <c r="S2574" t="s">
        <v>26</v>
      </c>
      <c r="T2574" t="s">
        <v>1581</v>
      </c>
      <c r="U2574" s="1">
        <v>0.1</v>
      </c>
      <c r="V2574" t="s">
        <v>1582</v>
      </c>
    </row>
    <row r="2575" spans="1:22" x14ac:dyDescent="0.3">
      <c r="A2575" t="s">
        <v>1573</v>
      </c>
      <c r="B2575" t="str">
        <f ca="1">OFFSET(Industries!C$1,MATCH(Table1[[#This Row],[Ticker]],Industries!$A$2:$A$150,0),0)</f>
        <v>Industrials</v>
      </c>
      <c r="C2575" t="str">
        <f ca="1">OFFSET(Industries!D$1,MATCH(Table1[[#This Row],[Ticker]],Industries!$A$2:$A$150,0),0)</f>
        <v>Capital Goods</v>
      </c>
      <c r="D2575" t="str">
        <f ca="1">OFFSET(Industries!E$1,MATCH(Table1[[#This Row],[Ticker]],Industries!$A$2:$A$150,0),0)</f>
        <v>Aerospace and Defense</v>
      </c>
      <c r="E2575" t="s">
        <v>116</v>
      </c>
      <c r="F2575" t="s">
        <v>1344</v>
      </c>
      <c r="G2575" t="s">
        <v>1382</v>
      </c>
      <c r="H2575" t="s">
        <v>1441</v>
      </c>
      <c r="I2575" t="s">
        <v>1439</v>
      </c>
      <c r="J2575" s="2">
        <v>45343</v>
      </c>
      <c r="K2575" t="s">
        <v>21</v>
      </c>
      <c r="L2575" t="s">
        <v>1710</v>
      </c>
      <c r="M2575" t="s">
        <v>1709</v>
      </c>
      <c r="N2575" s="1"/>
      <c r="O2575" s="1" t="s">
        <v>476</v>
      </c>
      <c r="P2575" s="1">
        <v>0.42</v>
      </c>
      <c r="R2575" t="s">
        <v>28</v>
      </c>
      <c r="S2575" t="s">
        <v>1110</v>
      </c>
      <c r="T2575" t="s">
        <v>172</v>
      </c>
    </row>
    <row r="2576" spans="1:22" x14ac:dyDescent="0.3">
      <c r="A2576" t="s">
        <v>1573</v>
      </c>
      <c r="B2576" t="str">
        <f ca="1">OFFSET(Industries!C$1,MATCH(Table1[[#This Row],[Ticker]],Industries!$A$2:$A$150,0),0)</f>
        <v>Industrials</v>
      </c>
      <c r="C2576" t="str">
        <f ca="1">OFFSET(Industries!D$1,MATCH(Table1[[#This Row],[Ticker]],Industries!$A$2:$A$150,0),0)</f>
        <v>Capital Goods</v>
      </c>
      <c r="D2576" t="str">
        <f ca="1">OFFSET(Industries!E$1,MATCH(Table1[[#This Row],[Ticker]],Industries!$A$2:$A$150,0),0)</f>
        <v>Aerospace and Defense</v>
      </c>
      <c r="E2576" t="s">
        <v>116</v>
      </c>
      <c r="F2576" t="s">
        <v>1344</v>
      </c>
      <c r="G2576" t="s">
        <v>1382</v>
      </c>
      <c r="H2576" t="s">
        <v>1441</v>
      </c>
      <c r="I2576" t="s">
        <v>1439</v>
      </c>
      <c r="J2576" s="2">
        <v>45343</v>
      </c>
      <c r="K2576" t="s">
        <v>21</v>
      </c>
      <c r="L2576" t="s">
        <v>1710</v>
      </c>
      <c r="M2576" t="s">
        <v>1711</v>
      </c>
      <c r="N2576" s="1">
        <f>Table1[[#This Row],[Consideration Weight]]</f>
        <v>0.13</v>
      </c>
      <c r="O2576" s="1" t="s">
        <v>194</v>
      </c>
      <c r="P2576" s="1">
        <v>0.13</v>
      </c>
    </row>
    <row r="2577" spans="1:22" x14ac:dyDescent="0.3">
      <c r="A2577" t="s">
        <v>1777</v>
      </c>
      <c r="B2577" t="str">
        <f ca="1">OFFSET(Industries!C$1,MATCH(Table1[[#This Row],[Ticker]],Industries!$A$2:$A$150,0),0)</f>
        <v>Industrials</v>
      </c>
      <c r="C2577" t="str">
        <f ca="1">OFFSET(Industries!D$1,MATCH(Table1[[#This Row],[Ticker]],Industries!$A$2:$A$150,0),0)</f>
        <v>Capital Goods</v>
      </c>
      <c r="D2577" t="str">
        <f ca="1">OFFSET(Industries!E$1,MATCH(Table1[[#This Row],[Ticker]],Industries!$A$2:$A$150,0),0)</f>
        <v>Industrial Conglomerates</v>
      </c>
      <c r="E2577" t="s">
        <v>116</v>
      </c>
      <c r="F2577" t="str">
        <f ca="1">OFFSET(Industries!B$1,MATCH(Table1[[#This Row],[Ticker]],Industries!$A$2:$A$149,0),0)</f>
        <v>Mega-Cap</v>
      </c>
      <c r="G2577" t="str">
        <f ca="1">OFFSET(Industries!F$1,MATCH(Table1[[#This Row],[Ticker]],Industries!$A$2:$A$149,0),0)</f>
        <v>A</v>
      </c>
      <c r="H2577" t="s">
        <v>1434</v>
      </c>
      <c r="I2577" t="s">
        <v>1434</v>
      </c>
      <c r="J2577" s="2">
        <v>45384</v>
      </c>
      <c r="K2577" t="s">
        <v>2</v>
      </c>
      <c r="L2577" t="s">
        <v>3</v>
      </c>
      <c r="M2577" t="s">
        <v>1711</v>
      </c>
      <c r="N2577" s="1">
        <f>Table1[[#This Row],[Consideration Weight]]</f>
        <v>0.09</v>
      </c>
      <c r="O2577" t="s">
        <v>3</v>
      </c>
      <c r="P2577" s="1">
        <v>0.09</v>
      </c>
    </row>
    <row r="2578" spans="1:22" x14ac:dyDescent="0.3">
      <c r="A2578" t="s">
        <v>1777</v>
      </c>
      <c r="B2578" t="str">
        <f ca="1">OFFSET(Industries!C$1,MATCH(Table1[[#This Row],[Ticker]],Industries!$A$2:$A$150,0),0)</f>
        <v>Industrials</v>
      </c>
      <c r="C2578" t="str">
        <f ca="1">OFFSET(Industries!D$1,MATCH(Table1[[#This Row],[Ticker]],Industries!$A$2:$A$150,0),0)</f>
        <v>Capital Goods</v>
      </c>
      <c r="D2578" t="str">
        <f ca="1">OFFSET(Industries!E$1,MATCH(Table1[[#This Row],[Ticker]],Industries!$A$2:$A$150,0),0)</f>
        <v>Industrial Conglomerates</v>
      </c>
      <c r="E2578" t="s">
        <v>116</v>
      </c>
      <c r="F2578" t="str">
        <f ca="1">OFFSET(Industries!B$1,MATCH(Table1[[#This Row],[Ticker]],Industries!$A$2:$A$149,0),0)</f>
        <v>Mega-Cap</v>
      </c>
      <c r="G2578" t="str">
        <f ca="1">OFFSET(Industries!F$1,MATCH(Table1[[#This Row],[Ticker]],Industries!$A$2:$A$149,0),0)</f>
        <v>A</v>
      </c>
      <c r="H2578" t="s">
        <v>1434</v>
      </c>
      <c r="I2578" t="s">
        <v>1434</v>
      </c>
      <c r="J2578" s="2">
        <v>45384</v>
      </c>
      <c r="K2578" t="s">
        <v>2</v>
      </c>
      <c r="L2578" t="s">
        <v>1708</v>
      </c>
      <c r="M2578" t="s">
        <v>1709</v>
      </c>
      <c r="N2578" s="1">
        <f>Table1[[#This Row],[Consideration Weight]]</f>
        <v>0.15</v>
      </c>
      <c r="O2578" t="s">
        <v>4</v>
      </c>
      <c r="P2578" s="1">
        <v>0.15</v>
      </c>
      <c r="Q2578" s="1" t="s">
        <v>1636</v>
      </c>
      <c r="R2578" t="s">
        <v>24</v>
      </c>
      <c r="S2578" t="s">
        <v>1089</v>
      </c>
      <c r="T2578" t="s">
        <v>50</v>
      </c>
      <c r="U2578" s="1">
        <v>0.4</v>
      </c>
      <c r="V2578" t="s">
        <v>1781</v>
      </c>
    </row>
    <row r="2579" spans="1:22" x14ac:dyDescent="0.3">
      <c r="A2579" t="s">
        <v>1777</v>
      </c>
      <c r="B2579" t="str">
        <f ca="1">OFFSET(Industries!C$1,MATCH(Table1[[#This Row],[Ticker]],Industries!$A$2:$A$150,0),0)</f>
        <v>Industrials</v>
      </c>
      <c r="C2579" t="str">
        <f ca="1">OFFSET(Industries!D$1,MATCH(Table1[[#This Row],[Ticker]],Industries!$A$2:$A$150,0),0)</f>
        <v>Capital Goods</v>
      </c>
      <c r="D2579" t="str">
        <f ca="1">OFFSET(Industries!E$1,MATCH(Table1[[#This Row],[Ticker]],Industries!$A$2:$A$150,0),0)</f>
        <v>Industrial Conglomerates</v>
      </c>
      <c r="E2579" t="s">
        <v>116</v>
      </c>
      <c r="F2579" t="str">
        <f ca="1">OFFSET(Industries!B$1,MATCH(Table1[[#This Row],[Ticker]],Industries!$A$2:$A$149,0),0)</f>
        <v>Mega-Cap</v>
      </c>
      <c r="G2579" t="str">
        <f ca="1">OFFSET(Industries!F$1,MATCH(Table1[[#This Row],[Ticker]],Industries!$A$2:$A$149,0),0)</f>
        <v>A</v>
      </c>
      <c r="H2579" t="s">
        <v>1434</v>
      </c>
      <c r="I2579" t="s">
        <v>1434</v>
      </c>
      <c r="J2579" s="2">
        <v>45384</v>
      </c>
      <c r="K2579" t="s">
        <v>2</v>
      </c>
      <c r="L2579" t="s">
        <v>1708</v>
      </c>
      <c r="M2579" t="s">
        <v>1709</v>
      </c>
      <c r="N2579" s="1"/>
      <c r="O2579" t="s">
        <v>4</v>
      </c>
      <c r="P2579" s="1">
        <v>0.15</v>
      </c>
      <c r="Q2579" s="1" t="s">
        <v>1636</v>
      </c>
      <c r="R2579" t="s">
        <v>62</v>
      </c>
      <c r="S2579" t="s">
        <v>129</v>
      </c>
      <c r="T2579" t="s">
        <v>129</v>
      </c>
      <c r="U2579" s="1">
        <v>0.4</v>
      </c>
    </row>
    <row r="2580" spans="1:22" x14ac:dyDescent="0.3">
      <c r="A2580" t="s">
        <v>1777</v>
      </c>
      <c r="B2580" t="str">
        <f ca="1">OFFSET(Industries!C$1,MATCH(Table1[[#This Row],[Ticker]],Industries!$A$2:$A$150,0),0)</f>
        <v>Industrials</v>
      </c>
      <c r="C2580" t="str">
        <f ca="1">OFFSET(Industries!D$1,MATCH(Table1[[#This Row],[Ticker]],Industries!$A$2:$A$150,0),0)</f>
        <v>Capital Goods</v>
      </c>
      <c r="D2580" t="str">
        <f ca="1">OFFSET(Industries!E$1,MATCH(Table1[[#This Row],[Ticker]],Industries!$A$2:$A$150,0),0)</f>
        <v>Industrial Conglomerates</v>
      </c>
      <c r="E2580" t="s">
        <v>116</v>
      </c>
      <c r="F2580" t="str">
        <f ca="1">OFFSET(Industries!B$1,MATCH(Table1[[#This Row],[Ticker]],Industries!$A$2:$A$149,0),0)</f>
        <v>Mega-Cap</v>
      </c>
      <c r="G2580" t="str">
        <f ca="1">OFFSET(Industries!F$1,MATCH(Table1[[#This Row],[Ticker]],Industries!$A$2:$A$149,0),0)</f>
        <v>A</v>
      </c>
      <c r="H2580" t="s">
        <v>1434</v>
      </c>
      <c r="I2580" t="s">
        <v>1434</v>
      </c>
      <c r="J2580" s="2">
        <v>45384</v>
      </c>
      <c r="K2580" t="s">
        <v>2</v>
      </c>
      <c r="L2580" t="s">
        <v>1708</v>
      </c>
      <c r="M2580" t="s">
        <v>1709</v>
      </c>
      <c r="N2580" s="1"/>
      <c r="O2580" t="s">
        <v>4</v>
      </c>
      <c r="P2580" s="1">
        <v>0.15</v>
      </c>
      <c r="Q2580" s="1" t="s">
        <v>1637</v>
      </c>
      <c r="R2580" t="s">
        <v>332</v>
      </c>
      <c r="S2580" t="s">
        <v>380</v>
      </c>
      <c r="T2580" t="s">
        <v>380</v>
      </c>
      <c r="U2580" s="1">
        <v>0.15</v>
      </c>
    </row>
    <row r="2581" spans="1:22" x14ac:dyDescent="0.3">
      <c r="A2581" t="s">
        <v>1777</v>
      </c>
      <c r="B2581" t="str">
        <f ca="1">OFFSET(Industries!C$1,MATCH(Table1[[#This Row],[Ticker]],Industries!$A$2:$A$150,0),0)</f>
        <v>Industrials</v>
      </c>
      <c r="C2581" t="str">
        <f ca="1">OFFSET(Industries!D$1,MATCH(Table1[[#This Row],[Ticker]],Industries!$A$2:$A$150,0),0)</f>
        <v>Capital Goods</v>
      </c>
      <c r="D2581" t="str">
        <f ca="1">OFFSET(Industries!E$1,MATCH(Table1[[#This Row],[Ticker]],Industries!$A$2:$A$150,0),0)</f>
        <v>Industrial Conglomerates</v>
      </c>
      <c r="E2581" t="s">
        <v>116</v>
      </c>
      <c r="F2581" t="str">
        <f ca="1">OFFSET(Industries!B$1,MATCH(Table1[[#This Row],[Ticker]],Industries!$A$2:$A$149,0),0)</f>
        <v>Mega-Cap</v>
      </c>
      <c r="G2581" t="str">
        <f ca="1">OFFSET(Industries!F$1,MATCH(Table1[[#This Row],[Ticker]],Industries!$A$2:$A$149,0),0)</f>
        <v>A</v>
      </c>
      <c r="H2581" t="s">
        <v>1434</v>
      </c>
      <c r="I2581" t="s">
        <v>1434</v>
      </c>
      <c r="J2581" s="2">
        <v>45384</v>
      </c>
      <c r="K2581" t="s">
        <v>2</v>
      </c>
      <c r="L2581" t="s">
        <v>1708</v>
      </c>
      <c r="M2581" t="s">
        <v>1709</v>
      </c>
      <c r="N2581" s="1"/>
      <c r="O2581" t="s">
        <v>4</v>
      </c>
      <c r="P2581" s="1">
        <v>0.15</v>
      </c>
      <c r="Q2581" s="1" t="s">
        <v>1637</v>
      </c>
      <c r="R2581" t="s">
        <v>26</v>
      </c>
      <c r="S2581" t="s">
        <v>26</v>
      </c>
      <c r="T2581" t="s">
        <v>26</v>
      </c>
      <c r="U2581" s="1">
        <v>0.05</v>
      </c>
    </row>
    <row r="2582" spans="1:22" x14ac:dyDescent="0.3">
      <c r="A2582" t="s">
        <v>1777</v>
      </c>
      <c r="B2582" t="str">
        <f ca="1">OFFSET(Industries!C$1,MATCH(Table1[[#This Row],[Ticker]],Industries!$A$2:$A$150,0),0)</f>
        <v>Industrials</v>
      </c>
      <c r="C2582" t="str">
        <f ca="1">OFFSET(Industries!D$1,MATCH(Table1[[#This Row],[Ticker]],Industries!$A$2:$A$150,0),0)</f>
        <v>Capital Goods</v>
      </c>
      <c r="D2582" t="str">
        <f ca="1">OFFSET(Industries!E$1,MATCH(Table1[[#This Row],[Ticker]],Industries!$A$2:$A$150,0),0)</f>
        <v>Industrial Conglomerates</v>
      </c>
      <c r="E2582" t="s">
        <v>116</v>
      </c>
      <c r="F2582" t="str">
        <f ca="1">OFFSET(Industries!B$1,MATCH(Table1[[#This Row],[Ticker]],Industries!$A$2:$A$149,0),0)</f>
        <v>Mega-Cap</v>
      </c>
      <c r="G2582" t="str">
        <f ca="1">OFFSET(Industries!F$1,MATCH(Table1[[#This Row],[Ticker]],Industries!$A$2:$A$149,0),0)</f>
        <v>A</v>
      </c>
      <c r="H2582" t="s">
        <v>1434</v>
      </c>
      <c r="I2582" t="s">
        <v>1434</v>
      </c>
      <c r="J2582" s="2">
        <v>45384</v>
      </c>
      <c r="K2582" t="s">
        <v>2</v>
      </c>
      <c r="L2582" t="s">
        <v>1710</v>
      </c>
      <c r="M2582" t="s">
        <v>1709</v>
      </c>
      <c r="N2582" s="1">
        <f>Table1[[#This Row],[Consideration Weight]]</f>
        <v>0.38</v>
      </c>
      <c r="O2582" t="s">
        <v>476</v>
      </c>
      <c r="P2582" s="1">
        <v>0.38</v>
      </c>
      <c r="Q2582" s="1" t="s">
        <v>1636</v>
      </c>
      <c r="R2582" t="s">
        <v>23</v>
      </c>
      <c r="S2582" t="s">
        <v>1083</v>
      </c>
      <c r="T2582" t="s">
        <v>1326</v>
      </c>
      <c r="U2582" s="1">
        <v>0.25</v>
      </c>
      <c r="V2582" t="s">
        <v>1782</v>
      </c>
    </row>
    <row r="2583" spans="1:22" x14ac:dyDescent="0.3">
      <c r="A2583" t="s">
        <v>1777</v>
      </c>
      <c r="B2583" t="str">
        <f ca="1">OFFSET(Industries!C$1,MATCH(Table1[[#This Row],[Ticker]],Industries!$A$2:$A$150,0),0)</f>
        <v>Industrials</v>
      </c>
      <c r="C2583" t="str">
        <f ca="1">OFFSET(Industries!D$1,MATCH(Table1[[#This Row],[Ticker]],Industries!$A$2:$A$150,0),0)</f>
        <v>Capital Goods</v>
      </c>
      <c r="D2583" t="str">
        <f ca="1">OFFSET(Industries!E$1,MATCH(Table1[[#This Row],[Ticker]],Industries!$A$2:$A$150,0),0)</f>
        <v>Industrial Conglomerates</v>
      </c>
      <c r="E2583" t="s">
        <v>116</v>
      </c>
      <c r="F2583" t="str">
        <f ca="1">OFFSET(Industries!B$1,MATCH(Table1[[#This Row],[Ticker]],Industries!$A$2:$A$149,0),0)</f>
        <v>Mega-Cap</v>
      </c>
      <c r="G2583" t="str">
        <f ca="1">OFFSET(Industries!F$1,MATCH(Table1[[#This Row],[Ticker]],Industries!$A$2:$A$149,0),0)</f>
        <v>A</v>
      </c>
      <c r="H2583" t="s">
        <v>1434</v>
      </c>
      <c r="I2583" t="s">
        <v>1434</v>
      </c>
      <c r="J2583" s="2">
        <v>45384</v>
      </c>
      <c r="K2583" t="s">
        <v>2</v>
      </c>
      <c r="L2583" t="s">
        <v>1710</v>
      </c>
      <c r="M2583" t="s">
        <v>1709</v>
      </c>
      <c r="N2583" s="1"/>
      <c r="O2583" t="s">
        <v>476</v>
      </c>
      <c r="P2583" s="1">
        <v>0.38</v>
      </c>
      <c r="Q2583" s="1" t="s">
        <v>1636</v>
      </c>
      <c r="R2583" t="s">
        <v>24</v>
      </c>
      <c r="S2583" t="s">
        <v>509</v>
      </c>
      <c r="T2583" t="s">
        <v>1779</v>
      </c>
      <c r="U2583" s="1">
        <v>0.25</v>
      </c>
      <c r="V2583" t="s">
        <v>1783</v>
      </c>
    </row>
    <row r="2584" spans="1:22" x14ac:dyDescent="0.3">
      <c r="A2584" t="s">
        <v>1777</v>
      </c>
      <c r="B2584" t="str">
        <f ca="1">OFFSET(Industries!C$1,MATCH(Table1[[#This Row],[Ticker]],Industries!$A$2:$A$150,0),0)</f>
        <v>Industrials</v>
      </c>
      <c r="C2584" t="str">
        <f ca="1">OFFSET(Industries!D$1,MATCH(Table1[[#This Row],[Ticker]],Industries!$A$2:$A$150,0),0)</f>
        <v>Capital Goods</v>
      </c>
      <c r="D2584" t="str">
        <f ca="1">OFFSET(Industries!E$1,MATCH(Table1[[#This Row],[Ticker]],Industries!$A$2:$A$150,0),0)</f>
        <v>Industrial Conglomerates</v>
      </c>
      <c r="E2584" t="s">
        <v>116</v>
      </c>
      <c r="F2584" t="str">
        <f ca="1">OFFSET(Industries!B$1,MATCH(Table1[[#This Row],[Ticker]],Industries!$A$2:$A$149,0),0)</f>
        <v>Mega-Cap</v>
      </c>
      <c r="G2584" t="str">
        <f ca="1">OFFSET(Industries!F$1,MATCH(Table1[[#This Row],[Ticker]],Industries!$A$2:$A$149,0),0)</f>
        <v>A</v>
      </c>
      <c r="H2584" t="s">
        <v>1434</v>
      </c>
      <c r="I2584" t="s">
        <v>1434</v>
      </c>
      <c r="J2584" s="2">
        <v>45384</v>
      </c>
      <c r="K2584" t="s">
        <v>2</v>
      </c>
      <c r="L2584" t="s">
        <v>1710</v>
      </c>
      <c r="M2584" t="s">
        <v>1709</v>
      </c>
      <c r="N2584" s="1"/>
      <c r="O2584" t="s">
        <v>476</v>
      </c>
      <c r="P2584" s="1">
        <v>0.38</v>
      </c>
      <c r="Q2584" s="1" t="s">
        <v>1636</v>
      </c>
      <c r="R2584" t="s">
        <v>1059</v>
      </c>
      <c r="S2584" t="s">
        <v>1138</v>
      </c>
      <c r="T2584" t="s">
        <v>1780</v>
      </c>
      <c r="U2584" s="1">
        <v>0.25</v>
      </c>
      <c r="V2584" t="s">
        <v>1784</v>
      </c>
    </row>
    <row r="2585" spans="1:22" x14ac:dyDescent="0.3">
      <c r="A2585" t="s">
        <v>1777</v>
      </c>
      <c r="B2585" t="str">
        <f ca="1">OFFSET(Industries!C$1,MATCH(Table1[[#This Row],[Ticker]],Industries!$A$2:$A$150,0),0)</f>
        <v>Industrials</v>
      </c>
      <c r="C2585" t="str">
        <f ca="1">OFFSET(Industries!D$1,MATCH(Table1[[#This Row],[Ticker]],Industries!$A$2:$A$150,0),0)</f>
        <v>Capital Goods</v>
      </c>
      <c r="D2585" t="str">
        <f ca="1">OFFSET(Industries!E$1,MATCH(Table1[[#This Row],[Ticker]],Industries!$A$2:$A$150,0),0)</f>
        <v>Industrial Conglomerates</v>
      </c>
      <c r="E2585" t="s">
        <v>116</v>
      </c>
      <c r="F2585" t="str">
        <f ca="1">OFFSET(Industries!B$1,MATCH(Table1[[#This Row],[Ticker]],Industries!$A$2:$A$149,0),0)</f>
        <v>Mega-Cap</v>
      </c>
      <c r="G2585" t="str">
        <f ca="1">OFFSET(Industries!F$1,MATCH(Table1[[#This Row],[Ticker]],Industries!$A$2:$A$149,0),0)</f>
        <v>A</v>
      </c>
      <c r="H2585" t="s">
        <v>1434</v>
      </c>
      <c r="I2585" t="s">
        <v>1434</v>
      </c>
      <c r="J2585" s="2">
        <v>45384</v>
      </c>
      <c r="K2585" t="s">
        <v>2</v>
      </c>
      <c r="L2585" t="s">
        <v>1710</v>
      </c>
      <c r="M2585" t="s">
        <v>1709</v>
      </c>
      <c r="N2585" s="1"/>
      <c r="O2585" t="s">
        <v>476</v>
      </c>
      <c r="P2585" s="1">
        <v>0.38</v>
      </c>
      <c r="Q2585" s="1" t="s">
        <v>1646</v>
      </c>
      <c r="R2585" t="s">
        <v>35</v>
      </c>
      <c r="S2585" t="s">
        <v>29</v>
      </c>
      <c r="T2585" t="s">
        <v>30</v>
      </c>
      <c r="U2585" s="1">
        <v>0.25</v>
      </c>
      <c r="V2585" t="s">
        <v>506</v>
      </c>
    </row>
    <row r="2586" spans="1:22" x14ac:dyDescent="0.3">
      <c r="A2586" t="s">
        <v>1777</v>
      </c>
      <c r="B2586" t="str">
        <f ca="1">OFFSET(Industries!C$1,MATCH(Table1[[#This Row],[Ticker]],Industries!$A$2:$A$150,0),0)</f>
        <v>Industrials</v>
      </c>
      <c r="C2586" t="str">
        <f ca="1">OFFSET(Industries!D$1,MATCH(Table1[[#This Row],[Ticker]],Industries!$A$2:$A$150,0),0)</f>
        <v>Capital Goods</v>
      </c>
      <c r="D2586" t="str">
        <f ca="1">OFFSET(Industries!E$1,MATCH(Table1[[#This Row],[Ticker]],Industries!$A$2:$A$150,0),0)</f>
        <v>Industrial Conglomerates</v>
      </c>
      <c r="E2586" t="s">
        <v>116</v>
      </c>
      <c r="F2586" t="str">
        <f ca="1">OFFSET(Industries!B$1,MATCH(Table1[[#This Row],[Ticker]],Industries!$A$2:$A$149,0),0)</f>
        <v>Mega-Cap</v>
      </c>
      <c r="G2586" t="str">
        <f ca="1">OFFSET(Industries!F$1,MATCH(Table1[[#This Row],[Ticker]],Industries!$A$2:$A$149,0),0)</f>
        <v>A</v>
      </c>
      <c r="H2586" t="s">
        <v>1434</v>
      </c>
      <c r="I2586" t="s">
        <v>1434</v>
      </c>
      <c r="J2586" s="2">
        <v>45384</v>
      </c>
      <c r="K2586" t="s">
        <v>2</v>
      </c>
      <c r="L2586" t="s">
        <v>1710</v>
      </c>
      <c r="M2586" t="s">
        <v>1711</v>
      </c>
      <c r="N2586" s="1">
        <f>Table1[[#This Row],[Consideration Weight]]</f>
        <v>0.19</v>
      </c>
      <c r="O2586" t="s">
        <v>87</v>
      </c>
      <c r="P2586" s="1">
        <v>0.19</v>
      </c>
    </row>
    <row r="2587" spans="1:22" x14ac:dyDescent="0.3">
      <c r="A2587" t="s">
        <v>1777</v>
      </c>
      <c r="B2587" t="str">
        <f ca="1">OFFSET(Industries!C$1,MATCH(Table1[[#This Row],[Ticker]],Industries!$A$2:$A$150,0),0)</f>
        <v>Industrials</v>
      </c>
      <c r="C2587" t="str">
        <f ca="1">OFFSET(Industries!D$1,MATCH(Table1[[#This Row],[Ticker]],Industries!$A$2:$A$150,0),0)</f>
        <v>Capital Goods</v>
      </c>
      <c r="D2587" t="str">
        <f ca="1">OFFSET(Industries!E$1,MATCH(Table1[[#This Row],[Ticker]],Industries!$A$2:$A$150,0),0)</f>
        <v>Industrial Conglomerates</v>
      </c>
      <c r="E2587" t="s">
        <v>116</v>
      </c>
      <c r="F2587" t="str">
        <f ca="1">OFFSET(Industries!B$1,MATCH(Table1[[#This Row],[Ticker]],Industries!$A$2:$A$149,0),0)</f>
        <v>Mega-Cap</v>
      </c>
      <c r="G2587" t="str">
        <f ca="1">OFFSET(Industries!F$1,MATCH(Table1[[#This Row],[Ticker]],Industries!$A$2:$A$149,0),0)</f>
        <v>A</v>
      </c>
      <c r="H2587" t="s">
        <v>1434</v>
      </c>
      <c r="I2587" t="s">
        <v>1434</v>
      </c>
      <c r="J2587" s="2">
        <v>45384</v>
      </c>
      <c r="K2587" t="s">
        <v>2</v>
      </c>
      <c r="L2587" t="s">
        <v>1710</v>
      </c>
      <c r="M2587" t="s">
        <v>1711</v>
      </c>
      <c r="N2587" s="1">
        <f>Table1[[#This Row],[Consideration Weight]]</f>
        <v>0.19</v>
      </c>
      <c r="O2587" t="s">
        <v>194</v>
      </c>
      <c r="P2587" s="1">
        <v>0.19</v>
      </c>
    </row>
    <row r="2588" spans="1:22" x14ac:dyDescent="0.3">
      <c r="A2588" t="s">
        <v>1777</v>
      </c>
      <c r="B2588" t="str">
        <f ca="1">OFFSET(Industries!C$1,MATCH(Table1[[#This Row],[Ticker]],Industries!$A$2:$A$150,0),0)</f>
        <v>Industrials</v>
      </c>
      <c r="C2588" t="str">
        <f ca="1">OFFSET(Industries!D$1,MATCH(Table1[[#This Row],[Ticker]],Industries!$A$2:$A$150,0),0)</f>
        <v>Capital Goods</v>
      </c>
      <c r="D2588" t="str">
        <f ca="1">OFFSET(Industries!E$1,MATCH(Table1[[#This Row],[Ticker]],Industries!$A$2:$A$150,0),0)</f>
        <v>Industrial Conglomerates</v>
      </c>
      <c r="E2588" t="s">
        <v>116</v>
      </c>
      <c r="F2588" t="str">
        <f ca="1">OFFSET(Industries!B$1,MATCH(Table1[[#This Row],[Ticker]],Industries!$A$2:$A$149,0),0)</f>
        <v>Mega-Cap</v>
      </c>
      <c r="G2588" t="str">
        <f ca="1">OFFSET(Industries!F$1,MATCH(Table1[[#This Row],[Ticker]],Industries!$A$2:$A$149,0),0)</f>
        <v>A</v>
      </c>
      <c r="H2588" t="s">
        <v>1434</v>
      </c>
      <c r="I2588" t="s">
        <v>1434</v>
      </c>
      <c r="J2588" s="2">
        <v>45384</v>
      </c>
      <c r="K2588" t="s">
        <v>21</v>
      </c>
      <c r="L2588" t="s">
        <v>3</v>
      </c>
      <c r="M2588" t="s">
        <v>1711</v>
      </c>
      <c r="N2588" s="1">
        <f>Table1[[#This Row],[Consideration Weight]]</f>
        <v>0.14000000000000001</v>
      </c>
      <c r="O2588" t="s">
        <v>3</v>
      </c>
      <c r="P2588" s="1">
        <v>0.14000000000000001</v>
      </c>
    </row>
    <row r="2589" spans="1:22" x14ac:dyDescent="0.3">
      <c r="A2589" t="s">
        <v>1777</v>
      </c>
      <c r="B2589" t="str">
        <f ca="1">OFFSET(Industries!C$1,MATCH(Table1[[#This Row],[Ticker]],Industries!$A$2:$A$150,0),0)</f>
        <v>Industrials</v>
      </c>
      <c r="C2589" t="str">
        <f ca="1">OFFSET(Industries!D$1,MATCH(Table1[[#This Row],[Ticker]],Industries!$A$2:$A$150,0),0)</f>
        <v>Capital Goods</v>
      </c>
      <c r="D2589" t="str">
        <f ca="1">OFFSET(Industries!E$1,MATCH(Table1[[#This Row],[Ticker]],Industries!$A$2:$A$150,0),0)</f>
        <v>Industrial Conglomerates</v>
      </c>
      <c r="E2589" t="s">
        <v>116</v>
      </c>
      <c r="F2589" t="str">
        <f ca="1">OFFSET(Industries!B$1,MATCH(Table1[[#This Row],[Ticker]],Industries!$A$2:$A$149,0),0)</f>
        <v>Mega-Cap</v>
      </c>
      <c r="G2589" t="str">
        <f ca="1">OFFSET(Industries!F$1,MATCH(Table1[[#This Row],[Ticker]],Industries!$A$2:$A$149,0),0)</f>
        <v>A</v>
      </c>
      <c r="H2589" t="s">
        <v>1434</v>
      </c>
      <c r="I2589" t="s">
        <v>1434</v>
      </c>
      <c r="J2589" s="2">
        <v>45384</v>
      </c>
      <c r="K2589" t="s">
        <v>21</v>
      </c>
      <c r="L2589" t="s">
        <v>1708</v>
      </c>
      <c r="M2589" t="s">
        <v>1709</v>
      </c>
      <c r="N2589" s="1">
        <f>Table1[[#This Row],[Consideration Weight]]</f>
        <v>0.14000000000000001</v>
      </c>
      <c r="O2589" t="s">
        <v>4</v>
      </c>
      <c r="P2589" s="1">
        <v>0.14000000000000001</v>
      </c>
      <c r="Q2589" s="1" t="s">
        <v>1636</v>
      </c>
      <c r="R2589" t="s">
        <v>24</v>
      </c>
      <c r="S2589" t="s">
        <v>1089</v>
      </c>
      <c r="T2589" t="s">
        <v>50</v>
      </c>
      <c r="U2589" s="1">
        <v>0.3</v>
      </c>
      <c r="V2589" t="s">
        <v>1785</v>
      </c>
    </row>
    <row r="2590" spans="1:22" x14ac:dyDescent="0.3">
      <c r="A2590" t="s">
        <v>1777</v>
      </c>
      <c r="B2590" t="str">
        <f ca="1">OFFSET(Industries!C$1,MATCH(Table1[[#This Row],[Ticker]],Industries!$A$2:$A$150,0),0)</f>
        <v>Industrials</v>
      </c>
      <c r="C2590" t="str">
        <f ca="1">OFFSET(Industries!D$1,MATCH(Table1[[#This Row],[Ticker]],Industries!$A$2:$A$150,0),0)</f>
        <v>Capital Goods</v>
      </c>
      <c r="D2590" t="str">
        <f ca="1">OFFSET(Industries!E$1,MATCH(Table1[[#This Row],[Ticker]],Industries!$A$2:$A$150,0),0)</f>
        <v>Industrial Conglomerates</v>
      </c>
      <c r="E2590" t="s">
        <v>116</v>
      </c>
      <c r="F2590" t="str">
        <f ca="1">OFFSET(Industries!B$1,MATCH(Table1[[#This Row],[Ticker]],Industries!$A$2:$A$149,0),0)</f>
        <v>Mega-Cap</v>
      </c>
      <c r="G2590" t="str">
        <f ca="1">OFFSET(Industries!F$1,MATCH(Table1[[#This Row],[Ticker]],Industries!$A$2:$A$149,0),0)</f>
        <v>A</v>
      </c>
      <c r="H2590" t="s">
        <v>1434</v>
      </c>
      <c r="I2590" t="s">
        <v>1434</v>
      </c>
      <c r="J2590" s="2">
        <v>45384</v>
      </c>
      <c r="K2590" t="s">
        <v>21</v>
      </c>
      <c r="L2590" t="s">
        <v>1708</v>
      </c>
      <c r="M2590" t="s">
        <v>1709</v>
      </c>
      <c r="N2590" s="1"/>
      <c r="O2590" t="s">
        <v>4</v>
      </c>
      <c r="P2590" s="1">
        <v>0.14000000000000001</v>
      </c>
      <c r="Q2590" s="1" t="s">
        <v>1636</v>
      </c>
      <c r="R2590" t="s">
        <v>24</v>
      </c>
      <c r="S2590" t="s">
        <v>1086</v>
      </c>
      <c r="T2590" t="s">
        <v>1786</v>
      </c>
      <c r="U2590" s="1">
        <v>0.1</v>
      </c>
      <c r="V2590" t="s">
        <v>1787</v>
      </c>
    </row>
    <row r="2591" spans="1:22" x14ac:dyDescent="0.3">
      <c r="A2591" t="s">
        <v>1777</v>
      </c>
      <c r="B2591" t="str">
        <f ca="1">OFFSET(Industries!C$1,MATCH(Table1[[#This Row],[Ticker]],Industries!$A$2:$A$150,0),0)</f>
        <v>Industrials</v>
      </c>
      <c r="C2591" t="str">
        <f ca="1">OFFSET(Industries!D$1,MATCH(Table1[[#This Row],[Ticker]],Industries!$A$2:$A$150,0),0)</f>
        <v>Capital Goods</v>
      </c>
      <c r="D2591" t="str">
        <f ca="1">OFFSET(Industries!E$1,MATCH(Table1[[#This Row],[Ticker]],Industries!$A$2:$A$150,0),0)</f>
        <v>Industrial Conglomerates</v>
      </c>
      <c r="E2591" t="s">
        <v>116</v>
      </c>
      <c r="F2591" t="str">
        <f ca="1">OFFSET(Industries!B$1,MATCH(Table1[[#This Row],[Ticker]],Industries!$A$2:$A$149,0),0)</f>
        <v>Mega-Cap</v>
      </c>
      <c r="G2591" t="str">
        <f ca="1">OFFSET(Industries!F$1,MATCH(Table1[[#This Row],[Ticker]],Industries!$A$2:$A$149,0),0)</f>
        <v>A</v>
      </c>
      <c r="H2591" t="s">
        <v>1434</v>
      </c>
      <c r="I2591" t="s">
        <v>1434</v>
      </c>
      <c r="J2591" s="2">
        <v>45384</v>
      </c>
      <c r="K2591" t="s">
        <v>21</v>
      </c>
      <c r="L2591" t="s">
        <v>1708</v>
      </c>
      <c r="M2591" t="s">
        <v>1709</v>
      </c>
      <c r="N2591" s="1"/>
      <c r="O2591" t="s">
        <v>4</v>
      </c>
      <c r="P2591" s="1">
        <v>0.14000000000000001</v>
      </c>
      <c r="Q2591" s="1" t="s">
        <v>1636</v>
      </c>
      <c r="R2591" t="s">
        <v>62</v>
      </c>
      <c r="S2591" t="s">
        <v>129</v>
      </c>
      <c r="T2591" t="s">
        <v>129</v>
      </c>
      <c r="U2591" s="1">
        <v>0.4</v>
      </c>
    </row>
    <row r="2592" spans="1:22" x14ac:dyDescent="0.3">
      <c r="A2592" t="s">
        <v>1777</v>
      </c>
      <c r="B2592" t="str">
        <f ca="1">OFFSET(Industries!C$1,MATCH(Table1[[#This Row],[Ticker]],Industries!$A$2:$A$150,0),0)</f>
        <v>Industrials</v>
      </c>
      <c r="C2592" t="str">
        <f ca="1">OFFSET(Industries!D$1,MATCH(Table1[[#This Row],[Ticker]],Industries!$A$2:$A$150,0),0)</f>
        <v>Capital Goods</v>
      </c>
      <c r="D2592" t="str">
        <f ca="1">OFFSET(Industries!E$1,MATCH(Table1[[#This Row],[Ticker]],Industries!$A$2:$A$150,0),0)</f>
        <v>Industrial Conglomerates</v>
      </c>
      <c r="E2592" t="s">
        <v>116</v>
      </c>
      <c r="F2592" t="str">
        <f ca="1">OFFSET(Industries!B$1,MATCH(Table1[[#This Row],[Ticker]],Industries!$A$2:$A$149,0),0)</f>
        <v>Mega-Cap</v>
      </c>
      <c r="G2592" t="str">
        <f ca="1">OFFSET(Industries!F$1,MATCH(Table1[[#This Row],[Ticker]],Industries!$A$2:$A$149,0),0)</f>
        <v>A</v>
      </c>
      <c r="H2592" t="s">
        <v>1434</v>
      </c>
      <c r="I2592" t="s">
        <v>1434</v>
      </c>
      <c r="J2592" s="2">
        <v>45384</v>
      </c>
      <c r="K2592" t="s">
        <v>21</v>
      </c>
      <c r="L2592" t="s">
        <v>1708</v>
      </c>
      <c r="M2592" t="s">
        <v>1709</v>
      </c>
      <c r="N2592" s="1"/>
      <c r="O2592" t="s">
        <v>4</v>
      </c>
      <c r="P2592" s="1">
        <v>0.14000000000000001</v>
      </c>
      <c r="Q2592" s="1" t="s">
        <v>1637</v>
      </c>
      <c r="R2592" t="s">
        <v>332</v>
      </c>
      <c r="S2592" t="s">
        <v>380</v>
      </c>
      <c r="T2592" t="s">
        <v>380</v>
      </c>
      <c r="U2592" s="1">
        <v>0.15</v>
      </c>
    </row>
    <row r="2593" spans="1:22" x14ac:dyDescent="0.3">
      <c r="A2593" t="s">
        <v>1777</v>
      </c>
      <c r="B2593" t="str">
        <f ca="1">OFFSET(Industries!C$1,MATCH(Table1[[#This Row],[Ticker]],Industries!$A$2:$A$150,0),0)</f>
        <v>Industrials</v>
      </c>
      <c r="C2593" t="str">
        <f ca="1">OFFSET(Industries!D$1,MATCH(Table1[[#This Row],[Ticker]],Industries!$A$2:$A$150,0),0)</f>
        <v>Capital Goods</v>
      </c>
      <c r="D2593" t="str">
        <f ca="1">OFFSET(Industries!E$1,MATCH(Table1[[#This Row],[Ticker]],Industries!$A$2:$A$150,0),0)</f>
        <v>Industrial Conglomerates</v>
      </c>
      <c r="E2593" t="s">
        <v>116</v>
      </c>
      <c r="F2593" t="str">
        <f ca="1">OFFSET(Industries!B$1,MATCH(Table1[[#This Row],[Ticker]],Industries!$A$2:$A$149,0),0)</f>
        <v>Mega-Cap</v>
      </c>
      <c r="G2593" t="str">
        <f ca="1">OFFSET(Industries!F$1,MATCH(Table1[[#This Row],[Ticker]],Industries!$A$2:$A$149,0),0)</f>
        <v>A</v>
      </c>
      <c r="H2593" t="s">
        <v>1434</v>
      </c>
      <c r="I2593" t="s">
        <v>1434</v>
      </c>
      <c r="J2593" s="2">
        <v>45384</v>
      </c>
      <c r="K2593" t="s">
        <v>21</v>
      </c>
      <c r="L2593" t="s">
        <v>1708</v>
      </c>
      <c r="M2593" t="s">
        <v>1709</v>
      </c>
      <c r="N2593" s="1"/>
      <c r="O2593" t="s">
        <v>4</v>
      </c>
      <c r="P2593" s="1">
        <v>0.14000000000000001</v>
      </c>
      <c r="Q2593" s="1" t="s">
        <v>1637</v>
      </c>
      <c r="R2593" t="s">
        <v>26</v>
      </c>
      <c r="S2593" t="s">
        <v>26</v>
      </c>
      <c r="T2593" t="s">
        <v>26</v>
      </c>
      <c r="U2593" s="1">
        <v>0.05</v>
      </c>
    </row>
    <row r="2594" spans="1:22" x14ac:dyDescent="0.3">
      <c r="A2594" t="s">
        <v>1777</v>
      </c>
      <c r="B2594" t="str">
        <f ca="1">OFFSET(Industries!C$1,MATCH(Table1[[#This Row],[Ticker]],Industries!$A$2:$A$150,0),0)</f>
        <v>Industrials</v>
      </c>
      <c r="C2594" t="str">
        <f ca="1">OFFSET(Industries!D$1,MATCH(Table1[[#This Row],[Ticker]],Industries!$A$2:$A$150,0),0)</f>
        <v>Capital Goods</v>
      </c>
      <c r="D2594" t="str">
        <f ca="1">OFFSET(Industries!E$1,MATCH(Table1[[#This Row],[Ticker]],Industries!$A$2:$A$150,0),0)</f>
        <v>Industrial Conglomerates</v>
      </c>
      <c r="E2594" t="s">
        <v>116</v>
      </c>
      <c r="F2594" t="str">
        <f ca="1">OFFSET(Industries!B$1,MATCH(Table1[[#This Row],[Ticker]],Industries!$A$2:$A$149,0),0)</f>
        <v>Mega-Cap</v>
      </c>
      <c r="G2594" t="str">
        <f ca="1">OFFSET(Industries!F$1,MATCH(Table1[[#This Row],[Ticker]],Industries!$A$2:$A$149,0),0)</f>
        <v>A</v>
      </c>
      <c r="H2594" t="s">
        <v>1434</v>
      </c>
      <c r="I2594" t="s">
        <v>1434</v>
      </c>
      <c r="J2594" s="2">
        <v>45384</v>
      </c>
      <c r="K2594" t="s">
        <v>21</v>
      </c>
      <c r="L2594" t="s">
        <v>1710</v>
      </c>
      <c r="M2594" t="s">
        <v>1709</v>
      </c>
      <c r="N2594" s="1">
        <f>Table1[[#This Row],[Consideration Weight]]</f>
        <v>0.36</v>
      </c>
      <c r="O2594" t="s">
        <v>476</v>
      </c>
      <c r="P2594" s="1">
        <v>0.36</v>
      </c>
      <c r="Q2594" s="1" t="s">
        <v>1636</v>
      </c>
      <c r="R2594" t="s">
        <v>23</v>
      </c>
      <c r="S2594" t="s">
        <v>1083</v>
      </c>
      <c r="T2594" t="s">
        <v>1326</v>
      </c>
      <c r="U2594" s="1">
        <v>0.25</v>
      </c>
    </row>
    <row r="2595" spans="1:22" x14ac:dyDescent="0.3">
      <c r="A2595" t="s">
        <v>1777</v>
      </c>
      <c r="B2595" t="str">
        <f ca="1">OFFSET(Industries!C$1,MATCH(Table1[[#This Row],[Ticker]],Industries!$A$2:$A$150,0),0)</f>
        <v>Industrials</v>
      </c>
      <c r="C2595" t="str">
        <f ca="1">OFFSET(Industries!D$1,MATCH(Table1[[#This Row],[Ticker]],Industries!$A$2:$A$150,0),0)</f>
        <v>Capital Goods</v>
      </c>
      <c r="D2595" t="str">
        <f ca="1">OFFSET(Industries!E$1,MATCH(Table1[[#This Row],[Ticker]],Industries!$A$2:$A$150,0),0)</f>
        <v>Industrial Conglomerates</v>
      </c>
      <c r="E2595" t="s">
        <v>116</v>
      </c>
      <c r="F2595" t="str">
        <f ca="1">OFFSET(Industries!B$1,MATCH(Table1[[#This Row],[Ticker]],Industries!$A$2:$A$149,0),0)</f>
        <v>Mega-Cap</v>
      </c>
      <c r="G2595" t="str">
        <f ca="1">OFFSET(Industries!F$1,MATCH(Table1[[#This Row],[Ticker]],Industries!$A$2:$A$149,0),0)</f>
        <v>A</v>
      </c>
      <c r="H2595" t="s">
        <v>1434</v>
      </c>
      <c r="I2595" t="s">
        <v>1434</v>
      </c>
      <c r="J2595" s="2">
        <v>45384</v>
      </c>
      <c r="K2595" t="s">
        <v>21</v>
      </c>
      <c r="L2595" t="s">
        <v>1710</v>
      </c>
      <c r="M2595" t="s">
        <v>1709</v>
      </c>
      <c r="N2595" s="1"/>
      <c r="O2595" t="s">
        <v>476</v>
      </c>
      <c r="P2595" s="1">
        <v>0.36</v>
      </c>
      <c r="Q2595" s="1" t="s">
        <v>1636</v>
      </c>
      <c r="R2595" t="s">
        <v>24</v>
      </c>
      <c r="S2595" t="s">
        <v>509</v>
      </c>
      <c r="T2595" t="s">
        <v>1779</v>
      </c>
      <c r="U2595" s="1">
        <v>0.25</v>
      </c>
    </row>
    <row r="2596" spans="1:22" x14ac:dyDescent="0.3">
      <c r="A2596" t="s">
        <v>1777</v>
      </c>
      <c r="B2596" t="str">
        <f ca="1">OFFSET(Industries!C$1,MATCH(Table1[[#This Row],[Ticker]],Industries!$A$2:$A$150,0),0)</f>
        <v>Industrials</v>
      </c>
      <c r="C2596" t="str">
        <f ca="1">OFFSET(Industries!D$1,MATCH(Table1[[#This Row],[Ticker]],Industries!$A$2:$A$150,0),0)</f>
        <v>Capital Goods</v>
      </c>
      <c r="D2596" t="str">
        <f ca="1">OFFSET(Industries!E$1,MATCH(Table1[[#This Row],[Ticker]],Industries!$A$2:$A$150,0),0)</f>
        <v>Industrial Conglomerates</v>
      </c>
      <c r="E2596" t="s">
        <v>116</v>
      </c>
      <c r="F2596" t="str">
        <f ca="1">OFFSET(Industries!B$1,MATCH(Table1[[#This Row],[Ticker]],Industries!$A$2:$A$149,0),0)</f>
        <v>Mega-Cap</v>
      </c>
      <c r="G2596" t="str">
        <f ca="1">OFFSET(Industries!F$1,MATCH(Table1[[#This Row],[Ticker]],Industries!$A$2:$A$149,0),0)</f>
        <v>A</v>
      </c>
      <c r="H2596" t="s">
        <v>1434</v>
      </c>
      <c r="I2596" t="s">
        <v>1434</v>
      </c>
      <c r="J2596" s="2">
        <v>45384</v>
      </c>
      <c r="K2596" t="s">
        <v>21</v>
      </c>
      <c r="L2596" t="s">
        <v>1710</v>
      </c>
      <c r="M2596" t="s">
        <v>1709</v>
      </c>
      <c r="N2596" s="1"/>
      <c r="O2596" t="s">
        <v>476</v>
      </c>
      <c r="P2596" s="1">
        <v>0.36</v>
      </c>
      <c r="Q2596" s="1" t="s">
        <v>1636</v>
      </c>
      <c r="R2596" t="s">
        <v>1059</v>
      </c>
      <c r="S2596" t="s">
        <v>1138</v>
      </c>
      <c r="T2596" t="s">
        <v>1780</v>
      </c>
      <c r="U2596" s="1">
        <v>0.25</v>
      </c>
    </row>
    <row r="2597" spans="1:22" x14ac:dyDescent="0.3">
      <c r="A2597" t="s">
        <v>1777</v>
      </c>
      <c r="B2597" t="str">
        <f ca="1">OFFSET(Industries!C$1,MATCH(Table1[[#This Row],[Ticker]],Industries!$A$2:$A$150,0),0)</f>
        <v>Industrials</v>
      </c>
      <c r="C2597" t="str">
        <f ca="1">OFFSET(Industries!D$1,MATCH(Table1[[#This Row],[Ticker]],Industries!$A$2:$A$150,0),0)</f>
        <v>Capital Goods</v>
      </c>
      <c r="D2597" t="str">
        <f ca="1">OFFSET(Industries!E$1,MATCH(Table1[[#This Row],[Ticker]],Industries!$A$2:$A$150,0),0)</f>
        <v>Industrial Conglomerates</v>
      </c>
      <c r="E2597" t="s">
        <v>116</v>
      </c>
      <c r="F2597" t="str">
        <f ca="1">OFFSET(Industries!B$1,MATCH(Table1[[#This Row],[Ticker]],Industries!$A$2:$A$149,0),0)</f>
        <v>Mega-Cap</v>
      </c>
      <c r="G2597" t="str">
        <f ca="1">OFFSET(Industries!F$1,MATCH(Table1[[#This Row],[Ticker]],Industries!$A$2:$A$149,0),0)</f>
        <v>A</v>
      </c>
      <c r="H2597" t="s">
        <v>1434</v>
      </c>
      <c r="I2597" t="s">
        <v>1434</v>
      </c>
      <c r="J2597" s="2">
        <v>45384</v>
      </c>
      <c r="K2597" t="s">
        <v>21</v>
      </c>
      <c r="L2597" t="s">
        <v>1710</v>
      </c>
      <c r="M2597" t="s">
        <v>1709</v>
      </c>
      <c r="N2597" s="1"/>
      <c r="O2597" t="s">
        <v>476</v>
      </c>
      <c r="P2597" s="1">
        <v>0.36</v>
      </c>
      <c r="Q2597" s="1" t="s">
        <v>1646</v>
      </c>
      <c r="R2597" t="s">
        <v>35</v>
      </c>
      <c r="S2597" t="s">
        <v>29</v>
      </c>
      <c r="T2597" t="s">
        <v>30</v>
      </c>
      <c r="U2597" s="1">
        <v>0.25</v>
      </c>
    </row>
    <row r="2598" spans="1:22" x14ac:dyDescent="0.3">
      <c r="A2598" t="s">
        <v>1777</v>
      </c>
      <c r="B2598" t="str">
        <f ca="1">OFFSET(Industries!C$1,MATCH(Table1[[#This Row],[Ticker]],Industries!$A$2:$A$150,0),0)</f>
        <v>Industrials</v>
      </c>
      <c r="C2598" t="str">
        <f ca="1">OFFSET(Industries!D$1,MATCH(Table1[[#This Row],[Ticker]],Industries!$A$2:$A$150,0),0)</f>
        <v>Capital Goods</v>
      </c>
      <c r="D2598" t="str">
        <f ca="1">OFFSET(Industries!E$1,MATCH(Table1[[#This Row],[Ticker]],Industries!$A$2:$A$150,0),0)</f>
        <v>Industrial Conglomerates</v>
      </c>
      <c r="E2598" t="s">
        <v>116</v>
      </c>
      <c r="F2598" t="str">
        <f ca="1">OFFSET(Industries!B$1,MATCH(Table1[[#This Row],[Ticker]],Industries!$A$2:$A$149,0),0)</f>
        <v>Mega-Cap</v>
      </c>
      <c r="G2598" t="str">
        <f ca="1">OFFSET(Industries!F$1,MATCH(Table1[[#This Row],[Ticker]],Industries!$A$2:$A$149,0),0)</f>
        <v>A</v>
      </c>
      <c r="H2598" t="s">
        <v>1434</v>
      </c>
      <c r="I2598" t="s">
        <v>1434</v>
      </c>
      <c r="J2598" s="2">
        <v>45384</v>
      </c>
      <c r="K2598" t="s">
        <v>21</v>
      </c>
      <c r="L2598" t="s">
        <v>1710</v>
      </c>
      <c r="M2598" t="s">
        <v>1711</v>
      </c>
      <c r="N2598" s="1">
        <f>Table1[[#This Row],[Consideration Weight]]</f>
        <v>0.18</v>
      </c>
      <c r="O2598" t="s">
        <v>87</v>
      </c>
      <c r="P2598" s="1">
        <v>0.18</v>
      </c>
    </row>
    <row r="2599" spans="1:22" x14ac:dyDescent="0.3">
      <c r="A2599" t="s">
        <v>1777</v>
      </c>
      <c r="B2599" t="str">
        <f ca="1">OFFSET(Industries!C$1,MATCH(Table1[[#This Row],[Ticker]],Industries!$A$2:$A$150,0),0)</f>
        <v>Industrials</v>
      </c>
      <c r="C2599" t="str">
        <f ca="1">OFFSET(Industries!D$1,MATCH(Table1[[#This Row],[Ticker]],Industries!$A$2:$A$150,0),0)</f>
        <v>Capital Goods</v>
      </c>
      <c r="D2599" t="str">
        <f ca="1">OFFSET(Industries!E$1,MATCH(Table1[[#This Row],[Ticker]],Industries!$A$2:$A$150,0),0)</f>
        <v>Industrial Conglomerates</v>
      </c>
      <c r="E2599" t="s">
        <v>116</v>
      </c>
      <c r="F2599" t="str">
        <f ca="1">OFFSET(Industries!B$1,MATCH(Table1[[#This Row],[Ticker]],Industries!$A$2:$A$150,0),0)</f>
        <v>Mega-Cap</v>
      </c>
      <c r="G2599" t="str">
        <f ca="1">OFFSET(Industries!F$1,MATCH(Table1[[#This Row],[Ticker]],Industries!$A$2:$A$150,0),0)</f>
        <v>A</v>
      </c>
      <c r="H2599" t="s">
        <v>1434</v>
      </c>
      <c r="I2599" t="s">
        <v>1434</v>
      </c>
      <c r="J2599" s="2">
        <v>45384</v>
      </c>
      <c r="K2599" t="s">
        <v>21</v>
      </c>
      <c r="L2599" t="s">
        <v>1710</v>
      </c>
      <c r="M2599" t="s">
        <v>1711</v>
      </c>
      <c r="N2599" s="1">
        <f>Table1[[#This Row],[Consideration Weight]]</f>
        <v>0.18</v>
      </c>
      <c r="O2599" t="s">
        <v>194</v>
      </c>
      <c r="P2599" s="1">
        <v>0.18</v>
      </c>
    </row>
    <row r="2600" spans="1:22" x14ac:dyDescent="0.3">
      <c r="A2600" t="s">
        <v>1788</v>
      </c>
      <c r="B2600" t="str">
        <f ca="1">OFFSET(Industries!C$1,MATCH(Table1[[#This Row],[Ticker]],Industries!$A$2:$A$150,0),0)</f>
        <v>Financials</v>
      </c>
      <c r="C2600" t="str">
        <f ca="1">OFFSET(Industries!D$1,MATCH(Table1[[#This Row],[Ticker]],Industries!$A$2:$A$150,0),0)</f>
        <v>Banks</v>
      </c>
      <c r="D2600" t="str">
        <f ca="1">OFFSET(Industries!E$1,MATCH(Table1[[#This Row],[Ticker]],Industries!$A$2:$A$150,0),0)</f>
        <v>Banks</v>
      </c>
      <c r="E2600" t="s">
        <v>93</v>
      </c>
      <c r="F2600" t="str">
        <f ca="1">OFFSET(Industries!B$1,MATCH(Table1[[#This Row],[Ticker]],Industries!$A$2:$A$150,0),0)</f>
        <v>Ultra-Cap</v>
      </c>
      <c r="G2600" t="str">
        <f ca="1">OFFSET(Industries!F$1,MATCH(Table1[[#This Row],[Ticker]],Industries!$A$2:$A$150,0),0)</f>
        <v>A</v>
      </c>
      <c r="H2600" t="s">
        <v>1789</v>
      </c>
      <c r="I2600" t="s">
        <v>1439</v>
      </c>
      <c r="J2600" s="2">
        <v>45337</v>
      </c>
      <c r="K2600" t="s">
        <v>2</v>
      </c>
      <c r="L2600" t="s">
        <v>3</v>
      </c>
      <c r="M2600" t="s">
        <v>1711</v>
      </c>
      <c r="N2600" s="1">
        <f>Table1[[#This Row],[Consideration Weight]]</f>
        <v>0.45</v>
      </c>
      <c r="O2600" t="s">
        <v>3</v>
      </c>
      <c r="P2600" s="1">
        <v>0.45</v>
      </c>
    </row>
    <row r="2601" spans="1:22" x14ac:dyDescent="0.3">
      <c r="A2601" t="s">
        <v>1788</v>
      </c>
      <c r="B2601" t="str">
        <f ca="1">OFFSET(Industries!C$1,MATCH(Table1[[#This Row],[Ticker]],Industries!$A$2:$A$150,0),0)</f>
        <v>Financials</v>
      </c>
      <c r="C2601" t="str">
        <f ca="1">OFFSET(Industries!D$1,MATCH(Table1[[#This Row],[Ticker]],Industries!$A$2:$A$150,0),0)</f>
        <v>Banks</v>
      </c>
      <c r="D2601" t="str">
        <f ca="1">OFFSET(Industries!E$1,MATCH(Table1[[#This Row],[Ticker]],Industries!$A$2:$A$150,0),0)</f>
        <v>Banks</v>
      </c>
      <c r="E2601" t="s">
        <v>93</v>
      </c>
      <c r="F2601" t="str">
        <f ca="1">OFFSET(Industries!B$1,MATCH(Table1[[#This Row],[Ticker]],Industries!$A$2:$A$150,0),0)</f>
        <v>Ultra-Cap</v>
      </c>
      <c r="G2601" t="str">
        <f ca="1">OFFSET(Industries!F$1,MATCH(Table1[[#This Row],[Ticker]],Industries!$A$2:$A$150,0),0)</f>
        <v>A</v>
      </c>
      <c r="H2601" t="s">
        <v>1789</v>
      </c>
      <c r="I2601" t="s">
        <v>1439</v>
      </c>
      <c r="J2601" s="2">
        <v>45337</v>
      </c>
      <c r="K2601" t="s">
        <v>2</v>
      </c>
      <c r="L2601" t="s">
        <v>1708</v>
      </c>
      <c r="M2601" t="s">
        <v>1709</v>
      </c>
      <c r="N2601" s="1">
        <f>Table1[[#This Row],[Consideration Weight]]</f>
        <v>0.15309</v>
      </c>
      <c r="O2601" t="s">
        <v>4</v>
      </c>
      <c r="P2601" s="1">
        <f>((0.374*0.5)+((1-0.374)*0.4))*0.35</f>
        <v>0.15309</v>
      </c>
      <c r="Q2601" s="1" t="s">
        <v>1636</v>
      </c>
      <c r="R2601" t="s">
        <v>24</v>
      </c>
      <c r="S2601" t="s">
        <v>1098</v>
      </c>
      <c r="T2601" t="s">
        <v>1790</v>
      </c>
      <c r="U2601" s="1">
        <v>0.2</v>
      </c>
      <c r="V2601" t="s">
        <v>1798</v>
      </c>
    </row>
    <row r="2602" spans="1:22" x14ac:dyDescent="0.3">
      <c r="A2602" t="s">
        <v>1788</v>
      </c>
      <c r="B2602" t="str">
        <f ca="1">OFFSET(Industries!C$1,MATCH(Table1[[#This Row],[Ticker]],Industries!$A$2:$A$150,0),0)</f>
        <v>Financials</v>
      </c>
      <c r="C2602" t="str">
        <f ca="1">OFFSET(Industries!D$1,MATCH(Table1[[#This Row],[Ticker]],Industries!$A$2:$A$150,0),0)</f>
        <v>Banks</v>
      </c>
      <c r="D2602" t="str">
        <f ca="1">OFFSET(Industries!E$1,MATCH(Table1[[#This Row],[Ticker]],Industries!$A$2:$A$150,0),0)</f>
        <v>Banks</v>
      </c>
      <c r="E2602" t="s">
        <v>93</v>
      </c>
      <c r="F2602" t="str">
        <f ca="1">OFFSET(Industries!B$1,MATCH(Table1[[#This Row],[Ticker]],Industries!$A$2:$A$150,0),0)</f>
        <v>Ultra-Cap</v>
      </c>
      <c r="G2602" t="str">
        <f ca="1">OFFSET(Industries!F$1,MATCH(Table1[[#This Row],[Ticker]],Industries!$A$2:$A$150,0),0)</f>
        <v>A</v>
      </c>
      <c r="H2602" t="s">
        <v>1789</v>
      </c>
      <c r="I2602" t="s">
        <v>1439</v>
      </c>
      <c r="J2602" s="2">
        <v>45337</v>
      </c>
      <c r="K2602" t="s">
        <v>2</v>
      </c>
      <c r="L2602" t="s">
        <v>1708</v>
      </c>
      <c r="M2602" t="s">
        <v>1709</v>
      </c>
      <c r="N2602" s="1"/>
      <c r="O2602" t="s">
        <v>4</v>
      </c>
      <c r="P2602" s="1">
        <f t="shared" ref="P2602:P2610" si="65">((0.374*0.5)+((1-0.374)*0.4))*0.35</f>
        <v>0.15309</v>
      </c>
      <c r="Q2602" s="1" t="s">
        <v>1636</v>
      </c>
      <c r="R2602" t="s">
        <v>1059</v>
      </c>
      <c r="S2602" t="s">
        <v>1086</v>
      </c>
      <c r="T2602" t="s">
        <v>1816</v>
      </c>
      <c r="U2602" s="1">
        <v>0.2</v>
      </c>
      <c r="V2602" t="s">
        <v>1799</v>
      </c>
    </row>
    <row r="2603" spans="1:22" x14ac:dyDescent="0.3">
      <c r="A2603" t="s">
        <v>1788</v>
      </c>
      <c r="B2603" t="str">
        <f ca="1">OFFSET(Industries!C$1,MATCH(Table1[[#This Row],[Ticker]],Industries!$A$2:$A$150,0),0)</f>
        <v>Financials</v>
      </c>
      <c r="C2603" t="str">
        <f ca="1">OFFSET(Industries!D$1,MATCH(Table1[[#This Row],[Ticker]],Industries!$A$2:$A$150,0),0)</f>
        <v>Banks</v>
      </c>
      <c r="D2603" t="str">
        <f ca="1">OFFSET(Industries!E$1,MATCH(Table1[[#This Row],[Ticker]],Industries!$A$2:$A$150,0),0)</f>
        <v>Banks</v>
      </c>
      <c r="E2603" t="s">
        <v>93</v>
      </c>
      <c r="F2603" t="str">
        <f ca="1">OFFSET(Industries!B$1,MATCH(Table1[[#This Row],[Ticker]],Industries!$A$2:$A$150,0),0)</f>
        <v>Ultra-Cap</v>
      </c>
      <c r="G2603" t="str">
        <f ca="1">OFFSET(Industries!F$1,MATCH(Table1[[#This Row],[Ticker]],Industries!$A$2:$A$150,0),0)</f>
        <v>A</v>
      </c>
      <c r="H2603" t="s">
        <v>1789</v>
      </c>
      <c r="I2603" t="s">
        <v>1439</v>
      </c>
      <c r="J2603" s="2">
        <v>45337</v>
      </c>
      <c r="K2603" t="s">
        <v>2</v>
      </c>
      <c r="L2603" t="s">
        <v>1708</v>
      </c>
      <c r="M2603" t="s">
        <v>1709</v>
      </c>
      <c r="N2603" s="1"/>
      <c r="O2603" t="s">
        <v>4</v>
      </c>
      <c r="P2603" s="1">
        <f t="shared" si="65"/>
        <v>0.15309</v>
      </c>
      <c r="Q2603" s="1" t="s">
        <v>1636</v>
      </c>
      <c r="R2603" t="s">
        <v>24</v>
      </c>
      <c r="S2603" t="s">
        <v>1791</v>
      </c>
      <c r="T2603" t="s">
        <v>1791</v>
      </c>
      <c r="U2603" s="1">
        <v>0.2</v>
      </c>
      <c r="V2603" t="s">
        <v>1800</v>
      </c>
    </row>
    <row r="2604" spans="1:22" x14ac:dyDescent="0.3">
      <c r="A2604" t="s">
        <v>1788</v>
      </c>
      <c r="B2604" t="str">
        <f ca="1">OFFSET(Industries!C$1,MATCH(Table1[[#This Row],[Ticker]],Industries!$A$2:$A$150,0),0)</f>
        <v>Financials</v>
      </c>
      <c r="C2604" t="str">
        <f ca="1">OFFSET(Industries!D$1,MATCH(Table1[[#This Row],[Ticker]],Industries!$A$2:$A$150,0),0)</f>
        <v>Banks</v>
      </c>
      <c r="D2604" t="str">
        <f ca="1">OFFSET(Industries!E$1,MATCH(Table1[[#This Row],[Ticker]],Industries!$A$2:$A$150,0),0)</f>
        <v>Banks</v>
      </c>
      <c r="E2604" t="s">
        <v>93</v>
      </c>
      <c r="F2604" t="str">
        <f ca="1">OFFSET(Industries!B$1,MATCH(Table1[[#This Row],[Ticker]],Industries!$A$2:$A$150,0),0)</f>
        <v>Ultra-Cap</v>
      </c>
      <c r="G2604" t="str">
        <f ca="1">OFFSET(Industries!F$1,MATCH(Table1[[#This Row],[Ticker]],Industries!$A$2:$A$150,0),0)</f>
        <v>A</v>
      </c>
      <c r="H2604" t="s">
        <v>1789</v>
      </c>
      <c r="I2604" t="s">
        <v>1439</v>
      </c>
      <c r="J2604" s="2">
        <v>45337</v>
      </c>
      <c r="K2604" t="s">
        <v>2</v>
      </c>
      <c r="L2604" t="s">
        <v>1708</v>
      </c>
      <c r="M2604" t="s">
        <v>1709</v>
      </c>
      <c r="N2604" s="1"/>
      <c r="O2604" t="s">
        <v>4</v>
      </c>
      <c r="P2604" s="1">
        <f t="shared" si="65"/>
        <v>0.15309</v>
      </c>
      <c r="Q2604" s="1" t="s">
        <v>1637</v>
      </c>
      <c r="R2604" t="s">
        <v>25</v>
      </c>
      <c r="S2604" t="s">
        <v>1130</v>
      </c>
      <c r="T2604" t="s">
        <v>1792</v>
      </c>
      <c r="U2604" s="1">
        <v>0.15</v>
      </c>
      <c r="V2604" t="s">
        <v>1801</v>
      </c>
    </row>
    <row r="2605" spans="1:22" x14ac:dyDescent="0.3">
      <c r="A2605" t="s">
        <v>1788</v>
      </c>
      <c r="B2605" t="str">
        <f ca="1">OFFSET(Industries!C$1,MATCH(Table1[[#This Row],[Ticker]],Industries!$A$2:$A$150,0),0)</f>
        <v>Financials</v>
      </c>
      <c r="C2605" t="str">
        <f ca="1">OFFSET(Industries!D$1,MATCH(Table1[[#This Row],[Ticker]],Industries!$A$2:$A$150,0),0)</f>
        <v>Banks</v>
      </c>
      <c r="D2605" t="str">
        <f ca="1">OFFSET(Industries!E$1,MATCH(Table1[[#This Row],[Ticker]],Industries!$A$2:$A$150,0),0)</f>
        <v>Banks</v>
      </c>
      <c r="E2605" t="s">
        <v>93</v>
      </c>
      <c r="F2605" t="str">
        <f ca="1">OFFSET(Industries!B$1,MATCH(Table1[[#This Row],[Ticker]],Industries!$A$2:$A$150,0),0)</f>
        <v>Ultra-Cap</v>
      </c>
      <c r="G2605" t="str">
        <f ca="1">OFFSET(Industries!F$1,MATCH(Table1[[#This Row],[Ticker]],Industries!$A$2:$A$150,0),0)</f>
        <v>A</v>
      </c>
      <c r="H2605" t="s">
        <v>1789</v>
      </c>
      <c r="I2605" t="s">
        <v>1439</v>
      </c>
      <c r="J2605" s="2">
        <v>45337</v>
      </c>
      <c r="K2605" t="s">
        <v>2</v>
      </c>
      <c r="L2605" t="s">
        <v>1708</v>
      </c>
      <c r="M2605" t="s">
        <v>1709</v>
      </c>
      <c r="N2605" s="1"/>
      <c r="O2605" t="s">
        <v>4</v>
      </c>
      <c r="P2605" s="1">
        <f t="shared" si="65"/>
        <v>0.15309</v>
      </c>
      <c r="Q2605" s="1" t="s">
        <v>1637</v>
      </c>
      <c r="R2605" t="s">
        <v>25</v>
      </c>
      <c r="S2605" t="s">
        <v>1130</v>
      </c>
      <c r="T2605" t="s">
        <v>1793</v>
      </c>
      <c r="U2605" s="1">
        <v>0.15</v>
      </c>
      <c r="V2605" t="s">
        <v>1802</v>
      </c>
    </row>
    <row r="2606" spans="1:22" x14ac:dyDescent="0.3">
      <c r="A2606" t="s">
        <v>1788</v>
      </c>
      <c r="B2606" t="str">
        <f ca="1">OFFSET(Industries!C$1,MATCH(Table1[[#This Row],[Ticker]],Industries!$A$2:$A$150,0),0)</f>
        <v>Financials</v>
      </c>
      <c r="C2606" t="str">
        <f ca="1">OFFSET(Industries!D$1,MATCH(Table1[[#This Row],[Ticker]],Industries!$A$2:$A$150,0),0)</f>
        <v>Banks</v>
      </c>
      <c r="D2606" t="str">
        <f ca="1">OFFSET(Industries!E$1,MATCH(Table1[[#This Row],[Ticker]],Industries!$A$2:$A$150,0),0)</f>
        <v>Banks</v>
      </c>
      <c r="E2606" t="s">
        <v>93</v>
      </c>
      <c r="F2606" t="str">
        <f ca="1">OFFSET(Industries!B$1,MATCH(Table1[[#This Row],[Ticker]],Industries!$A$2:$A$150,0),0)</f>
        <v>Ultra-Cap</v>
      </c>
      <c r="G2606" t="str">
        <f ca="1">OFFSET(Industries!F$1,MATCH(Table1[[#This Row],[Ticker]],Industries!$A$2:$A$150,0),0)</f>
        <v>A</v>
      </c>
      <c r="H2606" t="s">
        <v>1789</v>
      </c>
      <c r="I2606" t="s">
        <v>1439</v>
      </c>
      <c r="J2606" s="2">
        <v>45337</v>
      </c>
      <c r="K2606" t="s">
        <v>2</v>
      </c>
      <c r="L2606" t="s">
        <v>1708</v>
      </c>
      <c r="M2606" t="s">
        <v>1709</v>
      </c>
      <c r="N2606" s="1"/>
      <c r="O2606" t="s">
        <v>4</v>
      </c>
      <c r="P2606" s="1">
        <f t="shared" si="65"/>
        <v>0.15309</v>
      </c>
      <c r="Q2606" s="1" t="s">
        <v>1637</v>
      </c>
      <c r="R2606" t="s">
        <v>26</v>
      </c>
      <c r="S2606" t="s">
        <v>26</v>
      </c>
      <c r="T2606" t="s">
        <v>1794</v>
      </c>
      <c r="U2606" s="1">
        <v>0.1</v>
      </c>
      <c r="V2606" t="s">
        <v>1803</v>
      </c>
    </row>
    <row r="2607" spans="1:22" x14ac:dyDescent="0.3">
      <c r="A2607" t="s">
        <v>1788</v>
      </c>
      <c r="B2607" t="str">
        <f ca="1">OFFSET(Industries!C$1,MATCH(Table1[[#This Row],[Ticker]],Industries!$A$2:$A$150,0),0)</f>
        <v>Financials</v>
      </c>
      <c r="C2607" t="str">
        <f ca="1">OFFSET(Industries!D$1,MATCH(Table1[[#This Row],[Ticker]],Industries!$A$2:$A$150,0),0)</f>
        <v>Banks</v>
      </c>
      <c r="D2607" t="str">
        <f ca="1">OFFSET(Industries!E$1,MATCH(Table1[[#This Row],[Ticker]],Industries!$A$2:$A$150,0),0)</f>
        <v>Banks</v>
      </c>
      <c r="E2607" t="s">
        <v>93</v>
      </c>
      <c r="F2607" t="str">
        <f ca="1">OFFSET(Industries!B$1,MATCH(Table1[[#This Row],[Ticker]],Industries!$A$2:$A$150,0),0)</f>
        <v>Ultra-Cap</v>
      </c>
      <c r="G2607" t="str">
        <f ca="1">OFFSET(Industries!F$1,MATCH(Table1[[#This Row],[Ticker]],Industries!$A$2:$A$150,0),0)</f>
        <v>A</v>
      </c>
      <c r="H2607" t="s">
        <v>1789</v>
      </c>
      <c r="I2607" t="s">
        <v>1439</v>
      </c>
      <c r="J2607" s="2">
        <v>45337</v>
      </c>
      <c r="K2607" t="s">
        <v>2</v>
      </c>
      <c r="L2607" t="s">
        <v>1708</v>
      </c>
      <c r="M2607" t="s">
        <v>1709</v>
      </c>
      <c r="N2607" s="1"/>
      <c r="O2607" t="s">
        <v>4</v>
      </c>
      <c r="P2607" s="1">
        <f t="shared" si="65"/>
        <v>0.15309</v>
      </c>
      <c r="R2607" t="s">
        <v>28</v>
      </c>
      <c r="S2607" t="s">
        <v>1152</v>
      </c>
      <c r="T2607" t="s">
        <v>1795</v>
      </c>
      <c r="V2607" t="s">
        <v>1805</v>
      </c>
    </row>
    <row r="2608" spans="1:22" x14ac:dyDescent="0.3">
      <c r="A2608" t="s">
        <v>1788</v>
      </c>
      <c r="B2608" t="str">
        <f ca="1">OFFSET(Industries!C$1,MATCH(Table1[[#This Row],[Ticker]],Industries!$A$2:$A$150,0),0)</f>
        <v>Financials</v>
      </c>
      <c r="C2608" t="str">
        <f ca="1">OFFSET(Industries!D$1,MATCH(Table1[[#This Row],[Ticker]],Industries!$A$2:$A$150,0),0)</f>
        <v>Banks</v>
      </c>
      <c r="D2608" t="str">
        <f ca="1">OFFSET(Industries!E$1,MATCH(Table1[[#This Row],[Ticker]],Industries!$A$2:$A$150,0),0)</f>
        <v>Banks</v>
      </c>
      <c r="E2608" t="s">
        <v>93</v>
      </c>
      <c r="F2608" t="str">
        <f ca="1">OFFSET(Industries!B$1,MATCH(Table1[[#This Row],[Ticker]],Industries!$A$2:$A$150,0),0)</f>
        <v>Ultra-Cap</v>
      </c>
      <c r="G2608" t="str">
        <f ca="1">OFFSET(Industries!F$1,MATCH(Table1[[#This Row],[Ticker]],Industries!$A$2:$A$150,0),0)</f>
        <v>A</v>
      </c>
      <c r="H2608" t="s">
        <v>1789</v>
      </c>
      <c r="I2608" t="s">
        <v>1439</v>
      </c>
      <c r="J2608" s="2">
        <v>45337</v>
      </c>
      <c r="K2608" t="s">
        <v>2</v>
      </c>
      <c r="L2608" t="s">
        <v>1708</v>
      </c>
      <c r="M2608" t="s">
        <v>1709</v>
      </c>
      <c r="N2608" s="1"/>
      <c r="O2608" t="s">
        <v>4</v>
      </c>
      <c r="P2608" s="1">
        <f t="shared" si="65"/>
        <v>0.15309</v>
      </c>
      <c r="R2608" t="s">
        <v>28</v>
      </c>
      <c r="S2608" t="s">
        <v>1152</v>
      </c>
      <c r="T2608" t="s">
        <v>1796</v>
      </c>
      <c r="V2608" t="s">
        <v>1805</v>
      </c>
    </row>
    <row r="2609" spans="1:22" x14ac:dyDescent="0.3">
      <c r="A2609" t="s">
        <v>1788</v>
      </c>
      <c r="B2609" t="str">
        <f ca="1">OFFSET(Industries!C$1,MATCH(Table1[[#This Row],[Ticker]],Industries!$A$2:$A$150,0),0)</f>
        <v>Financials</v>
      </c>
      <c r="C2609" t="str">
        <f ca="1">OFFSET(Industries!D$1,MATCH(Table1[[#This Row],[Ticker]],Industries!$A$2:$A$150,0),0)</f>
        <v>Banks</v>
      </c>
      <c r="D2609" t="str">
        <f ca="1">OFFSET(Industries!E$1,MATCH(Table1[[#This Row],[Ticker]],Industries!$A$2:$A$150,0),0)</f>
        <v>Banks</v>
      </c>
      <c r="E2609" t="s">
        <v>93</v>
      </c>
      <c r="F2609" t="str">
        <f ca="1">OFFSET(Industries!B$1,MATCH(Table1[[#This Row],[Ticker]],Industries!$A$2:$A$150,0),0)</f>
        <v>Ultra-Cap</v>
      </c>
      <c r="G2609" t="str">
        <f ca="1">OFFSET(Industries!F$1,MATCH(Table1[[#This Row],[Ticker]],Industries!$A$2:$A$150,0),0)</f>
        <v>A</v>
      </c>
      <c r="H2609" t="s">
        <v>1789</v>
      </c>
      <c r="I2609" t="s">
        <v>1439</v>
      </c>
      <c r="J2609" s="2">
        <v>45337</v>
      </c>
      <c r="K2609" t="s">
        <v>2</v>
      </c>
      <c r="L2609" t="s">
        <v>1708</v>
      </c>
      <c r="M2609" t="s">
        <v>1709</v>
      </c>
      <c r="N2609" s="1"/>
      <c r="O2609" t="s">
        <v>4</v>
      </c>
      <c r="P2609" s="1">
        <f t="shared" si="65"/>
        <v>0.15309</v>
      </c>
      <c r="R2609" t="s">
        <v>28</v>
      </c>
      <c r="S2609" t="s">
        <v>1152</v>
      </c>
      <c r="T2609" t="s">
        <v>101</v>
      </c>
      <c r="V2609" t="s">
        <v>1806</v>
      </c>
    </row>
    <row r="2610" spans="1:22" x14ac:dyDescent="0.3">
      <c r="A2610" t="s">
        <v>1788</v>
      </c>
      <c r="B2610" t="str">
        <f ca="1">OFFSET(Industries!C$1,MATCH(Table1[[#This Row],[Ticker]],Industries!$A$2:$A$150,0),0)</f>
        <v>Financials</v>
      </c>
      <c r="C2610" t="str">
        <f ca="1">OFFSET(Industries!D$1,MATCH(Table1[[#This Row],[Ticker]],Industries!$A$2:$A$150,0),0)</f>
        <v>Banks</v>
      </c>
      <c r="D2610" t="str">
        <f ca="1">OFFSET(Industries!E$1,MATCH(Table1[[#This Row],[Ticker]],Industries!$A$2:$A$150,0),0)</f>
        <v>Banks</v>
      </c>
      <c r="E2610" t="s">
        <v>93</v>
      </c>
      <c r="F2610" t="str">
        <f ca="1">OFFSET(Industries!B$1,MATCH(Table1[[#This Row],[Ticker]],Industries!$A$2:$A$150,0),0)</f>
        <v>Ultra-Cap</v>
      </c>
      <c r="G2610" t="str">
        <f ca="1">OFFSET(Industries!F$1,MATCH(Table1[[#This Row],[Ticker]],Industries!$A$2:$A$150,0),0)</f>
        <v>A</v>
      </c>
      <c r="H2610" t="s">
        <v>1789</v>
      </c>
      <c r="I2610" t="s">
        <v>1439</v>
      </c>
      <c r="J2610" s="2">
        <v>45337</v>
      </c>
      <c r="K2610" t="s">
        <v>2</v>
      </c>
      <c r="L2610" t="s">
        <v>1708</v>
      </c>
      <c r="M2610" t="s">
        <v>1709</v>
      </c>
      <c r="N2610" s="1"/>
      <c r="O2610" t="s">
        <v>4</v>
      </c>
      <c r="P2610" s="1">
        <f t="shared" si="65"/>
        <v>0.15309</v>
      </c>
      <c r="R2610" t="s">
        <v>28</v>
      </c>
      <c r="S2610" t="s">
        <v>1152</v>
      </c>
      <c r="T2610" t="s">
        <v>1797</v>
      </c>
      <c r="V2610" t="s">
        <v>1806</v>
      </c>
    </row>
    <row r="2611" spans="1:22" x14ac:dyDescent="0.3">
      <c r="A2611" t="s">
        <v>1788</v>
      </c>
      <c r="B2611" t="str">
        <f ca="1">OFFSET(Industries!C$1,MATCH(Table1[[#This Row],[Ticker]],Industries!$A$2:$A$150,0),0)</f>
        <v>Financials</v>
      </c>
      <c r="C2611" t="str">
        <f ca="1">OFFSET(Industries!D$1,MATCH(Table1[[#This Row],[Ticker]],Industries!$A$2:$A$150,0),0)</f>
        <v>Banks</v>
      </c>
      <c r="D2611" t="str">
        <f ca="1">OFFSET(Industries!E$1,MATCH(Table1[[#This Row],[Ticker]],Industries!$A$2:$A$150,0),0)</f>
        <v>Banks</v>
      </c>
      <c r="E2611" t="s">
        <v>93</v>
      </c>
      <c r="F2611" t="str">
        <f ca="1">OFFSET(Industries!B$1,MATCH(Table1[[#This Row],[Ticker]],Industries!$A$2:$A$150,0),0)</f>
        <v>Ultra-Cap</v>
      </c>
      <c r="G2611" t="str">
        <f ca="1">OFFSET(Industries!F$1,MATCH(Table1[[#This Row],[Ticker]],Industries!$A$2:$A$150,0),0)</f>
        <v>A</v>
      </c>
      <c r="H2611" t="s">
        <v>1789</v>
      </c>
      <c r="I2611" t="s">
        <v>1439</v>
      </c>
      <c r="J2611" s="2">
        <v>45337</v>
      </c>
      <c r="K2611" t="s">
        <v>2</v>
      </c>
      <c r="L2611" t="s">
        <v>1708</v>
      </c>
      <c r="M2611" t="s">
        <v>1709</v>
      </c>
      <c r="N2611" s="1">
        <f>Table1[[#This Row],[Consideration Weight]]</f>
        <v>0.19690999999999997</v>
      </c>
      <c r="O2611" t="s">
        <v>862</v>
      </c>
      <c r="P2611" s="1">
        <f>((0.374*0.5)+((1-0.374)*0.6))*0.35</f>
        <v>0.19690999999999997</v>
      </c>
      <c r="V2611" t="s">
        <v>1804</v>
      </c>
    </row>
    <row r="2612" spans="1:22" x14ac:dyDescent="0.3">
      <c r="A2612" t="s">
        <v>1788</v>
      </c>
      <c r="B2612" t="str">
        <f ca="1">OFFSET(Industries!C$1,MATCH(Table1[[#This Row],[Ticker]],Industries!$A$2:$A$150,0),0)</f>
        <v>Financials</v>
      </c>
      <c r="C2612" t="str">
        <f ca="1">OFFSET(Industries!D$1,MATCH(Table1[[#This Row],[Ticker]],Industries!$A$2:$A$150,0),0)</f>
        <v>Banks</v>
      </c>
      <c r="D2612" t="str">
        <f ca="1">OFFSET(Industries!E$1,MATCH(Table1[[#This Row],[Ticker]],Industries!$A$2:$A$150,0),0)</f>
        <v>Banks</v>
      </c>
      <c r="E2612" t="s">
        <v>93</v>
      </c>
      <c r="F2612" t="str">
        <f ca="1">OFFSET(Industries!B$1,MATCH(Table1[[#This Row],[Ticker]],Industries!$A$2:$A$150,0),0)</f>
        <v>Ultra-Cap</v>
      </c>
      <c r="G2612" t="str">
        <f ca="1">OFFSET(Industries!F$1,MATCH(Table1[[#This Row],[Ticker]],Industries!$A$2:$A$150,0),0)</f>
        <v>A</v>
      </c>
      <c r="H2612" t="s">
        <v>1789</v>
      </c>
      <c r="I2612" t="s">
        <v>1439</v>
      </c>
      <c r="J2612" s="2">
        <v>45337</v>
      </c>
      <c r="K2612" t="s">
        <v>2</v>
      </c>
      <c r="L2612" t="s">
        <v>1710</v>
      </c>
      <c r="M2612" t="s">
        <v>1709</v>
      </c>
      <c r="N2612" s="1">
        <f>Table1[[#This Row],[Consideration Weight]]</f>
        <v>0.2</v>
      </c>
      <c r="O2612" t="s">
        <v>476</v>
      </c>
      <c r="P2612" s="1">
        <v>0.2</v>
      </c>
      <c r="Q2612" s="1" t="s">
        <v>1636</v>
      </c>
      <c r="R2612" t="s">
        <v>24</v>
      </c>
      <c r="S2612" t="s">
        <v>1808</v>
      </c>
      <c r="T2612" t="s">
        <v>1807</v>
      </c>
      <c r="U2612" s="1">
        <v>0.4</v>
      </c>
      <c r="V2612" t="s">
        <v>1812</v>
      </c>
    </row>
    <row r="2613" spans="1:22" x14ac:dyDescent="0.3">
      <c r="A2613" t="s">
        <v>1788</v>
      </c>
      <c r="B2613" t="str">
        <f ca="1">OFFSET(Industries!C$1,MATCH(Table1[[#This Row],[Ticker]],Industries!$A$2:$A$150,0),0)</f>
        <v>Financials</v>
      </c>
      <c r="C2613" t="str">
        <f ca="1">OFFSET(Industries!D$1,MATCH(Table1[[#This Row],[Ticker]],Industries!$A$2:$A$150,0),0)</f>
        <v>Banks</v>
      </c>
      <c r="D2613" t="str">
        <f ca="1">OFFSET(Industries!E$1,MATCH(Table1[[#This Row],[Ticker]],Industries!$A$2:$A$150,0),0)</f>
        <v>Banks</v>
      </c>
      <c r="E2613" t="s">
        <v>93</v>
      </c>
      <c r="F2613" t="str">
        <f ca="1">OFFSET(Industries!B$1,MATCH(Table1[[#This Row],[Ticker]],Industries!$A$2:$A$150,0),0)</f>
        <v>Ultra-Cap</v>
      </c>
      <c r="G2613" t="str">
        <f ca="1">OFFSET(Industries!F$1,MATCH(Table1[[#This Row],[Ticker]],Industries!$A$2:$A$150,0),0)</f>
        <v>A</v>
      </c>
      <c r="H2613" t="s">
        <v>1789</v>
      </c>
      <c r="I2613" t="s">
        <v>1439</v>
      </c>
      <c r="J2613" s="2">
        <v>45337</v>
      </c>
      <c r="K2613" t="s">
        <v>2</v>
      </c>
      <c r="L2613" t="s">
        <v>1710</v>
      </c>
      <c r="M2613" t="s">
        <v>1709</v>
      </c>
      <c r="N2613" s="1"/>
      <c r="O2613" t="s">
        <v>476</v>
      </c>
      <c r="P2613" s="1">
        <v>0.2</v>
      </c>
      <c r="Q2613" s="1" t="s">
        <v>1646</v>
      </c>
      <c r="R2613" t="s">
        <v>35</v>
      </c>
      <c r="S2613" t="s">
        <v>29</v>
      </c>
      <c r="T2613" t="s">
        <v>1809</v>
      </c>
      <c r="U2613" s="1">
        <v>0.4</v>
      </c>
      <c r="V2613" t="s">
        <v>1813</v>
      </c>
    </row>
    <row r="2614" spans="1:22" x14ac:dyDescent="0.3">
      <c r="A2614" t="s">
        <v>1788</v>
      </c>
      <c r="B2614" t="str">
        <f ca="1">OFFSET(Industries!C$1,MATCH(Table1[[#This Row],[Ticker]],Industries!$A$2:$A$150,0),0)</f>
        <v>Financials</v>
      </c>
      <c r="C2614" t="str">
        <f ca="1">OFFSET(Industries!D$1,MATCH(Table1[[#This Row],[Ticker]],Industries!$A$2:$A$150,0),0)</f>
        <v>Banks</v>
      </c>
      <c r="D2614" t="str">
        <f ca="1">OFFSET(Industries!E$1,MATCH(Table1[[#This Row],[Ticker]],Industries!$A$2:$A$150,0),0)</f>
        <v>Banks</v>
      </c>
      <c r="E2614" t="s">
        <v>93</v>
      </c>
      <c r="F2614" t="str">
        <f ca="1">OFFSET(Industries!B$1,MATCH(Table1[[#This Row],[Ticker]],Industries!$A$2:$A$150,0),0)</f>
        <v>Ultra-Cap</v>
      </c>
      <c r="G2614" t="str">
        <f ca="1">OFFSET(Industries!F$1,MATCH(Table1[[#This Row],[Ticker]],Industries!$A$2:$A$150,0),0)</f>
        <v>A</v>
      </c>
      <c r="H2614" t="s">
        <v>1789</v>
      </c>
      <c r="I2614" t="s">
        <v>1439</v>
      </c>
      <c r="J2614" s="2">
        <v>45337</v>
      </c>
      <c r="K2614" t="s">
        <v>2</v>
      </c>
      <c r="L2614" t="s">
        <v>1710</v>
      </c>
      <c r="M2614" t="s">
        <v>1709</v>
      </c>
      <c r="N2614" s="1"/>
      <c r="O2614" t="s">
        <v>476</v>
      </c>
      <c r="P2614" s="1">
        <v>0.2</v>
      </c>
      <c r="Q2614" s="1" t="s">
        <v>1637</v>
      </c>
      <c r="R2614" t="s">
        <v>26</v>
      </c>
      <c r="S2614" t="s">
        <v>26</v>
      </c>
      <c r="T2614" t="s">
        <v>1810</v>
      </c>
      <c r="U2614" s="1">
        <v>0.15</v>
      </c>
      <c r="V2614" t="s">
        <v>1814</v>
      </c>
    </row>
    <row r="2615" spans="1:22" x14ac:dyDescent="0.3">
      <c r="A2615" t="s">
        <v>1788</v>
      </c>
      <c r="B2615" t="str">
        <f ca="1">OFFSET(Industries!C$1,MATCH(Table1[[#This Row],[Ticker]],Industries!$A$2:$A$150,0),0)</f>
        <v>Financials</v>
      </c>
      <c r="C2615" t="str">
        <f ca="1">OFFSET(Industries!D$1,MATCH(Table1[[#This Row],[Ticker]],Industries!$A$2:$A$150,0),0)</f>
        <v>Banks</v>
      </c>
      <c r="D2615" t="str">
        <f ca="1">OFFSET(Industries!E$1,MATCH(Table1[[#This Row],[Ticker]],Industries!$A$2:$A$150,0),0)</f>
        <v>Banks</v>
      </c>
      <c r="E2615" t="s">
        <v>93</v>
      </c>
      <c r="F2615" t="str">
        <f ca="1">OFFSET(Industries!B$1,MATCH(Table1[[#This Row],[Ticker]],Industries!$A$2:$A$150,0),0)</f>
        <v>Ultra-Cap</v>
      </c>
      <c r="G2615" t="str">
        <f ca="1">OFFSET(Industries!F$1,MATCH(Table1[[#This Row],[Ticker]],Industries!$A$2:$A$150,0),0)</f>
        <v>A</v>
      </c>
      <c r="H2615" t="s">
        <v>1789</v>
      </c>
      <c r="I2615" t="s">
        <v>1439</v>
      </c>
      <c r="J2615" s="2">
        <v>45337</v>
      </c>
      <c r="K2615" t="s">
        <v>2</v>
      </c>
      <c r="L2615" t="s">
        <v>1710</v>
      </c>
      <c r="M2615" t="s">
        <v>1709</v>
      </c>
      <c r="N2615" s="1"/>
      <c r="O2615" t="s">
        <v>476</v>
      </c>
      <c r="P2615" s="1">
        <v>0.2</v>
      </c>
      <c r="Q2615" s="1" t="s">
        <v>1637</v>
      </c>
      <c r="R2615" t="s">
        <v>26</v>
      </c>
      <c r="S2615" t="s">
        <v>26</v>
      </c>
      <c r="T2615" t="s">
        <v>1811</v>
      </c>
      <c r="U2615" s="1">
        <v>0.05</v>
      </c>
    </row>
    <row r="2616" spans="1:22" x14ac:dyDescent="0.3">
      <c r="A2616" t="s">
        <v>1788</v>
      </c>
      <c r="B2616" t="str">
        <f ca="1">OFFSET(Industries!C$1,MATCH(Table1[[#This Row],[Ticker]],Industries!$A$2:$A$150,0),0)</f>
        <v>Financials</v>
      </c>
      <c r="C2616" t="str">
        <f ca="1">OFFSET(Industries!D$1,MATCH(Table1[[#This Row],[Ticker]],Industries!$A$2:$A$150,0),0)</f>
        <v>Banks</v>
      </c>
      <c r="D2616" t="str">
        <f ca="1">OFFSET(Industries!E$1,MATCH(Table1[[#This Row],[Ticker]],Industries!$A$2:$A$150,0),0)</f>
        <v>Banks</v>
      </c>
      <c r="E2616" t="s">
        <v>93</v>
      </c>
      <c r="F2616" t="str">
        <f ca="1">OFFSET(Industries!B$1,MATCH(Table1[[#This Row],[Ticker]],Industries!$A$2:$A$150,0),0)</f>
        <v>Ultra-Cap</v>
      </c>
      <c r="G2616" t="str">
        <f ca="1">OFFSET(Industries!F$1,MATCH(Table1[[#This Row],[Ticker]],Industries!$A$2:$A$150,0),0)</f>
        <v>A</v>
      </c>
      <c r="H2616" t="s">
        <v>1789</v>
      </c>
      <c r="I2616" t="s">
        <v>1439</v>
      </c>
      <c r="J2616" s="2">
        <v>45337</v>
      </c>
      <c r="K2616" t="s">
        <v>2</v>
      </c>
      <c r="L2616" t="s">
        <v>1710</v>
      </c>
      <c r="M2616" t="s">
        <v>1709</v>
      </c>
      <c r="N2616" s="1"/>
      <c r="O2616" t="s">
        <v>476</v>
      </c>
      <c r="P2616" s="1">
        <v>0.2</v>
      </c>
      <c r="R2616" t="s">
        <v>28</v>
      </c>
      <c r="S2616" t="s">
        <v>1152</v>
      </c>
      <c r="T2616" t="s">
        <v>1795</v>
      </c>
      <c r="V2616" t="s">
        <v>1815</v>
      </c>
    </row>
    <row r="2617" spans="1:22" x14ac:dyDescent="0.3">
      <c r="A2617" t="s">
        <v>1788</v>
      </c>
      <c r="B2617" t="str">
        <f ca="1">OFFSET(Industries!C$1,MATCH(Table1[[#This Row],[Ticker]],Industries!$A$2:$A$150,0),0)</f>
        <v>Financials</v>
      </c>
      <c r="C2617" t="str">
        <f ca="1">OFFSET(Industries!D$1,MATCH(Table1[[#This Row],[Ticker]],Industries!$A$2:$A$150,0),0)</f>
        <v>Banks</v>
      </c>
      <c r="D2617" t="str">
        <f ca="1">OFFSET(Industries!E$1,MATCH(Table1[[#This Row],[Ticker]],Industries!$A$2:$A$150,0),0)</f>
        <v>Banks</v>
      </c>
      <c r="E2617" t="s">
        <v>93</v>
      </c>
      <c r="F2617" t="str">
        <f ca="1">OFFSET(Industries!B$1,MATCH(Table1[[#This Row],[Ticker]],Industries!$A$2:$A$150,0),0)</f>
        <v>Ultra-Cap</v>
      </c>
      <c r="G2617" t="str">
        <f ca="1">OFFSET(Industries!F$1,MATCH(Table1[[#This Row],[Ticker]],Industries!$A$2:$A$150,0),0)</f>
        <v>A</v>
      </c>
      <c r="H2617" t="s">
        <v>1789</v>
      </c>
      <c r="I2617" t="s">
        <v>1439</v>
      </c>
      <c r="J2617" s="2">
        <v>45337</v>
      </c>
      <c r="K2617" t="s">
        <v>2</v>
      </c>
      <c r="L2617" t="s">
        <v>1710</v>
      </c>
      <c r="M2617" t="s">
        <v>1709</v>
      </c>
      <c r="N2617" s="1"/>
      <c r="O2617" t="s">
        <v>476</v>
      </c>
      <c r="P2617" s="1">
        <v>0.2</v>
      </c>
      <c r="R2617" t="s">
        <v>28</v>
      </c>
      <c r="S2617" t="s">
        <v>1152</v>
      </c>
      <c r="T2617" t="s">
        <v>1796</v>
      </c>
      <c r="V2617" t="s">
        <v>1815</v>
      </c>
    </row>
  </sheetData>
  <phoneticPr fontId="2" type="noConversion"/>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B456-BE55-4237-B837-91E937638609}">
  <dimension ref="A2:AB147"/>
  <sheetViews>
    <sheetView workbookViewId="0">
      <selection activeCell="E16" sqref="E16"/>
    </sheetView>
  </sheetViews>
  <sheetFormatPr defaultRowHeight="14.4" x14ac:dyDescent="0.3"/>
  <cols>
    <col min="1" max="1" width="19.5546875" bestFit="1" customWidth="1"/>
    <col min="2" max="2" width="23.5546875" bestFit="1" customWidth="1"/>
  </cols>
  <sheetData>
    <row r="2" spans="1:28" x14ac:dyDescent="0.3">
      <c r="A2" s="4" t="s">
        <v>1</v>
      </c>
      <c r="B2" t="s">
        <v>21</v>
      </c>
    </row>
    <row r="3" spans="1:28" x14ac:dyDescent="0.3">
      <c r="A3" s="4" t="s">
        <v>1436</v>
      </c>
      <c r="B3" t="s">
        <v>1434</v>
      </c>
    </row>
    <row r="4" spans="1:28" x14ac:dyDescent="0.3">
      <c r="A4" s="4" t="s">
        <v>1361</v>
      </c>
      <c r="B4" t="s">
        <v>1364</v>
      </c>
    </row>
    <row r="5" spans="1:28" x14ac:dyDescent="0.3">
      <c r="A5" s="4" t="s">
        <v>1704</v>
      </c>
      <c r="B5" t="s">
        <v>1817</v>
      </c>
      <c r="D5" s="5"/>
      <c r="G5" s="5"/>
      <c r="J5" s="5"/>
    </row>
    <row r="6" spans="1:28" x14ac:dyDescent="0.3">
      <c r="A6" s="4" t="s">
        <v>1341</v>
      </c>
      <c r="B6" t="s">
        <v>1755</v>
      </c>
      <c r="D6" s="5"/>
      <c r="E6" s="5"/>
      <c r="G6" s="5"/>
      <c r="H6" s="5"/>
      <c r="J6" s="5"/>
      <c r="K6" s="5"/>
      <c r="Q6" s="5"/>
      <c r="R6" s="5"/>
      <c r="X6" s="5"/>
      <c r="Y6" s="3"/>
      <c r="Z6" s="3"/>
      <c r="AA6" s="3"/>
    </row>
    <row r="7" spans="1:28" x14ac:dyDescent="0.3">
      <c r="A7" s="4" t="s">
        <v>1712</v>
      </c>
      <c r="B7" t="s">
        <v>1755</v>
      </c>
      <c r="D7" s="5"/>
      <c r="E7" s="5"/>
      <c r="G7" s="5"/>
      <c r="J7" s="5"/>
      <c r="Q7" s="5"/>
      <c r="R7" s="5"/>
      <c r="W7" s="5"/>
      <c r="X7" s="5"/>
      <c r="Y7" s="3"/>
      <c r="Z7" s="3"/>
      <c r="AA7" s="3"/>
    </row>
    <row r="8" spans="1:28" x14ac:dyDescent="0.3">
      <c r="D8" s="5"/>
      <c r="E8" s="5"/>
      <c r="G8" s="5"/>
      <c r="H8" s="5"/>
      <c r="J8" s="5"/>
      <c r="O8" s="5"/>
      <c r="P8" s="10"/>
      <c r="R8" s="5"/>
      <c r="W8" s="5"/>
      <c r="X8" s="5"/>
      <c r="Y8" s="3"/>
      <c r="Z8" s="3"/>
      <c r="AA8" s="3"/>
      <c r="AB8" s="3"/>
    </row>
    <row r="9" spans="1:28" x14ac:dyDescent="0.3">
      <c r="A9" s="4" t="s">
        <v>1076</v>
      </c>
      <c r="B9" t="s">
        <v>1746</v>
      </c>
      <c r="C9" s="1"/>
      <c r="D9" s="5"/>
      <c r="E9" s="5"/>
      <c r="G9" s="5"/>
      <c r="H9" s="5"/>
      <c r="J9" s="5"/>
      <c r="K9" s="5"/>
      <c r="M9" s="5"/>
      <c r="N9" s="5"/>
      <c r="O9" s="5"/>
      <c r="P9" s="10"/>
      <c r="R9" s="5"/>
      <c r="T9" s="5"/>
      <c r="U9" s="5"/>
      <c r="V9" s="5"/>
      <c r="W9" s="5"/>
      <c r="X9" s="5"/>
      <c r="Y9" s="3"/>
      <c r="Z9" s="3"/>
      <c r="AA9" s="3"/>
      <c r="AB9" s="3"/>
    </row>
    <row r="10" spans="1:28" x14ac:dyDescent="0.3">
      <c r="A10" s="5" t="s">
        <v>914</v>
      </c>
      <c r="B10">
        <v>0.17858728589451078</v>
      </c>
      <c r="D10" s="5"/>
      <c r="E10" s="5"/>
      <c r="G10" s="5"/>
      <c r="H10" s="5"/>
      <c r="K10" s="5"/>
      <c r="M10" s="5"/>
      <c r="N10" s="5"/>
      <c r="O10" s="5"/>
      <c r="P10" s="10"/>
      <c r="R10" s="5"/>
      <c r="W10" s="5"/>
      <c r="X10" s="5"/>
      <c r="Y10" s="3"/>
      <c r="Z10" s="3"/>
      <c r="AA10" s="3"/>
      <c r="AB10" s="3"/>
    </row>
    <row r="11" spans="1:28" x14ac:dyDescent="0.3">
      <c r="A11" s="5" t="s">
        <v>721</v>
      </c>
      <c r="B11">
        <v>0.41000000000000003</v>
      </c>
      <c r="D11" s="5"/>
      <c r="E11" s="5"/>
      <c r="G11" s="5"/>
      <c r="H11" s="5"/>
      <c r="K11" s="5"/>
      <c r="M11" s="5"/>
      <c r="N11" s="5"/>
      <c r="O11" s="5"/>
      <c r="P11" s="10"/>
      <c r="R11" s="5"/>
      <c r="W11" s="5"/>
      <c r="X11" s="5"/>
      <c r="Y11" s="3"/>
      <c r="Z11" s="3"/>
      <c r="AA11" s="3"/>
      <c r="AB11" s="3"/>
    </row>
    <row r="12" spans="1:28" x14ac:dyDescent="0.3">
      <c r="A12" s="5" t="s">
        <v>1323</v>
      </c>
      <c r="B12">
        <v>0.42</v>
      </c>
      <c r="D12" s="5"/>
      <c r="E12" s="5"/>
      <c r="G12" s="5"/>
      <c r="H12" s="5"/>
      <c r="K12" s="5"/>
      <c r="M12" s="5"/>
      <c r="N12" s="5"/>
      <c r="O12" s="5"/>
      <c r="P12" s="10"/>
      <c r="R12" s="5"/>
      <c r="W12" s="5"/>
      <c r="X12" s="5"/>
      <c r="Y12" s="3"/>
      <c r="Z12" s="3"/>
      <c r="AA12" s="3"/>
      <c r="AB12" s="1"/>
    </row>
    <row r="13" spans="1:28" x14ac:dyDescent="0.3">
      <c r="A13" s="5" t="s">
        <v>1190</v>
      </c>
      <c r="B13">
        <v>0.42074765962299499</v>
      </c>
      <c r="D13" s="5"/>
      <c r="E13" s="5"/>
      <c r="G13" s="5"/>
      <c r="H13" s="5"/>
      <c r="K13" s="5"/>
      <c r="M13" s="5"/>
      <c r="N13" s="5"/>
      <c r="O13" s="5"/>
      <c r="P13" s="10"/>
      <c r="R13" s="5"/>
      <c r="W13" s="5"/>
      <c r="X13" s="5"/>
      <c r="Y13" s="3"/>
      <c r="Z13" s="3"/>
      <c r="AA13" s="3"/>
      <c r="AB13" s="1"/>
    </row>
    <row r="14" spans="1:28" x14ac:dyDescent="0.3">
      <c r="A14" s="5" t="s">
        <v>582</v>
      </c>
      <c r="B14">
        <v>0.48299999999999998</v>
      </c>
      <c r="D14" s="5"/>
      <c r="E14" s="5"/>
      <c r="G14" s="5"/>
      <c r="H14" s="5"/>
      <c r="K14" s="5"/>
      <c r="M14" s="5"/>
      <c r="N14" s="5"/>
      <c r="O14" s="5"/>
      <c r="P14" s="10"/>
      <c r="R14" s="5"/>
      <c r="W14" s="5"/>
      <c r="X14" s="5"/>
      <c r="Y14" s="3"/>
      <c r="Z14" s="3"/>
      <c r="AA14" s="3"/>
      <c r="AB14" s="1"/>
    </row>
    <row r="15" spans="1:28" x14ac:dyDescent="0.3">
      <c r="A15" s="5" t="s">
        <v>726</v>
      </c>
      <c r="B15">
        <v>0.35</v>
      </c>
      <c r="D15" s="5"/>
      <c r="E15" s="12"/>
      <c r="F15" s="1"/>
      <c r="G15" s="12"/>
      <c r="H15" s="12"/>
      <c r="K15" s="5"/>
      <c r="M15" s="5"/>
      <c r="N15" s="5"/>
      <c r="O15" s="5"/>
      <c r="P15" s="10"/>
      <c r="R15" s="5"/>
      <c r="W15" s="5"/>
      <c r="X15" s="5"/>
      <c r="Y15" s="3"/>
      <c r="Z15" s="3"/>
      <c r="AA15" s="3"/>
      <c r="AB15" s="1"/>
    </row>
    <row r="16" spans="1:28" x14ac:dyDescent="0.3">
      <c r="A16" s="5" t="s">
        <v>876</v>
      </c>
      <c r="B16">
        <v>0.37</v>
      </c>
      <c r="D16" s="5"/>
      <c r="E16" s="5"/>
      <c r="G16" s="5"/>
      <c r="H16" s="5"/>
      <c r="K16" s="5"/>
      <c r="M16" s="5"/>
      <c r="N16" s="5"/>
      <c r="O16" s="5"/>
      <c r="P16" s="10"/>
      <c r="R16" s="5"/>
      <c r="W16" s="5"/>
      <c r="X16" s="5"/>
      <c r="Y16" s="3"/>
      <c r="Z16" s="3"/>
      <c r="AA16" s="3"/>
      <c r="AB16" s="1"/>
    </row>
    <row r="17" spans="1:28" x14ac:dyDescent="0.3">
      <c r="A17" s="5" t="s">
        <v>1002</v>
      </c>
      <c r="B17">
        <v>0.376</v>
      </c>
      <c r="D17" s="5"/>
      <c r="E17" s="5"/>
      <c r="G17" s="5"/>
      <c r="H17" s="5"/>
      <c r="K17" s="5"/>
      <c r="M17" s="5"/>
      <c r="N17" s="5"/>
      <c r="O17" s="5"/>
      <c r="P17" s="10"/>
      <c r="R17" s="5"/>
      <c r="W17" s="5"/>
      <c r="X17" s="5"/>
      <c r="Y17" s="3"/>
      <c r="Z17" s="3"/>
      <c r="AA17" s="3"/>
      <c r="AB17" s="1"/>
    </row>
    <row r="18" spans="1:28" x14ac:dyDescent="0.3">
      <c r="A18" s="5" t="s">
        <v>271</v>
      </c>
      <c r="B18">
        <v>0.53351715686274503</v>
      </c>
      <c r="E18" s="5"/>
      <c r="G18" s="5"/>
      <c r="H18" s="5"/>
      <c r="K18" s="5"/>
      <c r="M18" s="5"/>
      <c r="N18" s="5"/>
      <c r="O18" s="5"/>
      <c r="P18" s="10"/>
      <c r="R18" s="5"/>
      <c r="W18" s="5"/>
      <c r="X18" s="5"/>
      <c r="Y18" s="3"/>
      <c r="Z18" s="3"/>
      <c r="AA18" s="3"/>
      <c r="AB18" s="1"/>
    </row>
    <row r="19" spans="1:28" x14ac:dyDescent="0.3">
      <c r="A19" s="5" t="s">
        <v>1477</v>
      </c>
      <c r="B19">
        <v>0.39</v>
      </c>
      <c r="E19" s="5"/>
      <c r="G19" s="5"/>
      <c r="H19" s="5"/>
      <c r="K19" s="5"/>
      <c r="M19" s="5"/>
      <c r="N19" s="5"/>
      <c r="O19" s="5"/>
      <c r="P19" s="10"/>
      <c r="R19" s="5"/>
      <c r="W19" s="5"/>
      <c r="X19" s="5"/>
      <c r="Y19" s="3"/>
      <c r="Z19" s="3"/>
      <c r="AA19" s="3"/>
      <c r="AB19" s="1"/>
    </row>
    <row r="20" spans="1:28" x14ac:dyDescent="0.3">
      <c r="A20" s="5" t="s">
        <v>891</v>
      </c>
      <c r="B20">
        <v>0.32</v>
      </c>
      <c r="E20" s="5"/>
      <c r="G20" s="5"/>
      <c r="H20" s="5"/>
      <c r="K20" s="5"/>
      <c r="M20" s="5"/>
      <c r="N20" s="5"/>
      <c r="O20" s="5"/>
      <c r="P20" s="10"/>
      <c r="R20" s="5"/>
      <c r="W20" s="5"/>
      <c r="X20" s="5"/>
      <c r="Y20" s="3"/>
      <c r="Z20" s="3"/>
      <c r="AA20" s="3"/>
      <c r="AB20" s="1"/>
    </row>
    <row r="21" spans="1:28" x14ac:dyDescent="0.3">
      <c r="A21" s="5" t="s">
        <v>1077</v>
      </c>
      <c r="B21">
        <v>4.2518521023802514</v>
      </c>
      <c r="D21" s="5"/>
      <c r="E21" s="5"/>
      <c r="G21" s="5"/>
      <c r="K21" s="5"/>
      <c r="M21" s="5"/>
      <c r="N21" s="5"/>
      <c r="O21" s="5"/>
      <c r="P21" s="10"/>
      <c r="R21" s="5"/>
      <c r="W21" s="5"/>
      <c r="X21" s="5"/>
      <c r="Y21" s="3"/>
      <c r="Z21" s="3"/>
      <c r="AA21" s="3"/>
      <c r="AB21" s="1"/>
    </row>
    <row r="22" spans="1:28" x14ac:dyDescent="0.3">
      <c r="D22" s="5"/>
      <c r="E22" s="5"/>
      <c r="G22" s="5"/>
      <c r="J22" s="5"/>
      <c r="K22" s="5"/>
      <c r="M22" s="5"/>
      <c r="N22" s="5"/>
      <c r="O22" s="5"/>
      <c r="P22" s="10"/>
      <c r="R22" s="5"/>
      <c r="W22" s="5"/>
      <c r="X22" s="5"/>
      <c r="Y22" s="3"/>
      <c r="Z22" s="3"/>
      <c r="AA22" s="3"/>
      <c r="AB22" s="1"/>
    </row>
    <row r="23" spans="1:28" x14ac:dyDescent="0.3">
      <c r="D23" s="5"/>
      <c r="F23" s="5"/>
      <c r="G23" s="5"/>
      <c r="J23" s="5"/>
      <c r="K23" s="5"/>
      <c r="M23" s="5"/>
      <c r="N23" s="5"/>
      <c r="O23" s="5"/>
      <c r="P23" s="10"/>
      <c r="R23" s="5"/>
      <c r="W23" s="5"/>
      <c r="X23" s="5"/>
      <c r="Y23" s="3"/>
      <c r="Z23" s="3"/>
      <c r="AA23" s="3"/>
      <c r="AB23" s="1"/>
    </row>
    <row r="24" spans="1:28" x14ac:dyDescent="0.3">
      <c r="D24" s="5"/>
      <c r="F24" s="5"/>
      <c r="G24" s="5"/>
      <c r="J24" s="5"/>
      <c r="K24" s="5"/>
      <c r="M24" s="5"/>
      <c r="N24" s="5"/>
      <c r="O24" s="5"/>
      <c r="P24" s="10"/>
      <c r="R24" s="5"/>
      <c r="W24" s="5"/>
      <c r="X24" s="5"/>
      <c r="Y24" s="3"/>
      <c r="Z24" s="3"/>
      <c r="AA24" s="3"/>
      <c r="AB24" s="1"/>
    </row>
    <row r="25" spans="1:28" x14ac:dyDescent="0.3">
      <c r="D25" s="5"/>
      <c r="F25" s="5"/>
      <c r="G25" s="5"/>
      <c r="I25" s="5"/>
      <c r="J25" s="5"/>
      <c r="K25" s="5"/>
      <c r="M25" s="5"/>
      <c r="N25" s="5"/>
      <c r="P25" s="5"/>
      <c r="R25" s="10"/>
      <c r="S25" s="5"/>
      <c r="W25" s="5"/>
      <c r="X25" s="5"/>
      <c r="Y25" s="3"/>
      <c r="Z25" s="3"/>
      <c r="AA25" s="3"/>
      <c r="AB25" s="1"/>
    </row>
    <row r="26" spans="1:28" x14ac:dyDescent="0.3">
      <c r="D26" s="5"/>
      <c r="F26" s="5"/>
      <c r="G26" s="5"/>
      <c r="I26" s="5"/>
      <c r="J26" s="5"/>
      <c r="K26" s="5"/>
      <c r="M26" s="5"/>
      <c r="N26" s="5"/>
      <c r="P26" s="11"/>
      <c r="Q26" s="11"/>
      <c r="R26" s="11"/>
      <c r="S26" s="5"/>
      <c r="W26" s="5"/>
      <c r="X26" s="5"/>
      <c r="Y26" s="3"/>
      <c r="Z26" s="3"/>
      <c r="AA26" s="3"/>
      <c r="AB26" s="1"/>
    </row>
    <row r="27" spans="1:28" x14ac:dyDescent="0.3">
      <c r="D27" s="5"/>
      <c r="F27" s="5"/>
      <c r="G27" s="5"/>
      <c r="I27" s="5"/>
      <c r="J27" s="5"/>
      <c r="K27" s="5"/>
      <c r="M27" s="5"/>
      <c r="N27" s="5"/>
      <c r="P27" s="5"/>
      <c r="R27" s="10"/>
      <c r="S27" s="5"/>
      <c r="W27" s="5"/>
      <c r="X27" s="5"/>
      <c r="Y27" s="3"/>
      <c r="Z27" s="3"/>
      <c r="AA27" s="3"/>
      <c r="AB27" s="1"/>
    </row>
    <row r="28" spans="1:28" x14ac:dyDescent="0.3">
      <c r="D28" s="5"/>
      <c r="F28" s="5"/>
      <c r="G28" s="5"/>
      <c r="I28" s="5"/>
      <c r="J28" s="5"/>
      <c r="K28" s="5"/>
      <c r="M28" s="5"/>
      <c r="N28" s="5"/>
      <c r="P28" s="5"/>
      <c r="R28" s="10"/>
      <c r="S28" s="5"/>
      <c r="W28" s="5"/>
      <c r="X28" s="5"/>
      <c r="Y28" s="3"/>
      <c r="Z28" s="3"/>
      <c r="AA28" s="3"/>
      <c r="AB28" s="1"/>
    </row>
    <row r="29" spans="1:28" x14ac:dyDescent="0.3">
      <c r="D29" s="5"/>
      <c r="F29" s="5"/>
      <c r="G29" s="5"/>
      <c r="I29" s="5"/>
      <c r="J29" s="5"/>
      <c r="K29" s="5"/>
      <c r="M29" s="5"/>
      <c r="N29" s="5"/>
      <c r="P29" s="5"/>
      <c r="R29" s="10"/>
      <c r="S29" s="5"/>
      <c r="W29" s="5"/>
      <c r="X29" s="5"/>
      <c r="Y29" s="3"/>
      <c r="Z29" s="3"/>
      <c r="AA29" s="3"/>
      <c r="AB29" s="1"/>
    </row>
    <row r="30" spans="1:28" x14ac:dyDescent="0.3">
      <c r="D30" s="5"/>
      <c r="F30" s="5"/>
      <c r="G30" s="5"/>
      <c r="I30" s="5"/>
      <c r="J30" s="5"/>
      <c r="K30" s="5"/>
      <c r="M30" s="5"/>
      <c r="N30" s="5"/>
      <c r="P30" s="5"/>
      <c r="R30" s="10"/>
      <c r="S30" s="5"/>
      <c r="W30" s="5"/>
      <c r="X30" s="5"/>
      <c r="Y30" s="3"/>
      <c r="Z30" s="3"/>
      <c r="AA30" s="3"/>
      <c r="AB30" s="1"/>
    </row>
    <row r="31" spans="1:28" x14ac:dyDescent="0.3">
      <c r="D31" s="5"/>
      <c r="F31" s="5"/>
      <c r="G31" s="5"/>
      <c r="I31" s="5"/>
      <c r="J31" s="5"/>
      <c r="K31" s="5"/>
      <c r="M31" s="5"/>
      <c r="N31" s="5"/>
      <c r="P31" s="5"/>
      <c r="R31" s="10"/>
      <c r="S31" s="5"/>
      <c r="W31" s="5"/>
      <c r="X31" s="5"/>
      <c r="Y31" s="3"/>
      <c r="Z31" s="3"/>
      <c r="AA31" s="3"/>
      <c r="AB31" s="1"/>
    </row>
    <row r="32" spans="1:28" x14ac:dyDescent="0.3">
      <c r="D32" s="5"/>
      <c r="F32" s="5"/>
      <c r="G32" s="5"/>
      <c r="I32" s="5"/>
      <c r="J32" s="5"/>
      <c r="K32" s="5"/>
      <c r="M32" s="5"/>
      <c r="N32" s="5"/>
      <c r="P32" s="5"/>
      <c r="R32" s="10"/>
      <c r="S32" s="5"/>
      <c r="W32" s="5"/>
      <c r="X32" s="5"/>
      <c r="Y32" s="3"/>
      <c r="Z32" s="3"/>
      <c r="AA32" s="3"/>
      <c r="AB32" s="1"/>
    </row>
    <row r="33" spans="4:28" x14ac:dyDescent="0.3">
      <c r="D33" s="5"/>
      <c r="F33" s="5"/>
      <c r="G33" s="5"/>
      <c r="I33" s="5"/>
      <c r="J33" s="5"/>
      <c r="K33" s="5"/>
      <c r="M33" s="5"/>
      <c r="N33" s="5"/>
      <c r="P33" s="5"/>
      <c r="R33" s="10"/>
      <c r="S33" s="5"/>
      <c r="W33" s="5"/>
      <c r="X33" s="5"/>
      <c r="Y33" s="3"/>
      <c r="Z33" s="3"/>
      <c r="AA33" s="3"/>
      <c r="AB33" s="1"/>
    </row>
    <row r="34" spans="4:28" x14ac:dyDescent="0.3">
      <c r="D34" s="5"/>
      <c r="F34" s="5"/>
      <c r="G34" s="5"/>
      <c r="I34" s="5"/>
      <c r="J34" s="5"/>
      <c r="K34" s="5"/>
      <c r="M34" s="5"/>
      <c r="N34" s="5"/>
      <c r="P34" s="5"/>
      <c r="R34" s="10"/>
      <c r="S34" s="5"/>
      <c r="W34" s="5"/>
      <c r="X34" s="5"/>
      <c r="Y34" s="3"/>
      <c r="Z34" s="3"/>
      <c r="AA34" s="3"/>
      <c r="AB34" s="1"/>
    </row>
    <row r="35" spans="4:28" x14ac:dyDescent="0.3">
      <c r="D35" s="5"/>
      <c r="F35" s="5"/>
      <c r="G35" s="5"/>
      <c r="I35" s="5"/>
      <c r="J35" s="5"/>
      <c r="K35" s="5"/>
      <c r="M35" s="5"/>
      <c r="N35" s="5"/>
      <c r="P35" s="5"/>
      <c r="R35" s="10"/>
      <c r="S35" s="5"/>
      <c r="W35" s="5"/>
      <c r="X35" s="5"/>
      <c r="Y35" s="3"/>
      <c r="Z35" s="3"/>
      <c r="AA35" s="3"/>
      <c r="AB35" s="1"/>
    </row>
    <row r="36" spans="4:28" x14ac:dyDescent="0.3">
      <c r="D36" s="5"/>
      <c r="F36" s="5"/>
      <c r="G36" s="5"/>
      <c r="I36" s="5"/>
      <c r="J36" s="5"/>
      <c r="K36" s="5"/>
      <c r="M36" s="5"/>
      <c r="N36" s="5"/>
      <c r="P36" s="5"/>
      <c r="R36" s="10"/>
      <c r="S36" s="5"/>
      <c r="W36" s="5"/>
      <c r="X36" s="5"/>
      <c r="Y36" s="3"/>
      <c r="Z36" s="3"/>
      <c r="AA36" s="3"/>
      <c r="AB36" s="1"/>
    </row>
    <row r="37" spans="4:28" x14ac:dyDescent="0.3">
      <c r="D37" s="5"/>
      <c r="F37" s="5"/>
      <c r="G37" s="5"/>
      <c r="I37" s="5"/>
      <c r="J37" s="5"/>
      <c r="K37" s="5"/>
      <c r="M37" s="5"/>
      <c r="N37" s="5"/>
      <c r="P37" s="5"/>
      <c r="R37" s="10"/>
      <c r="S37" s="5"/>
      <c r="W37" s="5"/>
      <c r="X37" s="5"/>
      <c r="Y37" s="3"/>
      <c r="Z37" s="3"/>
      <c r="AA37" s="3"/>
      <c r="AB37" s="1"/>
    </row>
    <row r="38" spans="4:28" x14ac:dyDescent="0.3">
      <c r="D38" s="5"/>
      <c r="F38" s="5"/>
      <c r="G38" s="5"/>
      <c r="I38" s="5"/>
      <c r="J38" s="5"/>
      <c r="K38" s="5"/>
      <c r="M38" s="5"/>
      <c r="N38" s="5"/>
      <c r="P38" s="5"/>
      <c r="R38" s="10"/>
      <c r="S38" s="5"/>
      <c r="W38" s="5"/>
      <c r="X38" s="5"/>
      <c r="Y38" s="3"/>
      <c r="Z38" s="3"/>
      <c r="AA38" s="3"/>
      <c r="AB38" s="1"/>
    </row>
    <row r="39" spans="4:28" x14ac:dyDescent="0.3">
      <c r="D39" s="5"/>
      <c r="F39" s="5"/>
      <c r="G39" s="5"/>
      <c r="I39" s="5"/>
      <c r="J39" s="5"/>
      <c r="K39" s="5"/>
      <c r="M39" s="5"/>
      <c r="N39" s="5"/>
      <c r="P39" s="5"/>
      <c r="R39" s="10"/>
      <c r="S39" s="5"/>
      <c r="W39" s="5"/>
      <c r="X39" s="5"/>
      <c r="Y39" s="3"/>
      <c r="Z39" s="3"/>
      <c r="AA39" s="3"/>
      <c r="AB39" s="1"/>
    </row>
    <row r="40" spans="4:28" x14ac:dyDescent="0.3">
      <c r="D40" s="5"/>
      <c r="F40" s="5"/>
      <c r="G40" s="5"/>
      <c r="I40" s="5"/>
      <c r="J40" s="5"/>
      <c r="K40" s="5"/>
      <c r="M40" s="5"/>
      <c r="N40" s="5"/>
      <c r="P40" s="5"/>
      <c r="R40" s="10"/>
      <c r="S40" s="5"/>
      <c r="W40" s="5"/>
      <c r="X40" s="5"/>
      <c r="Y40" s="3"/>
      <c r="Z40" s="3"/>
      <c r="AA40" s="3"/>
      <c r="AB40" s="1"/>
    </row>
    <row r="41" spans="4:28" x14ac:dyDescent="0.3">
      <c r="D41" s="5"/>
      <c r="F41" s="5"/>
      <c r="G41" s="5"/>
      <c r="I41" s="5"/>
      <c r="J41" s="5"/>
      <c r="K41" s="5"/>
      <c r="M41" s="5"/>
      <c r="N41" s="5"/>
      <c r="P41" s="5"/>
      <c r="R41" s="10"/>
      <c r="S41" s="5"/>
      <c r="W41" s="5"/>
      <c r="X41" s="5"/>
      <c r="Y41" s="3"/>
      <c r="Z41" s="3"/>
      <c r="AA41" s="3"/>
      <c r="AB41" s="1"/>
    </row>
    <row r="42" spans="4:28" x14ac:dyDescent="0.3">
      <c r="D42" s="5"/>
      <c r="F42" s="5"/>
      <c r="G42" s="5"/>
      <c r="I42" s="5"/>
      <c r="J42" s="5"/>
      <c r="K42" s="5"/>
      <c r="M42" s="5"/>
      <c r="N42" s="5"/>
      <c r="P42" s="5"/>
      <c r="R42" s="10"/>
      <c r="S42" s="5"/>
      <c r="W42" s="5"/>
      <c r="X42" s="5"/>
      <c r="Y42" s="3"/>
      <c r="Z42" s="3"/>
      <c r="AA42" s="3"/>
      <c r="AB42" s="1"/>
    </row>
    <row r="43" spans="4:28" x14ac:dyDescent="0.3">
      <c r="D43" s="5"/>
      <c r="F43" s="5"/>
      <c r="G43" s="5"/>
      <c r="I43" s="5"/>
      <c r="J43" s="5"/>
      <c r="K43" s="5"/>
      <c r="M43" s="5"/>
      <c r="N43" s="5"/>
      <c r="P43" s="5"/>
      <c r="R43" s="10"/>
      <c r="S43" s="5"/>
      <c r="W43" s="5"/>
      <c r="X43" s="5"/>
      <c r="Y43" s="3"/>
      <c r="Z43" s="3"/>
      <c r="AA43" s="3"/>
      <c r="AB43" s="1"/>
    </row>
    <row r="44" spans="4:28" x14ac:dyDescent="0.3">
      <c r="D44" s="5"/>
      <c r="F44" s="5"/>
      <c r="G44" s="5"/>
      <c r="I44" s="5"/>
      <c r="J44" s="5"/>
      <c r="K44" s="5"/>
      <c r="M44" s="5"/>
      <c r="N44" s="5"/>
      <c r="P44" s="5"/>
      <c r="R44" s="10"/>
      <c r="S44" s="5"/>
      <c r="W44" s="5"/>
      <c r="X44" s="5"/>
      <c r="Y44" s="3"/>
      <c r="Z44" s="3"/>
      <c r="AA44" s="3"/>
      <c r="AB44" s="1"/>
    </row>
    <row r="45" spans="4:28" x14ac:dyDescent="0.3">
      <c r="D45" s="5"/>
      <c r="F45" s="5"/>
      <c r="G45" s="5"/>
      <c r="I45" s="5"/>
      <c r="J45" s="5"/>
      <c r="K45" s="5"/>
      <c r="M45" s="5"/>
      <c r="N45" s="5"/>
      <c r="P45" s="5"/>
      <c r="R45" s="10"/>
      <c r="S45" s="5"/>
      <c r="W45" s="5"/>
      <c r="X45" s="5"/>
      <c r="Y45" s="3"/>
      <c r="Z45" s="3"/>
      <c r="AA45" s="3"/>
      <c r="AB45" s="1"/>
    </row>
    <row r="46" spans="4:28" x14ac:dyDescent="0.3">
      <c r="D46" s="5"/>
      <c r="F46" s="5"/>
      <c r="G46" s="5"/>
      <c r="I46" s="5"/>
      <c r="J46" s="5"/>
      <c r="K46" s="5"/>
      <c r="M46" s="5"/>
      <c r="N46" s="5"/>
      <c r="P46" s="5"/>
      <c r="R46" s="10"/>
      <c r="S46" s="5"/>
      <c r="W46" s="5"/>
      <c r="X46" s="5"/>
      <c r="Y46" s="3"/>
      <c r="Z46" s="3"/>
      <c r="AA46" s="3"/>
      <c r="AB46" s="1"/>
    </row>
    <row r="47" spans="4:28" x14ac:dyDescent="0.3">
      <c r="D47" s="5"/>
      <c r="F47" s="5"/>
      <c r="G47" s="5"/>
      <c r="I47" s="5"/>
      <c r="J47" s="5"/>
      <c r="K47" s="5"/>
      <c r="M47" s="5"/>
      <c r="N47" s="5"/>
      <c r="P47" s="5"/>
      <c r="R47" s="10"/>
      <c r="S47" s="5"/>
      <c r="W47" s="5"/>
      <c r="X47" s="5"/>
      <c r="Y47" s="3"/>
      <c r="Z47" s="3"/>
      <c r="AA47" s="3"/>
      <c r="AB47" s="1"/>
    </row>
    <row r="48" spans="4:28" x14ac:dyDescent="0.3">
      <c r="D48" s="5"/>
      <c r="F48" s="5"/>
      <c r="G48" s="5"/>
      <c r="I48" s="5"/>
      <c r="J48" s="5"/>
      <c r="K48" s="5"/>
      <c r="M48" s="5"/>
      <c r="N48" s="5"/>
      <c r="P48" s="5"/>
      <c r="R48" s="10"/>
      <c r="S48" s="5"/>
      <c r="W48" s="5"/>
      <c r="X48" s="5"/>
      <c r="Y48" s="3"/>
      <c r="Z48" s="3"/>
      <c r="AA48" s="3"/>
      <c r="AB48" s="1"/>
    </row>
    <row r="49" spans="4:28" x14ac:dyDescent="0.3">
      <c r="D49" s="5"/>
      <c r="F49" s="5"/>
      <c r="G49" s="5"/>
      <c r="I49" s="5"/>
      <c r="J49" s="5"/>
      <c r="K49" s="5"/>
      <c r="M49" s="5"/>
      <c r="N49" s="5"/>
      <c r="P49" s="5"/>
      <c r="R49" s="10"/>
      <c r="S49" s="5"/>
      <c r="W49" s="5"/>
      <c r="X49" s="5"/>
      <c r="Y49" s="3"/>
      <c r="Z49" s="3"/>
      <c r="AA49" s="3"/>
      <c r="AB49" s="1"/>
    </row>
    <row r="50" spans="4:28" x14ac:dyDescent="0.3">
      <c r="D50" s="5"/>
      <c r="F50" s="5"/>
      <c r="G50" s="5"/>
      <c r="I50" s="5"/>
      <c r="J50" s="5"/>
      <c r="K50" s="5"/>
      <c r="M50" s="5"/>
      <c r="N50" s="5"/>
      <c r="P50" s="5"/>
      <c r="R50" s="10"/>
      <c r="S50" s="5"/>
      <c r="W50" s="5"/>
      <c r="X50" s="5"/>
      <c r="Y50" s="3"/>
      <c r="Z50" s="3"/>
      <c r="AA50" s="3"/>
      <c r="AB50" s="1"/>
    </row>
    <row r="51" spans="4:28" x14ac:dyDescent="0.3">
      <c r="D51" s="5"/>
      <c r="F51" s="5"/>
      <c r="G51" s="5"/>
      <c r="I51" s="5"/>
      <c r="J51" s="5"/>
      <c r="K51" s="5"/>
      <c r="M51" s="5"/>
      <c r="N51" s="5"/>
      <c r="P51" s="5"/>
      <c r="R51" s="10"/>
      <c r="S51" s="5"/>
      <c r="W51" s="5"/>
      <c r="X51" s="5"/>
      <c r="Y51" s="3"/>
      <c r="Z51" s="3"/>
      <c r="AA51" s="3"/>
      <c r="AB51" s="1"/>
    </row>
    <row r="52" spans="4:28" x14ac:dyDescent="0.3">
      <c r="D52" s="5"/>
      <c r="F52" s="5"/>
      <c r="G52" s="5"/>
      <c r="I52" s="5"/>
      <c r="J52" s="5"/>
      <c r="K52" s="5"/>
      <c r="M52" s="5"/>
      <c r="N52" s="5"/>
      <c r="P52" s="5"/>
      <c r="R52" s="10"/>
      <c r="S52" s="5"/>
      <c r="W52" s="5"/>
      <c r="X52" s="5"/>
      <c r="Y52" s="3"/>
      <c r="Z52" s="3"/>
      <c r="AA52" s="3"/>
      <c r="AB52" s="1"/>
    </row>
    <row r="53" spans="4:28" x14ac:dyDescent="0.3">
      <c r="D53" s="5"/>
      <c r="F53" s="5"/>
      <c r="G53" s="5"/>
      <c r="I53" s="5"/>
      <c r="J53" s="5"/>
      <c r="K53" s="5"/>
      <c r="M53" s="5"/>
      <c r="N53" s="5"/>
      <c r="P53" s="5"/>
      <c r="R53" s="10"/>
      <c r="S53" s="5"/>
      <c r="W53" s="5"/>
      <c r="X53" s="5"/>
      <c r="Y53" s="3"/>
      <c r="Z53" s="3"/>
      <c r="AA53" s="3"/>
      <c r="AB53" s="1"/>
    </row>
    <row r="54" spans="4:28" x14ac:dyDescent="0.3">
      <c r="D54" s="5"/>
      <c r="F54" s="5"/>
      <c r="G54" s="5"/>
      <c r="I54" s="5"/>
      <c r="J54" s="5"/>
      <c r="K54" s="5"/>
      <c r="M54" s="5"/>
      <c r="N54" s="5"/>
      <c r="P54" s="5"/>
      <c r="R54" s="10"/>
      <c r="S54" s="5"/>
      <c r="W54" s="5"/>
      <c r="X54" s="5"/>
      <c r="Y54" s="3"/>
      <c r="Z54" s="3"/>
      <c r="AA54" s="3"/>
      <c r="AB54" s="1"/>
    </row>
    <row r="55" spans="4:28" x14ac:dyDescent="0.3">
      <c r="D55" s="5"/>
      <c r="F55" s="5"/>
      <c r="G55" s="5"/>
      <c r="I55" s="5"/>
      <c r="J55" s="5"/>
      <c r="K55" s="5"/>
      <c r="M55" s="5"/>
      <c r="N55" s="5"/>
      <c r="P55" s="5"/>
      <c r="R55" s="10"/>
      <c r="S55" s="5"/>
      <c r="W55" s="5"/>
      <c r="X55" s="5"/>
      <c r="Y55" s="3"/>
      <c r="Z55" s="3"/>
      <c r="AA55" s="3"/>
      <c r="AB55" s="1"/>
    </row>
    <row r="56" spans="4:28" x14ac:dyDescent="0.3">
      <c r="D56" s="5"/>
      <c r="F56" s="5"/>
      <c r="G56" s="5"/>
      <c r="I56" s="5"/>
      <c r="J56" s="5"/>
      <c r="K56" s="5"/>
      <c r="M56" s="5"/>
      <c r="N56" s="5"/>
      <c r="P56" s="5"/>
      <c r="R56" s="10"/>
      <c r="S56" s="5"/>
      <c r="W56" s="5"/>
      <c r="X56" s="5"/>
      <c r="Y56" s="3"/>
      <c r="Z56" s="3"/>
      <c r="AA56" s="3"/>
      <c r="AB56" s="1"/>
    </row>
    <row r="57" spans="4:28" x14ac:dyDescent="0.3">
      <c r="D57" s="5"/>
      <c r="F57" s="5"/>
      <c r="G57" s="5"/>
      <c r="I57" s="5"/>
      <c r="J57" s="5"/>
      <c r="K57" s="5"/>
      <c r="M57" s="5"/>
      <c r="N57" s="5"/>
      <c r="P57" s="5"/>
      <c r="R57" s="10"/>
      <c r="S57" s="5"/>
      <c r="W57" s="5"/>
      <c r="X57" s="5"/>
      <c r="Y57" s="3"/>
      <c r="Z57" s="3"/>
      <c r="AA57" s="3"/>
      <c r="AB57" s="1"/>
    </row>
    <row r="58" spans="4:28" x14ac:dyDescent="0.3">
      <c r="D58" s="5"/>
      <c r="F58" s="5"/>
      <c r="G58" s="5"/>
      <c r="I58" s="5"/>
      <c r="J58" s="5"/>
      <c r="K58" s="5"/>
      <c r="M58" s="5"/>
      <c r="N58" s="5"/>
      <c r="P58" s="5"/>
      <c r="R58" s="10"/>
      <c r="S58" s="5"/>
      <c r="W58" s="5"/>
      <c r="X58" s="5"/>
      <c r="Y58" s="3"/>
      <c r="Z58" s="3"/>
      <c r="AA58" s="3"/>
      <c r="AB58" s="1"/>
    </row>
    <row r="59" spans="4:28" x14ac:dyDescent="0.3">
      <c r="D59" s="5"/>
      <c r="F59" s="5"/>
      <c r="G59" s="5"/>
      <c r="I59" s="5"/>
      <c r="J59" s="5"/>
      <c r="K59" s="5"/>
      <c r="M59" s="5"/>
      <c r="N59" s="5"/>
      <c r="P59" s="5"/>
      <c r="R59" s="10"/>
      <c r="S59" s="5"/>
      <c r="W59" s="5"/>
      <c r="X59" s="5"/>
      <c r="Y59" s="3"/>
      <c r="Z59" s="3"/>
      <c r="AA59" s="3"/>
      <c r="AB59" s="1"/>
    </row>
    <row r="60" spans="4:28" x14ac:dyDescent="0.3">
      <c r="D60" s="5"/>
      <c r="F60" s="5"/>
      <c r="G60" s="5"/>
      <c r="I60" s="5"/>
      <c r="J60" s="5"/>
      <c r="K60" s="5"/>
      <c r="M60" s="5"/>
      <c r="N60" s="5"/>
      <c r="P60" s="5"/>
      <c r="R60" s="10"/>
      <c r="S60" s="5"/>
      <c r="W60" s="5"/>
      <c r="X60" s="5"/>
      <c r="Y60" s="3"/>
      <c r="Z60" s="3"/>
      <c r="AA60" s="3"/>
      <c r="AB60" s="1"/>
    </row>
    <row r="61" spans="4:28" x14ac:dyDescent="0.3">
      <c r="D61" s="5"/>
      <c r="F61" s="5"/>
      <c r="G61" s="5"/>
      <c r="I61" s="5"/>
      <c r="J61" s="5"/>
      <c r="K61" s="5"/>
      <c r="M61" s="5"/>
      <c r="N61" s="5"/>
      <c r="P61" s="5"/>
      <c r="R61" s="10"/>
      <c r="S61" s="5"/>
      <c r="W61" s="5"/>
      <c r="X61" s="5"/>
      <c r="Y61" s="3"/>
      <c r="Z61" s="3"/>
      <c r="AA61" s="3"/>
      <c r="AB61" s="1"/>
    </row>
    <row r="62" spans="4:28" x14ac:dyDescent="0.3">
      <c r="D62" s="5"/>
      <c r="F62" s="5"/>
      <c r="G62" s="5"/>
      <c r="I62" s="5"/>
      <c r="J62" s="5"/>
      <c r="K62" s="5"/>
      <c r="M62" s="5"/>
      <c r="N62" s="5"/>
      <c r="P62" s="5"/>
      <c r="R62" s="10"/>
      <c r="S62" s="5"/>
      <c r="W62" s="5"/>
      <c r="X62" s="5"/>
      <c r="Y62" s="3"/>
      <c r="Z62" s="3"/>
      <c r="AA62" s="3"/>
      <c r="AB62" s="1"/>
    </row>
    <row r="63" spans="4:28" x14ac:dyDescent="0.3">
      <c r="D63" s="5"/>
      <c r="F63" s="5"/>
      <c r="G63" s="5"/>
      <c r="I63" s="5"/>
      <c r="J63" s="5"/>
      <c r="K63" s="5"/>
      <c r="M63" s="5"/>
      <c r="N63" s="5"/>
      <c r="P63" s="5"/>
      <c r="R63" s="10"/>
      <c r="S63" s="5"/>
      <c r="W63" s="5"/>
      <c r="X63" s="5"/>
      <c r="Y63" s="3"/>
      <c r="Z63" s="3"/>
      <c r="AA63" s="3"/>
      <c r="AB63" s="1"/>
    </row>
    <row r="64" spans="4:28" x14ac:dyDescent="0.3">
      <c r="D64" s="5"/>
      <c r="F64" s="5"/>
      <c r="G64" s="5"/>
      <c r="I64" s="5"/>
      <c r="J64" s="5"/>
      <c r="K64" s="5"/>
      <c r="M64" s="5"/>
      <c r="N64" s="5"/>
      <c r="P64" s="5"/>
      <c r="R64" s="10"/>
      <c r="S64" s="5"/>
      <c r="W64" s="5"/>
      <c r="X64" s="5"/>
      <c r="Y64" s="3"/>
      <c r="Z64" s="3"/>
      <c r="AA64" s="3"/>
      <c r="AB64" s="1"/>
    </row>
    <row r="65" spans="4:28" x14ac:dyDescent="0.3">
      <c r="D65" s="5"/>
      <c r="F65" s="5"/>
      <c r="G65" s="5"/>
      <c r="I65" s="5"/>
      <c r="J65" s="5"/>
      <c r="K65" s="5"/>
      <c r="M65" s="5"/>
      <c r="N65" s="5"/>
      <c r="P65" s="5"/>
      <c r="R65" s="10"/>
      <c r="S65" s="5"/>
      <c r="W65" s="5"/>
      <c r="X65" s="5"/>
      <c r="Y65" s="3"/>
      <c r="Z65" s="3"/>
      <c r="AA65" s="3"/>
      <c r="AB65" s="1"/>
    </row>
    <row r="66" spans="4:28" x14ac:dyDescent="0.3">
      <c r="D66" s="5"/>
      <c r="F66" s="5"/>
      <c r="G66" s="5"/>
      <c r="I66" s="5"/>
      <c r="J66" s="5"/>
      <c r="K66" s="5"/>
      <c r="M66" s="5"/>
      <c r="N66" s="5"/>
      <c r="P66" s="5"/>
      <c r="R66" s="10"/>
      <c r="S66" s="5"/>
      <c r="W66" s="5"/>
      <c r="X66" s="5"/>
      <c r="Y66" s="3"/>
      <c r="Z66" s="3"/>
      <c r="AA66" s="3"/>
      <c r="AB66" s="1"/>
    </row>
    <row r="67" spans="4:28" x14ac:dyDescent="0.3">
      <c r="D67" s="5"/>
      <c r="F67" s="5"/>
      <c r="G67" s="5"/>
      <c r="I67" s="5"/>
      <c r="J67" s="5"/>
      <c r="K67" s="5"/>
      <c r="M67" s="5"/>
      <c r="N67" s="5"/>
      <c r="P67" s="5"/>
      <c r="R67" s="10"/>
      <c r="S67" s="5"/>
      <c r="W67" s="5"/>
      <c r="X67" s="5"/>
      <c r="Y67" s="3"/>
      <c r="Z67" s="3"/>
      <c r="AA67" s="3"/>
      <c r="AB67" s="1"/>
    </row>
    <row r="68" spans="4:28" x14ac:dyDescent="0.3">
      <c r="D68" s="5"/>
      <c r="F68" s="5"/>
      <c r="G68" s="5"/>
      <c r="I68" s="5"/>
      <c r="J68" s="5"/>
      <c r="K68" s="5"/>
      <c r="M68" s="5"/>
      <c r="N68" s="5"/>
      <c r="P68" s="5"/>
      <c r="R68" s="10"/>
      <c r="S68" s="5"/>
      <c r="W68" s="5"/>
      <c r="X68" s="5"/>
      <c r="Y68" s="3"/>
      <c r="Z68" s="3"/>
      <c r="AA68" s="3"/>
      <c r="AB68" s="1"/>
    </row>
    <row r="69" spans="4:28" x14ac:dyDescent="0.3">
      <c r="D69" s="5"/>
      <c r="F69" s="5"/>
      <c r="G69" s="5"/>
      <c r="I69" s="5"/>
      <c r="J69" s="5"/>
      <c r="K69" s="5"/>
      <c r="M69" s="5"/>
      <c r="N69" s="5"/>
      <c r="P69" s="5"/>
      <c r="R69" s="10"/>
      <c r="S69" s="5"/>
      <c r="W69" s="5"/>
      <c r="X69" s="5"/>
      <c r="Y69" s="3"/>
      <c r="Z69" s="3"/>
      <c r="AA69" s="3"/>
      <c r="AB69" s="1"/>
    </row>
    <row r="70" spans="4:28" x14ac:dyDescent="0.3">
      <c r="D70" s="5"/>
      <c r="F70" s="5"/>
      <c r="G70" s="5"/>
      <c r="I70" s="5"/>
      <c r="J70" s="5"/>
      <c r="K70" s="5"/>
      <c r="M70" s="5"/>
      <c r="N70" s="5"/>
      <c r="P70" s="5"/>
      <c r="R70" s="10"/>
      <c r="S70" s="5"/>
      <c r="W70" s="5"/>
      <c r="X70" s="5"/>
      <c r="Y70" s="3"/>
      <c r="Z70" s="3"/>
      <c r="AA70" s="3"/>
      <c r="AB70" s="1"/>
    </row>
    <row r="71" spans="4:28" x14ac:dyDescent="0.3">
      <c r="D71" s="5"/>
      <c r="F71" s="5"/>
      <c r="G71" s="5"/>
      <c r="I71" s="5"/>
      <c r="J71" s="5"/>
      <c r="K71" s="5"/>
      <c r="N71" s="5"/>
      <c r="P71" s="5"/>
      <c r="R71" s="10"/>
      <c r="S71" s="5"/>
      <c r="W71" s="5"/>
      <c r="X71" s="5"/>
      <c r="Y71" s="3"/>
      <c r="Z71" s="3"/>
      <c r="AA71" s="3"/>
      <c r="AB71" s="1"/>
    </row>
    <row r="72" spans="4:28" x14ac:dyDescent="0.3">
      <c r="D72" s="5"/>
      <c r="F72" s="5"/>
      <c r="G72" s="5"/>
      <c r="I72" s="5"/>
      <c r="J72" s="5"/>
      <c r="K72" s="5"/>
      <c r="N72" s="5"/>
      <c r="P72" s="5"/>
      <c r="S72" s="5"/>
      <c r="W72" s="5"/>
      <c r="X72" s="5"/>
      <c r="Y72" s="3"/>
      <c r="Z72" s="3"/>
      <c r="AA72" s="3"/>
      <c r="AB72" s="1"/>
    </row>
    <row r="73" spans="4:28" x14ac:dyDescent="0.3">
      <c r="D73" s="5"/>
      <c r="F73" s="5"/>
      <c r="G73" s="5"/>
      <c r="I73" s="5"/>
      <c r="J73" s="5"/>
      <c r="K73" s="5"/>
      <c r="N73" s="5"/>
      <c r="P73" s="5"/>
      <c r="Q73" s="5"/>
      <c r="S73" s="5"/>
      <c r="U73" s="3"/>
      <c r="V73" s="3"/>
      <c r="W73" s="5"/>
      <c r="X73" s="5"/>
      <c r="Y73" s="3"/>
      <c r="Z73" s="3"/>
      <c r="AA73" s="3"/>
      <c r="AB73" s="1"/>
    </row>
    <row r="74" spans="4:28" x14ac:dyDescent="0.3">
      <c r="D74" s="5"/>
      <c r="F74" s="5"/>
      <c r="G74" s="5"/>
      <c r="I74" s="5"/>
      <c r="J74" s="5"/>
      <c r="K74" s="5"/>
      <c r="N74" s="5"/>
      <c r="P74" s="5"/>
      <c r="Q74" s="5"/>
      <c r="S74" s="5"/>
      <c r="U74" s="3"/>
      <c r="V74" s="3"/>
      <c r="W74" s="5"/>
      <c r="X74" s="5"/>
      <c r="Y74" s="3"/>
      <c r="Z74" s="3"/>
      <c r="AA74" s="3"/>
      <c r="AB74" s="1"/>
    </row>
    <row r="75" spans="4:28" x14ac:dyDescent="0.3">
      <c r="D75" s="5"/>
      <c r="F75" s="5"/>
      <c r="G75" s="5"/>
      <c r="I75" s="5"/>
      <c r="J75" s="5"/>
      <c r="K75" s="5"/>
      <c r="N75" s="5"/>
      <c r="P75" s="5"/>
      <c r="Q75" s="5"/>
      <c r="S75" s="5"/>
      <c r="U75" s="3"/>
      <c r="V75" s="3"/>
      <c r="W75" s="5"/>
      <c r="X75" s="5"/>
      <c r="Y75" s="3"/>
      <c r="Z75" s="3"/>
      <c r="AA75" s="3"/>
      <c r="AB75" s="1"/>
    </row>
    <row r="76" spans="4:28" x14ac:dyDescent="0.3">
      <c r="D76" s="5"/>
      <c r="F76" s="5"/>
      <c r="G76" s="5"/>
      <c r="I76" s="5"/>
      <c r="J76" s="5"/>
      <c r="K76" s="5"/>
      <c r="N76" s="5"/>
      <c r="P76" s="5"/>
      <c r="Q76" s="5"/>
      <c r="S76" s="5"/>
      <c r="U76" s="3"/>
      <c r="V76" s="3"/>
      <c r="W76" s="5"/>
      <c r="X76" s="5"/>
      <c r="Y76" s="3"/>
      <c r="Z76" s="3"/>
      <c r="AA76" s="3"/>
      <c r="AB76" s="1"/>
    </row>
    <row r="77" spans="4:28" x14ac:dyDescent="0.3">
      <c r="D77" s="5"/>
      <c r="F77" s="5"/>
      <c r="G77" s="5"/>
      <c r="I77" s="5"/>
      <c r="J77" s="5"/>
      <c r="K77" s="5"/>
      <c r="N77" s="5"/>
      <c r="P77" s="5"/>
      <c r="Q77" s="5"/>
      <c r="S77" s="5"/>
      <c r="U77" s="3"/>
      <c r="V77" s="3"/>
      <c r="W77" s="5"/>
      <c r="X77" s="5"/>
      <c r="Y77" s="3"/>
      <c r="Z77" s="3"/>
      <c r="AA77" s="3"/>
      <c r="AB77" s="1"/>
    </row>
    <row r="78" spans="4:28" x14ac:dyDescent="0.3">
      <c r="D78" s="5"/>
      <c r="F78" s="5"/>
      <c r="G78" s="5"/>
      <c r="I78" s="5"/>
      <c r="J78" s="5"/>
      <c r="K78" s="5"/>
      <c r="N78" s="5"/>
      <c r="P78" s="5"/>
      <c r="Q78" s="5"/>
      <c r="S78" s="5"/>
      <c r="U78" s="3"/>
      <c r="V78" s="3"/>
      <c r="W78" s="5"/>
      <c r="X78" s="5"/>
      <c r="Y78" s="3"/>
      <c r="Z78" s="3"/>
      <c r="AA78" s="3"/>
      <c r="AB78" s="1"/>
    </row>
    <row r="79" spans="4:28" x14ac:dyDescent="0.3">
      <c r="D79" s="5"/>
      <c r="F79" s="5"/>
      <c r="G79" s="5"/>
      <c r="I79" s="5"/>
      <c r="J79" s="5"/>
      <c r="K79" s="5"/>
      <c r="N79" s="5"/>
      <c r="P79" s="5"/>
      <c r="Q79" s="5"/>
      <c r="S79" s="5"/>
      <c r="U79" s="3"/>
      <c r="V79" s="3"/>
      <c r="W79" s="5"/>
      <c r="X79" s="5"/>
      <c r="Y79" s="3"/>
      <c r="Z79" s="3"/>
      <c r="AA79" s="3"/>
      <c r="AB79" s="1"/>
    </row>
    <row r="80" spans="4:28" x14ac:dyDescent="0.3">
      <c r="D80" s="5"/>
      <c r="F80" s="5"/>
      <c r="G80" s="5"/>
      <c r="I80" s="5"/>
      <c r="J80" s="5"/>
      <c r="K80" s="5"/>
      <c r="N80" s="5"/>
      <c r="P80" s="5"/>
      <c r="Q80" s="5"/>
      <c r="S80" s="5"/>
      <c r="U80" s="3"/>
      <c r="V80" s="3"/>
      <c r="W80" s="5"/>
      <c r="X80" s="5"/>
      <c r="Y80" s="3"/>
      <c r="Z80" s="3"/>
      <c r="AA80" s="3"/>
      <c r="AB80" s="1"/>
    </row>
    <row r="81" spans="4:28" x14ac:dyDescent="0.3">
      <c r="D81" s="5"/>
      <c r="F81" s="5"/>
      <c r="G81" s="5"/>
      <c r="I81" s="5"/>
      <c r="J81" s="5"/>
      <c r="K81" s="5"/>
      <c r="N81" s="5"/>
      <c r="P81" s="5"/>
      <c r="Q81" s="5"/>
      <c r="S81" s="5"/>
      <c r="U81" s="3"/>
      <c r="V81" s="3"/>
      <c r="W81" s="5"/>
      <c r="X81" s="5"/>
      <c r="Y81" s="3"/>
      <c r="Z81" s="3"/>
      <c r="AA81" s="3"/>
      <c r="AB81" s="1"/>
    </row>
    <row r="82" spans="4:28" x14ac:dyDescent="0.3">
      <c r="D82" s="5"/>
      <c r="F82" s="5"/>
      <c r="G82" s="5"/>
      <c r="I82" s="5"/>
      <c r="J82" s="5"/>
      <c r="K82" s="5"/>
      <c r="N82" s="5"/>
      <c r="P82" s="5"/>
      <c r="Q82" s="5"/>
      <c r="S82" s="5"/>
      <c r="U82" s="3"/>
      <c r="V82" s="3"/>
      <c r="W82" s="5"/>
      <c r="X82" s="5"/>
      <c r="Y82" s="3"/>
      <c r="Z82" s="3"/>
      <c r="AA82" s="3"/>
      <c r="AB82" s="1"/>
    </row>
    <row r="83" spans="4:28" x14ac:dyDescent="0.3">
      <c r="D83" s="5"/>
      <c r="F83" s="5"/>
      <c r="G83" s="5"/>
      <c r="I83" s="5"/>
      <c r="J83" s="5"/>
      <c r="K83" s="5"/>
      <c r="N83" s="5"/>
      <c r="P83" s="5"/>
      <c r="Q83" s="5"/>
      <c r="S83" s="5"/>
      <c r="U83" s="3"/>
      <c r="V83" s="3"/>
      <c r="W83" s="5"/>
      <c r="X83" s="5"/>
      <c r="Y83" s="3"/>
      <c r="Z83" s="3"/>
      <c r="AA83" s="3"/>
      <c r="AB83" s="1"/>
    </row>
    <row r="84" spans="4:28" x14ac:dyDescent="0.3">
      <c r="D84" s="5"/>
      <c r="F84" s="5"/>
      <c r="G84" s="5"/>
      <c r="I84" s="5"/>
      <c r="J84" s="5"/>
      <c r="K84" s="5"/>
      <c r="N84" s="5"/>
      <c r="P84" s="5"/>
      <c r="Q84" s="5"/>
      <c r="S84" s="5"/>
      <c r="U84" s="3"/>
      <c r="V84" s="3"/>
      <c r="W84" s="5"/>
      <c r="X84" s="5"/>
      <c r="Y84" s="3"/>
      <c r="Z84" s="3"/>
      <c r="AA84" s="3"/>
      <c r="AB84" s="1"/>
    </row>
    <row r="85" spans="4:28" x14ac:dyDescent="0.3">
      <c r="D85" s="5"/>
      <c r="F85" s="5"/>
      <c r="G85" s="5"/>
      <c r="I85" s="5"/>
      <c r="J85" s="5"/>
      <c r="K85" s="5"/>
      <c r="N85" s="5"/>
      <c r="P85" s="5"/>
      <c r="Q85" s="5"/>
      <c r="S85" s="5"/>
      <c r="U85" s="3"/>
      <c r="V85" s="3"/>
      <c r="W85" s="5"/>
      <c r="X85" s="5"/>
      <c r="Y85" s="3"/>
      <c r="Z85" s="3"/>
      <c r="AA85" s="3"/>
      <c r="AB85" s="1"/>
    </row>
    <row r="86" spans="4:28" x14ac:dyDescent="0.3">
      <c r="D86" s="5"/>
      <c r="F86" s="5"/>
      <c r="G86" s="5"/>
      <c r="I86" s="5"/>
      <c r="J86" s="5"/>
      <c r="K86" s="5"/>
      <c r="N86" s="5"/>
      <c r="P86" s="5"/>
      <c r="Q86" s="5"/>
      <c r="S86" s="5"/>
      <c r="U86" s="3"/>
      <c r="V86" s="3"/>
      <c r="W86" s="5"/>
      <c r="X86" s="5"/>
      <c r="Y86" s="3"/>
      <c r="Z86" s="3"/>
      <c r="AA86" s="3"/>
      <c r="AB86" s="1"/>
    </row>
    <row r="87" spans="4:28" x14ac:dyDescent="0.3">
      <c r="D87" s="5"/>
      <c r="F87" s="5"/>
      <c r="G87" s="5"/>
      <c r="I87" s="5"/>
      <c r="J87" s="5"/>
      <c r="K87" s="5"/>
      <c r="N87" s="5"/>
      <c r="P87" s="5"/>
      <c r="Q87" s="5"/>
      <c r="S87" s="5"/>
      <c r="U87" s="3"/>
      <c r="V87" s="3"/>
      <c r="W87" s="5"/>
      <c r="X87" s="5"/>
      <c r="Y87" s="3"/>
      <c r="Z87" s="3"/>
      <c r="AA87" s="3"/>
      <c r="AB87" s="1"/>
    </row>
    <row r="88" spans="4:28" x14ac:dyDescent="0.3">
      <c r="D88" s="5"/>
      <c r="F88" s="5"/>
      <c r="G88" s="5"/>
      <c r="I88" s="5"/>
      <c r="J88" s="5"/>
      <c r="K88" s="5"/>
      <c r="N88" s="5"/>
      <c r="P88" s="5"/>
      <c r="Q88" s="5"/>
      <c r="S88" s="5"/>
      <c r="U88" s="3"/>
      <c r="V88" s="3"/>
      <c r="W88" s="5"/>
      <c r="X88" s="5"/>
      <c r="Y88" s="3"/>
      <c r="Z88" s="3"/>
      <c r="AA88" s="3"/>
      <c r="AB88" s="1"/>
    </row>
    <row r="89" spans="4:28" x14ac:dyDescent="0.3">
      <c r="D89" s="5"/>
      <c r="F89" s="5"/>
      <c r="G89" s="5"/>
      <c r="I89" s="5"/>
      <c r="J89" s="5"/>
      <c r="K89" s="5"/>
      <c r="N89" s="5"/>
      <c r="P89" s="5"/>
      <c r="Q89" s="5"/>
      <c r="S89" s="5"/>
      <c r="U89" s="3"/>
      <c r="V89" s="3"/>
      <c r="W89" s="5"/>
      <c r="X89" s="5"/>
      <c r="Y89" s="3"/>
      <c r="Z89" s="3"/>
      <c r="AA89" s="3"/>
      <c r="AB89" s="1"/>
    </row>
    <row r="90" spans="4:28" x14ac:dyDescent="0.3">
      <c r="D90" s="5"/>
      <c r="F90" s="5"/>
      <c r="G90" s="5"/>
      <c r="I90" s="5"/>
      <c r="J90" s="5"/>
      <c r="K90" s="5"/>
      <c r="N90" s="5"/>
      <c r="P90" s="5"/>
      <c r="Q90" s="5"/>
      <c r="S90" s="5"/>
      <c r="U90" s="3"/>
      <c r="V90" s="3"/>
      <c r="W90" s="5"/>
      <c r="X90" s="5"/>
      <c r="Y90" s="3"/>
      <c r="Z90" s="3"/>
      <c r="AA90" s="3"/>
      <c r="AB90" s="1"/>
    </row>
    <row r="91" spans="4:28" x14ac:dyDescent="0.3">
      <c r="D91" s="5"/>
      <c r="F91" s="5"/>
      <c r="G91" s="5"/>
      <c r="I91" s="5"/>
      <c r="J91" s="5"/>
      <c r="K91" s="5"/>
      <c r="N91" s="5"/>
      <c r="P91" s="5"/>
      <c r="Q91" s="5"/>
      <c r="S91" s="5"/>
      <c r="U91" s="3"/>
      <c r="V91" s="3"/>
      <c r="W91" s="5"/>
      <c r="X91" s="5"/>
      <c r="Y91" s="3"/>
      <c r="Z91" s="3"/>
      <c r="AA91" s="3"/>
      <c r="AB91" s="1"/>
    </row>
    <row r="92" spans="4:28" x14ac:dyDescent="0.3">
      <c r="D92" s="5"/>
      <c r="F92" s="5"/>
      <c r="G92" s="5"/>
      <c r="I92" s="5"/>
      <c r="J92" s="5"/>
      <c r="K92" s="5"/>
      <c r="N92" s="5"/>
      <c r="P92" s="5"/>
      <c r="Q92" s="5"/>
      <c r="S92" s="5"/>
      <c r="U92" s="3"/>
      <c r="V92" s="3"/>
      <c r="W92" s="5"/>
      <c r="X92" s="5"/>
      <c r="Y92" s="3"/>
      <c r="Z92" s="3"/>
      <c r="AA92" s="3"/>
      <c r="AB92" s="1"/>
    </row>
    <row r="93" spans="4:28" x14ac:dyDescent="0.3">
      <c r="D93" s="5"/>
      <c r="F93" s="5"/>
      <c r="G93" s="5"/>
      <c r="I93" s="5"/>
      <c r="J93" s="5"/>
      <c r="K93" s="5"/>
      <c r="N93" s="5"/>
      <c r="P93" s="5"/>
      <c r="Q93" s="5"/>
      <c r="S93" s="5"/>
      <c r="U93" s="3"/>
      <c r="V93" s="3"/>
      <c r="W93" s="5"/>
      <c r="X93" s="5"/>
      <c r="Y93" s="3"/>
      <c r="Z93" s="3"/>
      <c r="AA93" s="3"/>
      <c r="AB93" s="1"/>
    </row>
    <row r="94" spans="4:28" x14ac:dyDescent="0.3">
      <c r="D94" s="5"/>
      <c r="F94" s="5"/>
      <c r="G94" s="5"/>
      <c r="I94" s="5"/>
      <c r="J94" s="5"/>
      <c r="K94" s="5"/>
      <c r="N94" s="5"/>
      <c r="P94" s="5"/>
      <c r="Q94" s="5"/>
      <c r="S94" s="5"/>
      <c r="U94" s="3"/>
      <c r="V94" s="3"/>
      <c r="W94" s="5"/>
      <c r="X94" s="5"/>
      <c r="Y94" s="3"/>
      <c r="Z94" s="3"/>
      <c r="AA94" s="3"/>
      <c r="AB94" s="1"/>
    </row>
    <row r="95" spans="4:28" x14ac:dyDescent="0.3">
      <c r="D95" s="5"/>
      <c r="F95" s="5"/>
      <c r="G95" s="5"/>
      <c r="I95" s="5"/>
      <c r="J95" s="5"/>
      <c r="K95" s="5"/>
      <c r="N95" s="5"/>
      <c r="P95" s="5"/>
      <c r="Q95" s="5"/>
      <c r="S95" s="5"/>
      <c r="U95" s="3"/>
      <c r="V95" s="3"/>
      <c r="W95" s="5"/>
      <c r="X95" s="5"/>
      <c r="Y95" s="3"/>
      <c r="Z95" s="3"/>
      <c r="AA95" s="3"/>
      <c r="AB95" s="1"/>
    </row>
    <row r="96" spans="4:28" x14ac:dyDescent="0.3">
      <c r="D96" s="5"/>
      <c r="F96" s="5"/>
      <c r="G96" s="5"/>
      <c r="I96" s="5"/>
      <c r="J96" s="5"/>
      <c r="K96" s="5"/>
      <c r="N96" s="5"/>
      <c r="P96" s="5"/>
      <c r="Q96" s="5"/>
      <c r="S96" s="5"/>
      <c r="U96" s="3"/>
      <c r="V96" s="3"/>
      <c r="W96" s="5"/>
      <c r="X96" s="5"/>
      <c r="Y96" s="3"/>
      <c r="Z96" s="3"/>
      <c r="AA96" s="3"/>
      <c r="AB96" s="1"/>
    </row>
    <row r="97" spans="4:28" x14ac:dyDescent="0.3">
      <c r="D97" s="5"/>
      <c r="F97" s="5"/>
      <c r="G97" s="5"/>
      <c r="I97" s="5"/>
      <c r="J97" s="5"/>
      <c r="K97" s="5"/>
      <c r="N97" s="5"/>
      <c r="P97" s="5"/>
      <c r="Q97" s="5"/>
      <c r="S97" s="5"/>
      <c r="U97" s="3"/>
      <c r="V97" s="3"/>
      <c r="W97" s="5"/>
      <c r="X97" s="5"/>
      <c r="Y97" s="3"/>
      <c r="Z97" s="3"/>
      <c r="AA97" s="3"/>
      <c r="AB97" s="1"/>
    </row>
    <row r="98" spans="4:28" x14ac:dyDescent="0.3">
      <c r="D98" s="5"/>
      <c r="F98" s="5"/>
      <c r="G98" s="5"/>
      <c r="I98" s="5"/>
      <c r="J98" s="5"/>
      <c r="K98" s="5"/>
      <c r="N98" s="5"/>
      <c r="P98" s="5"/>
      <c r="Q98" s="5"/>
      <c r="S98" s="5"/>
      <c r="U98" s="3"/>
      <c r="V98" s="3"/>
      <c r="W98" s="5"/>
      <c r="X98" s="5"/>
      <c r="Y98" s="3"/>
      <c r="Z98" s="3"/>
      <c r="AA98" s="3"/>
      <c r="AB98" s="1"/>
    </row>
    <row r="99" spans="4:28" x14ac:dyDescent="0.3">
      <c r="D99" s="5"/>
      <c r="F99" s="5"/>
      <c r="G99" s="5"/>
      <c r="I99" s="5"/>
      <c r="J99" s="5"/>
      <c r="K99" s="5"/>
      <c r="N99" s="5"/>
      <c r="P99" s="5"/>
      <c r="Q99" s="5"/>
      <c r="S99" s="5"/>
      <c r="U99" s="3"/>
      <c r="V99" s="3"/>
      <c r="W99" s="5"/>
      <c r="X99" s="5"/>
      <c r="Y99" s="3"/>
      <c r="Z99" s="3"/>
      <c r="AA99" s="3"/>
      <c r="AB99" s="1"/>
    </row>
    <row r="100" spans="4:28" x14ac:dyDescent="0.3">
      <c r="D100" s="5"/>
      <c r="F100" s="5"/>
      <c r="G100" s="5"/>
      <c r="I100" s="5"/>
      <c r="J100" s="5"/>
      <c r="K100" s="5"/>
      <c r="N100" s="5"/>
      <c r="P100" s="5"/>
      <c r="Q100" s="5"/>
      <c r="S100" s="5"/>
      <c r="U100" s="3"/>
      <c r="V100" s="3"/>
      <c r="W100" s="5"/>
      <c r="X100" s="5"/>
      <c r="Y100" s="3"/>
      <c r="Z100" s="3"/>
      <c r="AA100" s="3"/>
      <c r="AB100" s="1"/>
    </row>
    <row r="101" spans="4:28" x14ac:dyDescent="0.3">
      <c r="D101" s="5"/>
      <c r="F101" s="5"/>
      <c r="G101" s="5"/>
      <c r="I101" s="5"/>
      <c r="J101" s="5"/>
      <c r="K101" s="5"/>
      <c r="N101" s="5"/>
      <c r="P101" s="5"/>
      <c r="Q101" s="5"/>
      <c r="S101" s="5"/>
      <c r="U101" s="3"/>
      <c r="V101" s="3"/>
      <c r="W101" s="5"/>
      <c r="X101" s="5"/>
      <c r="Y101" s="3"/>
      <c r="Z101" s="3"/>
      <c r="AA101" s="3"/>
      <c r="AB101" s="1"/>
    </row>
    <row r="102" spans="4:28" x14ac:dyDescent="0.3">
      <c r="D102" s="5"/>
      <c r="F102" s="5"/>
      <c r="G102" s="5"/>
      <c r="I102" s="5"/>
      <c r="J102" s="5"/>
      <c r="K102" s="5"/>
      <c r="N102" s="5"/>
      <c r="P102" s="5"/>
      <c r="Q102" s="5"/>
      <c r="S102" s="5"/>
      <c r="U102" s="3"/>
      <c r="V102" s="3"/>
      <c r="W102" s="5"/>
      <c r="X102" s="5"/>
      <c r="Y102" s="3"/>
      <c r="Z102" s="3"/>
      <c r="AA102" s="3"/>
      <c r="AB102" s="1"/>
    </row>
    <row r="103" spans="4:28" x14ac:dyDescent="0.3">
      <c r="D103" s="5"/>
      <c r="F103" s="5"/>
      <c r="G103" s="5"/>
      <c r="I103" s="5"/>
      <c r="J103" s="5"/>
      <c r="K103" s="5"/>
      <c r="N103" s="5"/>
      <c r="P103" s="5"/>
      <c r="Q103" s="5"/>
      <c r="S103" s="5"/>
      <c r="U103" s="3"/>
      <c r="V103" s="3"/>
      <c r="W103" s="5"/>
      <c r="X103" s="5"/>
      <c r="Y103" s="3"/>
      <c r="Z103" s="3"/>
      <c r="AA103" s="3"/>
      <c r="AB103" s="1"/>
    </row>
    <row r="104" spans="4:28" x14ac:dyDescent="0.3">
      <c r="D104" s="5"/>
      <c r="F104" s="5"/>
      <c r="G104" s="5"/>
      <c r="I104" s="5"/>
      <c r="J104" s="5"/>
      <c r="K104" s="5"/>
      <c r="N104" s="5"/>
      <c r="P104" s="5"/>
      <c r="Q104" s="5"/>
      <c r="S104" s="5"/>
      <c r="U104" s="3"/>
      <c r="V104" s="3"/>
      <c r="W104" s="5"/>
      <c r="X104" s="5"/>
      <c r="Y104" s="3"/>
      <c r="Z104" s="3"/>
      <c r="AA104" s="3"/>
      <c r="AB104" s="1"/>
    </row>
    <row r="105" spans="4:28" x14ac:dyDescent="0.3">
      <c r="D105" s="5"/>
      <c r="F105" s="5"/>
      <c r="G105" s="5"/>
      <c r="I105" s="5"/>
      <c r="J105" s="5"/>
      <c r="K105" s="5"/>
      <c r="N105" s="5"/>
      <c r="P105" s="5"/>
      <c r="Q105" s="5"/>
      <c r="S105" s="5"/>
      <c r="U105" s="3"/>
      <c r="V105" s="3"/>
      <c r="W105" s="5"/>
      <c r="X105" s="5"/>
      <c r="Y105" s="3"/>
      <c r="Z105" s="3"/>
      <c r="AA105" s="3"/>
      <c r="AB105" s="1"/>
    </row>
    <row r="106" spans="4:28" x14ac:dyDescent="0.3">
      <c r="D106" s="5"/>
      <c r="F106" s="5"/>
      <c r="G106" s="5"/>
      <c r="I106" s="5"/>
      <c r="J106" s="5"/>
      <c r="K106" s="5"/>
      <c r="N106" s="5"/>
      <c r="P106" s="5"/>
      <c r="Q106" s="5"/>
      <c r="S106" s="5"/>
      <c r="U106" s="3"/>
      <c r="V106" s="3"/>
      <c r="W106" s="5"/>
      <c r="X106" s="5"/>
      <c r="Y106" s="3"/>
      <c r="Z106" s="3"/>
      <c r="AA106" s="3"/>
      <c r="AB106" s="1"/>
    </row>
    <row r="107" spans="4:28" x14ac:dyDescent="0.3">
      <c r="D107" s="5"/>
      <c r="F107" s="5"/>
      <c r="G107" s="5"/>
      <c r="I107" s="5"/>
      <c r="J107" s="5"/>
      <c r="K107" s="5"/>
      <c r="N107" s="5"/>
      <c r="P107" s="5"/>
      <c r="Q107" s="5"/>
      <c r="S107" s="5"/>
      <c r="U107" s="3"/>
      <c r="V107" s="3"/>
      <c r="W107" s="5"/>
      <c r="X107" s="5"/>
      <c r="Y107" s="3"/>
      <c r="Z107" s="3"/>
      <c r="AA107" s="3"/>
      <c r="AB107" s="1"/>
    </row>
    <row r="108" spans="4:28" x14ac:dyDescent="0.3">
      <c r="D108" s="5"/>
      <c r="F108" s="5"/>
      <c r="G108" s="5"/>
      <c r="I108" s="5"/>
      <c r="J108" s="5"/>
      <c r="K108" s="5"/>
      <c r="N108" s="5"/>
      <c r="P108" s="5"/>
      <c r="Q108" s="5"/>
      <c r="S108" s="5"/>
      <c r="U108" s="3"/>
      <c r="V108" s="3"/>
      <c r="W108" s="5"/>
      <c r="X108" s="5"/>
      <c r="Y108" s="3"/>
      <c r="Z108" s="3"/>
      <c r="AA108" s="3"/>
      <c r="AB108" s="1"/>
    </row>
    <row r="109" spans="4:28" x14ac:dyDescent="0.3">
      <c r="D109" s="5"/>
      <c r="F109" s="5"/>
      <c r="G109" s="5"/>
      <c r="I109" s="5"/>
      <c r="J109" s="5"/>
      <c r="K109" s="5"/>
      <c r="N109" s="5"/>
      <c r="P109" s="5"/>
      <c r="Q109" s="5"/>
      <c r="S109" s="5"/>
      <c r="U109" s="3"/>
      <c r="V109" s="3"/>
      <c r="W109" s="5"/>
      <c r="X109" s="5"/>
      <c r="Y109" s="3"/>
      <c r="Z109" s="3"/>
      <c r="AA109" s="3"/>
      <c r="AB109" s="1"/>
    </row>
    <row r="110" spans="4:28" x14ac:dyDescent="0.3">
      <c r="D110" s="5"/>
      <c r="F110" s="5"/>
      <c r="G110" s="5"/>
      <c r="I110" s="5"/>
      <c r="J110" s="5"/>
      <c r="K110" s="5"/>
      <c r="N110" s="5"/>
      <c r="P110" s="5"/>
      <c r="Q110" s="5"/>
      <c r="S110" s="5"/>
      <c r="U110" s="3"/>
      <c r="V110" s="3"/>
      <c r="W110" s="5"/>
      <c r="X110" s="5"/>
      <c r="Y110" s="3"/>
      <c r="Z110" s="3"/>
      <c r="AA110" s="3"/>
      <c r="AB110" s="1"/>
    </row>
    <row r="111" spans="4:28" x14ac:dyDescent="0.3">
      <c r="D111" s="5"/>
      <c r="F111" s="5"/>
      <c r="G111" s="5"/>
      <c r="I111" s="5"/>
      <c r="J111" s="5"/>
      <c r="K111" s="5"/>
      <c r="N111" s="5"/>
      <c r="P111" s="5"/>
      <c r="Q111" s="5"/>
      <c r="S111" s="5"/>
      <c r="U111" s="3"/>
      <c r="V111" s="3"/>
      <c r="W111" s="5"/>
      <c r="X111" s="5"/>
      <c r="Y111" s="3"/>
      <c r="Z111" s="3"/>
      <c r="AA111" s="3"/>
      <c r="AB111" s="1"/>
    </row>
    <row r="112" spans="4:28" x14ac:dyDescent="0.3">
      <c r="D112" s="5"/>
      <c r="F112" s="5"/>
      <c r="G112" s="5"/>
      <c r="I112" s="5"/>
      <c r="J112" s="5"/>
      <c r="K112" s="5"/>
      <c r="N112" s="5"/>
      <c r="P112" s="5"/>
      <c r="Q112" s="5"/>
      <c r="S112" s="5"/>
      <c r="U112" s="3"/>
      <c r="V112" s="3"/>
      <c r="W112" s="5"/>
      <c r="X112" s="5"/>
      <c r="Y112" s="3"/>
      <c r="Z112" s="3"/>
      <c r="AA112" s="3"/>
      <c r="AB112" s="1"/>
    </row>
    <row r="113" spans="4:28" x14ac:dyDescent="0.3">
      <c r="D113" s="5"/>
      <c r="F113" s="5"/>
      <c r="G113" s="5"/>
      <c r="I113" s="5"/>
      <c r="J113" s="5"/>
      <c r="K113" s="5"/>
      <c r="N113" s="5"/>
      <c r="P113" s="5"/>
      <c r="Q113" s="5"/>
      <c r="S113" s="5"/>
      <c r="U113" s="3"/>
      <c r="V113" s="3"/>
      <c r="W113" s="5"/>
      <c r="X113" s="5"/>
      <c r="Y113" s="3"/>
      <c r="Z113" s="3"/>
      <c r="AA113" s="3"/>
      <c r="AB113" s="1"/>
    </row>
    <row r="114" spans="4:28" x14ac:dyDescent="0.3">
      <c r="D114" s="5"/>
      <c r="F114" s="5"/>
      <c r="G114" s="5"/>
      <c r="I114" s="5"/>
      <c r="J114" s="5"/>
      <c r="K114" s="5"/>
      <c r="N114" s="5"/>
      <c r="P114" s="5"/>
      <c r="Q114" s="5"/>
      <c r="S114" s="5"/>
      <c r="U114" s="3"/>
      <c r="V114" s="3"/>
      <c r="W114" s="5"/>
      <c r="X114" s="5"/>
      <c r="Y114" s="3"/>
      <c r="Z114" s="3"/>
      <c r="AA114" s="3"/>
      <c r="AB114" s="1"/>
    </row>
    <row r="115" spans="4:28" x14ac:dyDescent="0.3">
      <c r="D115" s="5"/>
      <c r="F115" s="5"/>
      <c r="G115" s="5"/>
      <c r="I115" s="5"/>
      <c r="J115" s="5"/>
      <c r="K115" s="5"/>
      <c r="N115" s="5"/>
      <c r="P115" s="5"/>
      <c r="Q115" s="5"/>
      <c r="S115" s="5"/>
      <c r="U115" s="3"/>
      <c r="V115" s="3"/>
      <c r="W115" s="5"/>
      <c r="X115" s="5"/>
      <c r="Y115" s="3"/>
      <c r="Z115" s="3"/>
      <c r="AA115" s="3"/>
      <c r="AB115" s="1"/>
    </row>
    <row r="116" spans="4:28" x14ac:dyDescent="0.3">
      <c r="D116" s="5"/>
      <c r="F116" s="5"/>
      <c r="G116" s="5"/>
      <c r="I116" s="5"/>
      <c r="J116" s="5"/>
      <c r="K116" s="5"/>
      <c r="N116" s="5"/>
      <c r="P116" s="5"/>
      <c r="Q116" s="5"/>
      <c r="S116" s="5"/>
      <c r="U116" s="3"/>
      <c r="V116" s="3"/>
      <c r="W116" s="5"/>
      <c r="X116" s="5"/>
      <c r="Y116" s="3"/>
      <c r="Z116" s="3"/>
      <c r="AA116" s="3"/>
      <c r="AB116" s="1"/>
    </row>
    <row r="117" spans="4:28" x14ac:dyDescent="0.3">
      <c r="D117" s="5"/>
      <c r="F117" s="5"/>
      <c r="G117" s="5"/>
      <c r="I117" s="5"/>
      <c r="J117" s="5"/>
      <c r="K117" s="5"/>
      <c r="N117" s="5"/>
      <c r="P117" s="5"/>
      <c r="Q117" s="5"/>
      <c r="S117" s="5"/>
      <c r="U117" s="3"/>
      <c r="V117" s="3"/>
      <c r="W117" s="5"/>
      <c r="X117" s="5"/>
      <c r="Y117" s="3"/>
      <c r="Z117" s="3"/>
      <c r="AA117" s="3"/>
      <c r="AB117" s="1"/>
    </row>
    <row r="118" spans="4:28" x14ac:dyDescent="0.3">
      <c r="D118" s="5"/>
      <c r="F118" s="5"/>
      <c r="G118" s="5"/>
      <c r="I118" s="5"/>
      <c r="J118" s="5"/>
      <c r="K118" s="5"/>
      <c r="N118" s="5"/>
      <c r="P118" s="5"/>
      <c r="Q118" s="5"/>
      <c r="S118" s="5"/>
      <c r="U118" s="3"/>
      <c r="V118" s="3"/>
      <c r="W118" s="5"/>
      <c r="X118" s="5"/>
      <c r="Y118" s="3"/>
      <c r="Z118" s="3"/>
      <c r="AA118" s="3"/>
      <c r="AB118" s="1"/>
    </row>
    <row r="119" spans="4:28" x14ac:dyDescent="0.3">
      <c r="D119" s="5"/>
      <c r="F119" s="5"/>
      <c r="G119" s="5"/>
      <c r="I119" s="5"/>
      <c r="J119" s="5"/>
      <c r="K119" s="5"/>
      <c r="N119" s="5"/>
      <c r="P119" s="5"/>
      <c r="Q119" s="5"/>
      <c r="S119" s="5"/>
      <c r="U119" s="3"/>
      <c r="V119" s="3"/>
      <c r="W119" s="5"/>
      <c r="X119" s="5"/>
      <c r="Y119" s="3"/>
      <c r="Z119" s="3"/>
      <c r="AA119" s="3"/>
      <c r="AB119" s="1"/>
    </row>
    <row r="120" spans="4:28" x14ac:dyDescent="0.3">
      <c r="D120" s="5"/>
      <c r="F120" s="5"/>
      <c r="G120" s="5"/>
      <c r="I120" s="5"/>
      <c r="J120" s="5"/>
      <c r="K120" s="5"/>
      <c r="N120" s="5"/>
      <c r="P120" s="5"/>
      <c r="Q120" s="5"/>
      <c r="S120" s="5"/>
      <c r="U120" s="3"/>
      <c r="V120" s="3"/>
      <c r="W120" s="5"/>
      <c r="X120" s="5"/>
      <c r="Y120" s="3"/>
      <c r="Z120" s="3"/>
      <c r="AA120" s="3"/>
      <c r="AB120" s="1"/>
    </row>
    <row r="121" spans="4:28" x14ac:dyDescent="0.3">
      <c r="D121" s="5"/>
      <c r="F121" s="5"/>
      <c r="G121" s="5"/>
      <c r="I121" s="5"/>
      <c r="J121" s="5"/>
      <c r="K121" s="5"/>
      <c r="N121" s="5"/>
      <c r="P121" s="5"/>
      <c r="Q121" s="5"/>
      <c r="S121" s="5"/>
      <c r="U121" s="3"/>
      <c r="V121" s="3"/>
      <c r="W121" s="5"/>
      <c r="X121" s="5"/>
      <c r="Y121" s="3"/>
      <c r="Z121" s="3"/>
      <c r="AA121" s="3"/>
      <c r="AB121" s="1"/>
    </row>
    <row r="122" spans="4:28" x14ac:dyDescent="0.3">
      <c r="D122" s="5"/>
      <c r="F122" s="5"/>
      <c r="G122" s="5"/>
      <c r="I122" s="5"/>
      <c r="J122" s="5"/>
      <c r="K122" s="5"/>
      <c r="N122" s="5"/>
      <c r="P122" s="5"/>
      <c r="Q122" s="5"/>
      <c r="S122" s="5"/>
      <c r="U122" s="3"/>
      <c r="V122" s="3"/>
      <c r="W122" s="5"/>
      <c r="X122" s="5"/>
      <c r="Y122" s="3"/>
      <c r="Z122" s="3"/>
      <c r="AA122" s="3"/>
      <c r="AB122" s="1"/>
    </row>
    <row r="123" spans="4:28" x14ac:dyDescent="0.3">
      <c r="D123" s="5"/>
      <c r="F123" s="5"/>
      <c r="G123" s="5"/>
      <c r="I123" s="5"/>
      <c r="J123" s="5"/>
      <c r="K123" s="5"/>
      <c r="N123" s="5"/>
      <c r="P123" s="5"/>
      <c r="Q123" s="5"/>
      <c r="S123" s="5"/>
      <c r="U123" s="3"/>
      <c r="V123" s="3"/>
      <c r="W123" s="5"/>
      <c r="X123" s="5"/>
      <c r="Y123" s="3"/>
      <c r="Z123" s="3"/>
      <c r="AA123" s="3"/>
      <c r="AB123" s="1"/>
    </row>
    <row r="124" spans="4:28" x14ac:dyDescent="0.3">
      <c r="D124" s="5"/>
      <c r="F124" s="5"/>
      <c r="G124" s="5"/>
      <c r="I124" s="5"/>
      <c r="J124" s="5"/>
      <c r="K124" s="5"/>
      <c r="N124" s="5"/>
      <c r="P124" s="5"/>
      <c r="Q124" s="5"/>
      <c r="S124" s="5"/>
      <c r="U124" s="3"/>
      <c r="V124" s="3"/>
      <c r="W124" s="5"/>
      <c r="X124" s="5"/>
      <c r="Y124" s="3"/>
      <c r="Z124" s="3"/>
      <c r="AA124" s="3"/>
      <c r="AB124" s="1"/>
    </row>
    <row r="125" spans="4:28" x14ac:dyDescent="0.3">
      <c r="D125" s="5"/>
      <c r="F125" s="5"/>
      <c r="G125" s="5"/>
      <c r="I125" s="5"/>
      <c r="J125" s="5"/>
      <c r="K125" s="5"/>
      <c r="N125" s="5"/>
      <c r="P125" s="5"/>
      <c r="Q125" s="5"/>
      <c r="S125" s="5"/>
      <c r="U125" s="3"/>
      <c r="V125" s="3"/>
      <c r="W125" s="5"/>
      <c r="X125" s="5"/>
      <c r="Y125" s="3"/>
      <c r="Z125" s="3"/>
      <c r="AA125" s="3"/>
      <c r="AB125" s="1"/>
    </row>
    <row r="126" spans="4:28" x14ac:dyDescent="0.3">
      <c r="D126" s="5"/>
      <c r="F126" s="5"/>
      <c r="G126" s="5"/>
      <c r="I126" s="5"/>
      <c r="J126" s="5"/>
      <c r="K126" s="5"/>
      <c r="N126" s="5"/>
      <c r="P126" s="5"/>
      <c r="Q126" s="5"/>
      <c r="S126" s="5"/>
      <c r="U126" s="3"/>
      <c r="V126" s="3"/>
      <c r="W126" s="5"/>
      <c r="X126" s="5"/>
      <c r="Y126" s="3"/>
      <c r="Z126" s="3"/>
      <c r="AA126" s="3"/>
      <c r="AB126" s="1"/>
    </row>
    <row r="127" spans="4:28" x14ac:dyDescent="0.3">
      <c r="D127" s="5"/>
      <c r="F127" s="5"/>
      <c r="G127" s="5"/>
      <c r="I127" s="5"/>
      <c r="J127" s="5"/>
      <c r="K127" s="5"/>
      <c r="N127" s="5"/>
      <c r="P127" s="5"/>
      <c r="Q127" s="5"/>
      <c r="S127" s="5"/>
      <c r="U127" s="3"/>
      <c r="V127" s="3"/>
      <c r="W127" s="5"/>
      <c r="X127" s="5"/>
      <c r="Y127" s="3"/>
      <c r="Z127" s="3"/>
      <c r="AA127" s="3"/>
      <c r="AB127" s="1"/>
    </row>
    <row r="128" spans="4:28" x14ac:dyDescent="0.3">
      <c r="D128" s="5"/>
      <c r="F128" s="5"/>
      <c r="G128" s="5"/>
      <c r="I128" s="5"/>
      <c r="J128" s="5"/>
      <c r="P128" s="5"/>
      <c r="Q128" s="5"/>
      <c r="W128" s="5"/>
    </row>
    <row r="129" spans="4:23" x14ac:dyDescent="0.3">
      <c r="D129" s="5"/>
      <c r="F129" s="5"/>
      <c r="G129" s="5"/>
      <c r="I129" s="5"/>
      <c r="P129" s="5"/>
      <c r="W129" s="5"/>
    </row>
    <row r="130" spans="4:23" x14ac:dyDescent="0.3">
      <c r="D130" s="5"/>
      <c r="F130" s="5"/>
      <c r="G130" s="5"/>
      <c r="I130" s="5"/>
      <c r="J130" s="5"/>
      <c r="S130" s="5"/>
      <c r="T130" s="3"/>
      <c r="U130" s="3"/>
      <c r="V130" s="3"/>
      <c r="W130" s="5"/>
    </row>
    <row r="131" spans="4:23" x14ac:dyDescent="0.3">
      <c r="D131" s="5"/>
      <c r="F131" s="5"/>
      <c r="G131" s="5"/>
      <c r="I131" s="5"/>
      <c r="J131" s="5"/>
      <c r="S131" s="5"/>
      <c r="W131" s="5"/>
    </row>
    <row r="132" spans="4:23" x14ac:dyDescent="0.3">
      <c r="D132" s="5"/>
      <c r="F132" s="5"/>
      <c r="G132" s="5"/>
      <c r="I132" s="5"/>
      <c r="J132" s="5"/>
      <c r="S132" s="5"/>
      <c r="W132" s="5"/>
    </row>
    <row r="133" spans="4:23" x14ac:dyDescent="0.3">
      <c r="D133" s="5"/>
      <c r="F133" s="5"/>
      <c r="G133" s="5"/>
      <c r="I133" s="5"/>
      <c r="J133" s="5"/>
      <c r="S133" s="5"/>
      <c r="W133" s="5"/>
    </row>
    <row r="134" spans="4:23" x14ac:dyDescent="0.3">
      <c r="D134" s="5"/>
      <c r="F134" s="5"/>
      <c r="G134" s="5"/>
      <c r="I134" s="5"/>
      <c r="J134" s="5"/>
      <c r="S134" s="5"/>
      <c r="W134" s="5"/>
    </row>
    <row r="135" spans="4:23" x14ac:dyDescent="0.3">
      <c r="D135" s="5"/>
      <c r="F135" s="5"/>
      <c r="G135" s="5"/>
      <c r="I135" s="5"/>
      <c r="J135" s="5"/>
      <c r="S135" s="5"/>
      <c r="W135" s="5"/>
    </row>
    <row r="136" spans="4:23" x14ac:dyDescent="0.3">
      <c r="D136" s="5"/>
      <c r="F136" s="5"/>
      <c r="G136" s="5"/>
      <c r="I136" s="5"/>
      <c r="J136" s="5"/>
      <c r="S136" s="5"/>
      <c r="W136" s="5"/>
    </row>
    <row r="137" spans="4:23" x14ac:dyDescent="0.3">
      <c r="D137" s="5"/>
      <c r="F137" s="5"/>
      <c r="G137" s="5"/>
      <c r="I137" s="5"/>
      <c r="J137" s="5"/>
      <c r="S137" s="5"/>
      <c r="W137" s="5"/>
    </row>
    <row r="138" spans="4:23" x14ac:dyDescent="0.3">
      <c r="D138" s="5"/>
      <c r="F138" s="5"/>
      <c r="G138" s="5"/>
      <c r="I138" s="5"/>
      <c r="J138" s="5"/>
      <c r="S138" s="5"/>
      <c r="W138" s="5"/>
    </row>
    <row r="139" spans="4:23" x14ac:dyDescent="0.3">
      <c r="D139" s="5"/>
      <c r="F139" s="5"/>
      <c r="G139" s="5"/>
      <c r="I139" s="5"/>
      <c r="J139" s="5"/>
      <c r="S139" s="5"/>
      <c r="W139" s="5"/>
    </row>
    <row r="140" spans="4:23" x14ac:dyDescent="0.3">
      <c r="F140" s="5"/>
      <c r="G140" s="5"/>
      <c r="I140" s="5"/>
      <c r="J140" s="5"/>
      <c r="S140" s="5"/>
      <c r="W140" s="5"/>
    </row>
    <row r="141" spans="4:23" x14ac:dyDescent="0.3">
      <c r="F141" s="5"/>
      <c r="G141" s="5"/>
      <c r="I141" s="5"/>
      <c r="J141" s="5"/>
      <c r="S141" s="5"/>
      <c r="W141" s="5"/>
    </row>
    <row r="142" spans="4:23" x14ac:dyDescent="0.3">
      <c r="J142" s="5"/>
      <c r="S142" s="5"/>
      <c r="W142" s="5"/>
    </row>
    <row r="143" spans="4:23" x14ac:dyDescent="0.3">
      <c r="S143" s="5"/>
      <c r="W143" s="5"/>
    </row>
    <row r="144" spans="4:23" x14ac:dyDescent="0.3">
      <c r="S144" s="5"/>
      <c r="W144" s="5"/>
    </row>
    <row r="147" spans="24:26" x14ac:dyDescent="0.3">
      <c r="X147" s="9"/>
      <c r="Y147" s="9"/>
      <c r="Z147"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3888-CB92-452A-99B8-23AB2F529CBD}">
  <dimension ref="A1:G150"/>
  <sheetViews>
    <sheetView topLeftCell="A119" zoomScaleNormal="100" workbookViewId="0">
      <selection activeCell="C151" sqref="C151"/>
    </sheetView>
  </sheetViews>
  <sheetFormatPr defaultRowHeight="14.4" x14ac:dyDescent="0.3"/>
  <cols>
    <col min="2" max="2" width="10.6640625" bestFit="1" customWidth="1"/>
    <col min="3" max="4" width="40.44140625" bestFit="1" customWidth="1"/>
    <col min="5" max="5" width="40.44140625" customWidth="1"/>
    <col min="6" max="6" width="12.44140625" bestFit="1" customWidth="1"/>
  </cols>
  <sheetData>
    <row r="1" spans="1:6" x14ac:dyDescent="0.3">
      <c r="A1" t="s">
        <v>0</v>
      </c>
      <c r="B1" t="s">
        <v>1360</v>
      </c>
      <c r="C1" t="s">
        <v>1361</v>
      </c>
      <c r="D1" t="s">
        <v>1588</v>
      </c>
      <c r="E1" t="s">
        <v>33</v>
      </c>
      <c r="F1" t="s">
        <v>1635</v>
      </c>
    </row>
    <row r="2" spans="1:6" x14ac:dyDescent="0.3">
      <c r="A2" t="s">
        <v>265</v>
      </c>
      <c r="B2" t="s">
        <v>1342</v>
      </c>
      <c r="C2" t="s">
        <v>927</v>
      </c>
      <c r="D2" t="s">
        <v>1589</v>
      </c>
      <c r="E2" t="s">
        <v>1280</v>
      </c>
      <c r="F2" t="s">
        <v>1375</v>
      </c>
    </row>
    <row r="3" spans="1:6" x14ac:dyDescent="0.3">
      <c r="A3" t="s">
        <v>266</v>
      </c>
      <c r="B3" t="s">
        <v>1342</v>
      </c>
      <c r="C3" t="s">
        <v>927</v>
      </c>
      <c r="D3" t="s">
        <v>34</v>
      </c>
      <c r="E3" t="s">
        <v>34</v>
      </c>
      <c r="F3" t="s">
        <v>1376</v>
      </c>
    </row>
    <row r="4" spans="1:6" x14ac:dyDescent="0.3">
      <c r="A4" t="s">
        <v>267</v>
      </c>
      <c r="B4" t="s">
        <v>1342</v>
      </c>
      <c r="C4" t="s">
        <v>1362</v>
      </c>
      <c r="D4" t="s">
        <v>1590</v>
      </c>
      <c r="E4" t="s">
        <v>1591</v>
      </c>
      <c r="F4" t="s">
        <v>1377</v>
      </c>
    </row>
    <row r="5" spans="1:6" x14ac:dyDescent="0.3">
      <c r="A5" t="s">
        <v>268</v>
      </c>
      <c r="B5" t="s">
        <v>1342</v>
      </c>
      <c r="C5" t="s">
        <v>1363</v>
      </c>
      <c r="D5" t="s">
        <v>1592</v>
      </c>
      <c r="E5" t="s">
        <v>1593</v>
      </c>
      <c r="F5" t="s">
        <v>1378</v>
      </c>
    </row>
    <row r="6" spans="1:6" x14ac:dyDescent="0.3">
      <c r="A6" t="s">
        <v>269</v>
      </c>
      <c r="B6" t="s">
        <v>1342</v>
      </c>
      <c r="C6" t="s">
        <v>1362</v>
      </c>
      <c r="D6" t="s">
        <v>1590</v>
      </c>
      <c r="E6" t="s">
        <v>1591</v>
      </c>
      <c r="F6" t="s">
        <v>1379</v>
      </c>
    </row>
    <row r="7" spans="1:6" x14ac:dyDescent="0.3">
      <c r="A7" t="s">
        <v>270</v>
      </c>
      <c r="B7" t="s">
        <v>1342</v>
      </c>
      <c r="C7" t="s">
        <v>534</v>
      </c>
      <c r="D7" t="s">
        <v>1594</v>
      </c>
      <c r="E7" t="s">
        <v>49</v>
      </c>
      <c r="F7" t="s">
        <v>1380</v>
      </c>
    </row>
    <row r="8" spans="1:6" x14ac:dyDescent="0.3">
      <c r="A8" t="s">
        <v>271</v>
      </c>
      <c r="B8" t="s">
        <v>1342</v>
      </c>
      <c r="C8" t="s">
        <v>1364</v>
      </c>
      <c r="D8" t="s">
        <v>1595</v>
      </c>
      <c r="E8" t="s">
        <v>59</v>
      </c>
      <c r="F8" t="s">
        <v>1381</v>
      </c>
    </row>
    <row r="9" spans="1:6" x14ac:dyDescent="0.3">
      <c r="A9" t="s">
        <v>272</v>
      </c>
      <c r="B9" t="s">
        <v>1342</v>
      </c>
      <c r="C9" t="s">
        <v>534</v>
      </c>
      <c r="D9" t="s">
        <v>1596</v>
      </c>
      <c r="E9" t="s">
        <v>1597</v>
      </c>
      <c r="F9" t="s">
        <v>1380</v>
      </c>
    </row>
    <row r="10" spans="1:6" x14ac:dyDescent="0.3">
      <c r="A10" t="s">
        <v>334</v>
      </c>
      <c r="B10" t="s">
        <v>1342</v>
      </c>
      <c r="C10" t="s">
        <v>1365</v>
      </c>
      <c r="D10" t="s">
        <v>1371</v>
      </c>
      <c r="E10" t="s">
        <v>1598</v>
      </c>
      <c r="F10" t="s">
        <v>1382</v>
      </c>
    </row>
    <row r="11" spans="1:6" x14ac:dyDescent="0.3">
      <c r="A11">
        <v>2330</v>
      </c>
      <c r="B11" t="s">
        <v>1342</v>
      </c>
      <c r="C11" t="s">
        <v>927</v>
      </c>
      <c r="D11" t="s">
        <v>34</v>
      </c>
      <c r="E11" t="s">
        <v>34</v>
      </c>
      <c r="F11" t="s">
        <v>1377</v>
      </c>
    </row>
    <row r="12" spans="1:6" x14ac:dyDescent="0.3">
      <c r="A12" t="s">
        <v>1345</v>
      </c>
      <c r="B12" t="s">
        <v>1342</v>
      </c>
      <c r="C12" t="s">
        <v>534</v>
      </c>
      <c r="D12" t="s">
        <v>1594</v>
      </c>
      <c r="E12" t="s">
        <v>49</v>
      </c>
      <c r="F12" t="s">
        <v>1377</v>
      </c>
    </row>
    <row r="13" spans="1:6" x14ac:dyDescent="0.3">
      <c r="A13" t="s">
        <v>1346</v>
      </c>
      <c r="B13" t="s">
        <v>1342</v>
      </c>
      <c r="C13" t="s">
        <v>1362</v>
      </c>
      <c r="D13" t="s">
        <v>1590</v>
      </c>
      <c r="E13" t="s">
        <v>1591</v>
      </c>
      <c r="F13" t="s">
        <v>1379</v>
      </c>
    </row>
    <row r="14" spans="1:6" x14ac:dyDescent="0.3">
      <c r="A14" t="s">
        <v>416</v>
      </c>
      <c r="B14" t="s">
        <v>1342</v>
      </c>
      <c r="C14" t="s">
        <v>927</v>
      </c>
      <c r="D14" t="s">
        <v>34</v>
      </c>
      <c r="E14" t="s">
        <v>34</v>
      </c>
      <c r="F14" t="s">
        <v>1377</v>
      </c>
    </row>
    <row r="15" spans="1:6" x14ac:dyDescent="0.3">
      <c r="A15" t="s">
        <v>273</v>
      </c>
      <c r="B15" t="s">
        <v>1342</v>
      </c>
      <c r="C15" t="s">
        <v>927</v>
      </c>
      <c r="D15" t="s">
        <v>1599</v>
      </c>
      <c r="E15" t="s">
        <v>1600</v>
      </c>
      <c r="F15" t="s">
        <v>1379</v>
      </c>
    </row>
    <row r="16" spans="1:6" x14ac:dyDescent="0.3">
      <c r="A16" t="s">
        <v>274</v>
      </c>
      <c r="B16" t="s">
        <v>1342</v>
      </c>
      <c r="C16" t="s">
        <v>1366</v>
      </c>
      <c r="D16" t="s">
        <v>1373</v>
      </c>
      <c r="E16" t="s">
        <v>1373</v>
      </c>
      <c r="F16" t="s">
        <v>1381</v>
      </c>
    </row>
    <row r="17" spans="1:7" x14ac:dyDescent="0.3">
      <c r="A17" t="s">
        <v>275</v>
      </c>
      <c r="B17" t="s">
        <v>1342</v>
      </c>
      <c r="C17" t="s">
        <v>1366</v>
      </c>
      <c r="D17" t="s">
        <v>481</v>
      </c>
      <c r="E17" t="s">
        <v>481</v>
      </c>
      <c r="F17" t="s">
        <v>1380</v>
      </c>
    </row>
    <row r="18" spans="1:7" x14ac:dyDescent="0.3">
      <c r="A18" t="s">
        <v>115</v>
      </c>
      <c r="B18" t="s">
        <v>1342</v>
      </c>
      <c r="C18" t="s">
        <v>1365</v>
      </c>
      <c r="D18" t="s">
        <v>1371</v>
      </c>
      <c r="E18" t="s">
        <v>1598</v>
      </c>
      <c r="F18" t="s">
        <v>1382</v>
      </c>
    </row>
    <row r="19" spans="1:7" x14ac:dyDescent="0.3">
      <c r="A19" t="s">
        <v>276</v>
      </c>
      <c r="B19" t="s">
        <v>1342</v>
      </c>
      <c r="C19" t="s">
        <v>534</v>
      </c>
      <c r="D19" t="s">
        <v>1596</v>
      </c>
      <c r="E19" t="s">
        <v>1601</v>
      </c>
      <c r="F19" t="s">
        <v>1377</v>
      </c>
    </row>
    <row r="20" spans="1:7" x14ac:dyDescent="0.3">
      <c r="A20" t="s">
        <v>277</v>
      </c>
      <c r="B20" t="s">
        <v>1343</v>
      </c>
      <c r="C20" t="s">
        <v>1365</v>
      </c>
      <c r="D20" t="s">
        <v>1371</v>
      </c>
      <c r="E20" t="s">
        <v>1598</v>
      </c>
      <c r="F20">
        <v>0</v>
      </c>
    </row>
    <row r="21" spans="1:7" x14ac:dyDescent="0.3">
      <c r="A21" t="s">
        <v>1347</v>
      </c>
      <c r="B21" t="s">
        <v>1343</v>
      </c>
      <c r="C21" t="s">
        <v>1367</v>
      </c>
      <c r="D21" t="s">
        <v>1367</v>
      </c>
      <c r="E21" t="s">
        <v>1602</v>
      </c>
      <c r="F21" t="s">
        <v>1383</v>
      </c>
    </row>
    <row r="22" spans="1:7" x14ac:dyDescent="0.3">
      <c r="A22" t="s">
        <v>278</v>
      </c>
      <c r="B22" t="s">
        <v>1343</v>
      </c>
      <c r="C22" t="s">
        <v>1365</v>
      </c>
      <c r="D22" t="s">
        <v>1371</v>
      </c>
      <c r="E22" t="s">
        <v>1603</v>
      </c>
      <c r="F22" t="s">
        <v>1376</v>
      </c>
    </row>
    <row r="23" spans="1:7" x14ac:dyDescent="0.3">
      <c r="A23" t="s">
        <v>1348</v>
      </c>
      <c r="B23" t="s">
        <v>1342</v>
      </c>
      <c r="C23" t="s">
        <v>534</v>
      </c>
      <c r="D23" t="s">
        <v>1594</v>
      </c>
      <c r="E23" t="s">
        <v>49</v>
      </c>
      <c r="F23" t="s">
        <v>1384</v>
      </c>
    </row>
    <row r="24" spans="1:7" x14ac:dyDescent="0.3">
      <c r="A24" t="s">
        <v>1349</v>
      </c>
      <c r="B24" t="s">
        <v>1342</v>
      </c>
      <c r="C24" t="s">
        <v>927</v>
      </c>
      <c r="D24" t="s">
        <v>34</v>
      </c>
      <c r="E24" t="s">
        <v>34</v>
      </c>
      <c r="F24" t="s">
        <v>1384</v>
      </c>
      <c r="G24" t="s">
        <v>1412</v>
      </c>
    </row>
    <row r="25" spans="1:7" x14ac:dyDescent="0.3">
      <c r="A25" t="s">
        <v>279</v>
      </c>
      <c r="B25" t="s">
        <v>1342</v>
      </c>
      <c r="C25" t="s">
        <v>1362</v>
      </c>
      <c r="D25" t="s">
        <v>1590</v>
      </c>
      <c r="E25" t="s">
        <v>1604</v>
      </c>
      <c r="F25" t="s">
        <v>1382</v>
      </c>
    </row>
    <row r="26" spans="1:7" x14ac:dyDescent="0.3">
      <c r="A26" t="s">
        <v>280</v>
      </c>
      <c r="B26" t="s">
        <v>1342</v>
      </c>
      <c r="C26" t="s">
        <v>534</v>
      </c>
      <c r="D26" t="s">
        <v>1594</v>
      </c>
      <c r="E26" t="s">
        <v>1605</v>
      </c>
      <c r="F26" t="s">
        <v>1381</v>
      </c>
    </row>
    <row r="27" spans="1:7" x14ac:dyDescent="0.3">
      <c r="A27" t="s">
        <v>281</v>
      </c>
      <c r="B27" t="s">
        <v>1342</v>
      </c>
      <c r="C27" t="s">
        <v>1363</v>
      </c>
      <c r="D27" t="s">
        <v>1592</v>
      </c>
      <c r="E27" t="s">
        <v>1606</v>
      </c>
      <c r="F27" t="s">
        <v>1384</v>
      </c>
    </row>
    <row r="28" spans="1:7" x14ac:dyDescent="0.3">
      <c r="A28" t="s">
        <v>282</v>
      </c>
      <c r="B28" t="s">
        <v>1342</v>
      </c>
      <c r="C28" t="s">
        <v>1368</v>
      </c>
      <c r="D28" t="s">
        <v>1368</v>
      </c>
      <c r="E28" t="s">
        <v>195</v>
      </c>
      <c r="F28" t="s">
        <v>1384</v>
      </c>
    </row>
    <row r="29" spans="1:7" x14ac:dyDescent="0.3">
      <c r="A29" t="s">
        <v>283</v>
      </c>
      <c r="B29" t="s">
        <v>1342</v>
      </c>
      <c r="C29" t="s">
        <v>534</v>
      </c>
      <c r="D29" t="s">
        <v>1594</v>
      </c>
      <c r="E29" t="s">
        <v>1605</v>
      </c>
      <c r="F29">
        <v>0</v>
      </c>
    </row>
    <row r="30" spans="1:7" x14ac:dyDescent="0.3">
      <c r="A30" t="s">
        <v>284</v>
      </c>
      <c r="B30" t="s">
        <v>1342</v>
      </c>
      <c r="C30" t="s">
        <v>1366</v>
      </c>
      <c r="D30" t="s">
        <v>481</v>
      </c>
      <c r="E30" t="s">
        <v>481</v>
      </c>
      <c r="F30" t="s">
        <v>1377</v>
      </c>
    </row>
    <row r="31" spans="1:7" x14ac:dyDescent="0.3">
      <c r="A31" t="s">
        <v>419</v>
      </c>
      <c r="B31" t="s">
        <v>1342</v>
      </c>
      <c r="C31" t="s">
        <v>927</v>
      </c>
      <c r="D31" t="s">
        <v>1589</v>
      </c>
      <c r="E31" t="s">
        <v>1280</v>
      </c>
      <c r="F31" t="s">
        <v>1380</v>
      </c>
    </row>
    <row r="32" spans="1:7" x14ac:dyDescent="0.3">
      <c r="A32" t="s">
        <v>1350</v>
      </c>
      <c r="B32" t="s">
        <v>1342</v>
      </c>
      <c r="C32" t="s">
        <v>1365</v>
      </c>
      <c r="D32" t="s">
        <v>1371</v>
      </c>
      <c r="E32" t="s">
        <v>1598</v>
      </c>
      <c r="F32" t="s">
        <v>1384</v>
      </c>
    </row>
    <row r="33" spans="1:6" x14ac:dyDescent="0.3">
      <c r="A33" t="s">
        <v>285</v>
      </c>
      <c r="B33" t="s">
        <v>1342</v>
      </c>
      <c r="C33" t="s">
        <v>534</v>
      </c>
      <c r="D33" t="s">
        <v>1594</v>
      </c>
      <c r="E33" t="s">
        <v>1607</v>
      </c>
      <c r="F33" t="s">
        <v>1381</v>
      </c>
    </row>
    <row r="34" spans="1:6" x14ac:dyDescent="0.3">
      <c r="A34" t="s">
        <v>1351</v>
      </c>
      <c r="B34" t="s">
        <v>1343</v>
      </c>
      <c r="C34" t="s">
        <v>1365</v>
      </c>
      <c r="D34" t="s">
        <v>1371</v>
      </c>
      <c r="E34" t="s">
        <v>1598</v>
      </c>
      <c r="F34" t="s">
        <v>1381</v>
      </c>
    </row>
    <row r="35" spans="1:6" x14ac:dyDescent="0.3">
      <c r="A35" t="s">
        <v>286</v>
      </c>
      <c r="B35" t="s">
        <v>1342</v>
      </c>
      <c r="C35" t="s">
        <v>1362</v>
      </c>
      <c r="D35" t="s">
        <v>1590</v>
      </c>
      <c r="E35" t="s">
        <v>1608</v>
      </c>
      <c r="F35" t="s">
        <v>1381</v>
      </c>
    </row>
    <row r="36" spans="1:6" x14ac:dyDescent="0.3">
      <c r="A36" t="s">
        <v>287</v>
      </c>
      <c r="B36" t="s">
        <v>1342</v>
      </c>
      <c r="C36" t="s">
        <v>1365</v>
      </c>
      <c r="D36" t="s">
        <v>1371</v>
      </c>
      <c r="E36" t="s">
        <v>1609</v>
      </c>
      <c r="F36" t="s">
        <v>1384</v>
      </c>
    </row>
    <row r="37" spans="1:6" x14ac:dyDescent="0.3">
      <c r="A37" t="s">
        <v>288</v>
      </c>
      <c r="B37" t="s">
        <v>1342</v>
      </c>
      <c r="C37" t="s">
        <v>1363</v>
      </c>
      <c r="D37" t="s">
        <v>1610</v>
      </c>
      <c r="E37" t="s">
        <v>1611</v>
      </c>
      <c r="F37" t="s">
        <v>1376</v>
      </c>
    </row>
    <row r="38" spans="1:6" x14ac:dyDescent="0.3">
      <c r="A38" t="s">
        <v>289</v>
      </c>
      <c r="B38" t="s">
        <v>1343</v>
      </c>
      <c r="C38" t="s">
        <v>1367</v>
      </c>
      <c r="D38" t="s">
        <v>1367</v>
      </c>
      <c r="E38" t="s">
        <v>1602</v>
      </c>
      <c r="F38" t="s">
        <v>1381</v>
      </c>
    </row>
    <row r="39" spans="1:6" x14ac:dyDescent="0.3">
      <c r="A39" t="s">
        <v>309</v>
      </c>
      <c r="B39" t="s">
        <v>1344</v>
      </c>
      <c r="C39" t="s">
        <v>1363</v>
      </c>
      <c r="D39" t="s">
        <v>1372</v>
      </c>
      <c r="E39" t="s">
        <v>1612</v>
      </c>
      <c r="F39" t="s">
        <v>1385</v>
      </c>
    </row>
    <row r="40" spans="1:6" x14ac:dyDescent="0.3">
      <c r="A40" t="s">
        <v>1352</v>
      </c>
      <c r="B40" t="s">
        <v>1342</v>
      </c>
      <c r="C40" t="s">
        <v>1363</v>
      </c>
      <c r="D40" t="s">
        <v>1374</v>
      </c>
      <c r="E40" t="s">
        <v>1613</v>
      </c>
      <c r="F40" t="s">
        <v>1377</v>
      </c>
    </row>
    <row r="41" spans="1:6" x14ac:dyDescent="0.3">
      <c r="A41" t="s">
        <v>342</v>
      </c>
      <c r="B41" t="s">
        <v>1343</v>
      </c>
      <c r="C41" t="s">
        <v>534</v>
      </c>
      <c r="D41" t="s">
        <v>1594</v>
      </c>
      <c r="E41" t="s">
        <v>1605</v>
      </c>
      <c r="F41" t="s">
        <v>1382</v>
      </c>
    </row>
    <row r="42" spans="1:6" x14ac:dyDescent="0.3">
      <c r="A42" t="s">
        <v>1353</v>
      </c>
      <c r="B42" t="s">
        <v>1342</v>
      </c>
      <c r="C42" t="s">
        <v>927</v>
      </c>
      <c r="D42" t="s">
        <v>34</v>
      </c>
      <c r="E42" t="s">
        <v>34</v>
      </c>
      <c r="F42" t="s">
        <v>1377</v>
      </c>
    </row>
    <row r="43" spans="1:6" x14ac:dyDescent="0.3">
      <c r="A43" t="s">
        <v>353</v>
      </c>
      <c r="B43" t="s">
        <v>1342</v>
      </c>
      <c r="C43" t="s">
        <v>927</v>
      </c>
      <c r="D43" t="s">
        <v>34</v>
      </c>
      <c r="E43" t="s">
        <v>34</v>
      </c>
      <c r="F43" t="s">
        <v>1384</v>
      </c>
    </row>
    <row r="44" spans="1:6" x14ac:dyDescent="0.3">
      <c r="A44" t="s">
        <v>1349</v>
      </c>
      <c r="B44" t="s">
        <v>1342</v>
      </c>
      <c r="C44" t="s">
        <v>927</v>
      </c>
      <c r="D44" t="s">
        <v>34</v>
      </c>
      <c r="E44" t="s">
        <v>34</v>
      </c>
      <c r="F44">
        <v>0</v>
      </c>
    </row>
    <row r="45" spans="1:6" x14ac:dyDescent="0.3">
      <c r="A45" t="s">
        <v>377</v>
      </c>
      <c r="B45" t="s">
        <v>1342</v>
      </c>
      <c r="C45" t="s">
        <v>1367</v>
      </c>
      <c r="D45" t="s">
        <v>1367</v>
      </c>
      <c r="E45" t="s">
        <v>1602</v>
      </c>
      <c r="F45" t="s">
        <v>1377</v>
      </c>
    </row>
    <row r="46" spans="1:6" x14ac:dyDescent="0.3">
      <c r="A46" t="s">
        <v>382</v>
      </c>
      <c r="B46" t="s">
        <v>1342</v>
      </c>
      <c r="C46" t="s">
        <v>927</v>
      </c>
      <c r="D46" t="s">
        <v>34</v>
      </c>
      <c r="E46" t="s">
        <v>34</v>
      </c>
      <c r="F46" t="s">
        <v>1383</v>
      </c>
    </row>
    <row r="47" spans="1:6" x14ac:dyDescent="0.3">
      <c r="A47" t="s">
        <v>400</v>
      </c>
      <c r="B47" t="s">
        <v>1342</v>
      </c>
      <c r="C47" t="s">
        <v>1366</v>
      </c>
      <c r="D47" t="s">
        <v>496</v>
      </c>
      <c r="E47" t="s">
        <v>496</v>
      </c>
      <c r="F47" t="s">
        <v>1381</v>
      </c>
    </row>
    <row r="48" spans="1:6" x14ac:dyDescent="0.3">
      <c r="A48" t="s">
        <v>1354</v>
      </c>
      <c r="B48" t="s">
        <v>1342</v>
      </c>
      <c r="C48" t="s">
        <v>1364</v>
      </c>
      <c r="D48" t="s">
        <v>1595</v>
      </c>
      <c r="E48" t="s">
        <v>1614</v>
      </c>
      <c r="F48" t="s">
        <v>1377</v>
      </c>
    </row>
    <row r="49" spans="1:6" x14ac:dyDescent="0.3">
      <c r="A49" t="s">
        <v>410</v>
      </c>
      <c r="B49" t="s">
        <v>1342</v>
      </c>
      <c r="C49" t="s">
        <v>534</v>
      </c>
      <c r="D49" t="s">
        <v>1594</v>
      </c>
      <c r="E49" t="s">
        <v>1605</v>
      </c>
      <c r="F49" t="s">
        <v>1382</v>
      </c>
    </row>
    <row r="50" spans="1:6" x14ac:dyDescent="0.3">
      <c r="A50" t="s">
        <v>430</v>
      </c>
      <c r="B50" t="s">
        <v>1342</v>
      </c>
      <c r="C50" t="s">
        <v>1366</v>
      </c>
      <c r="D50" t="s">
        <v>481</v>
      </c>
      <c r="E50" t="s">
        <v>1615</v>
      </c>
      <c r="F50" t="s">
        <v>1377</v>
      </c>
    </row>
    <row r="51" spans="1:6" x14ac:dyDescent="0.3">
      <c r="A51" t="s">
        <v>1355</v>
      </c>
      <c r="B51" t="s">
        <v>1343</v>
      </c>
      <c r="C51" t="s">
        <v>927</v>
      </c>
      <c r="D51" t="s">
        <v>1589</v>
      </c>
      <c r="E51" t="s">
        <v>1616</v>
      </c>
      <c r="F51">
        <v>0</v>
      </c>
    </row>
    <row r="52" spans="1:6" x14ac:dyDescent="0.3">
      <c r="A52" t="s">
        <v>443</v>
      </c>
      <c r="B52" t="s">
        <v>1343</v>
      </c>
      <c r="C52" t="s">
        <v>444</v>
      </c>
      <c r="D52" t="s">
        <v>444</v>
      </c>
      <c r="E52" t="s">
        <v>1617</v>
      </c>
      <c r="F52">
        <v>0</v>
      </c>
    </row>
    <row r="53" spans="1:6" x14ac:dyDescent="0.3">
      <c r="A53" t="s">
        <v>456</v>
      </c>
      <c r="B53" t="s">
        <v>1343</v>
      </c>
      <c r="C53" t="s">
        <v>1365</v>
      </c>
      <c r="D53" t="s">
        <v>1371</v>
      </c>
      <c r="E53" t="s">
        <v>1598</v>
      </c>
      <c r="F53" t="s">
        <v>1382</v>
      </c>
    </row>
    <row r="54" spans="1:6" x14ac:dyDescent="0.3">
      <c r="A54" t="s">
        <v>470</v>
      </c>
      <c r="B54" t="s">
        <v>1342</v>
      </c>
      <c r="C54" t="s">
        <v>534</v>
      </c>
      <c r="D54" t="s">
        <v>1594</v>
      </c>
      <c r="E54" t="s">
        <v>1607</v>
      </c>
      <c r="F54" t="s">
        <v>1381</v>
      </c>
    </row>
    <row r="55" spans="1:6" x14ac:dyDescent="0.3">
      <c r="A55" t="s">
        <v>480</v>
      </c>
      <c r="B55" t="s">
        <v>1343</v>
      </c>
      <c r="C55" t="s">
        <v>1366</v>
      </c>
      <c r="D55" t="s">
        <v>481</v>
      </c>
      <c r="E55" t="s">
        <v>1615</v>
      </c>
      <c r="F55" t="s">
        <v>1377</v>
      </c>
    </row>
    <row r="56" spans="1:6" x14ac:dyDescent="0.3">
      <c r="A56" t="s">
        <v>487</v>
      </c>
      <c r="B56" t="s">
        <v>1343</v>
      </c>
      <c r="C56" t="s">
        <v>1363</v>
      </c>
      <c r="D56" t="s">
        <v>1592</v>
      </c>
      <c r="E56" t="s">
        <v>1593</v>
      </c>
      <c r="F56" t="s">
        <v>1385</v>
      </c>
    </row>
    <row r="57" spans="1:6" x14ac:dyDescent="0.3">
      <c r="A57" t="s">
        <v>495</v>
      </c>
      <c r="B57" t="s">
        <v>1342</v>
      </c>
      <c r="C57" t="s">
        <v>1366</v>
      </c>
      <c r="D57" t="s">
        <v>496</v>
      </c>
      <c r="E57" t="s">
        <v>496</v>
      </c>
      <c r="F57" t="s">
        <v>1384</v>
      </c>
    </row>
    <row r="58" spans="1:6" x14ac:dyDescent="0.3">
      <c r="A58" t="s">
        <v>507</v>
      </c>
      <c r="B58" t="s">
        <v>1342</v>
      </c>
      <c r="C58" t="s">
        <v>927</v>
      </c>
      <c r="D58" t="s">
        <v>34</v>
      </c>
      <c r="E58" t="s">
        <v>34</v>
      </c>
      <c r="F58" t="s">
        <v>1380</v>
      </c>
    </row>
    <row r="59" spans="1:6" x14ac:dyDescent="0.3">
      <c r="A59" t="s">
        <v>512</v>
      </c>
      <c r="B59" t="s">
        <v>1344</v>
      </c>
      <c r="C59" t="s">
        <v>1365</v>
      </c>
      <c r="D59" t="s">
        <v>1371</v>
      </c>
      <c r="E59" t="s">
        <v>1618</v>
      </c>
      <c r="F59" t="s">
        <v>1385</v>
      </c>
    </row>
    <row r="60" spans="1:6" x14ac:dyDescent="0.3">
      <c r="A60" t="s">
        <v>522</v>
      </c>
      <c r="B60" t="s">
        <v>1342</v>
      </c>
      <c r="C60" t="s">
        <v>1367</v>
      </c>
      <c r="D60" t="s">
        <v>1367</v>
      </c>
      <c r="E60" t="s">
        <v>1602</v>
      </c>
      <c r="F60" t="s">
        <v>1377</v>
      </c>
    </row>
    <row r="61" spans="1:6" x14ac:dyDescent="0.3">
      <c r="A61" t="s">
        <v>533</v>
      </c>
      <c r="B61" t="s">
        <v>1343</v>
      </c>
      <c r="C61" t="s">
        <v>534</v>
      </c>
      <c r="D61" t="s">
        <v>1596</v>
      </c>
      <c r="E61" t="s">
        <v>1597</v>
      </c>
      <c r="F61" t="s">
        <v>1376</v>
      </c>
    </row>
    <row r="62" spans="1:6" x14ac:dyDescent="0.3">
      <c r="A62" t="s">
        <v>544</v>
      </c>
      <c r="B62" t="s">
        <v>1343</v>
      </c>
      <c r="C62" t="s">
        <v>1368</v>
      </c>
      <c r="D62" t="s">
        <v>1368</v>
      </c>
      <c r="E62" t="s">
        <v>1619</v>
      </c>
      <c r="F62" t="s">
        <v>1383</v>
      </c>
    </row>
    <row r="63" spans="1:6" x14ac:dyDescent="0.3">
      <c r="A63" t="s">
        <v>558</v>
      </c>
      <c r="B63" t="s">
        <v>1343</v>
      </c>
      <c r="C63" t="s">
        <v>1363</v>
      </c>
      <c r="D63" t="s">
        <v>1372</v>
      </c>
      <c r="E63" t="s">
        <v>1612</v>
      </c>
      <c r="F63">
        <v>0</v>
      </c>
    </row>
    <row r="64" spans="1:6" x14ac:dyDescent="0.3">
      <c r="A64" t="s">
        <v>574</v>
      </c>
      <c r="B64" t="s">
        <v>1342</v>
      </c>
      <c r="C64" t="s">
        <v>1363</v>
      </c>
      <c r="D64" t="s">
        <v>1372</v>
      </c>
      <c r="E64" t="s">
        <v>1612</v>
      </c>
      <c r="F64" t="s">
        <v>1381</v>
      </c>
    </row>
    <row r="65" spans="1:6" x14ac:dyDescent="0.3">
      <c r="A65" t="s">
        <v>582</v>
      </c>
      <c r="B65" t="s">
        <v>1344</v>
      </c>
      <c r="C65" t="s">
        <v>1364</v>
      </c>
      <c r="D65" t="s">
        <v>1595</v>
      </c>
      <c r="E65" t="s">
        <v>583</v>
      </c>
      <c r="F65" t="s">
        <v>1376</v>
      </c>
    </row>
    <row r="66" spans="1:6" x14ac:dyDescent="0.3">
      <c r="A66" t="s">
        <v>589</v>
      </c>
      <c r="B66" t="s">
        <v>1342</v>
      </c>
      <c r="C66" t="s">
        <v>1365</v>
      </c>
      <c r="D66" t="s">
        <v>710</v>
      </c>
      <c r="E66" t="s">
        <v>1620</v>
      </c>
      <c r="F66" t="s">
        <v>1381</v>
      </c>
    </row>
    <row r="67" spans="1:6" x14ac:dyDescent="0.3">
      <c r="A67" t="s">
        <v>598</v>
      </c>
      <c r="B67" t="s">
        <v>1342</v>
      </c>
      <c r="C67" t="s">
        <v>1365</v>
      </c>
      <c r="D67" t="s">
        <v>1371</v>
      </c>
      <c r="E67" t="s">
        <v>1598</v>
      </c>
      <c r="F67" t="s">
        <v>1383</v>
      </c>
    </row>
    <row r="68" spans="1:6" x14ac:dyDescent="0.3">
      <c r="A68" t="s">
        <v>614</v>
      </c>
      <c r="B68" t="s">
        <v>1344</v>
      </c>
      <c r="C68" t="s">
        <v>1368</v>
      </c>
      <c r="D68" t="s">
        <v>1368</v>
      </c>
      <c r="E68" t="s">
        <v>195</v>
      </c>
      <c r="F68" t="s">
        <v>1383</v>
      </c>
    </row>
    <row r="69" spans="1:6" x14ac:dyDescent="0.3">
      <c r="A69" t="s">
        <v>629</v>
      </c>
      <c r="B69" t="s">
        <v>1344</v>
      </c>
      <c r="C69" t="s">
        <v>1363</v>
      </c>
      <c r="D69" t="s">
        <v>1372</v>
      </c>
      <c r="E69" t="s">
        <v>1612</v>
      </c>
      <c r="F69" t="s">
        <v>1385</v>
      </c>
    </row>
    <row r="70" spans="1:6" x14ac:dyDescent="0.3">
      <c r="A70" t="s">
        <v>636</v>
      </c>
      <c r="B70" t="s">
        <v>1342</v>
      </c>
      <c r="C70" t="s">
        <v>1367</v>
      </c>
      <c r="D70" t="s">
        <v>1367</v>
      </c>
      <c r="E70" t="s">
        <v>1602</v>
      </c>
      <c r="F70" t="s">
        <v>1381</v>
      </c>
    </row>
    <row r="71" spans="1:6" x14ac:dyDescent="0.3">
      <c r="A71" t="s">
        <v>647</v>
      </c>
      <c r="B71" t="s">
        <v>1344</v>
      </c>
      <c r="C71" t="s">
        <v>1367</v>
      </c>
      <c r="D71" t="s">
        <v>1367</v>
      </c>
      <c r="E71" t="s">
        <v>1621</v>
      </c>
      <c r="F71" t="s">
        <v>1382</v>
      </c>
    </row>
    <row r="72" spans="1:6" x14ac:dyDescent="0.3">
      <c r="A72" t="s">
        <v>1356</v>
      </c>
      <c r="B72" t="s">
        <v>1342</v>
      </c>
      <c r="C72" t="s">
        <v>1366</v>
      </c>
      <c r="D72" t="s">
        <v>1373</v>
      </c>
      <c r="E72" t="s">
        <v>1373</v>
      </c>
      <c r="F72" t="s">
        <v>1382</v>
      </c>
    </row>
    <row r="73" spans="1:6" x14ac:dyDescent="0.3">
      <c r="A73" t="s">
        <v>670</v>
      </c>
      <c r="B73" t="s">
        <v>1343</v>
      </c>
      <c r="C73" t="s">
        <v>1367</v>
      </c>
      <c r="D73" t="s">
        <v>1367</v>
      </c>
      <c r="E73" t="s">
        <v>1621</v>
      </c>
      <c r="F73" t="s">
        <v>1384</v>
      </c>
    </row>
    <row r="74" spans="1:6" x14ac:dyDescent="0.3">
      <c r="A74" t="s">
        <v>678</v>
      </c>
      <c r="B74" t="s">
        <v>1342</v>
      </c>
      <c r="C74" t="s">
        <v>927</v>
      </c>
      <c r="D74" t="s">
        <v>1589</v>
      </c>
      <c r="E74" t="s">
        <v>1280</v>
      </c>
      <c r="F74" t="s">
        <v>1381</v>
      </c>
    </row>
    <row r="75" spans="1:6" x14ac:dyDescent="0.3">
      <c r="A75" t="s">
        <v>688</v>
      </c>
      <c r="B75" t="s">
        <v>1343</v>
      </c>
      <c r="C75" t="s">
        <v>1366</v>
      </c>
      <c r="D75" t="s">
        <v>481</v>
      </c>
      <c r="E75" t="s">
        <v>1622</v>
      </c>
      <c r="F75" t="s">
        <v>1376</v>
      </c>
    </row>
    <row r="76" spans="1:6" x14ac:dyDescent="0.3">
      <c r="A76" t="s">
        <v>1357</v>
      </c>
      <c r="B76" t="s">
        <v>1344</v>
      </c>
      <c r="C76" t="s">
        <v>534</v>
      </c>
      <c r="D76" t="s">
        <v>1596</v>
      </c>
      <c r="E76" t="s">
        <v>1601</v>
      </c>
      <c r="F76" t="s">
        <v>1376</v>
      </c>
    </row>
    <row r="77" spans="1:6" x14ac:dyDescent="0.3">
      <c r="A77" t="s">
        <v>709</v>
      </c>
      <c r="B77" t="s">
        <v>1342</v>
      </c>
      <c r="C77" t="s">
        <v>1365</v>
      </c>
      <c r="D77" t="s">
        <v>710</v>
      </c>
      <c r="E77" t="s">
        <v>1620</v>
      </c>
      <c r="F77" t="s">
        <v>1385</v>
      </c>
    </row>
    <row r="78" spans="1:6" x14ac:dyDescent="0.3">
      <c r="A78" t="s">
        <v>721</v>
      </c>
      <c r="B78" t="s">
        <v>1344</v>
      </c>
      <c r="C78" t="s">
        <v>1364</v>
      </c>
      <c r="D78" t="s">
        <v>1623</v>
      </c>
      <c r="E78" t="s">
        <v>1623</v>
      </c>
      <c r="F78" t="s">
        <v>1376</v>
      </c>
    </row>
    <row r="79" spans="1:6" x14ac:dyDescent="0.3">
      <c r="A79" t="s">
        <v>726</v>
      </c>
      <c r="B79" t="s">
        <v>1343</v>
      </c>
      <c r="C79" t="s">
        <v>1364</v>
      </c>
      <c r="D79" t="s">
        <v>1595</v>
      </c>
      <c r="E79" t="s">
        <v>1614</v>
      </c>
      <c r="F79" t="s">
        <v>1376</v>
      </c>
    </row>
    <row r="80" spans="1:6" x14ac:dyDescent="0.3">
      <c r="A80">
        <v>700</v>
      </c>
      <c r="B80" t="s">
        <v>1342</v>
      </c>
      <c r="C80" t="s">
        <v>1362</v>
      </c>
      <c r="D80" t="s">
        <v>1590</v>
      </c>
      <c r="E80" t="s">
        <v>1591</v>
      </c>
      <c r="F80" t="s">
        <v>1380</v>
      </c>
    </row>
    <row r="81" spans="1:6" x14ac:dyDescent="0.3">
      <c r="A81">
        <v>5930</v>
      </c>
      <c r="B81" t="s">
        <v>1342</v>
      </c>
      <c r="C81" t="s">
        <v>927</v>
      </c>
      <c r="D81" t="s">
        <v>1599</v>
      </c>
      <c r="E81" t="s">
        <v>1600</v>
      </c>
      <c r="F81" t="s">
        <v>1377</v>
      </c>
    </row>
    <row r="82" spans="1:6" x14ac:dyDescent="0.3">
      <c r="A82">
        <v>4568</v>
      </c>
      <c r="B82" t="s">
        <v>1343</v>
      </c>
      <c r="C82" t="s">
        <v>534</v>
      </c>
      <c r="D82" t="s">
        <v>1594</v>
      </c>
      <c r="E82" t="s">
        <v>49</v>
      </c>
      <c r="F82" t="s">
        <v>1384</v>
      </c>
    </row>
    <row r="83" spans="1:6" x14ac:dyDescent="0.3">
      <c r="A83" t="s">
        <v>1358</v>
      </c>
      <c r="B83" t="s">
        <v>1342</v>
      </c>
      <c r="C83" t="s">
        <v>1367</v>
      </c>
      <c r="D83" t="s">
        <v>1367</v>
      </c>
      <c r="E83" t="s">
        <v>1602</v>
      </c>
      <c r="F83" t="s">
        <v>1382</v>
      </c>
    </row>
    <row r="84" spans="1:6" x14ac:dyDescent="0.3">
      <c r="A84" t="s">
        <v>789</v>
      </c>
      <c r="B84" t="s">
        <v>1343</v>
      </c>
      <c r="C84" t="s">
        <v>1366</v>
      </c>
      <c r="D84" t="s">
        <v>496</v>
      </c>
      <c r="E84" t="s">
        <v>496</v>
      </c>
      <c r="F84" t="s">
        <v>1381</v>
      </c>
    </row>
    <row r="85" spans="1:6" x14ac:dyDescent="0.3">
      <c r="A85" t="s">
        <v>800</v>
      </c>
      <c r="B85" t="s">
        <v>1343</v>
      </c>
      <c r="C85" t="s">
        <v>927</v>
      </c>
      <c r="D85" t="s">
        <v>1589</v>
      </c>
      <c r="E85" t="s">
        <v>1280</v>
      </c>
    </row>
    <row r="86" spans="1:6" x14ac:dyDescent="0.3">
      <c r="A86" t="s">
        <v>812</v>
      </c>
      <c r="B86" t="s">
        <v>1344</v>
      </c>
      <c r="C86" t="s">
        <v>444</v>
      </c>
      <c r="D86" t="s">
        <v>444</v>
      </c>
      <c r="E86" t="s">
        <v>1624</v>
      </c>
      <c r="F86" t="s">
        <v>1382</v>
      </c>
    </row>
    <row r="87" spans="1:6" x14ac:dyDescent="0.3">
      <c r="A87" t="s">
        <v>821</v>
      </c>
      <c r="B87" t="s">
        <v>1343</v>
      </c>
      <c r="C87" t="s">
        <v>1363</v>
      </c>
      <c r="D87" t="s">
        <v>1372</v>
      </c>
      <c r="E87" t="s">
        <v>1612</v>
      </c>
      <c r="F87" t="s">
        <v>1385</v>
      </c>
    </row>
    <row r="88" spans="1:6" x14ac:dyDescent="0.3">
      <c r="A88" t="s">
        <v>838</v>
      </c>
      <c r="B88" t="s">
        <v>1343</v>
      </c>
      <c r="C88" t="s">
        <v>927</v>
      </c>
      <c r="D88" t="s">
        <v>1599</v>
      </c>
      <c r="E88" t="s">
        <v>1625</v>
      </c>
      <c r="F88" t="s">
        <v>1376</v>
      </c>
    </row>
    <row r="89" spans="1:6" x14ac:dyDescent="0.3">
      <c r="A89" t="s">
        <v>843</v>
      </c>
      <c r="B89" t="s">
        <v>1342</v>
      </c>
      <c r="C89" t="s">
        <v>927</v>
      </c>
      <c r="D89" t="s">
        <v>1589</v>
      </c>
      <c r="E89" t="s">
        <v>1616</v>
      </c>
      <c r="F89" t="s">
        <v>1377</v>
      </c>
    </row>
    <row r="90" spans="1:6" x14ac:dyDescent="0.3">
      <c r="A90" t="s">
        <v>849</v>
      </c>
      <c r="B90" t="s">
        <v>1344</v>
      </c>
      <c r="C90" t="s">
        <v>1363</v>
      </c>
      <c r="D90" t="s">
        <v>1374</v>
      </c>
      <c r="E90" t="s">
        <v>1626</v>
      </c>
      <c r="F90" t="s">
        <v>1382</v>
      </c>
    </row>
    <row r="91" spans="1:6" x14ac:dyDescent="0.3">
      <c r="A91" t="s">
        <v>860</v>
      </c>
      <c r="B91" t="s">
        <v>1343</v>
      </c>
      <c r="C91" t="s">
        <v>1366</v>
      </c>
      <c r="D91" t="s">
        <v>496</v>
      </c>
      <c r="E91" t="s">
        <v>496</v>
      </c>
      <c r="F91" t="s">
        <v>1376</v>
      </c>
    </row>
    <row r="92" spans="1:6" x14ac:dyDescent="0.3">
      <c r="A92" t="s">
        <v>866</v>
      </c>
      <c r="B92" t="s">
        <v>1342</v>
      </c>
      <c r="C92" t="s">
        <v>534</v>
      </c>
      <c r="D92" t="s">
        <v>1594</v>
      </c>
      <c r="E92" t="s">
        <v>1605</v>
      </c>
      <c r="F92" t="s">
        <v>1382</v>
      </c>
    </row>
    <row r="93" spans="1:6" x14ac:dyDescent="0.3">
      <c r="A93" t="s">
        <v>876</v>
      </c>
      <c r="B93" t="s">
        <v>1343</v>
      </c>
      <c r="C93" t="s">
        <v>1364</v>
      </c>
      <c r="D93" t="s">
        <v>1595</v>
      </c>
      <c r="E93" t="s">
        <v>59</v>
      </c>
      <c r="F93" t="s">
        <v>1376</v>
      </c>
    </row>
    <row r="94" spans="1:6" x14ac:dyDescent="0.3">
      <c r="A94" t="s">
        <v>891</v>
      </c>
      <c r="B94" t="s">
        <v>1343</v>
      </c>
      <c r="C94" t="s">
        <v>1364</v>
      </c>
      <c r="D94" t="s">
        <v>1623</v>
      </c>
      <c r="E94" t="s">
        <v>1623</v>
      </c>
      <c r="F94" t="s">
        <v>1384</v>
      </c>
    </row>
    <row r="95" spans="1:6" x14ac:dyDescent="0.3">
      <c r="A95" t="s">
        <v>902</v>
      </c>
      <c r="B95" t="s">
        <v>1342</v>
      </c>
      <c r="C95" t="s">
        <v>927</v>
      </c>
      <c r="D95" t="s">
        <v>34</v>
      </c>
      <c r="E95" t="s">
        <v>34</v>
      </c>
      <c r="F95" t="s">
        <v>1381</v>
      </c>
    </row>
    <row r="96" spans="1:6" x14ac:dyDescent="0.3">
      <c r="A96" t="s">
        <v>909</v>
      </c>
      <c r="B96" t="s">
        <v>1344</v>
      </c>
      <c r="C96" t="s">
        <v>1369</v>
      </c>
      <c r="D96" t="s">
        <v>1370</v>
      </c>
      <c r="E96" t="s">
        <v>1627</v>
      </c>
      <c r="F96" t="s">
        <v>1383</v>
      </c>
    </row>
    <row r="97" spans="1:6" x14ac:dyDescent="0.3">
      <c r="A97" t="s">
        <v>914</v>
      </c>
      <c r="B97" t="s">
        <v>1342</v>
      </c>
      <c r="C97" t="s">
        <v>1364</v>
      </c>
      <c r="D97" t="s">
        <v>1623</v>
      </c>
      <c r="E97" t="s">
        <v>1623</v>
      </c>
      <c r="F97" t="s">
        <v>1380</v>
      </c>
    </row>
    <row r="98" spans="1:6" x14ac:dyDescent="0.3">
      <c r="A98" t="s">
        <v>921</v>
      </c>
      <c r="B98" t="s">
        <v>1342</v>
      </c>
      <c r="C98" t="s">
        <v>927</v>
      </c>
      <c r="D98" t="s">
        <v>34</v>
      </c>
      <c r="E98" t="s">
        <v>34</v>
      </c>
      <c r="F98" t="s">
        <v>1381</v>
      </c>
    </row>
    <row r="99" spans="1:6" x14ac:dyDescent="0.3">
      <c r="A99" t="s">
        <v>926</v>
      </c>
      <c r="B99" t="s">
        <v>1342</v>
      </c>
      <c r="C99" t="s">
        <v>927</v>
      </c>
      <c r="D99" t="s">
        <v>1599</v>
      </c>
      <c r="E99" t="s">
        <v>1625</v>
      </c>
      <c r="F99">
        <v>0</v>
      </c>
    </row>
    <row r="100" spans="1:6" x14ac:dyDescent="0.3">
      <c r="A100" t="s">
        <v>936</v>
      </c>
      <c r="B100" t="s">
        <v>1343</v>
      </c>
      <c r="C100" t="s">
        <v>534</v>
      </c>
      <c r="D100" t="s">
        <v>1594</v>
      </c>
      <c r="E100" t="s">
        <v>49</v>
      </c>
      <c r="F100" t="s">
        <v>1384</v>
      </c>
    </row>
    <row r="101" spans="1:6" x14ac:dyDescent="0.3">
      <c r="A101" t="s">
        <v>949</v>
      </c>
      <c r="B101" t="s">
        <v>1344</v>
      </c>
      <c r="C101" t="s">
        <v>1365</v>
      </c>
      <c r="D101" t="s">
        <v>1628</v>
      </c>
      <c r="E101" t="s">
        <v>401</v>
      </c>
      <c r="F101" t="s">
        <v>1376</v>
      </c>
    </row>
    <row r="102" spans="1:6" x14ac:dyDescent="0.3">
      <c r="A102" t="s">
        <v>966</v>
      </c>
      <c r="B102" t="s">
        <v>1342</v>
      </c>
      <c r="C102" t="s">
        <v>1366</v>
      </c>
      <c r="D102" t="s">
        <v>481</v>
      </c>
      <c r="E102" t="s">
        <v>1615</v>
      </c>
      <c r="F102">
        <v>0</v>
      </c>
    </row>
    <row r="103" spans="1:6" x14ac:dyDescent="0.3">
      <c r="A103" t="s">
        <v>980</v>
      </c>
      <c r="B103" t="s">
        <v>1343</v>
      </c>
      <c r="C103" t="s">
        <v>1369</v>
      </c>
      <c r="D103" t="s">
        <v>1370</v>
      </c>
      <c r="E103" t="s">
        <v>1629</v>
      </c>
      <c r="F103" t="s">
        <v>1382</v>
      </c>
    </row>
    <row r="104" spans="1:6" x14ac:dyDescent="0.3">
      <c r="A104" t="s">
        <v>992</v>
      </c>
      <c r="B104" t="s">
        <v>1344</v>
      </c>
      <c r="C104" t="s">
        <v>1365</v>
      </c>
      <c r="D104" t="s">
        <v>1628</v>
      </c>
      <c r="E104" t="s">
        <v>401</v>
      </c>
      <c r="F104">
        <v>0</v>
      </c>
    </row>
    <row r="105" spans="1:6" x14ac:dyDescent="0.3">
      <c r="A105" t="s">
        <v>1002</v>
      </c>
      <c r="B105" t="s">
        <v>1342</v>
      </c>
      <c r="C105" t="s">
        <v>1364</v>
      </c>
      <c r="D105" t="s">
        <v>1630</v>
      </c>
      <c r="E105" t="s">
        <v>1631</v>
      </c>
      <c r="F105" t="s">
        <v>1377</v>
      </c>
    </row>
    <row r="106" spans="1:6" x14ac:dyDescent="0.3">
      <c r="A106" t="s">
        <v>1014</v>
      </c>
      <c r="B106" t="s">
        <v>1344</v>
      </c>
      <c r="C106" t="s">
        <v>1366</v>
      </c>
      <c r="D106" t="s">
        <v>496</v>
      </c>
      <c r="E106" t="s">
        <v>496</v>
      </c>
      <c r="F106" t="s">
        <v>1382</v>
      </c>
    </row>
    <row r="107" spans="1:6" x14ac:dyDescent="0.3">
      <c r="A107" t="s">
        <v>1025</v>
      </c>
      <c r="B107" t="s">
        <v>1342</v>
      </c>
      <c r="C107" t="s">
        <v>534</v>
      </c>
      <c r="D107" t="s">
        <v>1596</v>
      </c>
      <c r="E107" t="s">
        <v>1601</v>
      </c>
      <c r="F107">
        <v>0</v>
      </c>
    </row>
    <row r="108" spans="1:6" x14ac:dyDescent="0.3">
      <c r="A108" t="s">
        <v>1033</v>
      </c>
      <c r="B108" t="s">
        <v>1342</v>
      </c>
      <c r="C108" t="s">
        <v>534</v>
      </c>
      <c r="D108" t="s">
        <v>1596</v>
      </c>
      <c r="E108" t="s">
        <v>1601</v>
      </c>
      <c r="F108" t="s">
        <v>1382</v>
      </c>
    </row>
    <row r="109" spans="1:6" x14ac:dyDescent="0.3">
      <c r="A109" t="s">
        <v>1049</v>
      </c>
      <c r="B109" t="s">
        <v>1344</v>
      </c>
      <c r="C109" t="s">
        <v>534</v>
      </c>
      <c r="D109" t="s">
        <v>1596</v>
      </c>
      <c r="E109" t="s">
        <v>1597</v>
      </c>
      <c r="F109" t="s">
        <v>1386</v>
      </c>
    </row>
    <row r="110" spans="1:6" x14ac:dyDescent="0.3">
      <c r="A110" t="s">
        <v>1048</v>
      </c>
      <c r="B110" t="s">
        <v>1344</v>
      </c>
      <c r="C110" t="s">
        <v>1362</v>
      </c>
      <c r="D110" t="s">
        <v>1590</v>
      </c>
      <c r="E110" t="s">
        <v>1608</v>
      </c>
      <c r="F110" t="s">
        <v>1385</v>
      </c>
    </row>
    <row r="111" spans="1:6" x14ac:dyDescent="0.3">
      <c r="A111" t="s">
        <v>1055</v>
      </c>
      <c r="B111" t="s">
        <v>1342</v>
      </c>
      <c r="C111" t="s">
        <v>1363</v>
      </c>
      <c r="D111" t="s">
        <v>1372</v>
      </c>
      <c r="E111" t="s">
        <v>1612</v>
      </c>
      <c r="F111" t="s">
        <v>1382</v>
      </c>
    </row>
    <row r="112" spans="1:6" x14ac:dyDescent="0.3">
      <c r="A112" t="s">
        <v>1064</v>
      </c>
      <c r="B112" t="s">
        <v>1342</v>
      </c>
      <c r="C112" t="s">
        <v>534</v>
      </c>
      <c r="D112" t="s">
        <v>1594</v>
      </c>
      <c r="E112" t="s">
        <v>49</v>
      </c>
      <c r="F112" t="s">
        <v>1380</v>
      </c>
    </row>
    <row r="113" spans="1:6" x14ac:dyDescent="0.3">
      <c r="A113" t="s">
        <v>1074</v>
      </c>
      <c r="B113" t="s">
        <v>1344</v>
      </c>
      <c r="C113" t="s">
        <v>1369</v>
      </c>
      <c r="D113" t="s">
        <v>1370</v>
      </c>
      <c r="E113" t="s">
        <v>1627</v>
      </c>
      <c r="F113" t="s">
        <v>1382</v>
      </c>
    </row>
    <row r="114" spans="1:6" x14ac:dyDescent="0.3">
      <c r="A114" t="s">
        <v>1172</v>
      </c>
      <c r="B114" t="s">
        <v>1344</v>
      </c>
      <c r="C114" t="s">
        <v>444</v>
      </c>
      <c r="D114" t="s">
        <v>444</v>
      </c>
      <c r="E114" t="s">
        <v>1617</v>
      </c>
      <c r="F114" t="s">
        <v>1376</v>
      </c>
    </row>
    <row r="115" spans="1:6" x14ac:dyDescent="0.3">
      <c r="A115" t="s">
        <v>1190</v>
      </c>
      <c r="B115" t="s">
        <v>1344</v>
      </c>
      <c r="C115" t="s">
        <v>1364</v>
      </c>
      <c r="D115" t="s">
        <v>1595</v>
      </c>
      <c r="E115" t="s">
        <v>1614</v>
      </c>
      <c r="F115" t="s">
        <v>1376</v>
      </c>
    </row>
    <row r="116" spans="1:6" x14ac:dyDescent="0.3">
      <c r="A116" t="s">
        <v>1195</v>
      </c>
      <c r="B116" t="s">
        <v>1344</v>
      </c>
      <c r="C116" t="s">
        <v>534</v>
      </c>
      <c r="D116" t="s">
        <v>1594</v>
      </c>
      <c r="E116" t="s">
        <v>1605</v>
      </c>
      <c r="F116">
        <v>0</v>
      </c>
    </row>
    <row r="117" spans="1:6" x14ac:dyDescent="0.3">
      <c r="A117" t="s">
        <v>1201</v>
      </c>
      <c r="B117" t="s">
        <v>1344</v>
      </c>
      <c r="C117" t="s">
        <v>1363</v>
      </c>
      <c r="D117" t="s">
        <v>1592</v>
      </c>
      <c r="E117" t="s">
        <v>1606</v>
      </c>
      <c r="F117" t="s">
        <v>1376</v>
      </c>
    </row>
    <row r="118" spans="1:6" x14ac:dyDescent="0.3">
      <c r="A118" t="s">
        <v>1208</v>
      </c>
      <c r="B118" t="s">
        <v>1343</v>
      </c>
      <c r="C118" t="s">
        <v>1366</v>
      </c>
      <c r="D118" t="s">
        <v>481</v>
      </c>
      <c r="E118" t="s">
        <v>481</v>
      </c>
      <c r="F118" t="s">
        <v>1376</v>
      </c>
    </row>
    <row r="119" spans="1:6" x14ac:dyDescent="0.3">
      <c r="A119" t="s">
        <v>1214</v>
      </c>
      <c r="B119" t="s">
        <v>1342</v>
      </c>
      <c r="C119" t="s">
        <v>1366</v>
      </c>
      <c r="D119" t="s">
        <v>496</v>
      </c>
      <c r="E119" t="s">
        <v>496</v>
      </c>
      <c r="F119" t="s">
        <v>1384</v>
      </c>
    </row>
    <row r="120" spans="1:6" x14ac:dyDescent="0.3">
      <c r="A120" t="s">
        <v>1221</v>
      </c>
      <c r="B120" t="s">
        <v>1344</v>
      </c>
      <c r="C120" t="s">
        <v>444</v>
      </c>
      <c r="D120" t="s">
        <v>444</v>
      </c>
      <c r="E120" t="s">
        <v>1624</v>
      </c>
      <c r="F120" t="s">
        <v>1382</v>
      </c>
    </row>
    <row r="121" spans="1:6" x14ac:dyDescent="0.3">
      <c r="A121" t="s">
        <v>1229</v>
      </c>
      <c r="B121" t="s">
        <v>1343</v>
      </c>
      <c r="C121" t="s">
        <v>1363</v>
      </c>
      <c r="D121" t="s">
        <v>1610</v>
      </c>
      <c r="E121" t="s">
        <v>1611</v>
      </c>
      <c r="F121" t="s">
        <v>1376</v>
      </c>
    </row>
    <row r="122" spans="1:6" x14ac:dyDescent="0.3">
      <c r="A122" t="s">
        <v>1243</v>
      </c>
      <c r="B122" t="s">
        <v>1344</v>
      </c>
      <c r="C122" t="s">
        <v>1365</v>
      </c>
      <c r="D122" t="s">
        <v>1371</v>
      </c>
      <c r="E122" t="s">
        <v>1598</v>
      </c>
      <c r="F122" t="s">
        <v>1376</v>
      </c>
    </row>
    <row r="123" spans="1:6" x14ac:dyDescent="0.3">
      <c r="A123" t="s">
        <v>1254</v>
      </c>
      <c r="B123" t="s">
        <v>1342</v>
      </c>
      <c r="C123" t="s">
        <v>1366</v>
      </c>
      <c r="D123" t="s">
        <v>481</v>
      </c>
      <c r="E123" t="s">
        <v>1615</v>
      </c>
      <c r="F123" t="s">
        <v>1382</v>
      </c>
    </row>
    <row r="124" spans="1:6" x14ac:dyDescent="0.3">
      <c r="A124" t="s">
        <v>1261</v>
      </c>
      <c r="B124" t="s">
        <v>1343</v>
      </c>
      <c r="C124" t="s">
        <v>1368</v>
      </c>
      <c r="D124" t="s">
        <v>1368</v>
      </c>
      <c r="E124" t="s">
        <v>195</v>
      </c>
      <c r="F124" t="s">
        <v>1384</v>
      </c>
    </row>
    <row r="125" spans="1:6" x14ac:dyDescent="0.3">
      <c r="A125" t="s">
        <v>1265</v>
      </c>
      <c r="B125" t="s">
        <v>1342</v>
      </c>
      <c r="C125" t="s">
        <v>534</v>
      </c>
      <c r="D125" t="s">
        <v>1594</v>
      </c>
      <c r="E125" t="s">
        <v>49</v>
      </c>
      <c r="F125" t="s">
        <v>1384</v>
      </c>
    </row>
    <row r="126" spans="1:6" x14ac:dyDescent="0.3">
      <c r="A126" t="s">
        <v>1279</v>
      </c>
      <c r="B126" t="s">
        <v>1344</v>
      </c>
      <c r="C126" t="s">
        <v>1363</v>
      </c>
      <c r="D126" t="s">
        <v>1372</v>
      </c>
      <c r="E126" t="s">
        <v>1612</v>
      </c>
      <c r="F126">
        <v>0</v>
      </c>
    </row>
    <row r="127" spans="1:6" x14ac:dyDescent="0.3">
      <c r="A127" t="s">
        <v>1283</v>
      </c>
      <c r="B127" t="s">
        <v>1343</v>
      </c>
      <c r="C127" t="s">
        <v>1365</v>
      </c>
      <c r="D127" t="s">
        <v>710</v>
      </c>
      <c r="E127" t="s">
        <v>1632</v>
      </c>
      <c r="F127" t="s">
        <v>1376</v>
      </c>
    </row>
    <row r="128" spans="1:6" x14ac:dyDescent="0.3">
      <c r="A128" t="s">
        <v>1289</v>
      </c>
      <c r="B128" t="s">
        <v>1359</v>
      </c>
      <c r="C128" t="s">
        <v>1365</v>
      </c>
      <c r="D128" t="s">
        <v>1628</v>
      </c>
      <c r="E128" t="s">
        <v>401</v>
      </c>
      <c r="F128" t="s">
        <v>1387</v>
      </c>
    </row>
    <row r="129" spans="1:6" x14ac:dyDescent="0.3">
      <c r="A129" t="s">
        <v>1301</v>
      </c>
      <c r="B129" t="s">
        <v>1344</v>
      </c>
      <c r="C129" t="s">
        <v>534</v>
      </c>
      <c r="D129" t="s">
        <v>1596</v>
      </c>
      <c r="E129" t="s">
        <v>1601</v>
      </c>
      <c r="F129">
        <v>0</v>
      </c>
    </row>
    <row r="130" spans="1:6" x14ac:dyDescent="0.3">
      <c r="A130" t="s">
        <v>1308</v>
      </c>
      <c r="B130" t="s">
        <v>1344</v>
      </c>
      <c r="C130" t="s">
        <v>444</v>
      </c>
      <c r="D130" t="s">
        <v>444</v>
      </c>
      <c r="E130" t="s">
        <v>1624</v>
      </c>
      <c r="F130" t="s">
        <v>1382</v>
      </c>
    </row>
    <row r="131" spans="1:6" x14ac:dyDescent="0.3">
      <c r="A131" t="s">
        <v>1319</v>
      </c>
      <c r="B131" t="s">
        <v>1344</v>
      </c>
      <c r="C131" t="s">
        <v>927</v>
      </c>
      <c r="D131" t="s">
        <v>1589</v>
      </c>
      <c r="E131" t="s">
        <v>1616</v>
      </c>
      <c r="F131">
        <v>0</v>
      </c>
    </row>
    <row r="132" spans="1:6" x14ac:dyDescent="0.3">
      <c r="A132" t="s">
        <v>1323</v>
      </c>
      <c r="B132" t="s">
        <v>1344</v>
      </c>
      <c r="C132" t="s">
        <v>1364</v>
      </c>
      <c r="D132" t="s">
        <v>1623</v>
      </c>
      <c r="E132" t="s">
        <v>1623</v>
      </c>
      <c r="F132" t="s">
        <v>1376</v>
      </c>
    </row>
    <row r="133" spans="1:6" x14ac:dyDescent="0.3">
      <c r="A133" t="s">
        <v>1330</v>
      </c>
      <c r="B133" t="s">
        <v>1343</v>
      </c>
      <c r="C133" t="s">
        <v>1369</v>
      </c>
      <c r="D133" t="s">
        <v>1370</v>
      </c>
      <c r="E133" t="s">
        <v>1627</v>
      </c>
      <c r="F133" t="s">
        <v>1376</v>
      </c>
    </row>
    <row r="134" spans="1:6" x14ac:dyDescent="0.3">
      <c r="A134" t="s">
        <v>757</v>
      </c>
      <c r="B134" t="s">
        <v>1343</v>
      </c>
      <c r="C134" t="s">
        <v>1365</v>
      </c>
      <c r="D134" t="s">
        <v>1609</v>
      </c>
      <c r="E134" t="s">
        <v>1633</v>
      </c>
      <c r="F134" t="s">
        <v>1376</v>
      </c>
    </row>
    <row r="135" spans="1:6" x14ac:dyDescent="0.3">
      <c r="A135" t="s">
        <v>769</v>
      </c>
      <c r="B135" t="s">
        <v>1344</v>
      </c>
      <c r="C135" t="s">
        <v>1363</v>
      </c>
      <c r="D135" t="s">
        <v>1612</v>
      </c>
      <c r="E135" t="s">
        <v>1612</v>
      </c>
      <c r="F135">
        <v>0</v>
      </c>
    </row>
    <row r="136" spans="1:6" x14ac:dyDescent="0.3">
      <c r="A136" t="s">
        <v>781</v>
      </c>
      <c r="B136" t="s">
        <v>1342</v>
      </c>
      <c r="C136" t="s">
        <v>1366</v>
      </c>
      <c r="D136" t="s">
        <v>481</v>
      </c>
      <c r="E136" t="s">
        <v>1615</v>
      </c>
      <c r="F136" t="s">
        <v>1381</v>
      </c>
    </row>
    <row r="137" spans="1:6" x14ac:dyDescent="0.3">
      <c r="A137" t="s">
        <v>960</v>
      </c>
      <c r="B137" t="s">
        <v>1344</v>
      </c>
      <c r="C137" t="s">
        <v>1366</v>
      </c>
      <c r="D137" t="s">
        <v>1373</v>
      </c>
      <c r="E137" t="s">
        <v>1373</v>
      </c>
      <c r="F137" t="s">
        <v>1381</v>
      </c>
    </row>
    <row r="138" spans="1:6" x14ac:dyDescent="0.3">
      <c r="A138" t="s">
        <v>743</v>
      </c>
      <c r="B138" t="s">
        <v>1344</v>
      </c>
      <c r="C138" t="s">
        <v>1363</v>
      </c>
      <c r="D138" t="s">
        <v>1372</v>
      </c>
      <c r="E138" t="s">
        <v>1612</v>
      </c>
      <c r="F138" t="s">
        <v>1386</v>
      </c>
    </row>
    <row r="139" spans="1:6" x14ac:dyDescent="0.3">
      <c r="A139" t="s">
        <v>835</v>
      </c>
      <c r="B139" t="s">
        <v>1359</v>
      </c>
      <c r="C139" t="s">
        <v>1363</v>
      </c>
      <c r="D139" t="s">
        <v>1374</v>
      </c>
      <c r="E139" t="s">
        <v>1634</v>
      </c>
      <c r="F139" t="s">
        <v>1376</v>
      </c>
    </row>
    <row r="140" spans="1:6" x14ac:dyDescent="0.3">
      <c r="A140" t="s">
        <v>837</v>
      </c>
      <c r="B140" t="s">
        <v>1359</v>
      </c>
      <c r="C140" t="s">
        <v>1363</v>
      </c>
      <c r="D140" t="s">
        <v>1374</v>
      </c>
      <c r="E140" t="s">
        <v>1634</v>
      </c>
      <c r="F140" t="s">
        <v>1376</v>
      </c>
    </row>
    <row r="141" spans="1:6" x14ac:dyDescent="0.3">
      <c r="A141" t="s">
        <v>1477</v>
      </c>
      <c r="B141" t="s">
        <v>1344</v>
      </c>
      <c r="C141" t="s">
        <v>1364</v>
      </c>
      <c r="D141" t="s">
        <v>1595</v>
      </c>
      <c r="E141" t="s">
        <v>583</v>
      </c>
      <c r="F141" t="s">
        <v>1376</v>
      </c>
    </row>
    <row r="142" spans="1:6" x14ac:dyDescent="0.3">
      <c r="A142" t="s">
        <v>1511</v>
      </c>
      <c r="B142" t="s">
        <v>1343</v>
      </c>
      <c r="C142" t="s">
        <v>1364</v>
      </c>
      <c r="D142" t="s">
        <v>1595</v>
      </c>
      <c r="E142" t="s">
        <v>59</v>
      </c>
      <c r="F142" t="s">
        <v>1382</v>
      </c>
    </row>
    <row r="143" spans="1:6" x14ac:dyDescent="0.3">
      <c r="A143" t="s">
        <v>1523</v>
      </c>
      <c r="B143" t="s">
        <v>1342</v>
      </c>
      <c r="C143" t="s">
        <v>927</v>
      </c>
      <c r="D143" t="s">
        <v>1589</v>
      </c>
      <c r="E143" t="s">
        <v>1280</v>
      </c>
      <c r="F143" t="s">
        <v>1380</v>
      </c>
    </row>
    <row r="144" spans="1:6" x14ac:dyDescent="0.3">
      <c r="A144" t="s">
        <v>1541</v>
      </c>
      <c r="B144" t="s">
        <v>1342</v>
      </c>
      <c r="C144" t="s">
        <v>1367</v>
      </c>
      <c r="D144" t="s">
        <v>1367</v>
      </c>
      <c r="E144" t="s">
        <v>1602</v>
      </c>
      <c r="F144" t="s">
        <v>1380</v>
      </c>
    </row>
    <row r="145" spans="1:6" x14ac:dyDescent="0.3">
      <c r="A145" t="s">
        <v>1559</v>
      </c>
      <c r="B145" t="s">
        <v>1343</v>
      </c>
      <c r="C145" t="s">
        <v>1368</v>
      </c>
      <c r="D145" t="s">
        <v>1368</v>
      </c>
      <c r="E145" t="s">
        <v>1619</v>
      </c>
      <c r="F145" t="s">
        <v>1382</v>
      </c>
    </row>
    <row r="146" spans="1:6" x14ac:dyDescent="0.3">
      <c r="A146" t="s">
        <v>1564</v>
      </c>
      <c r="B146" t="s">
        <v>1344</v>
      </c>
      <c r="C146" t="s">
        <v>1363</v>
      </c>
      <c r="D146" t="s">
        <v>1372</v>
      </c>
      <c r="E146" t="s">
        <v>1612</v>
      </c>
      <c r="F146" t="s">
        <v>1385</v>
      </c>
    </row>
    <row r="147" spans="1:6" x14ac:dyDescent="0.3">
      <c r="A147" t="s">
        <v>1573</v>
      </c>
      <c r="B147" t="s">
        <v>1344</v>
      </c>
      <c r="C147" t="s">
        <v>1365</v>
      </c>
      <c r="D147" t="s">
        <v>1371</v>
      </c>
      <c r="E147" t="s">
        <v>1598</v>
      </c>
      <c r="F147" t="s">
        <v>1382</v>
      </c>
    </row>
    <row r="148" spans="1:6" x14ac:dyDescent="0.3">
      <c r="A148">
        <v>1299</v>
      </c>
      <c r="B148" t="s">
        <v>1343</v>
      </c>
      <c r="C148" t="s">
        <v>1366</v>
      </c>
      <c r="D148" t="s">
        <v>496</v>
      </c>
      <c r="E148" t="s">
        <v>496</v>
      </c>
      <c r="F148" t="s">
        <v>1380</v>
      </c>
    </row>
    <row r="149" spans="1:6" x14ac:dyDescent="0.3">
      <c r="A149" t="s">
        <v>1777</v>
      </c>
      <c r="B149" t="s">
        <v>1342</v>
      </c>
      <c r="C149" t="s">
        <v>1365</v>
      </c>
      <c r="D149" t="s">
        <v>1371</v>
      </c>
      <c r="E149" t="s">
        <v>1778</v>
      </c>
      <c r="F149" t="s">
        <v>1384</v>
      </c>
    </row>
    <row r="150" spans="1:6" x14ac:dyDescent="0.3">
      <c r="A150" t="s">
        <v>1788</v>
      </c>
      <c r="B150" t="s">
        <v>1343</v>
      </c>
      <c r="C150" t="s">
        <v>1366</v>
      </c>
      <c r="D150" t="s">
        <v>1373</v>
      </c>
      <c r="E150" t="s">
        <v>1373</v>
      </c>
      <c r="F150" t="s">
        <v>1384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E7A80-EA59-49A0-99FE-0EA496CD741B}">
  <dimension ref="A1:T383"/>
  <sheetViews>
    <sheetView workbookViewId="0">
      <selection activeCell="E16" sqref="E16"/>
    </sheetView>
  </sheetViews>
  <sheetFormatPr defaultRowHeight="14.4" x14ac:dyDescent="0.3"/>
  <cols>
    <col min="1" max="1" width="26.5546875" bestFit="1" customWidth="1"/>
    <col min="2" max="2" width="24.5546875" bestFit="1" customWidth="1"/>
    <col min="3" max="3" width="27.6640625" bestFit="1" customWidth="1"/>
    <col min="4" max="4" width="31.33203125" bestFit="1" customWidth="1"/>
    <col min="5" max="5" width="28.5546875" bestFit="1" customWidth="1"/>
    <col min="6" max="6" width="22.33203125" bestFit="1" customWidth="1"/>
    <col min="7" max="7" width="14.44140625" bestFit="1" customWidth="1"/>
    <col min="8" max="8" width="15.6640625" bestFit="1" customWidth="1"/>
    <col min="9" max="9" width="16.6640625" bestFit="1" customWidth="1"/>
    <col min="10" max="10" width="11.88671875" bestFit="1" customWidth="1"/>
    <col min="11" max="11" width="24.33203125" style="5" bestFit="1" customWidth="1"/>
    <col min="12" max="12" width="21.44140625" bestFit="1" customWidth="1"/>
    <col min="13" max="13" width="26.6640625" bestFit="1" customWidth="1"/>
    <col min="14" max="14" width="12.6640625" bestFit="1" customWidth="1"/>
    <col min="15" max="15" width="7.33203125" bestFit="1" customWidth="1"/>
    <col min="16" max="16" width="14.109375" bestFit="1" customWidth="1"/>
    <col min="17" max="17" width="10.33203125" bestFit="1" customWidth="1"/>
    <col min="18" max="18" width="12.44140625" bestFit="1" customWidth="1"/>
    <col min="19" max="19" width="13.5546875" bestFit="1" customWidth="1"/>
    <col min="20" max="20" width="5.5546875" bestFit="1" customWidth="1"/>
    <col min="21" max="21" width="12.6640625" bestFit="1" customWidth="1"/>
    <col min="22" max="22" width="13.33203125" bestFit="1" customWidth="1"/>
    <col min="23" max="23" width="14.44140625" bestFit="1" customWidth="1"/>
    <col min="24" max="24" width="30.88671875" bestFit="1" customWidth="1"/>
    <col min="25" max="25" width="40.44140625" bestFit="1" customWidth="1"/>
    <col min="26" max="26" width="12.6640625" bestFit="1" customWidth="1"/>
    <col min="27" max="27" width="21.44140625" bestFit="1" customWidth="1"/>
    <col min="28" max="28" width="11.44140625" bestFit="1" customWidth="1"/>
    <col min="29" max="29" width="33.44140625" bestFit="1" customWidth="1"/>
    <col min="30" max="30" width="28.109375" bestFit="1" customWidth="1"/>
    <col min="31" max="31" width="30.6640625" bestFit="1" customWidth="1"/>
    <col min="32" max="32" width="31.6640625" bestFit="1" customWidth="1"/>
    <col min="33" max="33" width="9" bestFit="1" customWidth="1"/>
    <col min="34" max="34" width="17.5546875" bestFit="1" customWidth="1"/>
    <col min="35" max="35" width="20.33203125" bestFit="1" customWidth="1"/>
    <col min="36" max="36" width="12.88671875" bestFit="1" customWidth="1"/>
    <col min="37" max="37" width="21.5546875" bestFit="1" customWidth="1"/>
    <col min="38" max="38" width="11.33203125" bestFit="1" customWidth="1"/>
    <col min="39" max="39" width="15.109375" bestFit="1" customWidth="1"/>
    <col min="40" max="40" width="20.88671875" bestFit="1" customWidth="1"/>
    <col min="41" max="41" width="16.5546875" bestFit="1" customWidth="1"/>
    <col min="42" max="42" width="15.88671875" bestFit="1" customWidth="1"/>
    <col min="43" max="43" width="7.33203125" bestFit="1" customWidth="1"/>
    <col min="44" max="44" width="19.44140625" bestFit="1" customWidth="1"/>
    <col min="45" max="45" width="17" bestFit="1" customWidth="1"/>
    <col min="46" max="46" width="20.88671875" bestFit="1" customWidth="1"/>
    <col min="47" max="47" width="25.6640625" bestFit="1" customWidth="1"/>
    <col min="48" max="48" width="26.6640625" bestFit="1" customWidth="1"/>
    <col min="49" max="49" width="16.6640625" bestFit="1" customWidth="1"/>
    <col min="50" max="50" width="25.33203125" bestFit="1" customWidth="1"/>
    <col min="51" max="51" width="26.44140625" bestFit="1" customWidth="1"/>
    <col min="52" max="52" width="6.109375" bestFit="1" customWidth="1"/>
    <col min="53" max="53" width="14.5546875" bestFit="1" customWidth="1"/>
    <col min="54" max="54" width="15" bestFit="1" customWidth="1"/>
    <col min="55" max="55" width="15.5546875" bestFit="1" customWidth="1"/>
    <col min="56" max="56" width="8.44140625" bestFit="1" customWidth="1"/>
    <col min="57" max="57" width="16.88671875" bestFit="1" customWidth="1"/>
    <col min="58" max="58" width="14.88671875" bestFit="1" customWidth="1"/>
    <col min="59" max="59" width="24.44140625" bestFit="1" customWidth="1"/>
    <col min="60" max="60" width="15.44140625" bestFit="1" customWidth="1"/>
    <col min="61" max="61" width="11.88671875" bestFit="1" customWidth="1"/>
    <col min="62" max="62" width="25" bestFit="1" customWidth="1"/>
    <col min="63" max="63" width="34.109375" bestFit="1" customWidth="1"/>
    <col min="64" max="64" width="28.5546875" bestFit="1" customWidth="1"/>
    <col min="65" max="65" width="40.88671875" bestFit="1" customWidth="1"/>
    <col min="66" max="66" width="16.6640625" bestFit="1" customWidth="1"/>
    <col min="67" max="67" width="13.109375" bestFit="1" customWidth="1"/>
    <col min="68" max="68" width="11.88671875" bestFit="1" customWidth="1"/>
    <col min="69" max="69" width="15.6640625" bestFit="1" customWidth="1"/>
    <col min="70" max="70" width="20.44140625" bestFit="1" customWidth="1"/>
    <col min="71" max="71" width="21.6640625" bestFit="1" customWidth="1"/>
    <col min="72" max="72" width="16" bestFit="1" customWidth="1"/>
    <col min="73" max="73" width="16.44140625" bestFit="1" customWidth="1"/>
    <col min="74" max="74" width="26.109375" bestFit="1" customWidth="1"/>
    <col min="75" max="75" width="30" bestFit="1" customWidth="1"/>
    <col min="76" max="76" width="15.88671875" bestFit="1" customWidth="1"/>
    <col min="77" max="77" width="24.44140625" bestFit="1" customWidth="1"/>
    <col min="78" max="78" width="20.5546875" bestFit="1" customWidth="1"/>
    <col min="79" max="79" width="32.88671875" bestFit="1" customWidth="1"/>
    <col min="80" max="80" width="36.6640625" bestFit="1" customWidth="1"/>
    <col min="81" max="81" width="8.88671875" bestFit="1" customWidth="1"/>
    <col min="82" max="82" width="9.33203125" bestFit="1" customWidth="1"/>
    <col min="83" max="83" width="17.44140625" bestFit="1" customWidth="1"/>
    <col min="84" max="84" width="18.44140625" bestFit="1" customWidth="1"/>
    <col min="85" max="85" width="5.33203125" bestFit="1" customWidth="1"/>
    <col min="86" max="86" width="13.6640625" bestFit="1" customWidth="1"/>
    <col min="87" max="87" width="6.5546875" bestFit="1" customWidth="1"/>
    <col min="88" max="88" width="15" bestFit="1" customWidth="1"/>
    <col min="89" max="89" width="16" bestFit="1" customWidth="1"/>
    <col min="90" max="90" width="16.109375" bestFit="1" customWidth="1"/>
    <col min="91" max="91" width="10.5546875" bestFit="1" customWidth="1"/>
    <col min="92" max="92" width="20.109375" bestFit="1" customWidth="1"/>
    <col min="93" max="93" width="15.109375" bestFit="1" customWidth="1"/>
    <col min="94" max="94" width="14.6640625" bestFit="1" customWidth="1"/>
    <col min="95" max="95" width="6" bestFit="1" customWidth="1"/>
    <col min="96" max="96" width="15.33203125" bestFit="1" customWidth="1"/>
    <col min="97" max="97" width="15.6640625" bestFit="1" customWidth="1"/>
    <col min="98" max="98" width="7.33203125" bestFit="1" customWidth="1"/>
    <col min="99" max="99" width="11.33203125" bestFit="1" customWidth="1"/>
  </cols>
  <sheetData>
    <row r="1" spans="1:20" x14ac:dyDescent="0.3">
      <c r="A1" s="4" t="s">
        <v>1</v>
      </c>
      <c r="B1" t="s">
        <v>2</v>
      </c>
    </row>
    <row r="2" spans="1:20" x14ac:dyDescent="0.3">
      <c r="A2" s="4" t="s">
        <v>1704</v>
      </c>
      <c r="B2" t="s">
        <v>1708</v>
      </c>
    </row>
    <row r="3" spans="1:20" x14ac:dyDescent="0.3">
      <c r="A3" s="4" t="s">
        <v>1712</v>
      </c>
      <c r="B3" t="s">
        <v>1755</v>
      </c>
    </row>
    <row r="4" spans="1:20" x14ac:dyDescent="0.3">
      <c r="A4" s="4" t="s">
        <v>1341</v>
      </c>
      <c r="B4" t="s">
        <v>1755</v>
      </c>
      <c r="K4"/>
    </row>
    <row r="5" spans="1:20" x14ac:dyDescent="0.3">
      <c r="A5" s="4" t="s">
        <v>1645</v>
      </c>
      <c r="B5" t="s">
        <v>1637</v>
      </c>
      <c r="F5" s="5"/>
      <c r="J5" s="5"/>
      <c r="K5"/>
      <c r="M5" s="5"/>
      <c r="P5" s="5"/>
      <c r="Q5" s="3"/>
      <c r="R5" s="3"/>
      <c r="S5" s="1"/>
      <c r="T5" s="1"/>
    </row>
    <row r="6" spans="1:20" x14ac:dyDescent="0.3">
      <c r="A6" s="4" t="s">
        <v>1436</v>
      </c>
      <c r="B6" t="s">
        <v>1755</v>
      </c>
      <c r="E6" s="7"/>
      <c r="F6" s="5"/>
      <c r="H6" s="7"/>
      <c r="I6" s="7"/>
      <c r="J6" s="5"/>
      <c r="K6"/>
      <c r="M6" s="5"/>
      <c r="P6" s="5"/>
      <c r="Q6" s="3"/>
      <c r="R6" s="3"/>
      <c r="S6" s="1"/>
      <c r="T6" s="1"/>
    </row>
    <row r="7" spans="1:20" x14ac:dyDescent="0.3">
      <c r="A7" s="4" t="s">
        <v>1361</v>
      </c>
      <c r="B7" t="s">
        <v>1755</v>
      </c>
      <c r="D7" s="1"/>
      <c r="E7" s="7"/>
      <c r="F7" s="5"/>
      <c r="H7" s="7"/>
      <c r="I7" s="7"/>
      <c r="J7" s="5"/>
      <c r="K7"/>
      <c r="M7" s="5"/>
      <c r="P7" s="5"/>
      <c r="Q7" s="3"/>
      <c r="R7" s="3"/>
      <c r="S7" s="1"/>
      <c r="T7" s="1"/>
    </row>
    <row r="8" spans="1:20" x14ac:dyDescent="0.3">
      <c r="A8" s="4" t="s">
        <v>1588</v>
      </c>
      <c r="B8" t="s">
        <v>1755</v>
      </c>
      <c r="D8" s="6"/>
      <c r="E8" s="7"/>
      <c r="F8" s="5"/>
      <c r="H8" s="7"/>
      <c r="I8" s="7"/>
      <c r="J8" s="5"/>
      <c r="K8"/>
      <c r="M8" s="5"/>
      <c r="P8" s="5"/>
      <c r="Q8" s="3"/>
      <c r="R8" s="3"/>
      <c r="S8" s="1"/>
      <c r="T8" s="1"/>
    </row>
    <row r="9" spans="1:20" x14ac:dyDescent="0.3">
      <c r="A9" s="4" t="s">
        <v>33</v>
      </c>
      <c r="B9" t="s">
        <v>1598</v>
      </c>
      <c r="D9" s="10"/>
      <c r="E9" s="5"/>
      <c r="F9" s="5"/>
      <c r="G9" s="5"/>
      <c r="H9" s="7"/>
      <c r="I9" s="7"/>
      <c r="J9" s="5"/>
      <c r="K9"/>
      <c r="M9" s="5"/>
      <c r="P9" s="5"/>
      <c r="Q9" s="3"/>
      <c r="R9" s="3"/>
      <c r="S9" s="1"/>
      <c r="T9" s="1"/>
    </row>
    <row r="10" spans="1:20" x14ac:dyDescent="0.3">
      <c r="A10" s="4" t="s">
        <v>1082</v>
      </c>
      <c r="B10" t="s">
        <v>1755</v>
      </c>
      <c r="C10" s="6"/>
      <c r="D10" s="10"/>
      <c r="E10" s="6"/>
      <c r="F10" s="6"/>
      <c r="G10" s="6"/>
      <c r="H10" s="7"/>
      <c r="I10" s="7"/>
      <c r="J10" s="5"/>
      <c r="K10"/>
      <c r="M10" s="5"/>
      <c r="P10" s="5"/>
      <c r="Q10" s="3"/>
      <c r="R10" s="3"/>
      <c r="S10" s="1"/>
      <c r="T10" s="1"/>
    </row>
    <row r="11" spans="1:20" x14ac:dyDescent="0.3">
      <c r="C11" s="5"/>
      <c r="D11" s="10"/>
      <c r="E11" s="6"/>
      <c r="F11" s="6"/>
      <c r="G11" s="6"/>
      <c r="H11" s="7"/>
      <c r="I11" s="7"/>
      <c r="J11" s="5"/>
      <c r="K11"/>
      <c r="M11" s="5"/>
      <c r="P11" s="5"/>
      <c r="Q11" s="3"/>
      <c r="R11" s="3"/>
      <c r="S11" s="1"/>
      <c r="T11" s="1"/>
    </row>
    <row r="12" spans="1:20" x14ac:dyDescent="0.3">
      <c r="A12" s="4" t="s">
        <v>1076</v>
      </c>
      <c r="B12" t="s">
        <v>1818</v>
      </c>
      <c r="C12" s="5"/>
      <c r="E12" s="5"/>
      <c r="F12" s="6"/>
      <c r="G12" s="6"/>
      <c r="H12" s="7"/>
      <c r="I12" s="7"/>
      <c r="J12" s="5"/>
      <c r="K12"/>
      <c r="M12" s="5"/>
      <c r="P12" s="5"/>
      <c r="Q12" s="3"/>
      <c r="R12" s="3"/>
      <c r="S12" s="1"/>
      <c r="T12" s="1"/>
    </row>
    <row r="13" spans="1:20" x14ac:dyDescent="0.3">
      <c r="A13" s="5" t="s">
        <v>1350</v>
      </c>
      <c r="B13">
        <v>0.60000000000000009</v>
      </c>
      <c r="C13" s="5"/>
      <c r="E13" s="5"/>
      <c r="F13" s="6"/>
      <c r="G13" s="6"/>
      <c r="H13" s="7"/>
      <c r="I13" s="7"/>
      <c r="J13" s="5"/>
      <c r="K13"/>
      <c r="M13" s="5"/>
      <c r="P13" s="5"/>
      <c r="Q13" s="3"/>
      <c r="R13" s="3"/>
      <c r="S13" s="1"/>
      <c r="T13" s="1"/>
    </row>
    <row r="14" spans="1:20" x14ac:dyDescent="0.3">
      <c r="A14" s="5" t="s">
        <v>598</v>
      </c>
      <c r="B14">
        <v>0.25</v>
      </c>
      <c r="C14" s="5"/>
      <c r="E14" s="5"/>
      <c r="F14" s="6"/>
      <c r="H14" s="7"/>
      <c r="I14" s="7"/>
      <c r="J14" s="5"/>
      <c r="K14"/>
      <c r="M14" s="5"/>
      <c r="P14" s="5"/>
      <c r="Q14" s="3"/>
      <c r="R14" s="3"/>
      <c r="S14" s="1"/>
      <c r="T14" s="1"/>
    </row>
    <row r="15" spans="1:20" x14ac:dyDescent="0.3">
      <c r="A15" s="5" t="s">
        <v>1573</v>
      </c>
      <c r="B15">
        <v>0.25</v>
      </c>
      <c r="C15" s="5"/>
      <c r="E15" s="5"/>
      <c r="F15" s="6"/>
      <c r="H15" s="7"/>
      <c r="I15" s="7"/>
      <c r="J15" s="5"/>
      <c r="K15"/>
      <c r="M15" s="5"/>
      <c r="P15" s="5"/>
      <c r="Q15" s="3"/>
      <c r="R15" s="3"/>
      <c r="S15" s="1"/>
      <c r="T15" s="1"/>
    </row>
    <row r="16" spans="1:20" x14ac:dyDescent="0.3">
      <c r="A16" s="5" t="s">
        <v>456</v>
      </c>
      <c r="B16">
        <v>0.1</v>
      </c>
      <c r="C16" s="5"/>
      <c r="E16" s="5"/>
      <c r="F16" s="5"/>
      <c r="H16" s="7"/>
      <c r="I16" s="7"/>
      <c r="J16" s="5"/>
      <c r="K16"/>
      <c r="M16" s="5"/>
      <c r="O16" s="6"/>
      <c r="P16" s="5"/>
      <c r="Q16" s="3"/>
      <c r="R16" s="3"/>
      <c r="S16" s="1"/>
      <c r="T16" s="1"/>
    </row>
    <row r="17" spans="1:20" x14ac:dyDescent="0.3">
      <c r="A17" s="5" t="s">
        <v>115</v>
      </c>
      <c r="B17">
        <v>0.2</v>
      </c>
      <c r="C17" s="5"/>
      <c r="D17" s="10"/>
      <c r="E17" s="5"/>
      <c r="F17" s="5"/>
      <c r="I17" s="7"/>
      <c r="J17" s="5"/>
      <c r="K17"/>
      <c r="M17" s="5"/>
      <c r="O17" s="6"/>
      <c r="P17" s="5"/>
      <c r="Q17" s="3"/>
      <c r="R17" s="3"/>
      <c r="S17" s="1"/>
      <c r="T17" s="1"/>
    </row>
    <row r="18" spans="1:20" x14ac:dyDescent="0.3">
      <c r="A18" s="5" t="s">
        <v>1351</v>
      </c>
      <c r="B18">
        <v>0.33333333333333331</v>
      </c>
      <c r="C18" s="5"/>
      <c r="D18" s="5"/>
      <c r="E18" s="5"/>
      <c r="F18" s="5"/>
      <c r="I18" s="7"/>
      <c r="J18" s="5"/>
      <c r="K18"/>
      <c r="M18" s="5"/>
      <c r="O18" s="6"/>
      <c r="P18" s="5"/>
      <c r="Q18" s="3"/>
      <c r="R18" s="3"/>
      <c r="S18" s="1"/>
      <c r="T18" s="1"/>
    </row>
    <row r="19" spans="1:20" x14ac:dyDescent="0.3">
      <c r="A19" s="5" t="s">
        <v>1077</v>
      </c>
      <c r="B19">
        <v>1.7333333333333334</v>
      </c>
      <c r="C19" s="5"/>
      <c r="D19" s="5"/>
      <c r="E19" s="5"/>
      <c r="F19" s="5"/>
      <c r="I19" s="7"/>
      <c r="J19" s="5"/>
      <c r="K19"/>
      <c r="M19" s="5"/>
      <c r="P19" s="5"/>
      <c r="Q19" s="3"/>
      <c r="R19" s="3"/>
      <c r="S19" s="1"/>
      <c r="T19" s="1"/>
    </row>
    <row r="20" spans="1:20" x14ac:dyDescent="0.3">
      <c r="C20" s="5"/>
      <c r="D20" s="5"/>
      <c r="F20" s="5"/>
      <c r="I20" s="7"/>
      <c r="J20" s="5"/>
      <c r="K20"/>
      <c r="M20" s="5"/>
      <c r="P20" s="5"/>
      <c r="Q20" s="3"/>
      <c r="R20" s="3"/>
      <c r="S20" s="1"/>
      <c r="T20" s="1"/>
    </row>
    <row r="21" spans="1:20" x14ac:dyDescent="0.3">
      <c r="C21" s="5"/>
      <c r="D21" s="5"/>
      <c r="F21" s="5"/>
      <c r="J21" s="5"/>
      <c r="K21"/>
      <c r="M21" s="5"/>
      <c r="P21" s="5"/>
      <c r="Q21" s="3"/>
      <c r="R21" s="3"/>
      <c r="S21" s="1"/>
      <c r="T21" s="1"/>
    </row>
    <row r="22" spans="1:20" x14ac:dyDescent="0.3">
      <c r="C22" s="5"/>
      <c r="D22" s="5"/>
      <c r="F22" s="5"/>
      <c r="J22" s="5"/>
      <c r="K22"/>
      <c r="M22" s="5"/>
      <c r="P22" s="5"/>
      <c r="Q22" s="3"/>
      <c r="R22" s="3"/>
      <c r="S22" s="1"/>
      <c r="T22" s="1"/>
    </row>
    <row r="23" spans="1:20" x14ac:dyDescent="0.3">
      <c r="C23" s="5"/>
      <c r="D23" s="5"/>
      <c r="F23" s="5"/>
      <c r="J23" s="5"/>
      <c r="K23"/>
      <c r="M23" s="5"/>
      <c r="P23" s="5"/>
      <c r="Q23" s="3"/>
      <c r="R23" s="3"/>
      <c r="S23" s="1"/>
      <c r="T23" s="1"/>
    </row>
    <row r="24" spans="1:20" x14ac:dyDescent="0.3">
      <c r="C24" s="5"/>
      <c r="D24" s="5"/>
      <c r="F24" s="5"/>
      <c r="J24" s="5"/>
      <c r="K24"/>
      <c r="M24" s="5"/>
      <c r="P24" s="5"/>
      <c r="Q24" s="3"/>
      <c r="R24" s="3"/>
      <c r="S24" s="1"/>
      <c r="T24" s="1"/>
    </row>
    <row r="25" spans="1:20" x14ac:dyDescent="0.3">
      <c r="C25" s="5"/>
      <c r="D25" s="5"/>
      <c r="F25" s="5"/>
      <c r="J25" s="5"/>
      <c r="K25"/>
      <c r="M25" s="5"/>
      <c r="P25" s="5"/>
      <c r="Q25" s="3"/>
      <c r="R25" s="3"/>
      <c r="S25" s="1"/>
      <c r="T25" s="1"/>
    </row>
    <row r="26" spans="1:20" x14ac:dyDescent="0.3">
      <c r="C26" s="5"/>
      <c r="D26" s="5"/>
      <c r="F26" s="5"/>
      <c r="J26" s="5"/>
      <c r="K26"/>
      <c r="M26" s="5"/>
      <c r="P26" s="5"/>
      <c r="Q26" s="3"/>
      <c r="R26" s="3"/>
      <c r="S26" s="1"/>
      <c r="T26" s="1"/>
    </row>
    <row r="27" spans="1:20" x14ac:dyDescent="0.3">
      <c r="C27" s="5"/>
      <c r="D27" s="5"/>
      <c r="F27" s="5"/>
      <c r="J27" s="5"/>
      <c r="K27"/>
      <c r="M27" s="5"/>
      <c r="P27" s="5"/>
      <c r="Q27" s="3"/>
      <c r="R27" s="3"/>
      <c r="S27" s="1"/>
      <c r="T27" s="1"/>
    </row>
    <row r="28" spans="1:20" x14ac:dyDescent="0.3">
      <c r="C28" s="5"/>
      <c r="D28" s="5"/>
      <c r="F28" s="5"/>
      <c r="J28" s="5"/>
      <c r="K28"/>
      <c r="M28" s="5"/>
      <c r="P28" s="5"/>
      <c r="Q28" s="3"/>
      <c r="R28" s="3"/>
      <c r="S28" s="1"/>
      <c r="T28" s="1"/>
    </row>
    <row r="29" spans="1:20" x14ac:dyDescent="0.3">
      <c r="C29" s="5"/>
      <c r="D29" s="5"/>
      <c r="F29" s="5"/>
      <c r="J29" s="5"/>
      <c r="K29"/>
      <c r="M29" s="5"/>
      <c r="P29" s="5"/>
      <c r="Q29" s="3"/>
      <c r="R29" s="3"/>
      <c r="S29" s="1"/>
      <c r="T29" s="1"/>
    </row>
    <row r="30" spans="1:20" x14ac:dyDescent="0.3">
      <c r="C30" s="5"/>
      <c r="D30" s="5"/>
      <c r="F30" s="5"/>
      <c r="J30" s="5"/>
      <c r="K30"/>
      <c r="M30" s="5"/>
      <c r="P30" s="5"/>
      <c r="Q30" s="3"/>
      <c r="R30" s="3"/>
      <c r="S30" s="1"/>
      <c r="T30" s="1"/>
    </row>
    <row r="31" spans="1:20" x14ac:dyDescent="0.3">
      <c r="C31" s="5"/>
      <c r="D31" s="5"/>
      <c r="F31" s="5"/>
      <c r="J31" s="5"/>
      <c r="K31"/>
      <c r="M31" s="5"/>
      <c r="P31" s="5"/>
      <c r="Q31" s="3"/>
      <c r="R31" s="3"/>
      <c r="S31" s="1"/>
      <c r="T31" s="1"/>
    </row>
    <row r="32" spans="1:20" x14ac:dyDescent="0.3">
      <c r="C32" s="5"/>
      <c r="D32" s="5"/>
      <c r="F32" s="5"/>
      <c r="J32" s="5"/>
      <c r="K32"/>
      <c r="M32" s="5"/>
      <c r="P32" s="5"/>
      <c r="Q32" s="3"/>
      <c r="R32" s="3"/>
      <c r="S32" s="1"/>
      <c r="T32" s="1"/>
    </row>
    <row r="33" spans="3:20" x14ac:dyDescent="0.3">
      <c r="C33" s="5"/>
      <c r="D33" s="5"/>
      <c r="F33" s="5"/>
      <c r="J33" s="5"/>
      <c r="K33"/>
      <c r="M33" s="5"/>
      <c r="P33" s="5"/>
      <c r="Q33" s="3"/>
      <c r="R33" s="3"/>
      <c r="S33" s="1"/>
      <c r="T33" s="1"/>
    </row>
    <row r="34" spans="3:20" x14ac:dyDescent="0.3">
      <c r="C34" s="5"/>
      <c r="D34" s="5"/>
      <c r="F34" s="5"/>
      <c r="J34" s="5"/>
      <c r="K34"/>
      <c r="M34" s="5"/>
      <c r="P34" s="5"/>
      <c r="Q34" s="3"/>
      <c r="R34" s="3"/>
      <c r="S34" s="1"/>
      <c r="T34" s="1"/>
    </row>
    <row r="35" spans="3:20" x14ac:dyDescent="0.3">
      <c r="C35" s="5"/>
      <c r="D35" s="5"/>
      <c r="F35" s="5"/>
      <c r="J35" s="5"/>
      <c r="K35"/>
      <c r="M35" s="5"/>
      <c r="P35" s="5"/>
      <c r="Q35" s="3"/>
      <c r="R35" s="3"/>
      <c r="S35" s="1"/>
      <c r="T35" s="1"/>
    </row>
    <row r="36" spans="3:20" x14ac:dyDescent="0.3">
      <c r="C36" s="5"/>
      <c r="D36" s="5"/>
      <c r="F36" s="5"/>
      <c r="J36" s="5"/>
      <c r="K36"/>
      <c r="M36" s="5"/>
      <c r="P36" s="5"/>
      <c r="Q36" s="3"/>
      <c r="R36" s="3"/>
      <c r="S36" s="1"/>
      <c r="T36" s="1"/>
    </row>
    <row r="37" spans="3:20" x14ac:dyDescent="0.3">
      <c r="C37" s="5"/>
      <c r="D37" s="5"/>
      <c r="F37" s="5"/>
      <c r="H37" s="6"/>
      <c r="J37" s="5"/>
      <c r="K37"/>
      <c r="M37" s="5"/>
      <c r="P37" s="5"/>
      <c r="Q37" s="3"/>
      <c r="R37" s="3"/>
      <c r="S37" s="1"/>
      <c r="T37" s="1"/>
    </row>
    <row r="38" spans="3:20" x14ac:dyDescent="0.3">
      <c r="C38" s="5"/>
      <c r="D38" s="5"/>
      <c r="F38" s="5"/>
      <c r="H38" s="6"/>
      <c r="J38" s="5"/>
      <c r="K38"/>
      <c r="M38" s="5"/>
      <c r="P38" s="5"/>
      <c r="Q38" s="3"/>
      <c r="R38" s="3"/>
      <c r="S38" s="1"/>
      <c r="T38" s="1"/>
    </row>
    <row r="39" spans="3:20" x14ac:dyDescent="0.3">
      <c r="C39" s="5"/>
      <c r="D39" s="5"/>
      <c r="F39" s="5"/>
      <c r="H39" s="6"/>
      <c r="J39" s="5"/>
      <c r="K39"/>
      <c r="M39" s="5"/>
      <c r="P39" s="5"/>
      <c r="Q39" s="3"/>
      <c r="R39" s="3"/>
      <c r="S39" s="1"/>
      <c r="T39" s="1"/>
    </row>
    <row r="40" spans="3:20" x14ac:dyDescent="0.3">
      <c r="C40" s="5"/>
      <c r="D40" s="5"/>
      <c r="F40" s="5"/>
      <c r="H40" s="6"/>
      <c r="J40" s="5"/>
      <c r="K40"/>
      <c r="M40" s="5"/>
      <c r="P40" s="5"/>
      <c r="Q40" s="3"/>
      <c r="R40" s="3"/>
      <c r="S40" s="1"/>
      <c r="T40" s="1"/>
    </row>
    <row r="41" spans="3:20" x14ac:dyDescent="0.3">
      <c r="C41" s="5"/>
      <c r="D41" s="5"/>
      <c r="F41" s="5"/>
      <c r="H41" s="6"/>
      <c r="J41" s="5"/>
      <c r="K41"/>
      <c r="M41" s="5"/>
      <c r="P41" s="5"/>
      <c r="Q41" s="3"/>
      <c r="R41" s="3"/>
      <c r="S41" s="1"/>
      <c r="T41" s="1"/>
    </row>
    <row r="42" spans="3:20" x14ac:dyDescent="0.3">
      <c r="C42" s="5"/>
      <c r="D42" s="5"/>
      <c r="F42" s="5"/>
      <c r="H42" s="6"/>
      <c r="J42" s="5"/>
      <c r="K42"/>
      <c r="M42" s="5"/>
      <c r="P42" s="5"/>
      <c r="Q42" s="3"/>
      <c r="R42" s="3"/>
      <c r="S42" s="1"/>
      <c r="T42" s="1"/>
    </row>
    <row r="43" spans="3:20" x14ac:dyDescent="0.3">
      <c r="C43" s="5"/>
      <c r="D43" s="5"/>
      <c r="F43" s="5"/>
      <c r="H43" s="6"/>
      <c r="J43" s="5"/>
      <c r="K43"/>
      <c r="M43" s="5"/>
      <c r="P43" s="5"/>
      <c r="Q43" s="3"/>
      <c r="R43" s="3"/>
      <c r="S43" s="1"/>
      <c r="T43" s="1"/>
    </row>
    <row r="44" spans="3:20" x14ac:dyDescent="0.3">
      <c r="C44" s="5"/>
      <c r="D44" s="5"/>
      <c r="F44" s="5"/>
      <c r="H44" s="6"/>
      <c r="J44" s="5"/>
      <c r="K44"/>
      <c r="M44" s="5"/>
      <c r="P44" s="5"/>
      <c r="Q44" s="3"/>
      <c r="R44" s="3"/>
      <c r="S44" s="1"/>
      <c r="T44" s="1"/>
    </row>
    <row r="45" spans="3:20" x14ac:dyDescent="0.3">
      <c r="C45" s="5"/>
      <c r="D45" s="5"/>
      <c r="F45" s="5"/>
      <c r="H45" s="6"/>
      <c r="J45" s="5"/>
      <c r="K45"/>
      <c r="M45" s="5"/>
      <c r="P45" s="5"/>
      <c r="Q45" s="3"/>
      <c r="R45" s="3"/>
      <c r="S45" s="1"/>
      <c r="T45" s="1"/>
    </row>
    <row r="46" spans="3:20" x14ac:dyDescent="0.3">
      <c r="C46" s="5"/>
      <c r="D46" s="5"/>
      <c r="F46" s="5"/>
      <c r="H46" s="6"/>
      <c r="J46" s="5"/>
      <c r="K46"/>
      <c r="M46" s="5"/>
      <c r="P46" s="5"/>
      <c r="Q46" s="3"/>
      <c r="R46" s="3"/>
      <c r="S46" s="1"/>
      <c r="T46" s="1"/>
    </row>
    <row r="47" spans="3:20" x14ac:dyDescent="0.3">
      <c r="C47" s="5"/>
      <c r="D47" s="5"/>
      <c r="F47" s="5"/>
      <c r="H47" s="6"/>
      <c r="J47" s="5"/>
      <c r="K47"/>
      <c r="M47" s="5"/>
      <c r="P47" s="5"/>
      <c r="Q47" s="3"/>
      <c r="R47" s="3"/>
      <c r="S47" s="1"/>
      <c r="T47" s="1"/>
    </row>
    <row r="48" spans="3:20" x14ac:dyDescent="0.3">
      <c r="C48" s="5"/>
      <c r="D48" s="5"/>
      <c r="F48" s="5"/>
      <c r="H48" s="6"/>
      <c r="J48" s="5"/>
      <c r="K48"/>
      <c r="M48" s="5"/>
      <c r="P48" s="5"/>
      <c r="Q48" s="3"/>
      <c r="R48" s="3"/>
      <c r="S48" s="1"/>
      <c r="T48" s="1"/>
    </row>
    <row r="49" spans="3:20" x14ac:dyDescent="0.3">
      <c r="C49" s="5"/>
      <c r="D49" s="5"/>
      <c r="F49" s="5"/>
      <c r="H49" s="6"/>
      <c r="J49" s="5"/>
      <c r="K49"/>
      <c r="M49" s="5"/>
      <c r="P49" s="5"/>
      <c r="Q49" s="3"/>
      <c r="R49" s="3"/>
      <c r="S49" s="1"/>
      <c r="T49" s="1"/>
    </row>
    <row r="50" spans="3:20" x14ac:dyDescent="0.3">
      <c r="C50" s="5"/>
      <c r="D50" s="5"/>
      <c r="F50" s="5"/>
      <c r="H50" s="6"/>
      <c r="J50" s="5"/>
      <c r="K50"/>
      <c r="M50" s="5"/>
      <c r="P50" s="5"/>
      <c r="Q50" s="3"/>
      <c r="R50" s="3"/>
      <c r="S50" s="1"/>
      <c r="T50" s="1"/>
    </row>
    <row r="51" spans="3:20" x14ac:dyDescent="0.3">
      <c r="C51" s="5"/>
      <c r="D51" s="5"/>
      <c r="F51" s="5"/>
      <c r="H51" s="6"/>
      <c r="J51" s="5"/>
      <c r="K51"/>
      <c r="M51" s="5"/>
      <c r="P51" s="5"/>
      <c r="Q51" s="3"/>
      <c r="R51" s="3"/>
      <c r="S51" s="1"/>
      <c r="T51" s="1"/>
    </row>
    <row r="52" spans="3:20" x14ac:dyDescent="0.3">
      <c r="C52" s="5"/>
      <c r="D52" s="5"/>
      <c r="F52" s="5"/>
      <c r="H52" s="6"/>
      <c r="J52" s="5"/>
      <c r="K52"/>
      <c r="M52" s="5"/>
      <c r="P52" s="5"/>
      <c r="Q52" s="3"/>
      <c r="R52" s="3"/>
      <c r="S52" s="1"/>
      <c r="T52" s="1"/>
    </row>
    <row r="53" spans="3:20" x14ac:dyDescent="0.3">
      <c r="C53" s="5"/>
      <c r="D53" s="5"/>
      <c r="F53" s="5"/>
      <c r="H53" s="6"/>
      <c r="J53" s="5"/>
      <c r="K53"/>
      <c r="M53" s="5"/>
      <c r="P53" s="5"/>
      <c r="Q53" s="3"/>
      <c r="R53" s="3"/>
      <c r="S53" s="1"/>
      <c r="T53" s="1"/>
    </row>
    <row r="54" spans="3:20" x14ac:dyDescent="0.3">
      <c r="C54" s="5"/>
      <c r="D54" s="5"/>
      <c r="F54" s="5"/>
      <c r="H54" s="8"/>
      <c r="J54" s="5"/>
      <c r="K54"/>
      <c r="M54" s="5"/>
      <c r="P54" s="5"/>
      <c r="Q54" s="3"/>
      <c r="R54" s="3"/>
      <c r="S54" s="1"/>
      <c r="T54" s="1"/>
    </row>
    <row r="55" spans="3:20" x14ac:dyDescent="0.3">
      <c r="C55" s="5"/>
      <c r="D55" s="5"/>
      <c r="F55" s="5"/>
      <c r="H55" s="7"/>
      <c r="J55" s="5"/>
      <c r="K55"/>
      <c r="M55" s="5"/>
      <c r="P55" s="5"/>
      <c r="Q55" s="3"/>
      <c r="R55" s="3"/>
      <c r="S55" s="1"/>
      <c r="T55" s="1"/>
    </row>
    <row r="56" spans="3:20" x14ac:dyDescent="0.3">
      <c r="C56" s="5"/>
      <c r="D56" s="5"/>
      <c r="F56" s="5"/>
      <c r="H56" s="7"/>
      <c r="J56" s="5"/>
      <c r="K56"/>
      <c r="M56" s="5"/>
      <c r="P56" s="5"/>
      <c r="Q56" s="3"/>
      <c r="R56" s="3"/>
      <c r="S56" s="1"/>
      <c r="T56" s="1"/>
    </row>
    <row r="57" spans="3:20" x14ac:dyDescent="0.3">
      <c r="C57" s="5"/>
      <c r="D57" s="5"/>
      <c r="F57" s="5"/>
      <c r="H57" s="6"/>
      <c r="J57" s="5"/>
      <c r="K57"/>
      <c r="M57" s="5"/>
      <c r="P57" s="5"/>
      <c r="Q57" s="3"/>
      <c r="R57" s="3"/>
      <c r="S57" s="1"/>
      <c r="T57" s="1"/>
    </row>
    <row r="58" spans="3:20" x14ac:dyDescent="0.3">
      <c r="C58" s="5"/>
      <c r="D58" s="5"/>
      <c r="F58" s="5"/>
      <c r="H58" s="6"/>
      <c r="J58" s="5"/>
      <c r="K58"/>
      <c r="M58" s="5"/>
      <c r="P58" s="5"/>
      <c r="Q58" s="3"/>
      <c r="R58" s="3"/>
      <c r="S58" s="1"/>
      <c r="T58" s="1"/>
    </row>
    <row r="59" spans="3:20" x14ac:dyDescent="0.3">
      <c r="C59" s="5"/>
      <c r="D59" s="5"/>
      <c r="F59" s="5"/>
      <c r="H59" s="6"/>
      <c r="J59" s="5"/>
      <c r="K59"/>
      <c r="M59" s="5"/>
      <c r="P59" s="5"/>
      <c r="Q59" s="3"/>
      <c r="R59" s="3"/>
      <c r="S59" s="1"/>
      <c r="T59" s="1"/>
    </row>
    <row r="60" spans="3:20" x14ac:dyDescent="0.3">
      <c r="C60" s="5"/>
      <c r="D60" s="5"/>
      <c r="F60" s="5"/>
      <c r="H60" s="6"/>
      <c r="J60" s="5"/>
      <c r="K60"/>
      <c r="M60" s="5"/>
      <c r="P60" s="5"/>
      <c r="Q60" s="3"/>
      <c r="R60" s="3"/>
      <c r="S60" s="1"/>
      <c r="T60" s="1"/>
    </row>
    <row r="61" spans="3:20" x14ac:dyDescent="0.3">
      <c r="C61" s="5"/>
      <c r="D61" s="5"/>
      <c r="F61" s="5"/>
      <c r="H61" s="6"/>
      <c r="J61" s="5"/>
      <c r="K61"/>
      <c r="M61" s="5"/>
      <c r="P61" s="5"/>
      <c r="Q61" s="3"/>
      <c r="R61" s="3"/>
      <c r="S61" s="1"/>
      <c r="T61" s="1"/>
    </row>
    <row r="62" spans="3:20" x14ac:dyDescent="0.3">
      <c r="C62" s="5"/>
      <c r="D62" s="5"/>
      <c r="F62" s="5"/>
      <c r="H62" s="6"/>
      <c r="J62" s="5"/>
      <c r="K62"/>
      <c r="M62" s="5"/>
      <c r="P62" s="5"/>
      <c r="Q62" s="3"/>
      <c r="R62" s="3"/>
      <c r="S62" s="1"/>
      <c r="T62" s="1"/>
    </row>
    <row r="63" spans="3:20" x14ac:dyDescent="0.3">
      <c r="C63" s="5"/>
      <c r="D63" s="5"/>
      <c r="F63" s="5"/>
      <c r="H63" s="6"/>
      <c r="J63" s="5"/>
      <c r="K63"/>
      <c r="M63" s="5"/>
      <c r="P63" s="5"/>
      <c r="Q63" s="3"/>
      <c r="R63" s="3"/>
      <c r="S63" s="1"/>
      <c r="T63" s="1"/>
    </row>
    <row r="64" spans="3:20" x14ac:dyDescent="0.3">
      <c r="C64" s="5"/>
      <c r="D64" s="5"/>
      <c r="F64" s="5"/>
      <c r="H64" s="6"/>
      <c r="J64" s="5"/>
      <c r="K64"/>
      <c r="M64" s="5"/>
      <c r="P64" s="5"/>
      <c r="Q64" s="3"/>
      <c r="R64" s="3"/>
      <c r="S64" s="1"/>
      <c r="T64" s="1"/>
    </row>
    <row r="65" spans="3:20" x14ac:dyDescent="0.3">
      <c r="C65" s="5"/>
      <c r="D65" s="5"/>
      <c r="F65" s="5"/>
      <c r="H65" s="6"/>
      <c r="J65" s="5"/>
      <c r="K65"/>
      <c r="M65" s="5"/>
      <c r="P65" s="5"/>
      <c r="Q65" s="3"/>
      <c r="R65" s="3"/>
      <c r="S65" s="1"/>
      <c r="T65" s="1"/>
    </row>
    <row r="66" spans="3:20" x14ac:dyDescent="0.3">
      <c r="C66" s="5"/>
      <c r="D66" s="5"/>
      <c r="F66" s="5"/>
      <c r="H66" s="6"/>
      <c r="J66" s="5"/>
      <c r="K66"/>
      <c r="M66" s="5"/>
      <c r="P66" s="5"/>
      <c r="Q66" s="3"/>
      <c r="R66" s="3"/>
      <c r="S66" s="1"/>
      <c r="T66" s="1"/>
    </row>
    <row r="67" spans="3:20" x14ac:dyDescent="0.3">
      <c r="C67" s="5"/>
      <c r="D67" s="5"/>
      <c r="F67" s="5"/>
      <c r="H67" s="6"/>
      <c r="J67" s="5"/>
      <c r="K67"/>
      <c r="M67" s="5"/>
      <c r="P67" s="5"/>
      <c r="Q67" s="3"/>
      <c r="R67" s="3"/>
      <c r="S67" s="1"/>
      <c r="T67" s="1"/>
    </row>
    <row r="68" spans="3:20" x14ac:dyDescent="0.3">
      <c r="C68" s="5"/>
      <c r="D68" s="5"/>
      <c r="F68" s="5"/>
      <c r="H68" s="6"/>
      <c r="J68" s="5"/>
      <c r="K68"/>
      <c r="M68" s="5"/>
      <c r="P68" s="5"/>
      <c r="Q68" s="3"/>
      <c r="R68" s="3"/>
      <c r="S68" s="1"/>
      <c r="T68" s="1"/>
    </row>
    <row r="69" spans="3:20" x14ac:dyDescent="0.3">
      <c r="C69" s="5"/>
      <c r="D69" s="5"/>
      <c r="F69" s="5"/>
      <c r="H69" s="6"/>
      <c r="J69" s="5"/>
      <c r="K69"/>
      <c r="M69" s="5"/>
      <c r="P69" s="5"/>
      <c r="Q69" s="3"/>
      <c r="R69" s="3"/>
      <c r="S69" s="1"/>
      <c r="T69" s="1"/>
    </row>
    <row r="70" spans="3:20" x14ac:dyDescent="0.3">
      <c r="C70" s="5"/>
      <c r="D70" s="5"/>
      <c r="F70" s="5"/>
      <c r="H70" s="6"/>
      <c r="J70" s="5"/>
      <c r="K70"/>
      <c r="M70" s="5"/>
      <c r="P70" s="5"/>
      <c r="Q70" s="3"/>
      <c r="R70" s="3"/>
      <c r="S70" s="1"/>
      <c r="T70" s="1"/>
    </row>
    <row r="71" spans="3:20" x14ac:dyDescent="0.3">
      <c r="C71" s="5"/>
      <c r="D71" s="5"/>
      <c r="F71" s="5"/>
      <c r="H71" s="6"/>
      <c r="J71" s="5"/>
      <c r="K71"/>
      <c r="M71" s="5"/>
      <c r="P71" s="5"/>
      <c r="Q71" s="3"/>
      <c r="R71" s="3"/>
      <c r="S71" s="1"/>
      <c r="T71" s="1"/>
    </row>
    <row r="72" spans="3:20" x14ac:dyDescent="0.3">
      <c r="C72" s="5"/>
      <c r="D72" s="5"/>
      <c r="F72" s="5"/>
      <c r="H72" s="6"/>
      <c r="J72" s="5"/>
      <c r="K72"/>
      <c r="M72" s="5"/>
      <c r="P72" s="5"/>
      <c r="Q72" s="3"/>
      <c r="R72" s="3"/>
      <c r="S72" s="1"/>
      <c r="T72" s="1"/>
    </row>
    <row r="73" spans="3:20" x14ac:dyDescent="0.3">
      <c r="C73" s="5"/>
      <c r="D73" s="5"/>
      <c r="F73" s="5"/>
      <c r="H73" s="6"/>
      <c r="J73" s="5"/>
      <c r="K73"/>
      <c r="M73" s="5"/>
      <c r="P73" s="5"/>
      <c r="Q73" s="3"/>
      <c r="R73" s="3"/>
      <c r="S73" s="1"/>
      <c r="T73" s="1"/>
    </row>
    <row r="74" spans="3:20" x14ac:dyDescent="0.3">
      <c r="C74" s="5"/>
      <c r="D74" s="5"/>
      <c r="F74" s="5"/>
      <c r="H74" s="6"/>
      <c r="J74" s="5"/>
      <c r="K74"/>
      <c r="P74" s="5"/>
      <c r="Q74" s="3"/>
      <c r="R74" s="3"/>
      <c r="S74" s="1"/>
      <c r="T74" s="1"/>
    </row>
    <row r="75" spans="3:20" x14ac:dyDescent="0.3">
      <c r="C75" s="5"/>
      <c r="D75" s="5"/>
      <c r="F75" s="5"/>
      <c r="H75" s="6"/>
      <c r="J75" s="5"/>
      <c r="K75"/>
      <c r="N75" s="3"/>
      <c r="P75" s="5"/>
      <c r="Q75" s="3"/>
      <c r="R75" s="3"/>
      <c r="S75" s="1"/>
      <c r="T75" s="1"/>
    </row>
    <row r="76" spans="3:20" x14ac:dyDescent="0.3">
      <c r="C76" s="5"/>
      <c r="D76" s="5"/>
      <c r="F76" s="5"/>
      <c r="H76" s="6"/>
      <c r="J76" s="5"/>
      <c r="K76"/>
      <c r="P76" s="5"/>
      <c r="Q76" s="3"/>
      <c r="R76" s="3"/>
      <c r="S76" s="1"/>
      <c r="T76" s="1"/>
    </row>
    <row r="77" spans="3:20" x14ac:dyDescent="0.3">
      <c r="C77" s="5"/>
      <c r="D77" s="5"/>
      <c r="F77" s="5"/>
      <c r="H77" s="6"/>
      <c r="J77" s="5"/>
      <c r="K77"/>
      <c r="P77" s="5"/>
      <c r="Q77" s="3"/>
      <c r="R77" s="3"/>
      <c r="S77" s="1"/>
      <c r="T77" s="1"/>
    </row>
    <row r="78" spans="3:20" x14ac:dyDescent="0.3">
      <c r="C78" s="5"/>
      <c r="D78" s="5"/>
      <c r="F78" s="5"/>
      <c r="J78" s="5"/>
      <c r="K78"/>
      <c r="P78" s="5"/>
      <c r="Q78" s="3"/>
      <c r="R78" s="3"/>
      <c r="S78" s="1"/>
      <c r="T78" s="1"/>
    </row>
    <row r="79" spans="3:20" x14ac:dyDescent="0.3">
      <c r="C79" s="5"/>
      <c r="D79" s="5"/>
      <c r="F79" s="5"/>
      <c r="J79" s="5"/>
      <c r="K79"/>
      <c r="P79" s="5"/>
      <c r="Q79" s="3"/>
      <c r="R79" s="3"/>
      <c r="S79" s="1"/>
      <c r="T79" s="1"/>
    </row>
    <row r="80" spans="3:20" x14ac:dyDescent="0.3">
      <c r="C80" s="5"/>
      <c r="D80" s="5"/>
      <c r="F80" s="5"/>
      <c r="J80" s="5"/>
      <c r="K80"/>
      <c r="P80" s="5"/>
      <c r="Q80" s="3"/>
      <c r="R80" s="3"/>
      <c r="S80" s="1"/>
      <c r="T80" s="1"/>
    </row>
    <row r="81" spans="3:20" x14ac:dyDescent="0.3">
      <c r="C81" s="5"/>
      <c r="D81" s="5"/>
      <c r="F81" s="5"/>
      <c r="J81" s="5"/>
      <c r="K81"/>
      <c r="P81" s="5"/>
      <c r="Q81" s="3"/>
      <c r="R81" s="3"/>
      <c r="S81" s="1"/>
      <c r="T81" s="1"/>
    </row>
    <row r="82" spans="3:20" x14ac:dyDescent="0.3">
      <c r="C82" s="5"/>
      <c r="D82" s="5"/>
      <c r="F82" s="5"/>
      <c r="J82" s="5"/>
      <c r="K82"/>
      <c r="P82" s="5"/>
      <c r="Q82" s="3"/>
      <c r="R82" s="3"/>
      <c r="S82" s="1"/>
      <c r="T82" s="1"/>
    </row>
    <row r="83" spans="3:20" x14ac:dyDescent="0.3">
      <c r="C83" s="5"/>
      <c r="D83" s="5"/>
      <c r="F83" s="5"/>
      <c r="H83" s="6"/>
      <c r="I83" s="6"/>
      <c r="J83" s="5"/>
      <c r="K83"/>
      <c r="M83" s="6"/>
      <c r="N83" s="6"/>
      <c r="P83" s="5"/>
      <c r="Q83" s="3"/>
      <c r="R83" s="3"/>
      <c r="S83" s="1"/>
      <c r="T83" s="1"/>
    </row>
    <row r="84" spans="3:20" x14ac:dyDescent="0.3">
      <c r="C84" s="5"/>
      <c r="D84" s="5"/>
      <c r="F84" s="5"/>
      <c r="H84" s="6"/>
      <c r="I84" s="6"/>
      <c r="J84" s="5"/>
      <c r="K84"/>
      <c r="N84" s="6"/>
      <c r="P84" s="5"/>
      <c r="Q84" s="3"/>
      <c r="R84" s="3"/>
      <c r="S84" s="1"/>
      <c r="T84" s="1"/>
    </row>
    <row r="85" spans="3:20" x14ac:dyDescent="0.3">
      <c r="C85" s="5"/>
      <c r="D85" s="5"/>
      <c r="F85" s="5"/>
      <c r="H85" s="6"/>
      <c r="I85" s="6"/>
      <c r="J85" s="5"/>
      <c r="K85"/>
      <c r="N85" s="6"/>
      <c r="P85" s="5"/>
      <c r="Q85" s="3"/>
      <c r="R85" s="3"/>
      <c r="S85" s="1"/>
      <c r="T85" s="1"/>
    </row>
    <row r="86" spans="3:20" x14ac:dyDescent="0.3">
      <c r="C86" s="5"/>
      <c r="D86" s="5"/>
      <c r="F86" s="5"/>
      <c r="H86" s="6"/>
      <c r="I86" s="6"/>
      <c r="J86" s="5"/>
      <c r="K86"/>
      <c r="N86" s="6"/>
      <c r="P86" s="5"/>
      <c r="Q86" s="3"/>
      <c r="R86" s="3"/>
      <c r="S86" s="1"/>
      <c r="T86" s="1"/>
    </row>
    <row r="87" spans="3:20" x14ac:dyDescent="0.3">
      <c r="C87" s="5"/>
      <c r="D87" s="5"/>
      <c r="F87" s="5"/>
      <c r="H87" s="6"/>
      <c r="J87" s="5"/>
      <c r="K87"/>
      <c r="P87" s="5"/>
      <c r="Q87" s="3"/>
      <c r="R87" s="3"/>
      <c r="S87" s="1"/>
      <c r="T87" s="1"/>
    </row>
    <row r="88" spans="3:20" x14ac:dyDescent="0.3">
      <c r="C88" s="5"/>
      <c r="D88" s="5"/>
      <c r="F88" s="5"/>
      <c r="H88" s="6"/>
      <c r="J88" s="5"/>
      <c r="K88"/>
      <c r="P88" s="5"/>
      <c r="Q88" s="3"/>
      <c r="R88" s="3"/>
      <c r="S88" s="1"/>
      <c r="T88" s="1"/>
    </row>
    <row r="89" spans="3:20" x14ac:dyDescent="0.3">
      <c r="C89" s="5"/>
      <c r="D89" s="5"/>
      <c r="F89" s="5"/>
      <c r="H89" s="6"/>
      <c r="J89" s="5"/>
      <c r="K89"/>
      <c r="P89" s="5"/>
      <c r="Q89" s="3"/>
      <c r="R89" s="3"/>
      <c r="S89" s="1"/>
      <c r="T89" s="1"/>
    </row>
    <row r="90" spans="3:20" x14ac:dyDescent="0.3">
      <c r="C90" s="5"/>
      <c r="D90" s="5"/>
      <c r="F90" s="5"/>
      <c r="H90" s="6"/>
      <c r="J90" s="5"/>
      <c r="K90"/>
      <c r="P90" s="5"/>
      <c r="Q90" s="3"/>
      <c r="R90" s="3"/>
      <c r="S90" s="1"/>
      <c r="T90" s="1"/>
    </row>
    <row r="91" spans="3:20" x14ac:dyDescent="0.3">
      <c r="C91" s="5"/>
      <c r="D91" s="5"/>
      <c r="F91" s="5"/>
      <c r="H91" s="6"/>
      <c r="P91" s="5"/>
      <c r="Q91" s="3"/>
      <c r="R91" s="3"/>
      <c r="S91" s="1"/>
      <c r="T91" s="1"/>
    </row>
    <row r="92" spans="3:20" x14ac:dyDescent="0.3">
      <c r="C92" s="5"/>
      <c r="D92" s="5"/>
      <c r="F92" s="5"/>
      <c r="H92" s="6"/>
      <c r="P92" s="5"/>
      <c r="Q92" s="3"/>
      <c r="R92" s="3"/>
      <c r="S92" s="1"/>
      <c r="T92" s="1"/>
    </row>
    <row r="93" spans="3:20" x14ac:dyDescent="0.3">
      <c r="C93" s="5"/>
      <c r="D93" s="5"/>
      <c r="F93" s="5"/>
      <c r="H93" s="6"/>
      <c r="P93" s="5"/>
      <c r="Q93" s="3"/>
      <c r="R93" s="3"/>
      <c r="S93" s="1"/>
      <c r="T93" s="1"/>
    </row>
    <row r="94" spans="3:20" x14ac:dyDescent="0.3">
      <c r="C94" s="5"/>
      <c r="D94" s="5"/>
      <c r="F94" s="5"/>
      <c r="H94" s="6"/>
      <c r="P94" s="5"/>
      <c r="Q94" s="3"/>
      <c r="R94" s="3"/>
      <c r="S94" s="1"/>
      <c r="T94" s="1"/>
    </row>
    <row r="95" spans="3:20" x14ac:dyDescent="0.3">
      <c r="C95" s="5"/>
      <c r="D95" s="5"/>
      <c r="F95" s="5"/>
      <c r="P95" s="5"/>
      <c r="Q95" s="3"/>
      <c r="R95" s="3"/>
      <c r="S95" s="1"/>
      <c r="T95" s="1"/>
    </row>
    <row r="96" spans="3:20" x14ac:dyDescent="0.3">
      <c r="C96" s="5"/>
      <c r="D96" s="5"/>
      <c r="F96" s="5"/>
      <c r="P96" s="5"/>
      <c r="Q96" s="3"/>
      <c r="R96" s="3"/>
      <c r="S96" s="1"/>
      <c r="T96" s="1"/>
    </row>
    <row r="97" spans="3:20" x14ac:dyDescent="0.3">
      <c r="C97" s="5"/>
      <c r="D97" s="5"/>
      <c r="F97" s="5"/>
      <c r="P97" s="5"/>
      <c r="Q97" s="3"/>
      <c r="R97" s="3"/>
      <c r="S97" s="1"/>
      <c r="T97" s="1"/>
    </row>
    <row r="98" spans="3:20" x14ac:dyDescent="0.3">
      <c r="C98" s="5"/>
      <c r="D98" s="5"/>
      <c r="F98" s="5"/>
      <c r="P98" s="5"/>
      <c r="Q98" s="3"/>
      <c r="R98" s="3"/>
      <c r="S98" s="1"/>
      <c r="T98" s="1"/>
    </row>
    <row r="99" spans="3:20" x14ac:dyDescent="0.3">
      <c r="C99" s="5"/>
      <c r="D99" s="5"/>
      <c r="F99" s="5"/>
      <c r="P99" s="5"/>
      <c r="Q99" s="3"/>
      <c r="R99" s="3"/>
      <c r="S99" s="1"/>
      <c r="T99" s="1"/>
    </row>
    <row r="100" spans="3:20" x14ac:dyDescent="0.3">
      <c r="C100" s="5"/>
      <c r="D100" s="5"/>
      <c r="F100" s="5"/>
      <c r="P100" s="5"/>
      <c r="Q100" s="3"/>
      <c r="R100" s="3"/>
      <c r="S100" s="1"/>
      <c r="T100" s="1"/>
    </row>
    <row r="101" spans="3:20" x14ac:dyDescent="0.3">
      <c r="D101" s="5"/>
      <c r="F101" s="5"/>
      <c r="P101" s="5"/>
      <c r="Q101" s="3"/>
      <c r="R101" s="3"/>
      <c r="S101" s="1"/>
      <c r="T101" s="1"/>
    </row>
    <row r="102" spans="3:20" x14ac:dyDescent="0.3">
      <c r="C102" s="5"/>
      <c r="D102" s="5"/>
      <c r="F102" s="5"/>
      <c r="P102" s="5"/>
      <c r="Q102" s="3"/>
      <c r="R102" s="3"/>
      <c r="S102" s="1"/>
      <c r="T102" s="1"/>
    </row>
    <row r="103" spans="3:20" x14ac:dyDescent="0.3">
      <c r="D103" s="5"/>
      <c r="F103" s="5"/>
      <c r="P103" s="5"/>
      <c r="Q103" s="3"/>
      <c r="R103" s="3"/>
      <c r="S103" s="1"/>
      <c r="T103" s="1"/>
    </row>
    <row r="104" spans="3:20" x14ac:dyDescent="0.3">
      <c r="C104" s="5"/>
      <c r="D104" s="5"/>
      <c r="F104" s="5"/>
      <c r="P104" s="5"/>
      <c r="Q104" s="3"/>
      <c r="R104" s="3"/>
      <c r="S104" s="1"/>
      <c r="T104" s="1"/>
    </row>
    <row r="105" spans="3:20" x14ac:dyDescent="0.3">
      <c r="C105" s="5"/>
      <c r="D105" s="5"/>
      <c r="F105" s="5"/>
      <c r="P105" s="5"/>
      <c r="Q105" s="3"/>
      <c r="R105" s="3"/>
      <c r="S105" s="1"/>
      <c r="T105" s="1"/>
    </row>
    <row r="106" spans="3:20" x14ac:dyDescent="0.3">
      <c r="C106" s="5"/>
      <c r="D106" s="5"/>
      <c r="F106" s="5"/>
      <c r="P106" s="5"/>
      <c r="Q106" s="3"/>
      <c r="R106" s="3"/>
      <c r="S106" s="1"/>
      <c r="T106" s="1"/>
    </row>
    <row r="107" spans="3:20" x14ac:dyDescent="0.3">
      <c r="C107" s="5"/>
      <c r="D107" s="5"/>
      <c r="F107" s="5"/>
      <c r="P107" s="5"/>
      <c r="Q107" s="3"/>
      <c r="R107" s="3"/>
      <c r="S107" s="1"/>
      <c r="T107" s="1"/>
    </row>
    <row r="108" spans="3:20" x14ac:dyDescent="0.3">
      <c r="C108" s="5"/>
      <c r="D108" s="5"/>
      <c r="F108" s="5"/>
      <c r="P108" s="5"/>
      <c r="Q108" s="3"/>
      <c r="R108" s="3"/>
      <c r="S108" s="1"/>
      <c r="T108" s="1"/>
    </row>
    <row r="109" spans="3:20" x14ac:dyDescent="0.3">
      <c r="D109" s="5"/>
      <c r="F109" s="5"/>
      <c r="P109" s="5"/>
      <c r="Q109" s="3"/>
      <c r="R109" s="3"/>
      <c r="S109" s="1"/>
      <c r="T109" s="1"/>
    </row>
    <row r="110" spans="3:20" x14ac:dyDescent="0.3">
      <c r="C110" s="5"/>
      <c r="D110" s="5"/>
      <c r="F110" s="5"/>
      <c r="P110" s="5"/>
      <c r="Q110" s="3"/>
      <c r="R110" s="3"/>
      <c r="S110" s="1"/>
      <c r="T110" s="1"/>
    </row>
    <row r="111" spans="3:20" x14ac:dyDescent="0.3">
      <c r="C111" s="5"/>
      <c r="D111" s="5"/>
      <c r="F111" s="5"/>
      <c r="P111" s="5"/>
      <c r="Q111" s="3"/>
      <c r="R111" s="3"/>
      <c r="S111" s="1"/>
      <c r="T111" s="1"/>
    </row>
    <row r="112" spans="3:20" x14ac:dyDescent="0.3">
      <c r="C112" s="5"/>
      <c r="D112" s="5"/>
      <c r="F112" s="5"/>
      <c r="P112" s="5"/>
      <c r="Q112" s="3"/>
      <c r="R112" s="3"/>
      <c r="S112" s="1"/>
      <c r="T112" s="1"/>
    </row>
    <row r="113" spans="3:20" x14ac:dyDescent="0.3">
      <c r="D113" s="5"/>
      <c r="F113" s="5"/>
      <c r="P113" s="5"/>
      <c r="Q113" s="3"/>
      <c r="R113" s="3"/>
      <c r="S113" s="1"/>
      <c r="T113" s="1"/>
    </row>
    <row r="114" spans="3:20" x14ac:dyDescent="0.3">
      <c r="D114" s="5"/>
      <c r="F114" s="5"/>
      <c r="P114" s="5"/>
      <c r="Q114" s="3"/>
      <c r="R114" s="3"/>
      <c r="S114" s="1"/>
      <c r="T114" s="1"/>
    </row>
    <row r="115" spans="3:20" x14ac:dyDescent="0.3">
      <c r="C115" s="5"/>
      <c r="D115" s="5"/>
      <c r="F115" s="5"/>
      <c r="P115" s="5"/>
      <c r="Q115" s="3"/>
      <c r="R115" s="3"/>
      <c r="S115" s="1"/>
      <c r="T115" s="1"/>
    </row>
    <row r="116" spans="3:20" x14ac:dyDescent="0.3">
      <c r="C116" s="5"/>
      <c r="D116" s="5"/>
      <c r="F116" s="5"/>
      <c r="P116" s="5"/>
      <c r="Q116" s="3"/>
      <c r="R116" s="3"/>
      <c r="S116" s="1"/>
      <c r="T116" s="1"/>
    </row>
    <row r="117" spans="3:20" x14ac:dyDescent="0.3">
      <c r="C117" s="5"/>
      <c r="D117" s="5"/>
      <c r="F117" s="5"/>
      <c r="P117" s="5"/>
      <c r="Q117" s="3"/>
      <c r="R117" s="3"/>
      <c r="S117" s="1"/>
      <c r="T117" s="1"/>
    </row>
    <row r="118" spans="3:20" x14ac:dyDescent="0.3">
      <c r="C118" s="5"/>
      <c r="D118" s="5"/>
      <c r="F118" s="5"/>
      <c r="P118" s="5"/>
      <c r="Q118" s="3"/>
      <c r="R118" s="3"/>
      <c r="S118" s="1"/>
      <c r="T118" s="1"/>
    </row>
    <row r="119" spans="3:20" x14ac:dyDescent="0.3">
      <c r="C119" s="5"/>
      <c r="D119" s="5"/>
      <c r="F119" s="5"/>
      <c r="P119" s="5"/>
      <c r="Q119" s="3"/>
      <c r="R119" s="3"/>
      <c r="S119" s="1"/>
      <c r="T119" s="1"/>
    </row>
    <row r="120" spans="3:20" x14ac:dyDescent="0.3">
      <c r="D120" s="5"/>
      <c r="F120" s="5"/>
      <c r="P120" s="5"/>
      <c r="Q120" s="3"/>
      <c r="R120" s="3"/>
      <c r="S120" s="1"/>
      <c r="T120" s="1"/>
    </row>
    <row r="121" spans="3:20" x14ac:dyDescent="0.3">
      <c r="D121" s="5"/>
      <c r="F121" s="5"/>
      <c r="P121" s="5"/>
      <c r="Q121" s="3"/>
      <c r="R121" s="3"/>
      <c r="S121" s="1"/>
      <c r="T121" s="1"/>
    </row>
    <row r="122" spans="3:20" x14ac:dyDescent="0.3">
      <c r="D122" s="5"/>
      <c r="F122" s="5"/>
      <c r="P122" s="5"/>
      <c r="Q122" s="3"/>
      <c r="R122" s="3"/>
      <c r="S122" s="1"/>
      <c r="T122" s="1"/>
    </row>
    <row r="123" spans="3:20" x14ac:dyDescent="0.3">
      <c r="D123" s="5"/>
      <c r="F123" s="6"/>
      <c r="P123" s="5"/>
      <c r="Q123" s="3"/>
      <c r="R123" s="3"/>
      <c r="S123" s="1"/>
      <c r="T123" s="1"/>
    </row>
    <row r="124" spans="3:20" x14ac:dyDescent="0.3">
      <c r="P124" s="5"/>
      <c r="Q124" s="3"/>
      <c r="R124" s="3"/>
      <c r="S124" s="1"/>
      <c r="T124" s="1"/>
    </row>
    <row r="125" spans="3:20" x14ac:dyDescent="0.3">
      <c r="P125" s="5"/>
      <c r="Q125" s="3"/>
      <c r="R125" s="3"/>
      <c r="S125" s="1"/>
      <c r="T125" s="1"/>
    </row>
    <row r="126" spans="3:20" x14ac:dyDescent="0.3">
      <c r="D126" s="5"/>
      <c r="P126" s="5"/>
      <c r="Q126" s="3"/>
      <c r="R126" s="3"/>
      <c r="S126" s="1"/>
      <c r="T126" s="1"/>
    </row>
    <row r="127" spans="3:20" x14ac:dyDescent="0.3">
      <c r="D127" s="5"/>
      <c r="P127" s="5"/>
      <c r="Q127" s="3"/>
      <c r="R127" s="3"/>
      <c r="S127" s="1"/>
      <c r="T127" s="1"/>
    </row>
    <row r="128" spans="3:20" x14ac:dyDescent="0.3">
      <c r="D128" s="5"/>
      <c r="P128" s="5"/>
      <c r="Q128" s="3"/>
      <c r="R128" s="3"/>
      <c r="S128" s="1"/>
      <c r="T128" s="1"/>
    </row>
    <row r="129" spans="4:20" x14ac:dyDescent="0.3">
      <c r="D129" s="5"/>
      <c r="P129" s="5"/>
      <c r="Q129" s="3"/>
      <c r="R129" s="3"/>
      <c r="S129" s="1"/>
      <c r="T129" s="1"/>
    </row>
    <row r="130" spans="4:20" x14ac:dyDescent="0.3">
      <c r="D130" s="5"/>
      <c r="P130" s="5"/>
      <c r="Q130" s="3"/>
      <c r="R130" s="3"/>
      <c r="S130" s="1"/>
      <c r="T130" s="1"/>
    </row>
    <row r="131" spans="4:20" x14ac:dyDescent="0.3">
      <c r="D131" s="5"/>
      <c r="P131" s="5"/>
      <c r="Q131" s="3"/>
      <c r="R131" s="3"/>
      <c r="S131" s="1"/>
      <c r="T131" s="1"/>
    </row>
    <row r="132" spans="4:20" x14ac:dyDescent="0.3">
      <c r="P132" s="5"/>
      <c r="Q132" s="3"/>
      <c r="R132" s="3"/>
      <c r="S132" s="1"/>
      <c r="T132" s="1"/>
    </row>
    <row r="133" spans="4:20" x14ac:dyDescent="0.3">
      <c r="D133" s="5"/>
      <c r="P133" s="5"/>
      <c r="Q133" s="3"/>
      <c r="R133" s="3"/>
      <c r="S133" s="1"/>
      <c r="T133" s="1"/>
    </row>
    <row r="134" spans="4:20" x14ac:dyDescent="0.3">
      <c r="D134" s="5"/>
      <c r="Q134" s="3"/>
    </row>
    <row r="135" spans="4:20" x14ac:dyDescent="0.3">
      <c r="D135" s="5"/>
      <c r="P135" s="5"/>
      <c r="Q135" s="1"/>
      <c r="R135" s="1"/>
      <c r="S135" s="1"/>
    </row>
    <row r="136" spans="4:20" x14ac:dyDescent="0.3">
      <c r="D136" s="5"/>
    </row>
    <row r="137" spans="4:20" x14ac:dyDescent="0.3">
      <c r="D137" s="5"/>
    </row>
    <row r="139" spans="4:20" x14ac:dyDescent="0.3">
      <c r="D139" s="5"/>
    </row>
    <row r="140" spans="4:20" x14ac:dyDescent="0.3">
      <c r="D140" s="5"/>
    </row>
    <row r="141" spans="4:20" x14ac:dyDescent="0.3">
      <c r="D141" s="5"/>
    </row>
    <row r="143" spans="4:20" x14ac:dyDescent="0.3">
      <c r="D143" s="5"/>
    </row>
    <row r="144" spans="4:20" x14ac:dyDescent="0.3">
      <c r="D144" s="5"/>
    </row>
    <row r="145" spans="4:4" x14ac:dyDescent="0.3">
      <c r="D145" s="5"/>
    </row>
    <row r="146" spans="4:4" x14ac:dyDescent="0.3">
      <c r="D146" s="5"/>
    </row>
    <row r="147" spans="4:4" x14ac:dyDescent="0.3">
      <c r="D147" s="5"/>
    </row>
    <row r="271" spans="6:7" x14ac:dyDescent="0.3">
      <c r="F271" s="6"/>
      <c r="G271" s="6"/>
    </row>
    <row r="272" spans="6:7" x14ac:dyDescent="0.3">
      <c r="F272" s="6"/>
      <c r="G272" s="6"/>
    </row>
    <row r="273" spans="6:7" x14ac:dyDescent="0.3">
      <c r="F273" s="6"/>
      <c r="G273" s="6"/>
    </row>
    <row r="274" spans="6:7" x14ac:dyDescent="0.3">
      <c r="F274" s="6"/>
      <c r="G274" s="6"/>
    </row>
    <row r="275" spans="6:7" x14ac:dyDescent="0.3">
      <c r="F275" s="6"/>
      <c r="G275" s="6"/>
    </row>
    <row r="276" spans="6:7" x14ac:dyDescent="0.3">
      <c r="F276" s="6"/>
      <c r="G276" s="6"/>
    </row>
    <row r="277" spans="6:7" x14ac:dyDescent="0.3">
      <c r="F277" s="6"/>
      <c r="G277" s="6"/>
    </row>
    <row r="278" spans="6:7" x14ac:dyDescent="0.3">
      <c r="F278" s="6"/>
      <c r="G278" s="6"/>
    </row>
    <row r="279" spans="6:7" x14ac:dyDescent="0.3">
      <c r="F279" s="6"/>
      <c r="G279" s="6"/>
    </row>
    <row r="280" spans="6:7" x14ac:dyDescent="0.3">
      <c r="F280" s="6"/>
      <c r="G280" s="6"/>
    </row>
    <row r="281" spans="6:7" x14ac:dyDescent="0.3">
      <c r="F281" s="6"/>
      <c r="G281" s="6"/>
    </row>
    <row r="282" spans="6:7" x14ac:dyDescent="0.3">
      <c r="F282" s="6"/>
      <c r="G282" s="6"/>
    </row>
    <row r="283" spans="6:7" x14ac:dyDescent="0.3">
      <c r="F283" s="6"/>
      <c r="G283" s="6"/>
    </row>
    <row r="284" spans="6:7" x14ac:dyDescent="0.3">
      <c r="F284" s="6"/>
      <c r="G284" s="6"/>
    </row>
    <row r="285" spans="6:7" x14ac:dyDescent="0.3">
      <c r="F285" s="6"/>
      <c r="G285" s="6"/>
    </row>
    <row r="286" spans="6:7" x14ac:dyDescent="0.3">
      <c r="F286" s="6"/>
      <c r="G286" s="6"/>
    </row>
    <row r="287" spans="6:7" x14ac:dyDescent="0.3">
      <c r="F287" s="6"/>
      <c r="G287" s="6"/>
    </row>
    <row r="288" spans="6:7" x14ac:dyDescent="0.3">
      <c r="F288" s="6"/>
      <c r="G288" s="6"/>
    </row>
    <row r="289" spans="6:7" x14ac:dyDescent="0.3">
      <c r="F289" s="6"/>
      <c r="G289" s="6"/>
    </row>
    <row r="290" spans="6:7" x14ac:dyDescent="0.3">
      <c r="F290" s="6"/>
      <c r="G290" s="6"/>
    </row>
    <row r="291" spans="6:7" x14ac:dyDescent="0.3">
      <c r="F291" s="6"/>
      <c r="G291" s="6"/>
    </row>
    <row r="292" spans="6:7" x14ac:dyDescent="0.3">
      <c r="F292" s="6"/>
      <c r="G292" s="6"/>
    </row>
    <row r="293" spans="6:7" x14ac:dyDescent="0.3">
      <c r="F293" s="6"/>
      <c r="G293" s="6"/>
    </row>
    <row r="294" spans="6:7" x14ac:dyDescent="0.3">
      <c r="F294" s="6"/>
      <c r="G294" s="6"/>
    </row>
    <row r="295" spans="6:7" x14ac:dyDescent="0.3">
      <c r="F295" s="6"/>
      <c r="G295" s="6"/>
    </row>
    <row r="296" spans="6:7" x14ac:dyDescent="0.3">
      <c r="F296" s="6"/>
      <c r="G296" s="6"/>
    </row>
    <row r="297" spans="6:7" x14ac:dyDescent="0.3">
      <c r="F297" s="6"/>
      <c r="G297" s="6"/>
    </row>
    <row r="298" spans="6:7" x14ac:dyDescent="0.3">
      <c r="F298" s="6"/>
      <c r="G298" s="6"/>
    </row>
    <row r="299" spans="6:7" x14ac:dyDescent="0.3">
      <c r="F299" s="6"/>
      <c r="G299" s="6"/>
    </row>
    <row r="300" spans="6:7" x14ac:dyDescent="0.3">
      <c r="F300" s="6"/>
      <c r="G300" s="6"/>
    </row>
    <row r="301" spans="6:7" x14ac:dyDescent="0.3">
      <c r="F301" s="6"/>
      <c r="G301" s="6"/>
    </row>
    <row r="302" spans="6:7" x14ac:dyDescent="0.3">
      <c r="F302" s="6"/>
    </row>
    <row r="303" spans="6:7" x14ac:dyDescent="0.3">
      <c r="F303" s="6"/>
    </row>
    <row r="304" spans="6:7" x14ac:dyDescent="0.3">
      <c r="F304" s="6"/>
    </row>
    <row r="305" spans="6:6" x14ac:dyDescent="0.3">
      <c r="F305" s="6"/>
    </row>
    <row r="306" spans="6:6" x14ac:dyDescent="0.3">
      <c r="F306" s="6"/>
    </row>
    <row r="307" spans="6:6" x14ac:dyDescent="0.3">
      <c r="F307" s="6"/>
    </row>
    <row r="308" spans="6:6" x14ac:dyDescent="0.3">
      <c r="F308" s="6"/>
    </row>
    <row r="309" spans="6:6" x14ac:dyDescent="0.3">
      <c r="F309" s="6"/>
    </row>
    <row r="310" spans="6:6" x14ac:dyDescent="0.3">
      <c r="F310" s="6"/>
    </row>
    <row r="311" spans="6:6" x14ac:dyDescent="0.3">
      <c r="F311" s="6"/>
    </row>
    <row r="312" spans="6:6" x14ac:dyDescent="0.3">
      <c r="F312" s="6"/>
    </row>
    <row r="313" spans="6:6" x14ac:dyDescent="0.3">
      <c r="F313" s="6"/>
    </row>
    <row r="314" spans="6:6" x14ac:dyDescent="0.3">
      <c r="F314" s="6"/>
    </row>
    <row r="315" spans="6:6" x14ac:dyDescent="0.3">
      <c r="F315" s="6"/>
    </row>
    <row r="316" spans="6:6" x14ac:dyDescent="0.3">
      <c r="F316" s="6"/>
    </row>
    <row r="317" spans="6:6" x14ac:dyDescent="0.3">
      <c r="F317" s="6"/>
    </row>
    <row r="318" spans="6:6" x14ac:dyDescent="0.3">
      <c r="F318" s="6"/>
    </row>
    <row r="319" spans="6:6" x14ac:dyDescent="0.3">
      <c r="F319" s="6"/>
    </row>
    <row r="320" spans="6:6" x14ac:dyDescent="0.3">
      <c r="F320" s="6"/>
    </row>
    <row r="321" spans="5:6" x14ac:dyDescent="0.3">
      <c r="F321" s="6"/>
    </row>
    <row r="322" spans="5:6" x14ac:dyDescent="0.3">
      <c r="F322" s="6"/>
    </row>
    <row r="323" spans="5:6" x14ac:dyDescent="0.3">
      <c r="E323" s="6"/>
      <c r="F323" s="6"/>
    </row>
    <row r="324" spans="5:6" x14ac:dyDescent="0.3">
      <c r="E324" s="6"/>
      <c r="F324" s="6"/>
    </row>
    <row r="325" spans="5:6" x14ac:dyDescent="0.3">
      <c r="E325" s="6"/>
      <c r="F325" s="6"/>
    </row>
    <row r="326" spans="5:6" x14ac:dyDescent="0.3">
      <c r="E326" s="6"/>
      <c r="F326" s="6"/>
    </row>
    <row r="327" spans="5:6" x14ac:dyDescent="0.3">
      <c r="E327" s="6"/>
      <c r="F327" s="6"/>
    </row>
    <row r="328" spans="5:6" x14ac:dyDescent="0.3">
      <c r="E328" s="6"/>
      <c r="F328" s="6"/>
    </row>
    <row r="329" spans="5:6" x14ac:dyDescent="0.3">
      <c r="E329" s="6"/>
      <c r="F329" s="6"/>
    </row>
    <row r="330" spans="5:6" x14ac:dyDescent="0.3">
      <c r="E330" s="6"/>
      <c r="F330" s="6"/>
    </row>
    <row r="331" spans="5:6" x14ac:dyDescent="0.3">
      <c r="E331" s="6"/>
      <c r="F331" s="6"/>
    </row>
    <row r="332" spans="5:6" x14ac:dyDescent="0.3">
      <c r="E332" s="6"/>
      <c r="F332" s="6"/>
    </row>
    <row r="333" spans="5:6" x14ac:dyDescent="0.3">
      <c r="E333" s="6"/>
      <c r="F333" s="6"/>
    </row>
    <row r="334" spans="5:6" x14ac:dyDescent="0.3">
      <c r="E334" s="6"/>
      <c r="F334" s="6"/>
    </row>
    <row r="335" spans="5:6" x14ac:dyDescent="0.3">
      <c r="E335" s="6"/>
      <c r="F335" s="6"/>
    </row>
    <row r="336" spans="5:6" x14ac:dyDescent="0.3">
      <c r="E336" s="6"/>
      <c r="F336" s="6"/>
    </row>
    <row r="337" spans="5:6" x14ac:dyDescent="0.3">
      <c r="E337" s="6"/>
      <c r="F337" s="6"/>
    </row>
    <row r="338" spans="5:6" x14ac:dyDescent="0.3">
      <c r="E338" s="6"/>
      <c r="F338" s="6"/>
    </row>
    <row r="339" spans="5:6" x14ac:dyDescent="0.3">
      <c r="E339" s="6"/>
      <c r="F339" s="6"/>
    </row>
    <row r="340" spans="5:6" x14ac:dyDescent="0.3">
      <c r="E340" s="6"/>
      <c r="F340" s="6"/>
    </row>
    <row r="341" spans="5:6" x14ac:dyDescent="0.3">
      <c r="E341" s="6"/>
      <c r="F341" s="6"/>
    </row>
    <row r="342" spans="5:6" x14ac:dyDescent="0.3">
      <c r="E342" s="6"/>
      <c r="F342" s="6"/>
    </row>
    <row r="343" spans="5:6" x14ac:dyDescent="0.3">
      <c r="E343" s="6"/>
      <c r="F343" s="6"/>
    </row>
    <row r="344" spans="5:6" x14ac:dyDescent="0.3">
      <c r="E344" s="6"/>
      <c r="F344" s="6"/>
    </row>
    <row r="345" spans="5:6" x14ac:dyDescent="0.3">
      <c r="E345" s="6"/>
      <c r="F345" s="6"/>
    </row>
    <row r="346" spans="5:6" x14ac:dyDescent="0.3">
      <c r="E346" s="6"/>
      <c r="F346" s="6"/>
    </row>
    <row r="347" spans="5:6" x14ac:dyDescent="0.3">
      <c r="E347" s="6"/>
      <c r="F347" s="6"/>
    </row>
    <row r="348" spans="5:6" x14ac:dyDescent="0.3">
      <c r="E348" s="6"/>
      <c r="F348" s="6"/>
    </row>
    <row r="349" spans="5:6" x14ac:dyDescent="0.3">
      <c r="E349" s="6"/>
      <c r="F349" s="6"/>
    </row>
    <row r="350" spans="5:6" x14ac:dyDescent="0.3">
      <c r="E350" s="6"/>
      <c r="F350" s="6"/>
    </row>
    <row r="351" spans="5:6" x14ac:dyDescent="0.3">
      <c r="E351" s="6"/>
      <c r="F351" s="6"/>
    </row>
    <row r="352" spans="5:6" x14ac:dyDescent="0.3">
      <c r="E352" s="6"/>
      <c r="F352" s="6"/>
    </row>
    <row r="353" spans="5:6" x14ac:dyDescent="0.3">
      <c r="E353" s="6"/>
      <c r="F353" s="6"/>
    </row>
    <row r="354" spans="5:6" x14ac:dyDescent="0.3">
      <c r="E354" s="6"/>
      <c r="F354" s="6"/>
    </row>
    <row r="355" spans="5:6" x14ac:dyDescent="0.3">
      <c r="E355" s="6"/>
    </row>
    <row r="356" spans="5:6" x14ac:dyDescent="0.3">
      <c r="E356" s="6"/>
    </row>
    <row r="357" spans="5:6" x14ac:dyDescent="0.3">
      <c r="E357" s="6"/>
    </row>
    <row r="358" spans="5:6" x14ac:dyDescent="0.3">
      <c r="E358" s="6"/>
    </row>
    <row r="359" spans="5:6" x14ac:dyDescent="0.3">
      <c r="E359" s="6"/>
    </row>
    <row r="360" spans="5:6" x14ac:dyDescent="0.3">
      <c r="E360" s="6"/>
    </row>
    <row r="361" spans="5:6" x14ac:dyDescent="0.3">
      <c r="E361" s="6"/>
    </row>
    <row r="362" spans="5:6" x14ac:dyDescent="0.3">
      <c r="E362" s="6"/>
    </row>
    <row r="363" spans="5:6" x14ac:dyDescent="0.3">
      <c r="E363" s="6"/>
    </row>
    <row r="364" spans="5:6" x14ac:dyDescent="0.3">
      <c r="E364" s="6"/>
    </row>
    <row r="365" spans="5:6" x14ac:dyDescent="0.3">
      <c r="E365" s="6"/>
    </row>
    <row r="366" spans="5:6" x14ac:dyDescent="0.3">
      <c r="E366" s="6"/>
    </row>
    <row r="367" spans="5:6" x14ac:dyDescent="0.3">
      <c r="E367" s="6"/>
    </row>
    <row r="368" spans="5:6" x14ac:dyDescent="0.3">
      <c r="E368" s="6"/>
    </row>
    <row r="369" spans="5:5" x14ac:dyDescent="0.3">
      <c r="E369" s="6"/>
    </row>
    <row r="370" spans="5:5" x14ac:dyDescent="0.3">
      <c r="E370" s="6"/>
    </row>
    <row r="371" spans="5:5" x14ac:dyDescent="0.3">
      <c r="E371" s="6"/>
    </row>
    <row r="372" spans="5:5" x14ac:dyDescent="0.3">
      <c r="E372" s="6"/>
    </row>
    <row r="373" spans="5:5" x14ac:dyDescent="0.3">
      <c r="E373" s="6"/>
    </row>
    <row r="374" spans="5:5" x14ac:dyDescent="0.3">
      <c r="E374" s="6"/>
    </row>
    <row r="375" spans="5:5" x14ac:dyDescent="0.3">
      <c r="E375" s="6"/>
    </row>
    <row r="376" spans="5:5" x14ac:dyDescent="0.3">
      <c r="E376" s="6"/>
    </row>
    <row r="377" spans="5:5" x14ac:dyDescent="0.3">
      <c r="E377" s="6"/>
    </row>
    <row r="378" spans="5:5" x14ac:dyDescent="0.3">
      <c r="E378" s="6"/>
    </row>
    <row r="379" spans="5:5" x14ac:dyDescent="0.3">
      <c r="E379" s="6"/>
    </row>
    <row r="380" spans="5:5" x14ac:dyDescent="0.3">
      <c r="E380" s="6"/>
    </row>
    <row r="381" spans="5:5" x14ac:dyDescent="0.3">
      <c r="E381" s="6"/>
    </row>
    <row r="382" spans="5:5" x14ac:dyDescent="0.3">
      <c r="E382" s="6"/>
    </row>
    <row r="383" spans="5:5" x14ac:dyDescent="0.3">
      <c r="E383" s="6"/>
    </row>
  </sheetData>
  <conditionalFormatting sqref="C104:C108 C110:C112 C115:C119 C102 C11:C100">
    <cfRule type="duplicateValues" dxfId="3" priority="10"/>
  </conditionalFormatting>
  <conditionalFormatting sqref="D17:D119">
    <cfRule type="duplicateValues" dxfId="2" priority="1"/>
  </conditionalFormatting>
  <conditionalFormatting sqref="D126:D131 D133:D137 D139:D141 D143:D147 D17:D123">
    <cfRule type="duplicateValues" dxfId="1" priority="11"/>
  </conditionalFormatting>
  <conditionalFormatting sqref="H37:H53 H57:H77">
    <cfRule type="duplicateValues" dxfId="0" priority="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Data Sheet</vt:lpstr>
      <vt:lpstr>Pivot Table (Plan Averages)</vt:lpstr>
      <vt:lpstr>Industries</vt:lpstr>
      <vt:lpstr>Pivot Table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 Chess (BQXC)</dc:creator>
  <cp:lastModifiedBy>Brennan Chess (BQXC)</cp:lastModifiedBy>
  <dcterms:created xsi:type="dcterms:W3CDTF">2024-05-06T21:17:50Z</dcterms:created>
  <dcterms:modified xsi:type="dcterms:W3CDTF">2024-11-06T22:29:25Z</dcterms:modified>
</cp:coreProperties>
</file>