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enzo\OneDrive\Escritorio\Tareas ciclo5\Herramientas\"/>
    </mc:Choice>
  </mc:AlternateContent>
  <xr:revisionPtr revIDLastSave="0" documentId="8_{C27BB23F-2E54-4406-B052-4BA6310BCC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. Nº 01" sheetId="1" r:id="rId1"/>
    <sheet name="Ejer. Nº 02" sheetId="2" r:id="rId2"/>
    <sheet name="Ejer. Nº 0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1njgelp1V7Z3OhlEnw4Sob2h9w=="/>
    </ext>
  </extLst>
</workbook>
</file>

<file path=xl/calcChain.xml><?xml version="1.0" encoding="utf-8"?>
<calcChain xmlns="http://schemas.openxmlformats.org/spreadsheetml/2006/main">
  <c r="I29" i="3" l="1"/>
  <c r="I28" i="3"/>
  <c r="I27" i="3"/>
  <c r="I26" i="3"/>
  <c r="I25" i="3"/>
  <c r="I23" i="3"/>
  <c r="I22" i="3"/>
  <c r="I21" i="3"/>
  <c r="I20" i="3"/>
  <c r="D24" i="3"/>
  <c r="D23" i="3"/>
  <c r="D22" i="3"/>
  <c r="D21" i="3"/>
  <c r="D20" i="3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K17" i="1"/>
  <c r="J17" i="1"/>
  <c r="I17" i="1"/>
  <c r="K9" i="1"/>
  <c r="K10" i="1"/>
  <c r="K11" i="1"/>
  <c r="K12" i="1"/>
  <c r="K13" i="1"/>
  <c r="K14" i="1"/>
  <c r="K15" i="1"/>
  <c r="J9" i="1"/>
  <c r="J10" i="1"/>
  <c r="J11" i="1"/>
  <c r="J12" i="1"/>
  <c r="J13" i="1"/>
  <c r="J14" i="1"/>
  <c r="J15" i="1"/>
  <c r="I9" i="1"/>
  <c r="I10" i="1"/>
  <c r="I11" i="1"/>
  <c r="I12" i="1"/>
  <c r="I13" i="1"/>
  <c r="I14" i="1"/>
  <c r="I15" i="1"/>
  <c r="H9" i="1"/>
  <c r="H10" i="1"/>
  <c r="H11" i="1"/>
  <c r="H12" i="1"/>
  <c r="H13" i="1"/>
  <c r="H14" i="1"/>
  <c r="H15" i="1"/>
  <c r="G9" i="1"/>
  <c r="G10" i="1"/>
  <c r="G11" i="1"/>
  <c r="G12" i="1"/>
  <c r="G13" i="1"/>
  <c r="G14" i="1"/>
  <c r="G15" i="1"/>
  <c r="G17" i="1"/>
  <c r="H17" i="1"/>
  <c r="G16" i="1"/>
  <c r="H16" i="1"/>
  <c r="I16" i="1" s="1"/>
  <c r="J16" i="1" s="1"/>
  <c r="K16" i="1" l="1"/>
</calcChain>
</file>

<file path=xl/sharedStrings.xml><?xml version="1.0" encoding="utf-8"?>
<sst xmlns="http://schemas.openxmlformats.org/spreadsheetml/2006/main" count="243" uniqueCount="161">
  <si>
    <t>Sistema de gestión de pagos</t>
  </si>
  <si>
    <t>Código</t>
  </si>
  <si>
    <t>Apellidos</t>
  </si>
  <si>
    <t>Nombre</t>
  </si>
  <si>
    <t>Área</t>
  </si>
  <si>
    <t>Fecha Ingreso</t>
  </si>
  <si>
    <t>Sueldo Base</t>
  </si>
  <si>
    <t>Bonificaciones</t>
  </si>
  <si>
    <t>Sueldo bruto</t>
  </si>
  <si>
    <t>Descuentos</t>
  </si>
  <si>
    <t>Sueldo final</t>
  </si>
  <si>
    <t>Incentivo</t>
  </si>
  <si>
    <t>Trasporte</t>
  </si>
  <si>
    <t>AFP</t>
  </si>
  <si>
    <t>E14078</t>
  </si>
  <si>
    <t>De la Cruz Diaz</t>
  </si>
  <si>
    <t>Rocio</t>
  </si>
  <si>
    <t>GDH</t>
  </si>
  <si>
    <t>E14079</t>
  </si>
  <si>
    <t>Quispe Choque</t>
  </si>
  <si>
    <t>Karla</t>
  </si>
  <si>
    <t>TI</t>
  </si>
  <si>
    <t>E14080</t>
  </si>
  <si>
    <t>Villata Lopez</t>
  </si>
  <si>
    <t>Mayra</t>
  </si>
  <si>
    <t>E14081</t>
  </si>
  <si>
    <t>Torres Paucar</t>
  </si>
  <si>
    <t>Lisseth</t>
  </si>
  <si>
    <t>E14082</t>
  </si>
  <si>
    <t>Pozo Niño</t>
  </si>
  <si>
    <t>Angela</t>
  </si>
  <si>
    <t>OS</t>
  </si>
  <si>
    <t>D15017</t>
  </si>
  <si>
    <t>Velazquez Quesada</t>
  </si>
  <si>
    <t>Maria</t>
  </si>
  <si>
    <t>D15018</t>
  </si>
  <si>
    <t>Garcia Guerra</t>
  </si>
  <si>
    <t>Lucero</t>
  </si>
  <si>
    <t>MK</t>
  </si>
  <si>
    <t>D15019</t>
  </si>
  <si>
    <t>Ñauhinccopa Castelo</t>
  </si>
  <si>
    <t>Milagros</t>
  </si>
  <si>
    <t>C18542</t>
  </si>
  <si>
    <t>Huaman Poma</t>
  </si>
  <si>
    <t>Victoria</t>
  </si>
  <si>
    <t>LOG</t>
  </si>
  <si>
    <t>TOTALES</t>
  </si>
  <si>
    <t>Consideraciones:</t>
  </si>
  <si>
    <t>Calcule las bonificaciones por incentivo (10% del sueldo base) y por trasporte (5% del sueldo base) que recibirá cada uno de los trabajadores que aparecen en la tabla, luego el sueldo bruto que es la suma del sueldo base y las bonificaciones. Además, su aporte al AFP que es el 11% del sueldo bruto. Finalmente, calcular el sueldo neto de cada trabajador y los totales de cada columna calculada.</t>
  </si>
  <si>
    <t>PLANILLA DE EMPLEADOS</t>
  </si>
  <si>
    <t>Datos Personales</t>
  </si>
  <si>
    <t>Cidep</t>
  </si>
  <si>
    <t>N°</t>
  </si>
  <si>
    <t>Cate</t>
  </si>
  <si>
    <t>Sexo</t>
  </si>
  <si>
    <t>Hijo</t>
  </si>
  <si>
    <t>Ecivil</t>
  </si>
  <si>
    <t>Fec_Nac</t>
  </si>
  <si>
    <t>Tser</t>
  </si>
  <si>
    <t>Basico</t>
  </si>
  <si>
    <t>Adelanto</t>
  </si>
  <si>
    <t>Distrito</t>
  </si>
  <si>
    <t>Condicion</t>
  </si>
  <si>
    <t>Tipo</t>
  </si>
  <si>
    <t>Htrab</t>
  </si>
  <si>
    <t>Castillo Rojas</t>
  </si>
  <si>
    <t>Carlos</t>
  </si>
  <si>
    <t>A</t>
  </si>
  <si>
    <t>M</t>
  </si>
  <si>
    <t>C</t>
  </si>
  <si>
    <t>Comas</t>
  </si>
  <si>
    <t>Permanente</t>
  </si>
  <si>
    <t>Perez Contreras</t>
  </si>
  <si>
    <t>Daniel</t>
  </si>
  <si>
    <t>S</t>
  </si>
  <si>
    <t>Surco</t>
  </si>
  <si>
    <t>Contratado</t>
  </si>
  <si>
    <t>Salas Pereda</t>
  </si>
  <si>
    <t>Luisa</t>
  </si>
  <si>
    <t>B</t>
  </si>
  <si>
    <t>F</t>
  </si>
  <si>
    <t>V</t>
  </si>
  <si>
    <t>Mendoza Suárez</t>
  </si>
  <si>
    <t>Luis</t>
  </si>
  <si>
    <t>D</t>
  </si>
  <si>
    <t>Lima</t>
  </si>
  <si>
    <t>Flores Coronado</t>
  </si>
  <si>
    <t>Alessandra</t>
  </si>
  <si>
    <t>Lares Cruz</t>
  </si>
  <si>
    <t>Sheyla</t>
  </si>
  <si>
    <t>Ate</t>
  </si>
  <si>
    <t>Zavala Peña</t>
  </si>
  <si>
    <t>Iris</t>
  </si>
  <si>
    <t>Quispe Romero</t>
  </si>
  <si>
    <t>Mirtha</t>
  </si>
  <si>
    <t>Lince</t>
  </si>
  <si>
    <t>Miranda Cuadros</t>
  </si>
  <si>
    <t>Cesar</t>
  </si>
  <si>
    <t>Ramírez Bravo</t>
  </si>
  <si>
    <t>Cecilia</t>
  </si>
  <si>
    <t>Chang Lao</t>
  </si>
  <si>
    <t>Eventual</t>
  </si>
  <si>
    <t>Vásquez Solis</t>
  </si>
  <si>
    <t>Diana</t>
  </si>
  <si>
    <t>Se desea saber</t>
  </si>
  <si>
    <t>Promedio del tiempo de servicio de los hombres solteros y de la categoria A</t>
  </si>
  <si>
    <t>Promedio del tiempo de servicio de los de la categoria A</t>
  </si>
  <si>
    <t>La cantidad de personas que tienen mas de 5 años de servicio con mas de 3 hijos.</t>
  </si>
  <si>
    <t>La cantidad de personas que tienen 2 hijos.</t>
  </si>
  <si>
    <t>La cantidad de personas donde el ùltimo carácter del Apellido sea "A"</t>
  </si>
  <si>
    <t>Promedio de hijos de las casadas con mas de 5 años de servicio</t>
  </si>
  <si>
    <t>Promedio de hijos de los que tienen mas de 5 años de servicio</t>
  </si>
  <si>
    <t>La cantidad de personas que piden adelanto mas de 100 y son viudos.</t>
  </si>
  <si>
    <t>La cantidad de personas con mas de 10 años de servicio.</t>
  </si>
  <si>
    <t>Promedio del adelanto de los trabajadores que viven en Surco y son contratados</t>
  </si>
  <si>
    <t>Promedio del adelanto de los trabajadores que viven en Surco</t>
  </si>
  <si>
    <t>La cantidad de mujeres que tienen mas de 2 hijos.</t>
  </si>
  <si>
    <t xml:space="preserve">La cantidad de personas casadas. </t>
  </si>
  <si>
    <t>Promedio de las horas trabajadas de hombres que viven Comas</t>
  </si>
  <si>
    <t>Promedio de las horas trabajadas de los que trabajan en forma permanente</t>
  </si>
  <si>
    <t>UNIVERSIDAD TECNOLÓGICA DEL PERÚ</t>
  </si>
  <si>
    <t>Estadísticas de alumnos</t>
  </si>
  <si>
    <t>NOMBRES</t>
  </si>
  <si>
    <t>APELLIDOS</t>
  </si>
  <si>
    <t>EDAD</t>
  </si>
  <si>
    <t>SEXO</t>
  </si>
  <si>
    <t>ESPECIALIDAD</t>
  </si>
  <si>
    <t>FECHA-ING</t>
  </si>
  <si>
    <t>TELEFONO</t>
  </si>
  <si>
    <t>PENSIÓN</t>
  </si>
  <si>
    <t>Rosa María</t>
  </si>
  <si>
    <t>Femenino</t>
  </si>
  <si>
    <t>Derecho</t>
  </si>
  <si>
    <t>Karina</t>
  </si>
  <si>
    <t>Administracion</t>
  </si>
  <si>
    <t>Silvia</t>
  </si>
  <si>
    <t>Sonia</t>
  </si>
  <si>
    <t>Negocios</t>
  </si>
  <si>
    <t>Denisse</t>
  </si>
  <si>
    <t>Masculino</t>
  </si>
  <si>
    <t>Juan</t>
  </si>
  <si>
    <t>Luis Alberto</t>
  </si>
  <si>
    <t>Oswaldo</t>
  </si>
  <si>
    <t>Rodrigo</t>
  </si>
  <si>
    <t>Alejandro</t>
  </si>
  <si>
    <t>Piero</t>
  </si>
  <si>
    <t>López Campos</t>
  </si>
  <si>
    <t>Nro de Alumnos</t>
  </si>
  <si>
    <t>Ingresaron a partir del 01/01/2008</t>
  </si>
  <si>
    <t>Nro de alumnos Varones</t>
  </si>
  <si>
    <t>Alumnos Mayores de Edad</t>
  </si>
  <si>
    <t>Nro de alumnas Mujeres</t>
  </si>
  <si>
    <t>Alumnos Menores de Edad</t>
  </si>
  <si>
    <t>% de Alumnos Varones</t>
  </si>
  <si>
    <t>Nª de Alumnos de Derecho y Negocios</t>
  </si>
  <si>
    <t>% de Alumnas Mujeres</t>
  </si>
  <si>
    <t>Alumnos de Administración</t>
  </si>
  <si>
    <t>Alumnos de Derecho</t>
  </si>
  <si>
    <t>Alumnos de Negocios</t>
  </si>
  <si>
    <t>Alumnos con teléfono</t>
  </si>
  <si>
    <t>Alumnos sin teléfono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</si>
</sst>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&quot;S/.&quot;#,##0.00"/>
    <numFmt numFmtId="166" formatCode="_ &quot;S/.&quot;\ * #,##0.00_ ;_ &quot;S/.&quot;\ * \-#,##0.00_ ;_ &quot;S/.&quot;\ * &quot;-&quot;??_ ;_ @_ "/>
    <numFmt numFmtId="167" formatCode="_-[$S/.-280A]\ * #,##0.00_ ;_-[$S/.-280A]\ * \-#,##0.00\ ;_-[$S/.-280A]\ * &quot;-&quot;??_ ;_-@_ "/>
  </numFmts>
  <fonts count="28" x14ac:knownFonts="1">
    <font>
      <sz val="10"/>
      <color rgb="FF000000"/>
      <name val="Arial"/>
    </font>
    <font>
      <sz val="18"/>
      <color theme="0"/>
      <name val="Candara"/>
    </font>
    <font>
      <sz val="11"/>
      <color theme="1"/>
      <name val="Arial"/>
    </font>
    <font>
      <sz val="11"/>
      <color theme="1"/>
      <name val="Calibri"/>
    </font>
    <font>
      <sz val="10"/>
      <name val="Arial"/>
    </font>
    <font>
      <sz val="11"/>
      <color theme="0"/>
      <name val="Calibri"/>
    </font>
    <font>
      <b/>
      <sz val="11"/>
      <color theme="1"/>
      <name val="Calibri"/>
    </font>
    <font>
      <sz val="12"/>
      <color theme="1"/>
      <name val="Arial"/>
    </font>
    <font>
      <sz val="10"/>
      <color theme="1"/>
      <name val="Arial"/>
    </font>
    <font>
      <sz val="20"/>
      <color theme="1"/>
      <name val="Arial"/>
    </font>
    <font>
      <b/>
      <sz val="16"/>
      <color theme="0"/>
      <name val="Times New Roman"/>
    </font>
    <font>
      <sz val="12"/>
      <color theme="1"/>
      <name val="Times New Roman"/>
    </font>
    <font>
      <sz val="12"/>
      <color rgb="FFFFFFFF"/>
      <name val="Arial"/>
    </font>
    <font>
      <sz val="12"/>
      <color rgb="FF4F6128"/>
      <name val="Times New Roman"/>
    </font>
    <font>
      <sz val="14"/>
      <color rgb="FF4F6128"/>
      <name val="Times New Roman"/>
    </font>
    <font>
      <b/>
      <sz val="12"/>
      <color theme="1"/>
      <name val="Arial"/>
    </font>
    <font>
      <sz val="12"/>
      <color rgb="FF00B050"/>
      <name val="Arial"/>
    </font>
    <font>
      <b/>
      <sz val="12"/>
      <color rgb="FFFF66CC"/>
      <name val="Arial"/>
    </font>
    <font>
      <sz val="14"/>
      <color rgb="FF4F6128"/>
      <name val="Arial"/>
    </font>
    <font>
      <b/>
      <sz val="12"/>
      <color rgb="FF4F6128"/>
      <name val="Arial"/>
    </font>
    <font>
      <sz val="12"/>
      <color rgb="FF7030A0"/>
      <name val="Arial"/>
    </font>
    <font>
      <sz val="12"/>
      <color rgb="FF0000FF"/>
      <name val="Arial"/>
    </font>
    <font>
      <b/>
      <sz val="14"/>
      <color theme="1"/>
      <name val="Arial"/>
    </font>
    <font>
      <b/>
      <sz val="11"/>
      <color theme="1"/>
      <name val="Arial"/>
    </font>
    <font>
      <b/>
      <sz val="10"/>
      <color rgb="FFE36C09"/>
      <name val="Arial"/>
    </font>
    <font>
      <b/>
      <sz val="10"/>
      <color rgb="FF0000FF"/>
      <name val="Arial"/>
    </font>
    <font>
      <b/>
      <sz val="11"/>
      <color rgb="FF0000FF"/>
      <name val="Arial"/>
    </font>
    <font>
      <sz val="11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F2DBDB"/>
        <bgColor rgb="FFF2DBDB"/>
      </patternFill>
    </fill>
    <fill>
      <patternFill patternType="solid">
        <fgColor rgb="FF76923C"/>
        <bgColor rgb="FF76923C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</fills>
  <borders count="4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6" borderId="7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165" fontId="3" fillId="0" borderId="16" xfId="0" applyNumberFormat="1" applyFont="1" applyBorder="1" applyAlignment="1">
      <alignment horizontal="center" vertical="center"/>
    </xf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6" fillId="0" borderId="10" xfId="0" applyFont="1" applyBorder="1"/>
    <xf numFmtId="0" fontId="6" fillId="0" borderId="8" xfId="0" applyFont="1" applyBorder="1"/>
    <xf numFmtId="0" fontId="6" fillId="0" borderId="13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11" fillId="0" borderId="19" xfId="0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8" borderId="19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9" fillId="0" borderId="0" xfId="0" applyFont="1" applyAlignment="1">
      <alignment horizontal="center"/>
    </xf>
    <xf numFmtId="0" fontId="21" fillId="0" borderId="0" xfId="0" applyFont="1"/>
    <xf numFmtId="166" fontId="19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0" fontId="24" fillId="9" borderId="19" xfId="0" applyFont="1" applyFill="1" applyBorder="1" applyAlignment="1">
      <alignment horizontal="center" vertical="center"/>
    </xf>
    <xf numFmtId="0" fontId="8" fillId="0" borderId="19" xfId="0" applyFont="1" applyBorder="1"/>
    <xf numFmtId="0" fontId="8" fillId="0" borderId="19" xfId="0" applyFont="1" applyBorder="1" applyAlignment="1">
      <alignment horizontal="center"/>
    </xf>
    <xf numFmtId="164" fontId="8" fillId="0" borderId="19" xfId="0" applyNumberFormat="1" applyFont="1" applyBorder="1"/>
    <xf numFmtId="167" fontId="8" fillId="0" borderId="19" xfId="0" applyNumberFormat="1" applyFont="1" applyBorder="1"/>
    <xf numFmtId="0" fontId="8" fillId="5" borderId="35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8" fillId="5" borderId="36" xfId="0" applyFont="1" applyFill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8" fillId="5" borderId="39" xfId="0" applyFont="1" applyFill="1" applyBorder="1" applyAlignment="1">
      <alignment vertical="center"/>
    </xf>
    <xf numFmtId="0" fontId="8" fillId="5" borderId="4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9" fontId="23" fillId="0" borderId="19" xfId="0" applyNumberFormat="1" applyFont="1" applyBorder="1" applyAlignment="1">
      <alignment vertical="center"/>
    </xf>
    <xf numFmtId="0" fontId="8" fillId="5" borderId="43" xfId="0" applyFont="1" applyFill="1" applyBorder="1" applyAlignment="1">
      <alignment vertical="center"/>
    </xf>
    <xf numFmtId="0" fontId="27" fillId="0" borderId="0" xfId="0" applyFont="1"/>
    <xf numFmtId="0" fontId="8" fillId="5" borderId="36" xfId="0" applyFont="1" applyFill="1" applyBorder="1" applyAlignment="1">
      <alignment horizontal="left" vertical="center"/>
    </xf>
    <xf numFmtId="0" fontId="8" fillId="5" borderId="37" xfId="0" applyFont="1" applyFill="1" applyBorder="1" applyAlignment="1">
      <alignment horizontal="left" vertical="center"/>
    </xf>
    <xf numFmtId="0" fontId="8" fillId="5" borderId="38" xfId="0" applyFont="1" applyFill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8" fillId="5" borderId="40" xfId="0" applyFont="1" applyFill="1" applyBorder="1" applyAlignment="1">
      <alignment horizontal="left" vertical="center"/>
    </xf>
    <xf numFmtId="0" fontId="8" fillId="5" borderId="41" xfId="0" applyFont="1" applyFill="1" applyBorder="1" applyAlignment="1">
      <alignment horizontal="left" vertical="center"/>
    </xf>
    <xf numFmtId="0" fontId="8" fillId="5" borderId="42" xfId="0" applyFont="1" applyFill="1" applyBorder="1" applyAlignment="1">
      <alignment horizontal="left" vertical="center"/>
    </xf>
    <xf numFmtId="0" fontId="8" fillId="5" borderId="44" xfId="0" applyFont="1" applyFill="1" applyBorder="1" applyAlignment="1">
      <alignment horizontal="left" vertical="center"/>
    </xf>
    <xf numFmtId="0" fontId="3" fillId="0" borderId="22" xfId="0" applyFont="1" applyBorder="1"/>
    <xf numFmtId="0" fontId="3" fillId="0" borderId="43" xfId="0" applyFont="1" applyBorder="1" applyAlignment="1">
      <alignment vertical="center"/>
    </xf>
    <xf numFmtId="0" fontId="3" fillId="0" borderId="43" xfId="0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5" fontId="3" fillId="0" borderId="45" xfId="0" applyNumberFormat="1" applyFont="1" applyBorder="1"/>
    <xf numFmtId="0" fontId="6" fillId="0" borderId="22" xfId="0" applyFont="1" applyBorder="1"/>
    <xf numFmtId="164" fontId="11" fillId="0" borderId="43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/>
    </xf>
    <xf numFmtId="167" fontId="2" fillId="0" borderId="0" xfId="0" applyNumberFormat="1" applyFont="1"/>
    <xf numFmtId="0" fontId="2" fillId="0" borderId="0" xfId="0" applyFont="1" applyAlignment="1">
      <alignment vertical="center"/>
    </xf>
    <xf numFmtId="0" fontId="2" fillId="5" borderId="37" xfId="0" applyFont="1" applyFill="1" applyBorder="1" applyAlignment="1">
      <alignment vertical="center"/>
    </xf>
    <xf numFmtId="0" fontId="2" fillId="5" borderId="38" xfId="0" applyFont="1" applyFill="1" applyBorder="1" applyAlignment="1">
      <alignment vertical="center"/>
    </xf>
    <xf numFmtId="0" fontId="2" fillId="5" borderId="41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8" fillId="5" borderId="45" xfId="0" applyFont="1" applyFill="1" applyBorder="1" applyAlignment="1">
      <alignment horizontal="left" vertical="center"/>
    </xf>
    <xf numFmtId="0" fontId="8" fillId="5" borderId="46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/>
    <xf numFmtId="0" fontId="3" fillId="5" borderId="6" xfId="0" applyFont="1" applyFill="1" applyBorder="1" applyAlignment="1">
      <alignment horizontal="center" vertical="center" wrapText="1"/>
    </xf>
    <xf numFmtId="0" fontId="4" fillId="0" borderId="13" xfId="0" applyFont="1" applyBorder="1" applyAlignment="1"/>
    <xf numFmtId="0" fontId="5" fillId="2" borderId="33" xfId="0" applyFont="1" applyFill="1" applyBorder="1" applyAlignment="1">
      <alignment horizontal="center"/>
    </xf>
    <xf numFmtId="0" fontId="4" fillId="0" borderId="22" xfId="0" applyFont="1" applyBorder="1" applyAlignment="1"/>
    <xf numFmtId="0" fontId="4" fillId="0" borderId="23" xfId="0" applyFont="1" applyBorder="1" applyAlignment="1"/>
    <xf numFmtId="0" fontId="3" fillId="0" borderId="0" xfId="0" applyFont="1" applyAlignment="1">
      <alignment horizontal="left" wrapText="1"/>
    </xf>
    <xf numFmtId="0" fontId="0" fillId="0" borderId="0" xfId="0" applyAlignment="1"/>
    <xf numFmtId="0" fontId="1" fillId="2" borderId="41" xfId="0" applyFont="1" applyFill="1" applyBorder="1" applyAlignment="1">
      <alignment horizontal="center" vertical="center"/>
    </xf>
    <xf numFmtId="0" fontId="4" fillId="0" borderId="41" xfId="0" applyFont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/>
    <xf numFmtId="0" fontId="3" fillId="3" borderId="2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3" fillId="3" borderId="3" xfId="0" applyFont="1" applyFill="1" applyBorder="1" applyAlignment="1">
      <alignment horizontal="center" vertical="center" wrapText="1"/>
    </xf>
    <xf numFmtId="0" fontId="4" fillId="0" borderId="10" xfId="0" applyFont="1" applyBorder="1" applyAlignment="1"/>
    <xf numFmtId="0" fontId="3" fillId="3" borderId="6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4" fillId="0" borderId="25" xfId="0" applyFont="1" applyBorder="1" applyAlignment="1"/>
    <xf numFmtId="0" fontId="4" fillId="0" borderId="26" xfId="0" applyFont="1" applyBorder="1" applyAlignment="1"/>
    <xf numFmtId="0" fontId="10" fillId="7" borderId="27" xfId="0" applyFont="1" applyFill="1" applyBorder="1" applyAlignment="1">
      <alignment horizontal="center" vertical="center"/>
    </xf>
    <xf numFmtId="0" fontId="4" fillId="0" borderId="28" xfId="0" applyFont="1" applyBorder="1" applyAlignment="1"/>
    <xf numFmtId="0" fontId="4" fillId="0" borderId="29" xfId="0" applyFont="1" applyBorder="1" applyAlignment="1"/>
    <xf numFmtId="0" fontId="22" fillId="0" borderId="30" xfId="0" applyFont="1" applyBorder="1" applyAlignment="1">
      <alignment horizontal="center"/>
    </xf>
    <xf numFmtId="0" fontId="4" fillId="0" borderId="31" xfId="0" applyFont="1" applyBorder="1" applyAlignment="1"/>
    <xf numFmtId="0" fontId="4" fillId="0" borderId="32" xfId="0" applyFont="1" applyBorder="1" applyAlignment="1"/>
    <xf numFmtId="0" fontId="23" fillId="0" borderId="33" xfId="0" applyFont="1" applyBorder="1" applyAlignment="1">
      <alignment horizontal="center" vertical="center"/>
    </xf>
    <xf numFmtId="0" fontId="4" fillId="0" borderId="34" xfId="0" applyFont="1" applyBorder="1" applyAlignment="1"/>
    <xf numFmtId="0" fontId="8" fillId="5" borderId="44" xfId="0" applyFont="1" applyFill="1" applyBorder="1" applyAlignment="1">
      <alignment horizontal="left" vertical="center"/>
    </xf>
    <xf numFmtId="0" fontId="4" fillId="0" borderId="45" xfId="0" applyFont="1" applyBorder="1" applyAlignment="1"/>
    <xf numFmtId="0" fontId="4" fillId="0" borderId="4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UNCIONES%20-%20Sem%2013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#'FUNCIONES%20-%20Sem%2013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504825</xdr:colOff>
      <xdr:row>0</xdr:row>
      <xdr:rowOff>0</xdr:rowOff>
    </xdr:from>
    <xdr:ext cx="171450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9525</xdr:rowOff>
    </xdr:from>
    <xdr:ext cx="4286250" cy="4000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207638" y="3584738"/>
          <a:ext cx="4276725" cy="390525"/>
        </a:xfrm>
        <a:prstGeom prst="rect">
          <a:avLst/>
        </a:prstGeom>
      </xdr:spPr>
      <xdr:txBody>
        <a:bodyPr>
          <a:prstTxWarp prst="textPlain">
            <a:avLst/>
          </a:prstTxWarp>
        </a:bodyPr>
        <a:lstStyle/>
        <a:p>
          <a:pPr lvl="0" algn="ctr"/>
          <a:r>
            <a:rPr b="1" i="0">
              <a:ln w="12700" cap="flat" cmpd="sng">
                <a:solidFill>
                  <a:srgbClr val="4F6128"/>
                </a:solidFill>
                <a:prstDash val="solid"/>
                <a:round/>
                <a:headEnd type="none" w="sm" len="sm"/>
                <a:tailEnd type="none" w="sm" len="sm"/>
              </a:ln>
              <a:solidFill>
                <a:srgbClr val="FFFEFE"/>
              </a:solidFill>
              <a:latin typeface="Impact"/>
            </a:rPr>
            <a:t>Funciones   Estadísticas</a:t>
          </a:r>
        </a:p>
      </xdr:txBody>
    </xdr:sp>
    <xdr:clientData fLocksWithSheet="0"/>
  </xdr:oneCellAnchor>
  <xdr:oneCellAnchor>
    <xdr:from>
      <xdr:col>13</xdr:col>
      <xdr:colOff>1000125</xdr:colOff>
      <xdr:row>0</xdr:row>
      <xdr:rowOff>0</xdr:rowOff>
    </xdr:from>
    <xdr:ext cx="1714500" cy="70485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0</xdr:row>
      <xdr:rowOff>133350</xdr:rowOff>
    </xdr:from>
    <xdr:ext cx="4086225" cy="381000"/>
    <xdr:sp macro="" textlink="">
      <xdr:nvSpPr>
        <xdr:cNvPr id="4" name="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307650" y="3594263"/>
          <a:ext cx="4076700" cy="371475"/>
        </a:xfrm>
        <a:prstGeom prst="rect">
          <a:avLst/>
        </a:prstGeom>
      </xdr:spPr>
      <xdr:txBody>
        <a:bodyPr>
          <a:prstTxWarp prst="textPlain">
            <a:avLst/>
          </a:prstTxWarp>
        </a:bodyPr>
        <a:lstStyle/>
        <a:p>
          <a:pPr lvl="0" algn="ctr"/>
          <a:r>
            <a:rPr b="1" i="0">
              <a:ln w="12700" cap="flat" cmpd="sng">
                <a:solidFill>
                  <a:srgbClr val="E6852E"/>
                </a:solidFill>
                <a:prstDash val="solid"/>
                <a:round/>
                <a:headEnd type="none" w="sm" len="sm"/>
                <a:tailEnd type="none" w="sm" len="sm"/>
              </a:ln>
              <a:solidFill>
                <a:srgbClr val="FFFEFE"/>
              </a:solidFill>
              <a:latin typeface="Impact"/>
            </a:rPr>
            <a:t>Funciones  Estadísticas</a:t>
          </a:r>
        </a:p>
      </xdr:txBody>
    </xdr:sp>
    <xdr:clientData fLocksWithSheet="0"/>
  </xdr:oneCellAnchor>
  <xdr:oneCellAnchor>
    <xdr:from>
      <xdr:col>2</xdr:col>
      <xdr:colOff>9525</xdr:colOff>
      <xdr:row>2</xdr:row>
      <xdr:rowOff>38100</xdr:rowOff>
    </xdr:from>
    <xdr:ext cx="1619250" cy="666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</xdr:row>
      <xdr:rowOff>447675</xdr:rowOff>
    </xdr:from>
    <xdr:ext cx="1571625" cy="66675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workbookViewId="0">
      <selection activeCell="N23" sqref="N23"/>
    </sheetView>
  </sheetViews>
  <sheetFormatPr baseColWidth="10" defaultColWidth="14.42578125" defaultRowHeight="15" customHeight="1" x14ac:dyDescent="0.2"/>
  <cols>
    <col min="1" max="1" width="7.140625" customWidth="1"/>
    <col min="2" max="2" width="20" customWidth="1"/>
    <col min="3" max="3" width="11.42578125" customWidth="1"/>
    <col min="4" max="4" width="7.140625" customWidth="1"/>
    <col min="5" max="5" width="14.28515625" customWidth="1"/>
    <col min="6" max="11" width="11.42578125" customWidth="1"/>
    <col min="12" max="26" width="10.7109375" customWidth="1"/>
  </cols>
  <sheetData>
    <row r="1" spans="1:26" ht="23.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3.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3.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3.2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3.25" x14ac:dyDescent="0.25">
      <c r="A5" s="96" t="s">
        <v>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 x14ac:dyDescent="0.25">
      <c r="A7" s="98" t="s">
        <v>1</v>
      </c>
      <c r="B7" s="100" t="s">
        <v>2</v>
      </c>
      <c r="C7" s="100" t="s">
        <v>3</v>
      </c>
      <c r="D7" s="100" t="s">
        <v>4</v>
      </c>
      <c r="E7" s="100" t="s">
        <v>5</v>
      </c>
      <c r="F7" s="102" t="s">
        <v>6</v>
      </c>
      <c r="G7" s="87" t="s">
        <v>7</v>
      </c>
      <c r="H7" s="88"/>
      <c r="I7" s="89" t="s">
        <v>8</v>
      </c>
      <c r="J7" s="4" t="s">
        <v>9</v>
      </c>
      <c r="K7" s="10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 x14ac:dyDescent="0.25">
      <c r="A8" s="99"/>
      <c r="B8" s="101"/>
      <c r="C8" s="101"/>
      <c r="D8" s="101"/>
      <c r="E8" s="101"/>
      <c r="F8" s="103"/>
      <c r="G8" s="5" t="s">
        <v>11</v>
      </c>
      <c r="H8" s="6" t="s">
        <v>12</v>
      </c>
      <c r="I8" s="90"/>
      <c r="J8" s="7" t="s">
        <v>13</v>
      </c>
      <c r="K8" s="9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8" t="s">
        <v>14</v>
      </c>
      <c r="B9" s="72" t="s">
        <v>15</v>
      </c>
      <c r="C9" s="72" t="s">
        <v>16</v>
      </c>
      <c r="D9" s="73" t="s">
        <v>17</v>
      </c>
      <c r="E9" s="74">
        <v>33</v>
      </c>
      <c r="F9" s="9">
        <v>1335</v>
      </c>
      <c r="G9" s="10">
        <f t="shared" ref="G9:G15" si="0">F9*0.1</f>
        <v>133.5</v>
      </c>
      <c r="H9" s="11">
        <f t="shared" ref="H9:H15" si="1">F9*0.05</f>
        <v>66.75</v>
      </c>
      <c r="I9" s="75">
        <f t="shared" ref="I9:I15" si="2">SUM(F9,G9:H9)</f>
        <v>1535.25</v>
      </c>
      <c r="J9" s="12">
        <f t="shared" ref="J9:J15" si="3">I9*0.11</f>
        <v>168.8775</v>
      </c>
      <c r="K9" s="12">
        <f t="shared" ref="K9:K15" si="4">I9-J9</f>
        <v>1366.3724999999999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3" t="s">
        <v>18</v>
      </c>
      <c r="B10" s="14" t="s">
        <v>19</v>
      </c>
      <c r="C10" s="14" t="s">
        <v>20</v>
      </c>
      <c r="D10" s="15" t="s">
        <v>21</v>
      </c>
      <c r="E10" s="16">
        <v>34686</v>
      </c>
      <c r="F10" s="17">
        <v>3093</v>
      </c>
      <c r="G10" s="10">
        <f t="shared" si="0"/>
        <v>309.3</v>
      </c>
      <c r="H10" s="11">
        <f t="shared" si="1"/>
        <v>154.65</v>
      </c>
      <c r="I10" s="75">
        <f t="shared" si="2"/>
        <v>3556.9500000000003</v>
      </c>
      <c r="J10" s="12">
        <f t="shared" si="3"/>
        <v>391.26450000000006</v>
      </c>
      <c r="K10" s="12">
        <f t="shared" si="4"/>
        <v>3165.6855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3" t="s">
        <v>22</v>
      </c>
      <c r="B11" s="14" t="s">
        <v>23</v>
      </c>
      <c r="C11" s="14" t="s">
        <v>24</v>
      </c>
      <c r="D11" s="15" t="s">
        <v>17</v>
      </c>
      <c r="E11" s="16">
        <v>35147</v>
      </c>
      <c r="F11" s="17">
        <v>2231</v>
      </c>
      <c r="G11" s="10">
        <f t="shared" si="0"/>
        <v>223.10000000000002</v>
      </c>
      <c r="H11" s="11">
        <f t="shared" si="1"/>
        <v>111.55000000000001</v>
      </c>
      <c r="I11" s="75">
        <f t="shared" si="2"/>
        <v>2565.65</v>
      </c>
      <c r="J11" s="12">
        <f t="shared" si="3"/>
        <v>282.22149999999999</v>
      </c>
      <c r="K11" s="12">
        <f t="shared" si="4"/>
        <v>2283.4285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3" t="s">
        <v>25</v>
      </c>
      <c r="B12" s="14" t="s">
        <v>26</v>
      </c>
      <c r="C12" s="14" t="s">
        <v>27</v>
      </c>
      <c r="D12" s="15" t="s">
        <v>21</v>
      </c>
      <c r="E12" s="16">
        <v>34792</v>
      </c>
      <c r="F12" s="17">
        <v>3894</v>
      </c>
      <c r="G12" s="10">
        <f t="shared" si="0"/>
        <v>389.40000000000003</v>
      </c>
      <c r="H12" s="11">
        <f t="shared" si="1"/>
        <v>194.70000000000002</v>
      </c>
      <c r="I12" s="75">
        <f t="shared" si="2"/>
        <v>4478.0999999999995</v>
      </c>
      <c r="J12" s="12">
        <f t="shared" si="3"/>
        <v>492.59099999999995</v>
      </c>
      <c r="K12" s="12">
        <f t="shared" si="4"/>
        <v>3985.5089999999996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3" t="s">
        <v>28</v>
      </c>
      <c r="B13" s="14" t="s">
        <v>29</v>
      </c>
      <c r="C13" s="14" t="s">
        <v>30</v>
      </c>
      <c r="D13" s="15" t="s">
        <v>31</v>
      </c>
      <c r="E13" s="16">
        <v>34260</v>
      </c>
      <c r="F13" s="17">
        <v>1907</v>
      </c>
      <c r="G13" s="10">
        <f t="shared" si="0"/>
        <v>190.70000000000002</v>
      </c>
      <c r="H13" s="11">
        <f t="shared" si="1"/>
        <v>95.350000000000009</v>
      </c>
      <c r="I13" s="75">
        <f t="shared" si="2"/>
        <v>2193.0499999999997</v>
      </c>
      <c r="J13" s="12">
        <f t="shared" si="3"/>
        <v>241.23549999999997</v>
      </c>
      <c r="K13" s="12">
        <f t="shared" si="4"/>
        <v>1951.8144999999997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3" t="s">
        <v>32</v>
      </c>
      <c r="B14" s="14" t="s">
        <v>33</v>
      </c>
      <c r="C14" s="14" t="s">
        <v>34</v>
      </c>
      <c r="D14" s="15" t="s">
        <v>31</v>
      </c>
      <c r="E14" s="16">
        <v>35939</v>
      </c>
      <c r="F14" s="17">
        <v>1155</v>
      </c>
      <c r="G14" s="10">
        <f t="shared" si="0"/>
        <v>115.5</v>
      </c>
      <c r="H14" s="11">
        <f t="shared" si="1"/>
        <v>57.75</v>
      </c>
      <c r="I14" s="75">
        <f t="shared" si="2"/>
        <v>1328.25</v>
      </c>
      <c r="J14" s="12">
        <f t="shared" si="3"/>
        <v>146.10749999999999</v>
      </c>
      <c r="K14" s="12">
        <f t="shared" si="4"/>
        <v>1182.1424999999999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3" t="s">
        <v>35</v>
      </c>
      <c r="B15" s="14" t="s">
        <v>36</v>
      </c>
      <c r="C15" s="14" t="s">
        <v>37</v>
      </c>
      <c r="D15" s="15" t="s">
        <v>38</v>
      </c>
      <c r="E15" s="16">
        <v>33135</v>
      </c>
      <c r="F15" s="17">
        <v>3410</v>
      </c>
      <c r="G15" s="10">
        <f t="shared" si="0"/>
        <v>341</v>
      </c>
      <c r="H15" s="11">
        <f t="shared" si="1"/>
        <v>170.5</v>
      </c>
      <c r="I15" s="75">
        <f t="shared" si="2"/>
        <v>3921.5</v>
      </c>
      <c r="J15" s="12">
        <f t="shared" si="3"/>
        <v>431.36500000000001</v>
      </c>
      <c r="K15" s="12">
        <f t="shared" si="4"/>
        <v>3490.1350000000002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3" t="s">
        <v>39</v>
      </c>
      <c r="B16" s="14" t="s">
        <v>40</v>
      </c>
      <c r="C16" s="14" t="s">
        <v>41</v>
      </c>
      <c r="D16" s="15" t="s">
        <v>21</v>
      </c>
      <c r="E16" s="16">
        <v>33553</v>
      </c>
      <c r="F16" s="17">
        <v>2561</v>
      </c>
      <c r="G16" s="10">
        <f>F16*0.1</f>
        <v>256.10000000000002</v>
      </c>
      <c r="H16" s="11">
        <f>F16*0.05</f>
        <v>128.05000000000001</v>
      </c>
      <c r="I16" s="75">
        <f>SUM(F16,G16:H16)</f>
        <v>2945.15</v>
      </c>
      <c r="J16" s="12">
        <f>I16*0.11</f>
        <v>323.9665</v>
      </c>
      <c r="K16" s="12">
        <f>I16-J16</f>
        <v>2621.1835000000001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thickBot="1" x14ac:dyDescent="0.3">
      <c r="A17" s="18" t="s">
        <v>42</v>
      </c>
      <c r="B17" s="19" t="s">
        <v>43</v>
      </c>
      <c r="C17" s="19" t="s">
        <v>44</v>
      </c>
      <c r="D17" s="20" t="s">
        <v>45</v>
      </c>
      <c r="E17" s="21">
        <v>33907</v>
      </c>
      <c r="F17" s="22">
        <v>2257</v>
      </c>
      <c r="G17" s="10">
        <f>F17*0.1</f>
        <v>225.70000000000002</v>
      </c>
      <c r="H17" s="11">
        <f t="shared" ref="H17:H18" si="5">F17*0.05</f>
        <v>112.85000000000001</v>
      </c>
      <c r="I17" s="75">
        <f>SUM(F17,G17:H17)</f>
        <v>2595.5499999999997</v>
      </c>
      <c r="J17" s="12">
        <f>I17*0.11</f>
        <v>285.51049999999998</v>
      </c>
      <c r="K17" s="12">
        <f>I17-J17</f>
        <v>2310.0394999999999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thickBot="1" x14ac:dyDescent="0.3">
      <c r="A18" s="91" t="s">
        <v>46</v>
      </c>
      <c r="B18" s="92"/>
      <c r="C18" s="92"/>
      <c r="D18" s="92"/>
      <c r="E18" s="93"/>
      <c r="F18" s="23"/>
      <c r="G18" s="24"/>
      <c r="H18" s="11"/>
      <c r="I18" s="76"/>
      <c r="J18" s="25"/>
      <c r="K18" s="2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26" t="s">
        <v>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 x14ac:dyDescent="0.25">
      <c r="A22" s="94" t="s">
        <v>48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 x14ac:dyDescent="0.25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25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2">
    <mergeCell ref="G7:H7"/>
    <mergeCell ref="I7:I8"/>
    <mergeCell ref="A18:E18"/>
    <mergeCell ref="A22:K25"/>
    <mergeCell ref="A5:K5"/>
    <mergeCell ref="A7:A8"/>
    <mergeCell ref="B7:B8"/>
    <mergeCell ref="C7:C8"/>
    <mergeCell ref="D7:D8"/>
    <mergeCell ref="E7:E8"/>
    <mergeCell ref="F7:F8"/>
    <mergeCell ref="K7:K8"/>
  </mergeCells>
  <pageMargins left="0.78740157480314965" right="0.78740157480314965" top="0.78740157480314965" bottom="0.7874015748031496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FF66"/>
  </sheetPr>
  <dimension ref="A1:Z1000"/>
  <sheetViews>
    <sheetView showGridLines="0" topLeftCell="A2" workbookViewId="0">
      <selection activeCell="Q27" sqref="Q27"/>
    </sheetView>
  </sheetViews>
  <sheetFormatPr baseColWidth="10" defaultColWidth="14.42578125" defaultRowHeight="15" customHeight="1" x14ac:dyDescent="0.2"/>
  <cols>
    <col min="1" max="1" width="15.7109375" customWidth="1"/>
    <col min="2" max="2" width="4.7109375" customWidth="1"/>
    <col min="3" max="3" width="17.7109375" customWidth="1"/>
    <col min="4" max="4" width="10.85546875" customWidth="1"/>
    <col min="5" max="5" width="7.28515625" customWidth="1"/>
    <col min="6" max="6" width="8.28515625" customWidth="1"/>
    <col min="7" max="7" width="6.42578125" customWidth="1"/>
    <col min="8" max="8" width="8.140625" customWidth="1"/>
    <col min="9" max="9" width="14.5703125" customWidth="1"/>
    <col min="10" max="10" width="6.5703125" customWidth="1"/>
    <col min="11" max="11" width="9.7109375" customWidth="1"/>
    <col min="12" max="12" width="12.140625" customWidth="1"/>
    <col min="13" max="13" width="12.85546875" customWidth="1"/>
    <col min="14" max="14" width="17.5703125" customWidth="1"/>
    <col min="15" max="15" width="6.42578125" customWidth="1"/>
    <col min="16" max="16" width="18" customWidth="1"/>
    <col min="17" max="17" width="8.5703125" customWidth="1"/>
    <col min="18" max="18" width="8.42578125" customWidth="1"/>
    <col min="19" max="19" width="8.140625" customWidth="1"/>
    <col min="20" max="26" width="10.7109375" customWidth="1"/>
  </cols>
  <sheetData>
    <row r="1" spans="1:26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33" customHeight="1" x14ac:dyDescent="0.2">
      <c r="A5" s="28"/>
      <c r="B5" s="105" t="s">
        <v>49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25.5" customHeight="1" x14ac:dyDescent="0.25">
      <c r="A7" s="27"/>
      <c r="B7" s="108" t="s">
        <v>50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  <c r="Q7" s="29"/>
      <c r="R7" s="29"/>
      <c r="S7" s="29"/>
      <c r="T7" s="27"/>
      <c r="U7" s="27"/>
      <c r="V7" s="27"/>
      <c r="W7" s="27"/>
      <c r="X7" s="27"/>
      <c r="Y7" s="27"/>
      <c r="Z7" s="27"/>
    </row>
    <row r="8" spans="1:26" ht="23.25" customHeight="1" x14ac:dyDescent="0.2">
      <c r="A8" s="30" t="s">
        <v>51</v>
      </c>
      <c r="B8" s="31" t="s">
        <v>52</v>
      </c>
      <c r="C8" s="32" t="s">
        <v>2</v>
      </c>
      <c r="D8" s="32" t="s">
        <v>3</v>
      </c>
      <c r="E8" s="32" t="s">
        <v>53</v>
      </c>
      <c r="F8" s="32" t="s">
        <v>54</v>
      </c>
      <c r="G8" s="32" t="s">
        <v>55</v>
      </c>
      <c r="H8" s="32" t="s">
        <v>56</v>
      </c>
      <c r="I8" s="32" t="s">
        <v>57</v>
      </c>
      <c r="J8" s="32" t="s">
        <v>58</v>
      </c>
      <c r="K8" s="32" t="s">
        <v>59</v>
      </c>
      <c r="L8" s="32" t="s">
        <v>60</v>
      </c>
      <c r="M8" s="32" t="s">
        <v>61</v>
      </c>
      <c r="N8" s="32" t="s">
        <v>62</v>
      </c>
      <c r="O8" s="32" t="s">
        <v>63</v>
      </c>
      <c r="P8" s="32" t="s">
        <v>64</v>
      </c>
      <c r="Q8" s="33"/>
      <c r="R8" s="33"/>
      <c r="S8" s="33"/>
      <c r="T8" s="34"/>
      <c r="U8" s="34"/>
      <c r="V8" s="34"/>
      <c r="W8" s="34"/>
      <c r="X8" s="34"/>
      <c r="Y8" s="34"/>
      <c r="Z8" s="34"/>
    </row>
    <row r="9" spans="1:26" ht="21" customHeight="1" x14ac:dyDescent="0.25">
      <c r="A9" s="27"/>
      <c r="B9" s="35">
        <v>1</v>
      </c>
      <c r="C9" s="36" t="s">
        <v>65</v>
      </c>
      <c r="D9" s="36" t="s">
        <v>66</v>
      </c>
      <c r="E9" s="35" t="s">
        <v>67</v>
      </c>
      <c r="F9" s="35" t="s">
        <v>68</v>
      </c>
      <c r="G9" s="35">
        <v>1</v>
      </c>
      <c r="H9" s="35" t="s">
        <v>69</v>
      </c>
      <c r="I9" s="77">
        <v>28135</v>
      </c>
      <c r="J9" s="36">
        <v>5</v>
      </c>
      <c r="K9" s="36">
        <v>800</v>
      </c>
      <c r="L9" s="36">
        <v>200</v>
      </c>
      <c r="M9" s="36" t="s">
        <v>70</v>
      </c>
      <c r="N9" s="36" t="s">
        <v>71</v>
      </c>
      <c r="O9" s="35">
        <v>1</v>
      </c>
      <c r="P9" s="35">
        <v>48</v>
      </c>
      <c r="Q9" s="29"/>
      <c r="R9" s="29"/>
      <c r="S9" s="29"/>
      <c r="T9" s="27"/>
      <c r="U9" s="27"/>
      <c r="V9" s="27"/>
      <c r="W9" s="27"/>
      <c r="X9" s="27"/>
      <c r="Y9" s="27"/>
      <c r="Z9" s="27"/>
    </row>
    <row r="10" spans="1:26" ht="21" customHeight="1" x14ac:dyDescent="0.25">
      <c r="A10" s="27"/>
      <c r="B10" s="35">
        <v>2</v>
      </c>
      <c r="C10" s="36" t="s">
        <v>72</v>
      </c>
      <c r="D10" s="36" t="s">
        <v>73</v>
      </c>
      <c r="E10" s="35" t="s">
        <v>67</v>
      </c>
      <c r="F10" s="35" t="s">
        <v>68</v>
      </c>
      <c r="G10" s="35">
        <v>0</v>
      </c>
      <c r="H10" s="35" t="s">
        <v>74</v>
      </c>
      <c r="I10" s="77">
        <v>28532</v>
      </c>
      <c r="J10" s="36">
        <v>7</v>
      </c>
      <c r="K10" s="36">
        <v>1500</v>
      </c>
      <c r="L10" s="36">
        <v>300</v>
      </c>
      <c r="M10" s="36" t="s">
        <v>75</v>
      </c>
      <c r="N10" s="36" t="s">
        <v>76</v>
      </c>
      <c r="O10" s="35">
        <v>2</v>
      </c>
      <c r="P10" s="35">
        <v>50</v>
      </c>
      <c r="Q10" s="29"/>
      <c r="R10" s="29"/>
      <c r="S10" s="29"/>
      <c r="T10" s="27"/>
      <c r="U10" s="27"/>
      <c r="V10" s="27"/>
      <c r="W10" s="27"/>
      <c r="X10" s="27"/>
      <c r="Y10" s="27"/>
      <c r="Z10" s="27"/>
    </row>
    <row r="11" spans="1:26" ht="21" customHeight="1" x14ac:dyDescent="0.25">
      <c r="A11" s="27"/>
      <c r="B11" s="35">
        <v>3</v>
      </c>
      <c r="C11" s="36" t="s">
        <v>77</v>
      </c>
      <c r="D11" s="36" t="s">
        <v>78</v>
      </c>
      <c r="E11" s="35" t="s">
        <v>79</v>
      </c>
      <c r="F11" s="35" t="s">
        <v>80</v>
      </c>
      <c r="G11" s="35">
        <v>3</v>
      </c>
      <c r="H11" s="35" t="s">
        <v>81</v>
      </c>
      <c r="I11" s="77">
        <v>34773</v>
      </c>
      <c r="J11" s="36">
        <v>8</v>
      </c>
      <c r="K11" s="36">
        <v>900</v>
      </c>
      <c r="L11" s="36">
        <v>150</v>
      </c>
      <c r="M11" s="36" t="s">
        <v>75</v>
      </c>
      <c r="N11" s="36" t="s">
        <v>76</v>
      </c>
      <c r="O11" s="35">
        <v>3</v>
      </c>
      <c r="P11" s="35">
        <v>36</v>
      </c>
      <c r="Q11" s="29"/>
      <c r="R11" s="29"/>
      <c r="S11" s="29"/>
      <c r="T11" s="27"/>
      <c r="U11" s="27"/>
      <c r="V11" s="27"/>
      <c r="W11" s="27"/>
      <c r="X11" s="27"/>
      <c r="Y11" s="27"/>
      <c r="Z11" s="27"/>
    </row>
    <row r="12" spans="1:26" ht="21" customHeight="1" x14ac:dyDescent="0.25">
      <c r="A12" s="27"/>
      <c r="B12" s="35">
        <v>4</v>
      </c>
      <c r="C12" s="36" t="s">
        <v>82</v>
      </c>
      <c r="D12" s="36" t="s">
        <v>83</v>
      </c>
      <c r="E12" s="35" t="s">
        <v>69</v>
      </c>
      <c r="F12" s="35" t="s">
        <v>68</v>
      </c>
      <c r="G12" s="35">
        <v>4</v>
      </c>
      <c r="H12" s="35" t="s">
        <v>84</v>
      </c>
      <c r="I12" s="77">
        <v>35838</v>
      </c>
      <c r="J12" s="36">
        <v>12</v>
      </c>
      <c r="K12" s="36">
        <v>1500</v>
      </c>
      <c r="L12" s="36">
        <v>250</v>
      </c>
      <c r="M12" s="36" t="s">
        <v>85</v>
      </c>
      <c r="N12" s="36" t="s">
        <v>71</v>
      </c>
      <c r="O12" s="35">
        <v>2</v>
      </c>
      <c r="P12" s="35">
        <v>35</v>
      </c>
      <c r="Q12" s="29"/>
      <c r="R12" s="29"/>
      <c r="S12" s="29"/>
      <c r="T12" s="27"/>
      <c r="U12" s="27"/>
      <c r="V12" s="27"/>
      <c r="W12" s="27"/>
      <c r="X12" s="27"/>
      <c r="Y12" s="27"/>
      <c r="Z12" s="27"/>
    </row>
    <row r="13" spans="1:26" ht="21" customHeight="1" x14ac:dyDescent="0.25">
      <c r="A13" s="27"/>
      <c r="B13" s="35">
        <v>5</v>
      </c>
      <c r="C13" s="36" t="s">
        <v>86</v>
      </c>
      <c r="D13" s="36" t="s">
        <v>87</v>
      </c>
      <c r="E13" s="35" t="s">
        <v>69</v>
      </c>
      <c r="F13" s="35" t="s">
        <v>80</v>
      </c>
      <c r="G13" s="35">
        <v>2</v>
      </c>
      <c r="H13" s="35" t="s">
        <v>81</v>
      </c>
      <c r="I13" s="77">
        <v>32431</v>
      </c>
      <c r="J13" s="36">
        <v>9</v>
      </c>
      <c r="K13" s="36">
        <v>800</v>
      </c>
      <c r="L13" s="36">
        <v>300</v>
      </c>
      <c r="M13" s="36" t="s">
        <v>70</v>
      </c>
      <c r="N13" s="36" t="s">
        <v>76</v>
      </c>
      <c r="O13" s="35">
        <v>4</v>
      </c>
      <c r="P13" s="35">
        <v>45</v>
      </c>
      <c r="Q13" s="29"/>
      <c r="R13" s="29"/>
      <c r="S13" s="29"/>
      <c r="T13" s="27"/>
      <c r="U13" s="27"/>
      <c r="V13" s="27"/>
      <c r="W13" s="27"/>
      <c r="X13" s="27"/>
      <c r="Y13" s="27"/>
      <c r="Z13" s="27"/>
    </row>
    <row r="14" spans="1:26" ht="21" customHeight="1" x14ac:dyDescent="0.25">
      <c r="A14" s="27"/>
      <c r="B14" s="35">
        <v>6</v>
      </c>
      <c r="C14" s="36" t="s">
        <v>88</v>
      </c>
      <c r="D14" s="36" t="s">
        <v>89</v>
      </c>
      <c r="E14" s="35" t="s">
        <v>79</v>
      </c>
      <c r="F14" s="35" t="s">
        <v>80</v>
      </c>
      <c r="G14" s="35">
        <v>2</v>
      </c>
      <c r="H14" s="35" t="s">
        <v>69</v>
      </c>
      <c r="I14" s="77">
        <v>35045</v>
      </c>
      <c r="J14" s="36">
        <v>10</v>
      </c>
      <c r="K14" s="36">
        <v>1100</v>
      </c>
      <c r="L14" s="36">
        <v>150</v>
      </c>
      <c r="M14" s="36" t="s">
        <v>90</v>
      </c>
      <c r="N14" s="36" t="s">
        <v>76</v>
      </c>
      <c r="O14" s="35">
        <v>5</v>
      </c>
      <c r="P14" s="35">
        <v>48</v>
      </c>
      <c r="Q14" s="29"/>
      <c r="R14" s="29"/>
      <c r="S14" s="29"/>
      <c r="T14" s="27"/>
      <c r="U14" s="27"/>
      <c r="V14" s="27"/>
      <c r="W14" s="27"/>
      <c r="X14" s="27"/>
      <c r="Y14" s="27"/>
      <c r="Z14" s="27"/>
    </row>
    <row r="15" spans="1:26" ht="21" customHeight="1" x14ac:dyDescent="0.25">
      <c r="A15" s="27"/>
      <c r="B15" s="35">
        <v>7</v>
      </c>
      <c r="C15" s="36" t="s">
        <v>91</v>
      </c>
      <c r="D15" s="36" t="s">
        <v>92</v>
      </c>
      <c r="E15" s="35" t="s">
        <v>67</v>
      </c>
      <c r="F15" s="35" t="s">
        <v>80</v>
      </c>
      <c r="G15" s="35">
        <v>3</v>
      </c>
      <c r="H15" s="35" t="s">
        <v>74</v>
      </c>
      <c r="I15" s="77">
        <v>33646</v>
      </c>
      <c r="J15" s="36">
        <v>12</v>
      </c>
      <c r="K15" s="36">
        <v>1300</v>
      </c>
      <c r="L15" s="36">
        <v>100</v>
      </c>
      <c r="M15" s="36" t="s">
        <v>75</v>
      </c>
      <c r="N15" s="36" t="s">
        <v>71</v>
      </c>
      <c r="O15" s="35">
        <v>2</v>
      </c>
      <c r="P15" s="35">
        <v>42</v>
      </c>
      <c r="Q15" s="29"/>
      <c r="R15" s="29"/>
      <c r="S15" s="29"/>
      <c r="T15" s="27"/>
      <c r="U15" s="27"/>
      <c r="V15" s="27"/>
      <c r="W15" s="27"/>
      <c r="X15" s="27"/>
      <c r="Y15" s="27"/>
      <c r="Z15" s="27"/>
    </row>
    <row r="16" spans="1:26" ht="21" customHeight="1" x14ac:dyDescent="0.25">
      <c r="A16" s="27"/>
      <c r="B16" s="35">
        <v>8</v>
      </c>
      <c r="C16" s="36" t="s">
        <v>93</v>
      </c>
      <c r="D16" s="36" t="s">
        <v>94</v>
      </c>
      <c r="E16" s="35" t="s">
        <v>79</v>
      </c>
      <c r="F16" s="35" t="s">
        <v>80</v>
      </c>
      <c r="G16" s="35">
        <v>1</v>
      </c>
      <c r="H16" s="35" t="s">
        <v>81</v>
      </c>
      <c r="I16" s="77">
        <v>29024</v>
      </c>
      <c r="J16" s="36">
        <v>15</v>
      </c>
      <c r="K16" s="36">
        <v>1500</v>
      </c>
      <c r="L16" s="36">
        <v>50</v>
      </c>
      <c r="M16" s="36" t="s">
        <v>95</v>
      </c>
      <c r="N16" s="36" t="s">
        <v>71</v>
      </c>
      <c r="O16" s="35">
        <v>3</v>
      </c>
      <c r="P16" s="35">
        <v>40</v>
      </c>
      <c r="Q16" s="29"/>
      <c r="R16" s="29"/>
      <c r="S16" s="29"/>
      <c r="T16" s="27"/>
      <c r="U16" s="27"/>
      <c r="V16" s="27"/>
      <c r="W16" s="27"/>
      <c r="X16" s="27"/>
      <c r="Y16" s="27"/>
      <c r="Z16" s="27"/>
    </row>
    <row r="17" spans="1:26" ht="21" customHeight="1" x14ac:dyDescent="0.25">
      <c r="A17" s="27"/>
      <c r="B17" s="35">
        <v>9</v>
      </c>
      <c r="C17" s="36" t="s">
        <v>96</v>
      </c>
      <c r="D17" s="36" t="s">
        <v>97</v>
      </c>
      <c r="E17" s="35" t="s">
        <v>69</v>
      </c>
      <c r="F17" s="35" t="s">
        <v>68</v>
      </c>
      <c r="G17" s="35">
        <v>5</v>
      </c>
      <c r="H17" s="35" t="s">
        <v>69</v>
      </c>
      <c r="I17" s="77">
        <v>32674</v>
      </c>
      <c r="J17" s="36">
        <v>16</v>
      </c>
      <c r="K17" s="36">
        <v>1500</v>
      </c>
      <c r="L17" s="36">
        <v>150</v>
      </c>
      <c r="M17" s="36" t="s">
        <v>90</v>
      </c>
      <c r="N17" s="36" t="s">
        <v>71</v>
      </c>
      <c r="O17" s="35">
        <v>1</v>
      </c>
      <c r="P17" s="35">
        <v>36</v>
      </c>
      <c r="Q17" s="29"/>
      <c r="R17" s="29"/>
      <c r="S17" s="29"/>
      <c r="T17" s="27"/>
      <c r="U17" s="27"/>
      <c r="V17" s="27"/>
      <c r="W17" s="27"/>
      <c r="X17" s="27"/>
      <c r="Y17" s="27"/>
      <c r="Z17" s="27"/>
    </row>
    <row r="18" spans="1:26" ht="21" customHeight="1" x14ac:dyDescent="0.25">
      <c r="A18" s="27"/>
      <c r="B18" s="35">
        <v>10</v>
      </c>
      <c r="C18" s="36" t="s">
        <v>98</v>
      </c>
      <c r="D18" s="36" t="s">
        <v>99</v>
      </c>
      <c r="E18" s="35" t="s">
        <v>79</v>
      </c>
      <c r="F18" s="35" t="s">
        <v>80</v>
      </c>
      <c r="G18" s="35">
        <v>4</v>
      </c>
      <c r="H18" s="35" t="s">
        <v>81</v>
      </c>
      <c r="I18" s="77">
        <v>36141</v>
      </c>
      <c r="J18" s="36">
        <v>9</v>
      </c>
      <c r="K18" s="36">
        <v>800</v>
      </c>
      <c r="L18" s="36">
        <v>200</v>
      </c>
      <c r="M18" s="36" t="s">
        <v>70</v>
      </c>
      <c r="N18" s="36" t="s">
        <v>76</v>
      </c>
      <c r="O18" s="35">
        <v>2</v>
      </c>
      <c r="P18" s="35">
        <v>45</v>
      </c>
      <c r="Q18" s="29"/>
      <c r="R18" s="29"/>
      <c r="S18" s="29"/>
      <c r="T18" s="27"/>
      <c r="U18" s="27"/>
      <c r="V18" s="27"/>
      <c r="W18" s="27"/>
      <c r="X18" s="27"/>
      <c r="Y18" s="27"/>
      <c r="Z18" s="27"/>
    </row>
    <row r="19" spans="1:26" ht="21" customHeight="1" x14ac:dyDescent="0.25">
      <c r="A19" s="27"/>
      <c r="B19" s="35">
        <v>11</v>
      </c>
      <c r="C19" s="36" t="s">
        <v>100</v>
      </c>
      <c r="D19" s="36" t="s">
        <v>66</v>
      </c>
      <c r="E19" s="35" t="s">
        <v>67</v>
      </c>
      <c r="F19" s="35" t="s">
        <v>68</v>
      </c>
      <c r="G19" s="35">
        <v>2</v>
      </c>
      <c r="H19" s="35" t="s">
        <v>69</v>
      </c>
      <c r="I19" s="77">
        <v>34913</v>
      </c>
      <c r="J19" s="36">
        <v>5</v>
      </c>
      <c r="K19" s="36">
        <v>600</v>
      </c>
      <c r="L19" s="36">
        <v>100</v>
      </c>
      <c r="M19" s="36" t="s">
        <v>95</v>
      </c>
      <c r="N19" s="36" t="s">
        <v>101</v>
      </c>
      <c r="O19" s="35">
        <v>3</v>
      </c>
      <c r="P19" s="35">
        <v>35</v>
      </c>
      <c r="Q19" s="29"/>
      <c r="R19" s="29"/>
      <c r="S19" s="29"/>
      <c r="T19" s="27"/>
      <c r="U19" s="27"/>
      <c r="V19" s="27"/>
      <c r="W19" s="27"/>
      <c r="X19" s="27"/>
      <c r="Y19" s="27"/>
      <c r="Z19" s="27"/>
    </row>
    <row r="20" spans="1:26" ht="21" customHeight="1" x14ac:dyDescent="0.25">
      <c r="A20" s="27"/>
      <c r="B20" s="35">
        <v>12</v>
      </c>
      <c r="C20" s="36" t="s">
        <v>102</v>
      </c>
      <c r="D20" s="36" t="s">
        <v>103</v>
      </c>
      <c r="E20" s="35" t="s">
        <v>79</v>
      </c>
      <c r="F20" s="35" t="s">
        <v>80</v>
      </c>
      <c r="G20" s="35">
        <v>4</v>
      </c>
      <c r="H20" s="35" t="s">
        <v>69</v>
      </c>
      <c r="I20" s="77">
        <v>28993</v>
      </c>
      <c r="J20" s="36">
        <v>11</v>
      </c>
      <c r="K20" s="36">
        <v>700</v>
      </c>
      <c r="L20" s="36">
        <v>250</v>
      </c>
      <c r="M20" s="36" t="s">
        <v>85</v>
      </c>
      <c r="N20" s="36" t="s">
        <v>71</v>
      </c>
      <c r="O20" s="35">
        <v>4</v>
      </c>
      <c r="P20" s="35">
        <v>46</v>
      </c>
      <c r="Q20" s="29"/>
      <c r="R20" s="29"/>
      <c r="S20" s="29"/>
      <c r="T20" s="27"/>
      <c r="U20" s="27"/>
      <c r="V20" s="27"/>
      <c r="W20" s="27"/>
      <c r="X20" s="27"/>
      <c r="Y20" s="27"/>
      <c r="Z20" s="27"/>
    </row>
    <row r="21" spans="1:26" ht="15.7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9"/>
      <c r="R21" s="29"/>
      <c r="S21" s="29"/>
      <c r="T21" s="27"/>
      <c r="U21" s="27"/>
      <c r="V21" s="27"/>
      <c r="W21" s="27"/>
      <c r="X21" s="27"/>
      <c r="Y21" s="27"/>
      <c r="Z21" s="27"/>
    </row>
    <row r="22" spans="1:26" ht="15.75" customHeight="1" x14ac:dyDescent="0.25">
      <c r="A22" s="27"/>
      <c r="B22" s="27"/>
      <c r="C22" s="37" t="s">
        <v>104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21" customHeight="1" x14ac:dyDescent="0.25">
      <c r="A23" s="27"/>
      <c r="B23" s="27">
        <v>1</v>
      </c>
      <c r="C23" s="38" t="s">
        <v>105</v>
      </c>
      <c r="D23" s="39"/>
      <c r="E23" s="27"/>
      <c r="F23" s="27"/>
      <c r="G23" s="27"/>
      <c r="H23" s="27"/>
      <c r="I23" s="27"/>
      <c r="J23" s="27"/>
      <c r="K23" s="27"/>
      <c r="L23" s="27"/>
      <c r="M23" s="27"/>
      <c r="N23" s="40">
        <f>AVERAGEIFS(P9:P20,F9:F20,"M",H9:H20,"S",E9:E20,"A")</f>
        <v>50</v>
      </c>
      <c r="O23" s="27"/>
      <c r="P23" s="41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21" customHeight="1" x14ac:dyDescent="0.25">
      <c r="A24" s="27"/>
      <c r="B24" s="27">
        <v>2</v>
      </c>
      <c r="C24" s="38" t="s">
        <v>106</v>
      </c>
      <c r="D24" s="42"/>
      <c r="E24" s="42"/>
      <c r="F24" s="42"/>
      <c r="G24" s="42"/>
      <c r="H24" s="42"/>
      <c r="I24" s="27"/>
      <c r="J24" s="27"/>
      <c r="K24" s="27"/>
      <c r="L24" s="27"/>
      <c r="M24" s="27"/>
      <c r="N24" s="40">
        <f>AVERAGEIF(E9:E20,"A",P9:P20)</f>
        <v>43.75</v>
      </c>
      <c r="O24" s="27"/>
      <c r="P24" s="43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21" customHeight="1" x14ac:dyDescent="0.25">
      <c r="A25" s="27"/>
      <c r="B25" s="27">
        <v>3</v>
      </c>
      <c r="C25" s="38" t="s">
        <v>107</v>
      </c>
      <c r="D25" s="44"/>
      <c r="E25" s="27"/>
      <c r="F25" s="27"/>
      <c r="G25" s="27"/>
      <c r="H25" s="27"/>
      <c r="I25" s="27"/>
      <c r="J25" s="27"/>
      <c r="K25" s="27"/>
      <c r="L25" s="27"/>
      <c r="M25" s="27"/>
      <c r="N25" s="40">
        <f>COUNTIFS(G9:G20,"&gt;3",J9:J20,"&gt;5")</f>
        <v>4</v>
      </c>
      <c r="O25" s="27"/>
      <c r="P25" s="43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21" customHeight="1" x14ac:dyDescent="0.2">
      <c r="A26" s="27"/>
      <c r="B26" s="27">
        <v>4</v>
      </c>
      <c r="C26" s="38" t="s">
        <v>108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0">
        <f>COUNTIF(G9:G20,"2")</f>
        <v>3</v>
      </c>
      <c r="O26" s="27"/>
      <c r="P26" s="41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21" customHeight="1" x14ac:dyDescent="0.2">
      <c r="A27" s="27"/>
      <c r="B27" s="27">
        <v>5</v>
      </c>
      <c r="C27" s="38" t="s">
        <v>109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40">
        <f>COUNTIF(C9:C20,"*A")</f>
        <v>2</v>
      </c>
      <c r="O27" s="27"/>
      <c r="P27" s="41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21" customHeight="1" x14ac:dyDescent="0.25">
      <c r="A28" s="27"/>
      <c r="B28" s="27">
        <v>6</v>
      </c>
      <c r="C28" s="38" t="s">
        <v>110</v>
      </c>
      <c r="D28" s="39"/>
      <c r="E28" s="27"/>
      <c r="F28" s="27"/>
      <c r="G28" s="27"/>
      <c r="H28" s="27"/>
      <c r="I28" s="27"/>
      <c r="J28" s="27"/>
      <c r="K28" s="27"/>
      <c r="L28" s="27"/>
      <c r="M28" s="27"/>
      <c r="N28" s="40">
        <f>AVERAGEIFS(G9:G20,F9:F20,"F",H9:H20,"C",J9:J20,"&gt;5")</f>
        <v>3</v>
      </c>
      <c r="O28" s="27"/>
      <c r="P28" s="41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21" customHeight="1" x14ac:dyDescent="0.25">
      <c r="A29" s="27"/>
      <c r="B29" s="27">
        <v>7</v>
      </c>
      <c r="C29" s="38" t="s">
        <v>111</v>
      </c>
      <c r="D29" s="42"/>
      <c r="E29" s="42"/>
      <c r="F29" s="42"/>
      <c r="G29" s="42"/>
      <c r="H29" s="42"/>
      <c r="I29" s="27"/>
      <c r="J29" s="27"/>
      <c r="K29" s="27"/>
      <c r="L29" s="27"/>
      <c r="M29" s="27"/>
      <c r="N29" s="40">
        <f>AVERAGEIF(J9:J20,"&gt;5",G9:G20)</f>
        <v>2.8</v>
      </c>
      <c r="O29" s="27"/>
      <c r="P29" s="43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21" customHeight="1" x14ac:dyDescent="0.25">
      <c r="A30" s="27"/>
      <c r="B30" s="27">
        <v>8</v>
      </c>
      <c r="C30" s="38" t="s">
        <v>112</v>
      </c>
      <c r="D30" s="44"/>
      <c r="E30" s="27"/>
      <c r="F30" s="27"/>
      <c r="G30" s="27"/>
      <c r="H30" s="27"/>
      <c r="I30" s="27"/>
      <c r="J30" s="27"/>
      <c r="K30" s="27"/>
      <c r="L30" s="27"/>
      <c r="M30" s="27"/>
      <c r="N30" s="40">
        <f>COUNTIFS(L9:L20,"&gt;100",H9:H20,"V")</f>
        <v>3</v>
      </c>
      <c r="O30" s="27"/>
      <c r="P30" s="43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21" customHeight="1" x14ac:dyDescent="0.2">
      <c r="A31" s="27"/>
      <c r="B31" s="27">
        <v>9</v>
      </c>
      <c r="C31" s="38" t="s">
        <v>113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0">
        <f>COUNTIF(J9:J20,"&gt;10")</f>
        <v>5</v>
      </c>
      <c r="O31" s="27"/>
      <c r="P31" s="41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21" customHeight="1" x14ac:dyDescent="0.25">
      <c r="A32" s="27"/>
      <c r="B32" s="27">
        <v>10</v>
      </c>
      <c r="C32" s="38" t="s">
        <v>114</v>
      </c>
      <c r="D32" s="39"/>
      <c r="E32" s="27"/>
      <c r="F32" s="27"/>
      <c r="G32" s="27"/>
      <c r="H32" s="27"/>
      <c r="I32" s="27"/>
      <c r="J32" s="27"/>
      <c r="K32" s="27"/>
      <c r="L32" s="27"/>
      <c r="M32" s="27"/>
      <c r="N32" s="40">
        <f>AVERAGEIFS(L9:L20,M9:M20,"Surco",N9:N20,"Contratado")</f>
        <v>225</v>
      </c>
      <c r="O32" s="27"/>
      <c r="P32" s="45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21" customHeight="1" x14ac:dyDescent="0.2">
      <c r="A33" s="27"/>
      <c r="B33" s="27">
        <v>11</v>
      </c>
      <c r="C33" s="38" t="s">
        <v>115</v>
      </c>
      <c r="D33" s="42"/>
      <c r="E33" s="42"/>
      <c r="F33" s="42"/>
      <c r="G33" s="42"/>
      <c r="H33" s="42"/>
      <c r="I33" s="27"/>
      <c r="J33" s="27"/>
      <c r="K33" s="27"/>
      <c r="L33" s="27"/>
      <c r="M33" s="27"/>
      <c r="N33" s="40">
        <f>AVERAGEIF(M9:M20,"Surco",L9:L20)</f>
        <v>183.33333333333334</v>
      </c>
      <c r="O33" s="46"/>
      <c r="P33" s="45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21" customHeight="1" x14ac:dyDescent="0.25">
      <c r="A34" s="27"/>
      <c r="B34" s="27">
        <v>12</v>
      </c>
      <c r="C34" s="38" t="s">
        <v>116</v>
      </c>
      <c r="D34" s="44"/>
      <c r="E34" s="27"/>
      <c r="F34" s="27"/>
      <c r="G34" s="27"/>
      <c r="H34" s="27"/>
      <c r="I34" s="27"/>
      <c r="J34" s="27"/>
      <c r="K34" s="27"/>
      <c r="L34" s="27"/>
      <c r="M34" s="27"/>
      <c r="N34" s="40">
        <f>COUNTIFS(F9:F20,"F",G9:G20,"&gt;2")</f>
        <v>4</v>
      </c>
      <c r="O34" s="27"/>
      <c r="P34" s="43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21" customHeight="1" x14ac:dyDescent="0.2">
      <c r="A35" s="27"/>
      <c r="B35" s="27">
        <v>13</v>
      </c>
      <c r="C35" s="38" t="s">
        <v>117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0">
        <f>COUNTIF(H9:H20,"C")</f>
        <v>5</v>
      </c>
      <c r="O35" s="27"/>
      <c r="P35" s="41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21" customHeight="1" x14ac:dyDescent="0.25">
      <c r="A36" s="27"/>
      <c r="B36" s="27">
        <v>14</v>
      </c>
      <c r="C36" s="38" t="s">
        <v>118</v>
      </c>
      <c r="D36" s="39"/>
      <c r="E36" s="27"/>
      <c r="F36" s="27"/>
      <c r="G36" s="27"/>
      <c r="H36" s="27"/>
      <c r="I36" s="27"/>
      <c r="J36" s="27"/>
      <c r="K36" s="27"/>
      <c r="L36" s="27"/>
      <c r="M36" s="27"/>
      <c r="N36" s="40">
        <f>AVERAGEIFS(P9:P20,F9:F20,"M",M9:M20,"Comas")</f>
        <v>48</v>
      </c>
      <c r="O36" s="27"/>
      <c r="P36" s="41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21" customHeight="1" x14ac:dyDescent="0.25">
      <c r="A37" s="27"/>
      <c r="B37" s="27">
        <v>15</v>
      </c>
      <c r="C37" s="38" t="s">
        <v>119</v>
      </c>
      <c r="D37" s="42"/>
      <c r="E37" s="42"/>
      <c r="F37" s="42"/>
      <c r="G37" s="42"/>
      <c r="H37" s="42"/>
      <c r="I37" s="27"/>
      <c r="J37" s="27"/>
      <c r="K37" s="27"/>
      <c r="L37" s="27"/>
      <c r="M37" s="27"/>
      <c r="N37" s="40">
        <f>AVERAGEIFS(P9:P20,N9:N20,"Permanente")</f>
        <v>41.166666666666664</v>
      </c>
      <c r="O37" s="27"/>
      <c r="P37" s="43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 x14ac:dyDescent="0.2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 x14ac:dyDescent="0.2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 x14ac:dyDescent="0.2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 x14ac:dyDescent="0.2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 x14ac:dyDescent="0.2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 x14ac:dyDescent="0.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 x14ac:dyDescent="0.2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 x14ac:dyDescent="0.2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 x14ac:dyDescent="0.2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 x14ac:dyDescent="0.2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 x14ac:dyDescent="0.2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 x14ac:dyDescent="0.2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5.75" customHeight="1" x14ac:dyDescent="0.2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5.75" customHeight="1" x14ac:dyDescent="0.2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">
    <mergeCell ref="B5:P5"/>
    <mergeCell ref="B7:P7"/>
  </mergeCells>
  <pageMargins left="0.39370078740157483" right="0.39370078740157483" top="0.39370078740157483" bottom="0.39370078740157483" header="0" footer="0"/>
  <pageSetup paperSize="9" scale="9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</sheetPr>
  <dimension ref="A1:Z1000"/>
  <sheetViews>
    <sheetView showGridLines="0" workbookViewId="0">
      <selection activeCell="L24" sqref="L24"/>
    </sheetView>
  </sheetViews>
  <sheetFormatPr baseColWidth="10" defaultColWidth="14.42578125" defaultRowHeight="15" customHeight="1" x14ac:dyDescent="0.2"/>
  <cols>
    <col min="1" max="1" width="15.7109375" customWidth="1"/>
    <col min="2" max="2" width="5" customWidth="1"/>
    <col min="3" max="3" width="23.7109375" customWidth="1"/>
    <col min="4" max="4" width="15" customWidth="1"/>
    <col min="5" max="5" width="7.140625" customWidth="1"/>
    <col min="6" max="6" width="10.7109375" customWidth="1"/>
    <col min="7" max="7" width="15" customWidth="1"/>
    <col min="8" max="8" width="12.140625" customWidth="1"/>
    <col min="9" max="9" width="14.42578125" customWidth="1"/>
    <col min="10" max="10" width="13.42578125" customWidth="1"/>
    <col min="11" max="11" width="9.5703125" customWidth="1"/>
    <col min="12" max="26" width="10.7109375" customWidth="1"/>
  </cols>
  <sheetData>
    <row r="1" spans="1:26" ht="22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5.2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8.25" customHeight="1" x14ac:dyDescent="0.25">
      <c r="A3" s="2"/>
      <c r="B3" s="2"/>
      <c r="C3" s="111" t="s">
        <v>120</v>
      </c>
      <c r="D3" s="112"/>
      <c r="E3" s="112"/>
      <c r="F3" s="112"/>
      <c r="G3" s="112"/>
      <c r="H3" s="112"/>
      <c r="I3" s="112"/>
      <c r="J3" s="11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2">
      <c r="A4" s="2"/>
      <c r="B4" s="2"/>
      <c r="C4" s="114" t="s">
        <v>121</v>
      </c>
      <c r="D4" s="92"/>
      <c r="E4" s="92"/>
      <c r="F4" s="92"/>
      <c r="G4" s="92"/>
      <c r="H4" s="92"/>
      <c r="I4" s="92"/>
      <c r="J4" s="11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.75" customHeight="1" x14ac:dyDescent="0.2">
      <c r="A5" s="2"/>
      <c r="B5" s="2"/>
      <c r="C5" s="78"/>
      <c r="D5" s="78"/>
      <c r="E5" s="78"/>
      <c r="F5" s="78"/>
      <c r="G5" s="78"/>
      <c r="H5" s="78"/>
      <c r="I5" s="78"/>
      <c r="J5" s="7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2">
      <c r="A6" s="2"/>
      <c r="B6" s="2"/>
      <c r="C6" s="47" t="s">
        <v>122</v>
      </c>
      <c r="D6" s="47" t="s">
        <v>123</v>
      </c>
      <c r="E6" s="47" t="s">
        <v>124</v>
      </c>
      <c r="F6" s="47" t="s">
        <v>125</v>
      </c>
      <c r="G6" s="47" t="s">
        <v>126</v>
      </c>
      <c r="H6" s="47" t="s">
        <v>127</v>
      </c>
      <c r="I6" s="47" t="s">
        <v>128</v>
      </c>
      <c r="J6" s="47" t="s">
        <v>129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2">
      <c r="A7" s="2"/>
      <c r="B7" s="2">
        <v>1</v>
      </c>
      <c r="C7" s="48" t="s">
        <v>130</v>
      </c>
      <c r="D7" s="48" t="s">
        <v>77</v>
      </c>
      <c r="E7" s="49">
        <v>23</v>
      </c>
      <c r="F7" s="48" t="s">
        <v>131</v>
      </c>
      <c r="G7" s="48" t="s">
        <v>132</v>
      </c>
      <c r="H7" s="50">
        <v>39176</v>
      </c>
      <c r="I7" s="48">
        <v>97875421</v>
      </c>
      <c r="J7" s="51">
        <v>850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2">
      <c r="A8" s="2"/>
      <c r="B8" s="2">
        <v>2</v>
      </c>
      <c r="C8" s="48" t="s">
        <v>133</v>
      </c>
      <c r="D8" s="48" t="s">
        <v>82</v>
      </c>
      <c r="E8" s="49">
        <v>20</v>
      </c>
      <c r="F8" s="48" t="s">
        <v>131</v>
      </c>
      <c r="G8" s="48" t="s">
        <v>134</v>
      </c>
      <c r="H8" s="50">
        <v>40000</v>
      </c>
      <c r="I8" s="48">
        <v>98452132</v>
      </c>
      <c r="J8" s="51">
        <v>550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2">
      <c r="A9" s="2"/>
      <c r="B9" s="2">
        <v>3</v>
      </c>
      <c r="C9" s="48" t="s">
        <v>135</v>
      </c>
      <c r="D9" s="48" t="s">
        <v>88</v>
      </c>
      <c r="E9" s="49">
        <v>24</v>
      </c>
      <c r="F9" s="48" t="s">
        <v>131</v>
      </c>
      <c r="G9" s="48" t="s">
        <v>132</v>
      </c>
      <c r="H9" s="50">
        <v>39269</v>
      </c>
      <c r="I9" s="48"/>
      <c r="J9" s="51">
        <v>550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2">
      <c r="A10" s="2"/>
      <c r="B10" s="2">
        <v>4</v>
      </c>
      <c r="C10" s="48" t="s">
        <v>136</v>
      </c>
      <c r="D10" s="48" t="s">
        <v>91</v>
      </c>
      <c r="E10" s="49">
        <v>24</v>
      </c>
      <c r="F10" s="48" t="s">
        <v>131</v>
      </c>
      <c r="G10" s="48" t="s">
        <v>137</v>
      </c>
      <c r="H10" s="50">
        <v>39632</v>
      </c>
      <c r="I10" s="48">
        <v>91748523</v>
      </c>
      <c r="J10" s="51">
        <v>700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>
        <v>5</v>
      </c>
      <c r="C11" s="48" t="s">
        <v>138</v>
      </c>
      <c r="D11" s="48" t="s">
        <v>93</v>
      </c>
      <c r="E11" s="49">
        <v>24</v>
      </c>
      <c r="F11" s="48" t="s">
        <v>131</v>
      </c>
      <c r="G11" s="48" t="s">
        <v>134</v>
      </c>
      <c r="H11" s="50">
        <v>39177</v>
      </c>
      <c r="I11" s="48">
        <v>3304025</v>
      </c>
      <c r="J11" s="51">
        <v>550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 x14ac:dyDescent="0.2">
      <c r="A12" s="2"/>
      <c r="B12" s="2">
        <v>6</v>
      </c>
      <c r="C12" s="48" t="s">
        <v>66</v>
      </c>
      <c r="D12" s="48" t="s">
        <v>98</v>
      </c>
      <c r="E12" s="49">
        <v>26</v>
      </c>
      <c r="F12" s="48" t="s">
        <v>139</v>
      </c>
      <c r="G12" s="48" t="s">
        <v>132</v>
      </c>
      <c r="H12" s="50">
        <v>39508</v>
      </c>
      <c r="I12" s="48">
        <v>2785412</v>
      </c>
      <c r="J12" s="51">
        <v>700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2">
      <c r="A13" s="2"/>
      <c r="B13" s="2">
        <v>7</v>
      </c>
      <c r="C13" s="48" t="s">
        <v>140</v>
      </c>
      <c r="D13" s="48" t="s">
        <v>102</v>
      </c>
      <c r="E13" s="49">
        <v>17</v>
      </c>
      <c r="F13" s="48" t="s">
        <v>139</v>
      </c>
      <c r="G13" s="48" t="s">
        <v>134</v>
      </c>
      <c r="H13" s="50">
        <v>39936</v>
      </c>
      <c r="I13" s="48"/>
      <c r="J13" s="51">
        <v>500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2">
      <c r="A14" s="2"/>
      <c r="B14" s="2">
        <v>8</v>
      </c>
      <c r="C14" s="48" t="s">
        <v>141</v>
      </c>
      <c r="D14" s="48" t="s">
        <v>65</v>
      </c>
      <c r="E14" s="49">
        <v>29</v>
      </c>
      <c r="F14" s="48" t="s">
        <v>139</v>
      </c>
      <c r="G14" s="48" t="s">
        <v>137</v>
      </c>
      <c r="H14" s="50">
        <v>39541</v>
      </c>
      <c r="I14" s="48"/>
      <c r="J14" s="51">
        <v>650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2">
      <c r="A15" s="2"/>
      <c r="B15" s="2">
        <v>9</v>
      </c>
      <c r="C15" s="48" t="s">
        <v>142</v>
      </c>
      <c r="D15" s="48" t="s">
        <v>72</v>
      </c>
      <c r="E15" s="49">
        <v>19</v>
      </c>
      <c r="F15" s="48" t="s">
        <v>139</v>
      </c>
      <c r="G15" s="48" t="s">
        <v>134</v>
      </c>
      <c r="H15" s="50">
        <v>39544</v>
      </c>
      <c r="I15" s="48"/>
      <c r="J15" s="51">
        <v>550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2">
      <c r="A16" s="2"/>
      <c r="B16" s="2">
        <v>10</v>
      </c>
      <c r="C16" s="48" t="s">
        <v>143</v>
      </c>
      <c r="D16" s="48" t="s">
        <v>86</v>
      </c>
      <c r="E16" s="49">
        <v>21</v>
      </c>
      <c r="F16" s="48" t="s">
        <v>139</v>
      </c>
      <c r="G16" s="48" t="s">
        <v>134</v>
      </c>
      <c r="H16" s="50">
        <v>39554</v>
      </c>
      <c r="I16" s="48">
        <v>4589753</v>
      </c>
      <c r="J16" s="51">
        <v>570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2">
      <c r="A17" s="2"/>
      <c r="B17" s="2">
        <v>11</v>
      </c>
      <c r="C17" s="48" t="s">
        <v>144</v>
      </c>
      <c r="D17" s="48" t="s">
        <v>96</v>
      </c>
      <c r="E17" s="49">
        <v>16</v>
      </c>
      <c r="F17" s="48" t="s">
        <v>139</v>
      </c>
      <c r="G17" s="48" t="s">
        <v>137</v>
      </c>
      <c r="H17" s="50">
        <v>39328</v>
      </c>
      <c r="I17" s="48">
        <v>4859712</v>
      </c>
      <c r="J17" s="51">
        <v>480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2">
      <c r="A18" s="2"/>
      <c r="B18" s="2">
        <v>12</v>
      </c>
      <c r="C18" s="48" t="s">
        <v>145</v>
      </c>
      <c r="D18" s="48" t="s">
        <v>146</v>
      </c>
      <c r="E18" s="49">
        <v>26</v>
      </c>
      <c r="F18" s="48" t="s">
        <v>139</v>
      </c>
      <c r="G18" s="48" t="s">
        <v>137</v>
      </c>
      <c r="H18" s="50">
        <v>39557</v>
      </c>
      <c r="I18" s="48"/>
      <c r="J18" s="51">
        <v>730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7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2">
      <c r="A20" s="80"/>
      <c r="B20" s="80"/>
      <c r="C20" s="52" t="s">
        <v>147</v>
      </c>
      <c r="D20" s="53">
        <f>COUNT(B7:B18)</f>
        <v>12</v>
      </c>
      <c r="E20" s="54"/>
      <c r="F20" s="55" t="s">
        <v>148</v>
      </c>
      <c r="G20" s="81"/>
      <c r="H20" s="82"/>
      <c r="I20" s="53">
        <f>COUNTIF(H7:H18,"&gt;=01/01/2008")</f>
        <v>8</v>
      </c>
      <c r="J20" s="56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21" customHeight="1" x14ac:dyDescent="0.2">
      <c r="A21" s="80"/>
      <c r="B21" s="80"/>
      <c r="C21" s="57" t="s">
        <v>149</v>
      </c>
      <c r="D21" s="53">
        <f>COUNTIF(F7:F18,"Masculino")</f>
        <v>7</v>
      </c>
      <c r="E21" s="54"/>
      <c r="F21" s="58" t="s">
        <v>150</v>
      </c>
      <c r="G21" s="83"/>
      <c r="H21" s="84"/>
      <c r="I21" s="53">
        <f>COUNTIF(E7:E18,"&gt;=18")</f>
        <v>10</v>
      </c>
      <c r="J21" s="56"/>
      <c r="K21" s="59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21" customHeight="1" x14ac:dyDescent="0.2">
      <c r="A22" s="80"/>
      <c r="B22" s="80"/>
      <c r="C22" s="57" t="s">
        <v>151</v>
      </c>
      <c r="D22" s="53">
        <f>COUNTIF(F7:F18,"Femenino")</f>
        <v>5</v>
      </c>
      <c r="E22" s="54"/>
      <c r="F22" s="58" t="s">
        <v>152</v>
      </c>
      <c r="G22" s="83"/>
      <c r="H22" s="84"/>
      <c r="I22" s="53">
        <f>COUNTIF(E7:E18,"&lt;18")</f>
        <v>2</v>
      </c>
      <c r="J22" s="56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21" customHeight="1" x14ac:dyDescent="0.2">
      <c r="A23" s="80"/>
      <c r="B23" s="80"/>
      <c r="C23" s="57" t="s">
        <v>153</v>
      </c>
      <c r="D23" s="60">
        <f>7*100/12</f>
        <v>58.333333333333336</v>
      </c>
      <c r="E23" s="54"/>
      <c r="F23" s="70" t="s">
        <v>154</v>
      </c>
      <c r="G23" s="85"/>
      <c r="H23" s="86"/>
      <c r="I23" s="53">
        <f>COUNTIF(G7:G18,"Derecho")+COUNTIF(G7:G18,"Negocios")</f>
        <v>7</v>
      </c>
      <c r="J23" s="56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21" customHeight="1" x14ac:dyDescent="0.2">
      <c r="A24" s="80"/>
      <c r="B24" s="80"/>
      <c r="C24" s="61" t="s">
        <v>155</v>
      </c>
      <c r="D24" s="60">
        <f>5*100/12</f>
        <v>41.666666666666664</v>
      </c>
      <c r="E24" s="54"/>
      <c r="F24" s="2"/>
      <c r="G24" s="2"/>
      <c r="H24" s="2"/>
      <c r="I24" s="2"/>
      <c r="J24" s="2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4.25" customHeight="1" x14ac:dyDescent="0.2">
      <c r="A25" s="2"/>
      <c r="B25" s="2"/>
      <c r="C25" s="2"/>
      <c r="D25" s="2"/>
      <c r="E25" s="62"/>
      <c r="F25" s="63" t="s">
        <v>156</v>
      </c>
      <c r="G25" s="64"/>
      <c r="H25" s="65"/>
      <c r="I25" s="53">
        <f>COUNTIF(G7:G18,"Administracion")</f>
        <v>5</v>
      </c>
      <c r="J25" s="5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2">
      <c r="A26" s="80"/>
      <c r="B26" s="80"/>
      <c r="C26" s="80"/>
      <c r="D26" s="80"/>
      <c r="E26" s="66"/>
      <c r="F26" s="67" t="s">
        <v>157</v>
      </c>
      <c r="G26" s="68"/>
      <c r="H26" s="69"/>
      <c r="I26" s="53">
        <f>COUNTIF(G7:G18,"Derecho")</f>
        <v>3</v>
      </c>
      <c r="J26" s="56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21" customHeight="1" x14ac:dyDescent="0.2">
      <c r="A27" s="80"/>
      <c r="B27" s="80"/>
      <c r="C27" s="80"/>
      <c r="D27" s="80"/>
      <c r="E27" s="66"/>
      <c r="F27" s="67" t="s">
        <v>158</v>
      </c>
      <c r="G27" s="68"/>
      <c r="H27" s="69"/>
      <c r="I27" s="53">
        <f>COUNTIF(G7:G18,"Negocios")</f>
        <v>4</v>
      </c>
      <c r="J27" s="56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21" customHeight="1" x14ac:dyDescent="0.2">
      <c r="A28" s="80"/>
      <c r="B28" s="80"/>
      <c r="C28" s="80"/>
      <c r="D28" s="80"/>
      <c r="E28" s="66"/>
      <c r="F28" s="67" t="s">
        <v>159</v>
      </c>
      <c r="G28" s="68"/>
      <c r="H28" s="69"/>
      <c r="I28" s="53">
        <f>COUNT(I7:I18)</f>
        <v>7</v>
      </c>
      <c r="J28" s="56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21" customHeight="1" x14ac:dyDescent="0.2">
      <c r="A29" s="80"/>
      <c r="B29" s="80"/>
      <c r="C29" s="80"/>
      <c r="D29" s="80"/>
      <c r="E29" s="66"/>
      <c r="F29" s="116" t="s">
        <v>160</v>
      </c>
      <c r="G29" s="117"/>
      <c r="H29" s="118"/>
      <c r="I29" s="53">
        <f>COUNTBLANK(I7:I18)</f>
        <v>5</v>
      </c>
      <c r="J29" s="56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21" customHeight="1" x14ac:dyDescent="0.2">
      <c r="A30" s="80"/>
      <c r="B30" s="80"/>
      <c r="C30" s="80"/>
      <c r="D30" s="80"/>
      <c r="E30" s="66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4.25" customHeight="1" x14ac:dyDescent="0.2">
      <c r="A31" s="2"/>
      <c r="B31" s="2"/>
      <c r="C31" s="2"/>
      <c r="D31" s="2"/>
      <c r="E31" s="6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2"/>
      <c r="B32" s="2"/>
      <c r="C32" s="2"/>
      <c r="D32" s="2"/>
      <c r="E32" s="6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C3:J3"/>
    <mergeCell ref="C4:J4"/>
    <mergeCell ref="F29:H29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Ejer. Nº 01</vt:lpstr>
      <vt:lpstr>Ejer. Nº 02</vt:lpstr>
      <vt:lpstr>Ejer. Nº 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Ing. Silvia Luz Farje Ponce</dc:creator>
  <cp:keywords/>
  <dc:description/>
  <cp:lastModifiedBy>Renzo Daniel Falconi Rodriguez</cp:lastModifiedBy>
  <cp:revision/>
  <dcterms:created xsi:type="dcterms:W3CDTF">2002-10-11T20:16:12Z</dcterms:created>
  <dcterms:modified xsi:type="dcterms:W3CDTF">2022-04-20T03:21:03Z</dcterms:modified>
  <cp:category/>
  <cp:contentStatus/>
</cp:coreProperties>
</file>