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sa/Desktop/"/>
    </mc:Choice>
  </mc:AlternateContent>
  <xr:revisionPtr revIDLastSave="0" documentId="13_ncr:1_{FE48CB63-465B-8F41-9D7D-9344668C6545}" xr6:coauthVersionLast="47" xr6:coauthVersionMax="47" xr10:uidLastSave="{00000000-0000-0000-0000-000000000000}"/>
  <bookViews>
    <workbookView xWindow="1980" yWindow="3040" windowWidth="16380" windowHeight="8200" tabRatio="500" activeTab="1" xr2:uid="{00000000-000D-0000-FFFF-FFFF00000000}"/>
  </bookViews>
  <sheets>
    <sheet name="Mortality" sheetId="1" r:id="rId1"/>
    <sheet name="PWP" sheetId="2" r:id="rId2"/>
    <sheet name="PWP Vs HDFC C2Invest" sheetId="3" state="hidden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26" i="3" l="1"/>
  <c r="B26" i="3"/>
  <c r="Q25" i="3"/>
  <c r="P25" i="3"/>
  <c r="N25" i="3"/>
  <c r="M25" i="3"/>
  <c r="L25" i="3"/>
  <c r="K25" i="3"/>
  <c r="O25" i="3" s="1"/>
  <c r="H25" i="3"/>
  <c r="F25" i="3"/>
  <c r="E25" i="3"/>
  <c r="D25" i="3"/>
  <c r="C25" i="3"/>
  <c r="G25" i="3" s="1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F16" i="2"/>
  <c r="F15" i="2"/>
  <c r="F14" i="2"/>
  <c r="F13" i="2"/>
  <c r="F12" i="2"/>
  <c r="F11" i="2"/>
  <c r="D11" i="2"/>
  <c r="F10" i="2"/>
  <c r="D10" i="2"/>
  <c r="F9" i="2"/>
  <c r="E9" i="2"/>
  <c r="D9" i="2"/>
  <c r="E8" i="2"/>
  <c r="F8" i="2" s="1"/>
  <c r="D8" i="2"/>
  <c r="B8" i="2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F7" i="2"/>
  <c r="E7" i="2"/>
  <c r="D7" i="2"/>
  <c r="M4" i="2"/>
  <c r="L4" i="2"/>
  <c r="C49" i="1"/>
  <c r="C48" i="1"/>
  <c r="C47" i="1"/>
  <c r="C46" i="1"/>
  <c r="E45" i="1"/>
  <c r="E46" i="1" s="1"/>
  <c r="C45" i="1"/>
  <c r="C44" i="1"/>
  <c r="C43" i="1"/>
  <c r="C42" i="1"/>
  <c r="C41" i="1"/>
  <c r="C40" i="1"/>
  <c r="C39" i="1"/>
  <c r="C38" i="1"/>
  <c r="C37" i="1"/>
  <c r="C36" i="1"/>
  <c r="C35" i="1"/>
  <c r="I35" i="1" s="1"/>
  <c r="I36" i="1" s="1"/>
  <c r="I37" i="1" s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E20" i="1"/>
  <c r="E21" i="1" s="1"/>
  <c r="C20" i="1"/>
  <c r="C19" i="1"/>
  <c r="C18" i="1"/>
  <c r="C17" i="1"/>
  <c r="C16" i="1"/>
  <c r="C15" i="1"/>
  <c r="C14" i="1"/>
  <c r="I15" i="1" s="1"/>
  <c r="C13" i="1"/>
  <c r="C12" i="1"/>
  <c r="C11" i="1"/>
  <c r="E10" i="1"/>
  <c r="D10" i="1"/>
  <c r="C10" i="1"/>
  <c r="J10" i="1" s="1"/>
  <c r="C9" i="1"/>
  <c r="C8" i="1"/>
  <c r="H8" i="1" s="1"/>
  <c r="H7" i="1" s="1"/>
  <c r="C7" i="1"/>
  <c r="C6" i="1"/>
  <c r="H6" i="1" s="1"/>
  <c r="H5" i="1" s="1"/>
  <c r="C5" i="1"/>
  <c r="C4" i="1"/>
  <c r="G15" i="2" l="1"/>
  <c r="D11" i="1"/>
  <c r="D12" i="1" s="1"/>
  <c r="D13" i="1" s="1"/>
  <c r="D14" i="1" s="1"/>
  <c r="D15" i="1" s="1"/>
  <c r="D16" i="1" s="1"/>
  <c r="D17" i="1" s="1"/>
  <c r="D18" i="1" s="1"/>
  <c r="G14" i="2"/>
  <c r="G17" i="2"/>
  <c r="G21" i="2"/>
  <c r="G23" i="2"/>
  <c r="D31" i="1"/>
  <c r="E35" i="1"/>
  <c r="E36" i="1" s="1"/>
  <c r="E37" i="1" s="1"/>
  <c r="J40" i="1"/>
  <c r="J41" i="1" s="1"/>
  <c r="J42" i="1" s="1"/>
  <c r="J43" i="1" s="1"/>
  <c r="J44" i="1" s="1"/>
  <c r="J45" i="1" s="1"/>
  <c r="J46" i="1" s="1"/>
  <c r="J47" i="1" s="1"/>
  <c r="J48" i="1" s="1"/>
  <c r="J49" i="1" s="1"/>
  <c r="D40" i="1"/>
  <c r="D41" i="1" s="1"/>
  <c r="D42" i="1" s="1"/>
  <c r="D43" i="1" s="1"/>
  <c r="D44" i="1" s="1"/>
  <c r="D45" i="1" s="1"/>
  <c r="D46" i="1" s="1"/>
  <c r="D47" i="1" s="1"/>
  <c r="D48" i="1" s="1"/>
  <c r="H40" i="1"/>
  <c r="H41" i="1" s="1"/>
  <c r="H42" i="1" s="1"/>
  <c r="H43" i="1" s="1"/>
  <c r="H44" i="1" s="1"/>
  <c r="H45" i="1" s="1"/>
  <c r="H46" i="1" s="1"/>
  <c r="H47" i="1" s="1"/>
  <c r="H48" i="1" s="1"/>
  <c r="H49" i="1" s="1"/>
  <c r="I45" i="1"/>
  <c r="I46" i="1" s="1"/>
  <c r="E11" i="1"/>
  <c r="G7" i="2"/>
  <c r="H7" i="2" s="1"/>
  <c r="K7" i="2" s="1"/>
  <c r="L7" i="2" s="1"/>
  <c r="M7" i="2" s="1"/>
  <c r="E16" i="1"/>
  <c r="G11" i="2"/>
  <c r="G13" i="2"/>
  <c r="E22" i="1"/>
  <c r="E23" i="1" s="1"/>
  <c r="E25" i="1"/>
  <c r="E26" i="1" s="1"/>
  <c r="E27" i="1" s="1"/>
  <c r="E28" i="1" s="1"/>
  <c r="G20" i="2"/>
  <c r="H30" i="1"/>
  <c r="H31" i="1" s="1"/>
  <c r="H32" i="1" s="1"/>
  <c r="H33" i="1" s="1"/>
  <c r="H34" i="1" s="1"/>
  <c r="H35" i="1" s="1"/>
  <c r="H36" i="1" s="1"/>
  <c r="H37" i="1" s="1"/>
  <c r="H38" i="1" s="1"/>
  <c r="G22" i="2"/>
  <c r="J30" i="1"/>
  <c r="J31" i="1" s="1"/>
  <c r="J32" i="1" s="1"/>
  <c r="J33" i="1" s="1"/>
  <c r="J34" i="1" s="1"/>
  <c r="J35" i="1" s="1"/>
  <c r="J36" i="1" s="1"/>
  <c r="J37" i="1" s="1"/>
  <c r="J38" i="1" s="1"/>
  <c r="D30" i="1"/>
  <c r="G26" i="2"/>
  <c r="E38" i="1"/>
  <c r="E40" i="1"/>
  <c r="E41" i="1" s="1"/>
  <c r="E42" i="1" s="1"/>
  <c r="E43" i="1" s="1"/>
  <c r="E47" i="1"/>
  <c r="E48" i="1" s="1"/>
  <c r="I48" i="1"/>
  <c r="I49" i="1" s="1"/>
  <c r="G8" i="2"/>
  <c r="J11" i="1"/>
  <c r="J12" i="1" s="1"/>
  <c r="J13" i="1" s="1"/>
  <c r="J14" i="1" s="1"/>
  <c r="J15" i="1" s="1"/>
  <c r="J16" i="1" s="1"/>
  <c r="J17" i="1" s="1"/>
  <c r="J18" i="1" s="1"/>
  <c r="G9" i="2"/>
  <c r="G18" i="2"/>
  <c r="G24" i="2"/>
  <c r="D32" i="1"/>
  <c r="D33" i="1" s="1"/>
  <c r="D34" i="1" s="1"/>
  <c r="D35" i="1" s="1"/>
  <c r="D36" i="1" s="1"/>
  <c r="D37" i="1" s="1"/>
  <c r="D38" i="1" s="1"/>
  <c r="I39" i="1"/>
  <c r="I40" i="1" s="1"/>
  <c r="I41" i="1" s="1"/>
  <c r="I42" i="1" s="1"/>
  <c r="I43" i="1" s="1"/>
  <c r="E17" i="1"/>
  <c r="E18" i="1" s="1"/>
  <c r="E12" i="1"/>
  <c r="E13" i="1" s="1"/>
  <c r="E15" i="1"/>
  <c r="I16" i="1"/>
  <c r="I17" i="1" s="1"/>
  <c r="I18" i="1" s="1"/>
  <c r="I19" i="1" s="1"/>
  <c r="I20" i="1" s="1"/>
  <c r="I21" i="1" s="1"/>
  <c r="I22" i="1" s="1"/>
  <c r="I23" i="1" s="1"/>
  <c r="G10" i="2"/>
  <c r="H18" i="1"/>
  <c r="H17" i="1" s="1"/>
  <c r="H16" i="1" s="1"/>
  <c r="H15" i="1" s="1"/>
  <c r="H14" i="1" s="1"/>
  <c r="H13" i="1" s="1"/>
  <c r="H12" i="1" s="1"/>
  <c r="H11" i="1" s="1"/>
  <c r="H10" i="1" s="1"/>
  <c r="J20" i="1"/>
  <c r="J21" i="1" s="1"/>
  <c r="J22" i="1" s="1"/>
  <c r="J23" i="1" s="1"/>
  <c r="J24" i="1" s="1"/>
  <c r="J25" i="1" s="1"/>
  <c r="J26" i="1" s="1"/>
  <c r="J27" i="1" s="1"/>
  <c r="J28" i="1" s="1"/>
  <c r="D20" i="1"/>
  <c r="D21" i="1" s="1"/>
  <c r="D22" i="1" s="1"/>
  <c r="D23" i="1" s="1"/>
  <c r="D24" i="1" s="1"/>
  <c r="D25" i="1" s="1"/>
  <c r="D26" i="1" s="1"/>
  <c r="D27" i="1" s="1"/>
  <c r="D28" i="1" s="1"/>
  <c r="G12" i="2"/>
  <c r="H20" i="1"/>
  <c r="H21" i="1" s="1"/>
  <c r="H22" i="1" s="1"/>
  <c r="H23" i="1" s="1"/>
  <c r="H24" i="1" s="1"/>
  <c r="H25" i="1" s="1"/>
  <c r="H26" i="1" s="1"/>
  <c r="H27" i="1" s="1"/>
  <c r="H28" i="1" s="1"/>
  <c r="G16" i="2"/>
  <c r="I25" i="1"/>
  <c r="I26" i="1" s="1"/>
  <c r="I27" i="1" s="1"/>
  <c r="I28" i="1" s="1"/>
  <c r="I29" i="1" s="1"/>
  <c r="I30" i="1" s="1"/>
  <c r="I31" i="1" s="1"/>
  <c r="I32" i="1" s="1"/>
  <c r="I33" i="1" s="1"/>
  <c r="G19" i="2"/>
  <c r="E30" i="1"/>
  <c r="E31" i="1" s="1"/>
  <c r="E32" i="1" s="1"/>
  <c r="E33" i="1" s="1"/>
  <c r="G25" i="2"/>
  <c r="I38" i="1"/>
  <c r="I47" i="1"/>
  <c r="H8" i="2" l="1"/>
  <c r="K8" i="2" s="1"/>
  <c r="L8" i="2" s="1"/>
  <c r="M8" i="2" s="1"/>
  <c r="H9" i="2" s="1"/>
  <c r="K9" i="2" s="1"/>
  <c r="L9" i="2" s="1"/>
  <c r="M9" i="2" s="1"/>
  <c r="H10" i="2" s="1"/>
  <c r="K10" i="2" s="1"/>
  <c r="L10" i="2" s="1"/>
  <c r="M10" i="2" s="1"/>
  <c r="H11" i="2" s="1"/>
  <c r="K11" i="2" s="1"/>
  <c r="L11" i="2" s="1"/>
  <c r="M11" i="2" s="1"/>
  <c r="C12" i="2" l="1"/>
  <c r="H12" i="2" l="1"/>
  <c r="K12" i="2" s="1"/>
  <c r="L12" i="2" s="1"/>
  <c r="M12" i="2" s="1"/>
  <c r="C13" i="2" l="1"/>
  <c r="H13" i="2" s="1"/>
  <c r="K13" i="2" l="1"/>
  <c r="L13" i="2" s="1"/>
  <c r="M13" i="2" s="1"/>
  <c r="C14" i="2" l="1"/>
  <c r="H14" i="2" s="1"/>
  <c r="K14" i="2" l="1"/>
  <c r="L14" i="2" s="1"/>
  <c r="M14" i="2" s="1"/>
  <c r="C15" i="2" l="1"/>
  <c r="H15" i="2" s="1"/>
  <c r="K15" i="2" l="1"/>
  <c r="L15" i="2" s="1"/>
  <c r="M15" i="2" s="1"/>
  <c r="C16" i="2" s="1"/>
  <c r="K16" i="2" s="1"/>
  <c r="L16" i="2" s="1"/>
  <c r="M16" i="2" s="1"/>
  <c r="C17" i="2" s="1"/>
  <c r="K17" i="2" s="1"/>
  <c r="L17" i="2" s="1"/>
  <c r="M17" i="2" s="1"/>
  <c r="C18" i="2" s="1"/>
  <c r="K18" i="2" s="1"/>
  <c r="L18" i="2" s="1"/>
  <c r="M18" i="2" s="1"/>
  <c r="C19" i="2" s="1"/>
  <c r="K19" i="2" s="1"/>
  <c r="L19" i="2" s="1"/>
  <c r="M19" i="2" s="1"/>
  <c r="C20" i="2" s="1"/>
  <c r="K20" i="2" s="1"/>
  <c r="L20" i="2" s="1"/>
  <c r="M20" i="2" s="1"/>
  <c r="C21" i="2" s="1"/>
  <c r="K21" i="2" s="1"/>
  <c r="L21" i="2" s="1"/>
  <c r="M21" i="2" s="1"/>
  <c r="C22" i="2" s="1"/>
  <c r="K22" i="2" s="1"/>
  <c r="L22" i="2" s="1"/>
  <c r="M22" i="2" s="1"/>
  <c r="C23" i="2" s="1"/>
  <c r="K23" i="2" s="1"/>
  <c r="L23" i="2" s="1"/>
  <c r="M23" i="2" s="1"/>
  <c r="C24" i="2" s="1"/>
  <c r="K24" i="2" s="1"/>
  <c r="L24" i="2" s="1"/>
  <c r="M24" i="2" s="1"/>
  <c r="C25" i="2" s="1"/>
  <c r="K25" i="2" s="1"/>
  <c r="L25" i="2" s="1"/>
  <c r="M25" i="2" s="1"/>
  <c r="C26" i="2" s="1"/>
  <c r="K26" i="2" s="1"/>
  <c r="L26" i="2" s="1"/>
  <c r="M26" i="2" s="1"/>
</calcChain>
</file>

<file path=xl/sharedStrings.xml><?xml version="1.0" encoding="utf-8"?>
<sst xmlns="http://schemas.openxmlformats.org/spreadsheetml/2006/main" count="160" uniqueCount="126">
  <si>
    <t>Max Life</t>
  </si>
  <si>
    <t>Birla SunLife</t>
  </si>
  <si>
    <t>HDFC</t>
  </si>
  <si>
    <t>Age</t>
  </si>
  <si>
    <t>SBI</t>
  </si>
  <si>
    <t>ICICI</t>
  </si>
  <si>
    <t>Aviva (Yearly)</t>
  </si>
  <si>
    <t>Bajaj Allianz</t>
  </si>
  <si>
    <t>Insurance charge/1000</t>
  </si>
  <si>
    <t>  0.89</t>
  </si>
  <si>
    <t>  0.96</t>
  </si>
  <si>
    <t>  1.03</t>
  </si>
  <si>
    <t>  1.09</t>
  </si>
  <si>
    <t>  1.15</t>
  </si>
  <si>
    <t>  1.20</t>
  </si>
  <si>
    <t>  1.25</t>
  </si>
  <si>
    <t>  1.29</t>
  </si>
  <si>
    <t>  1.33</t>
  </si>
  <si>
    <t>  1.36</t>
  </si>
  <si>
    <t>  1.39</t>
  </si>
  <si>
    <t>  1.42</t>
  </si>
  <si>
    <t>  1.43</t>
  </si>
  <si>
    <t>  1.45</t>
  </si>
  <si>
    <t>  1.46</t>
  </si>
  <si>
    <t>  1.50</t>
  </si>
  <si>
    <t>  1.56</t>
  </si>
  <si>
    <t>  1.64</t>
  </si>
  <si>
    <t>  1.73</t>
  </si>
  <si>
    <t>  1.85</t>
  </si>
  <si>
    <t>  1.99</t>
  </si>
  <si>
    <t>  2.15</t>
  </si>
  <si>
    <t>  2.33</t>
  </si>
  <si>
    <t>  2.57</t>
  </si>
  <si>
    <t>  2.81</t>
  </si>
  <si>
    <t>  3.02</t>
  </si>
  <si>
    <t>  3.25</t>
  </si>
  <si>
    <t>  3.54</t>
  </si>
  <si>
    <t>  3.89</t>
  </si>
  <si>
    <t>  4.30</t>
  </si>
  <si>
    <t>  4.77</t>
  </si>
  <si>
    <t>  5.30</t>
  </si>
  <si>
    <t>  5.90</t>
  </si>
  <si>
    <t>  6.55</t>
  </si>
  <si>
    <t>  7.27</t>
  </si>
  <si>
    <t>  8.05</t>
  </si>
  <si>
    <t>  8.90</t>
  </si>
  <si>
    <t>  9.80</t>
  </si>
  <si>
    <t>  10.76</t>
  </si>
  <si>
    <t>  11.79</t>
  </si>
  <si>
    <t>  12.87</t>
  </si>
  <si>
    <t>  13.78</t>
  </si>
  <si>
    <t>  14.94</t>
  </si>
  <si>
    <t>  16.34</t>
  </si>
  <si>
    <t>Platinum Wealth Plan 5 Pay 20 Term</t>
  </si>
  <si>
    <t>DB</t>
  </si>
  <si>
    <t>Sum Assured or FV whichever is higher</t>
  </si>
  <si>
    <t xml:space="preserve">Age </t>
  </si>
  <si>
    <t>Sum Assured</t>
  </si>
  <si>
    <t>Top Up Sum Assured</t>
  </si>
  <si>
    <t>Final Sum Assured</t>
  </si>
  <si>
    <t>Term</t>
  </si>
  <si>
    <t xml:space="preserve">                    Annual Premium</t>
  </si>
  <si>
    <t>Rate of Return in %</t>
  </si>
  <si>
    <t xml:space="preserve">U can change the % in Yellow column </t>
  </si>
  <si>
    <t>Policy Year</t>
  </si>
  <si>
    <t>Premium</t>
  </si>
  <si>
    <t>premium Allocation charge</t>
  </si>
  <si>
    <t>DumpIn</t>
  </si>
  <si>
    <t>DumpIn Charges</t>
  </si>
  <si>
    <t>Mortality Rates</t>
  </si>
  <si>
    <t>Mortality Charges</t>
  </si>
  <si>
    <t>Policy Admin Charge</t>
  </si>
  <si>
    <t>Face Amount Charge</t>
  </si>
  <si>
    <t>Net Investible</t>
  </si>
  <si>
    <t>Return</t>
  </si>
  <si>
    <t>Fund Value before FMC</t>
  </si>
  <si>
    <t>loyality additions -0.4%</t>
  </si>
  <si>
    <t xml:space="preserve">Wealth Booster </t>
  </si>
  <si>
    <t>final value</t>
  </si>
  <si>
    <t>(Approx)</t>
  </si>
  <si>
    <t>Male Age 35 Years / 5 Pay &amp; 20 year Term</t>
  </si>
  <si>
    <t>HDFC (Online) Click to Invest ULIP</t>
  </si>
  <si>
    <t>MLI Platinum Wealth Plan</t>
  </si>
  <si>
    <t>Year</t>
  </si>
  <si>
    <t>Premium Outflow</t>
  </si>
  <si>
    <t>Allocation</t>
  </si>
  <si>
    <t>Admin</t>
  </si>
  <si>
    <t>Mortality</t>
  </si>
  <si>
    <t>FMC</t>
  </si>
  <si>
    <t>Total Charges</t>
  </si>
  <si>
    <t>Loyalty Additions</t>
  </si>
  <si>
    <t xml:space="preserve">Allocation </t>
  </si>
  <si>
    <t>Loyalty Addition</t>
  </si>
  <si>
    <t>Wealth Boosters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</si>
  <si>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</si>
  <si>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</si>
  <si>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</si>
  <si>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</si>
  <si>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</si>
  <si>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</si>
  <si>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</si>
  <si>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</si>
  <si>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</si>
  <si>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</si>
  <si>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</si>
  <si>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</si>
  <si>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</si>
  <si>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</si>
  <si>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</si>
  <si>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</si>
  <si>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</si>
  <si>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</si>
  <si>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</si>
  <si>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</si>
  <si>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Maturity Value</t>
  </si>
  <si>
    <t>IRR</t>
  </si>
  <si>
    <t xml:space="preserve">Overall View </t>
  </si>
  <si>
    <t>Max Life PWP Fairs better and a great value for money</t>
  </si>
  <si>
    <t xml:space="preserve">PWP Ranks on </t>
  </si>
  <si>
    <t>1. Less Mortality  Charges by a difference of INR 1,46,532</t>
  </si>
  <si>
    <t>2. Less FMC Charges by a difference of INR 12,50,463</t>
  </si>
  <si>
    <t>3. Higher Loyalty Additions which impacts the IRR positively with a difference of INR 79,34,451</t>
  </si>
  <si>
    <t>4. Wealth Boosters further contributes to the positive impact on the IRR by INR 87,72,356</t>
  </si>
  <si>
    <t>5. IRR of Max PWP is 7% against HDFC Online ULIP Click to Invest 6%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</si>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</sst>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"/>
    <numFmt numFmtId="165" formatCode="0.000000"/>
    <numFmt numFmtId="166" formatCode="0.0000"/>
    <numFmt numFmtId="167" formatCode="_(* #,##0.00_);_(* \(#,##0.00\);_(* \-??_);_(@_)"/>
    <numFmt numFmtId="168" formatCode="_(* #,##0.000000_);_(* \(#,##0.000000\);_(* \-??_);_(@_)"/>
    <numFmt numFmtId="169" formatCode="#,##0.000000_);\(#,##0.000000\)"/>
  </numFmts>
  <fonts count="18" x14ac:knownFonts="1">
    <font>
      <sz val="10"/>
      <name val="Arial"/>
      <charset val="1"/>
    </font>
    <font>
      <b/>
      <sz val="10"/>
      <name val="Arial"/>
      <family val="2"/>
      <charset val="1"/>
    </font>
    <font>
      <sz val="6"/>
      <name val="Arial"/>
      <family val="2"/>
      <charset val="1"/>
    </font>
    <font>
      <sz val="8.75"/>
      <color rgb="FF000000"/>
      <name val="Arial"/>
      <family val="2"/>
      <charset val="1"/>
    </font>
    <font>
      <sz val="10"/>
      <name val="Arial"/>
      <family val="2"/>
      <charset val="1"/>
    </font>
    <font>
      <b/>
      <sz val="18"/>
      <color rgb="FFFFFFFF"/>
      <name val="Arial"/>
      <family val="2"/>
      <charset val="1"/>
    </font>
    <font>
      <b/>
      <sz val="10"/>
      <color rgb="FF0000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0"/>
      <color rgb="FF953735"/>
      <name val="Arial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charset val="1"/>
    </font>
    <font>
      <b/>
      <sz val="10"/>
      <name val="Arial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name val="Arial"/>
      <charset val="1"/>
    </font>
  </fonts>
  <fills count="14">
    <fill>
      <patternFill patternType="none"/>
    </fill>
    <fill>
      <patternFill patternType="gray125"/>
    </fill>
    <fill>
      <patternFill patternType="solid">
        <fgColor rgb="FF984807"/>
        <bgColor rgb="FF953735"/>
      </patternFill>
    </fill>
    <fill>
      <patternFill patternType="solid">
        <fgColor rgb="FFFFFFFF"/>
        <bgColor rgb="FFFFFFD7"/>
      </patternFill>
    </fill>
    <fill>
      <patternFill patternType="solid">
        <fgColor rgb="FFFF0000"/>
        <bgColor rgb="FF800000"/>
      </patternFill>
    </fill>
    <fill>
      <patternFill patternType="solid">
        <fgColor rgb="FF953735"/>
        <bgColor rgb="FF993366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BBB59"/>
      </patternFill>
    </fill>
    <fill>
      <patternFill patternType="solid">
        <fgColor rgb="FF9BBB59"/>
        <bgColor rgb="FF92D050"/>
      </patternFill>
    </fill>
    <fill>
      <patternFill patternType="solid">
        <fgColor rgb="FF706E0C"/>
        <bgColor rgb="FF984807"/>
      </patternFill>
    </fill>
    <fill>
      <patternFill patternType="solid">
        <fgColor rgb="FFFFFFD7"/>
        <bgColor rgb="FFFFFFFF"/>
      </patternFill>
    </fill>
    <fill>
      <patternFill patternType="solid">
        <fgColor rgb="FFFDEADA"/>
        <bgColor rgb="FFFFFFD7"/>
      </patternFill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167" fontId="17" fillId="0" borderId="0" applyBorder="0" applyProtection="0"/>
  </cellStyleXfs>
  <cellXfs count="102">
    <xf numFmtId="0" fontId="0" fillId="0" borderId="0" xfId="0"/>
    <xf numFmtId="0" fontId="16" fillId="13" borderId="2" xfId="0" applyFont="1" applyFill="1" applyBorder="1" applyAlignment="1">
      <alignment horizontal="center"/>
    </xf>
    <xf numFmtId="0" fontId="16" fillId="12" borderId="8" xfId="0" applyFont="1" applyFill="1" applyBorder="1" applyAlignment="1">
      <alignment horizontal="center"/>
    </xf>
    <xf numFmtId="0" fontId="15" fillId="11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166" fontId="0" fillId="0" borderId="1" xfId="0" applyNumberFormat="1" applyBorder="1" applyAlignment="1">
      <alignment horizontal="center"/>
    </xf>
    <xf numFmtId="168" fontId="4" fillId="0" borderId="1" xfId="1" applyNumberFormat="1" applyFont="1" applyBorder="1" applyAlignment="1" applyProtection="1"/>
    <xf numFmtId="165" fontId="1" fillId="0" borderId="1" xfId="0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2" borderId="1" xfId="0" applyFont="1" applyFill="1" applyBorder="1" applyAlignment="1"/>
    <xf numFmtId="0" fontId="6" fillId="2" borderId="2" xfId="0" applyFont="1" applyFill="1" applyBorder="1" applyAlignment="1"/>
    <xf numFmtId="0" fontId="6" fillId="2" borderId="4" xfId="0" applyFont="1" applyFill="1" applyBorder="1" applyAlignment="1"/>
    <xf numFmtId="0" fontId="7" fillId="4" borderId="1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6" fillId="2" borderId="5" xfId="0" applyFont="1" applyFill="1" applyBorder="1" applyAlignment="1"/>
    <xf numFmtId="0" fontId="6" fillId="2" borderId="7" xfId="0" applyFont="1" applyFill="1" applyBorder="1" applyAlignment="1"/>
    <xf numFmtId="0" fontId="8" fillId="2" borderId="1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7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" fontId="0" fillId="8" borderId="1" xfId="0" applyNumberFormat="1" applyFill="1" applyBorder="1" applyAlignment="1">
      <alignment horizontal="center"/>
    </xf>
    <xf numFmtId="3" fontId="0" fillId="8" borderId="1" xfId="0" applyNumberFormat="1" applyFill="1" applyBorder="1" applyAlignment="1">
      <alignment horizontal="center"/>
    </xf>
    <xf numFmtId="1" fontId="0" fillId="8" borderId="5" xfId="0" applyNumberFormat="1" applyFill="1" applyBorder="1" applyAlignment="1">
      <alignment horizontal="center"/>
    </xf>
    <xf numFmtId="1" fontId="1" fillId="8" borderId="1" xfId="0" applyNumberFormat="1" applyFont="1" applyFill="1" applyBorder="1" applyAlignment="1">
      <alignment horizontal="center"/>
    </xf>
    <xf numFmtId="1" fontId="11" fillId="3" borderId="1" xfId="0" applyNumberFormat="1" applyFont="1" applyFill="1" applyBorder="1" applyAlignment="1">
      <alignment horizontal="center"/>
    </xf>
    <xf numFmtId="10" fontId="0" fillId="0" borderId="0" xfId="0" applyNumberFormat="1" applyAlignment="1">
      <alignment horizontal="center"/>
    </xf>
    <xf numFmtId="3" fontId="11" fillId="3" borderId="1" xfId="0" applyNumberFormat="1" applyFont="1" applyFill="1" applyBorder="1" applyAlignment="1">
      <alignment horizontal="center"/>
    </xf>
    <xf numFmtId="10" fontId="0" fillId="9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1" fontId="12" fillId="3" borderId="1" xfId="0" applyNumberFormat="1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10" fontId="0" fillId="10" borderId="0" xfId="0" applyNumberFormat="1" applyFill="1" applyAlignment="1">
      <alignment horizontal="center"/>
    </xf>
    <xf numFmtId="0" fontId="0" fillId="8" borderId="1" xfId="0" applyFill="1" applyBorder="1" applyAlignment="1">
      <alignment horizontal="center"/>
    </xf>
    <xf numFmtId="1" fontId="7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1" fontId="1" fillId="3" borderId="5" xfId="0" applyNumberFormat="1" applyFon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3" fontId="1" fillId="8" borderId="1" xfId="0" applyNumberFormat="1" applyFont="1" applyFill="1" applyBorder="1" applyAlignment="1">
      <alignment horizontal="center"/>
    </xf>
    <xf numFmtId="1" fontId="1" fillId="8" borderId="5" xfId="0" applyNumberFormat="1" applyFont="1" applyFill="1" applyBorder="1" applyAlignment="1">
      <alignment horizontal="center"/>
    </xf>
    <xf numFmtId="10" fontId="13" fillId="9" borderId="0" xfId="0" applyNumberFormat="1" applyFont="1" applyFill="1" applyAlignment="1">
      <alignment horizontal="center"/>
    </xf>
    <xf numFmtId="0" fontId="14" fillId="0" borderId="0" xfId="0" applyFont="1" applyAlignment="1">
      <alignment horizontal="center"/>
    </xf>
    <xf numFmtId="0" fontId="16" fillId="11" borderId="1" xfId="0" applyFont="1" applyFill="1" applyBorder="1" applyAlignment="1">
      <alignment horizontal="center"/>
    </xf>
    <xf numFmtId="3" fontId="16" fillId="0" borderId="1" xfId="0" applyNumberFormat="1" applyFont="1" applyBorder="1" applyAlignment="1">
      <alignment horizontal="center"/>
    </xf>
    <xf numFmtId="3" fontId="16" fillId="7" borderId="1" xfId="0" applyNumberFormat="1" applyFont="1" applyFill="1" applyBorder="1" applyAlignment="1">
      <alignment horizontal="center"/>
    </xf>
    <xf numFmtId="3" fontId="16" fillId="4" borderId="1" xfId="0" applyNumberFormat="1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6" fillId="7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9" fontId="16" fillId="4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9" fontId="16" fillId="7" borderId="1" xfId="0" applyNumberFormat="1" applyFont="1" applyFill="1" applyBorder="1" applyAlignment="1">
      <alignment horizontal="center"/>
    </xf>
    <xf numFmtId="0" fontId="0" fillId="0" borderId="1" xfId="0" applyBorder="1"/>
    <xf numFmtId="3" fontId="0" fillId="0" borderId="0" xfId="0" applyNumberFormat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0" xfId="0" applyFon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13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0" xfId="0" applyFill="1"/>
    <xf numFmtId="0" fontId="0" fillId="7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06E0C"/>
      <rgbColor rgb="FF800080"/>
      <rgbColor rgb="FF008080"/>
      <rgbColor rgb="FFC0C0C0"/>
      <rgbColor rgb="FF808080"/>
      <rgbColor rgb="FF9999FF"/>
      <rgbColor rgb="FF953735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DEADA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BBB59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J79"/>
  <sheetViews>
    <sheetView zoomScaleNormal="100" workbookViewId="0">
      <selection activeCell="J2" sqref="J2"/>
    </sheetView>
  </sheetViews>
  <sheetFormatPr baseColWidth="10" defaultColWidth="9.1640625" defaultRowHeight="13" x14ac:dyDescent="0.15"/>
  <cols>
    <col min="1" max="1" width="9.1640625" style="10"/>
    <col min="2" max="2" width="21" style="10" customWidth="1"/>
    <col min="3" max="3" width="9.1640625" style="10"/>
    <col min="4" max="4" width="13" style="10" customWidth="1"/>
    <col min="5" max="8" width="9.1640625" style="10"/>
    <col min="9" max="9" width="14" style="10" customWidth="1"/>
    <col min="10" max="10" width="11.33203125" style="11" customWidth="1"/>
    <col min="11" max="1024" width="9.1640625" style="10"/>
  </cols>
  <sheetData>
    <row r="2" spans="1:11" x14ac:dyDescent="0.15">
      <c r="B2" s="9" t="s">
        <v>0</v>
      </c>
      <c r="C2" s="9"/>
      <c r="D2" s="12" t="s">
        <v>1</v>
      </c>
      <c r="E2" s="12" t="s">
        <v>2</v>
      </c>
      <c r="F2" s="12" t="s">
        <v>3</v>
      </c>
      <c r="G2" s="12" t="s">
        <v>4</v>
      </c>
      <c r="H2" s="12" t="s">
        <v>5</v>
      </c>
      <c r="I2" s="13" t="s">
        <v>6</v>
      </c>
      <c r="J2" s="14" t="s">
        <v>7</v>
      </c>
      <c r="K2" s="13"/>
    </row>
    <row r="3" spans="1:11" x14ac:dyDescent="0.15">
      <c r="A3" s="12" t="s">
        <v>3</v>
      </c>
      <c r="B3" s="12" t="s">
        <v>8</v>
      </c>
      <c r="C3" s="12"/>
      <c r="D3" s="15"/>
      <c r="E3" s="16"/>
      <c r="F3" s="17">
        <v>14</v>
      </c>
      <c r="G3" s="18" t="s">
        <v>9</v>
      </c>
      <c r="H3" s="13"/>
      <c r="I3" s="19"/>
      <c r="J3" s="14"/>
      <c r="K3" s="13"/>
    </row>
    <row r="4" spans="1:11" x14ac:dyDescent="0.15">
      <c r="A4" s="13">
        <v>15</v>
      </c>
      <c r="B4" s="20">
        <v>6.3939999999999997E-2</v>
      </c>
      <c r="C4" s="13">
        <f t="shared" ref="C4:C49" si="0">B4*12</f>
        <v>0.76727999999999996</v>
      </c>
      <c r="D4" s="15"/>
      <c r="E4" s="15"/>
      <c r="F4" s="17">
        <v>15</v>
      </c>
      <c r="G4" s="18" t="s">
        <v>10</v>
      </c>
      <c r="H4" s="13"/>
      <c r="I4" s="19"/>
      <c r="J4" s="14"/>
      <c r="K4" s="13"/>
    </row>
    <row r="5" spans="1:11" x14ac:dyDescent="0.15">
      <c r="A5" s="13">
        <v>16</v>
      </c>
      <c r="B5" s="20">
        <v>6.6877000000000006E-2</v>
      </c>
      <c r="C5" s="13">
        <f t="shared" si="0"/>
        <v>0.80252400000000002</v>
      </c>
      <c r="D5" s="15"/>
      <c r="E5" s="15"/>
      <c r="F5" s="17">
        <v>16</v>
      </c>
      <c r="G5" s="18" t="s">
        <v>11</v>
      </c>
      <c r="H5" s="13">
        <f>(C5*H6)/C6</f>
        <v>1.212795336787565</v>
      </c>
      <c r="I5" s="19"/>
      <c r="J5" s="14"/>
      <c r="K5" s="13"/>
    </row>
    <row r="6" spans="1:11" x14ac:dyDescent="0.15">
      <c r="A6" s="13">
        <v>17</v>
      </c>
      <c r="B6" s="20">
        <v>6.9226999999999997E-2</v>
      </c>
      <c r="C6" s="13">
        <f t="shared" si="0"/>
        <v>0.83072400000000002</v>
      </c>
      <c r="D6" s="15"/>
      <c r="E6" s="15"/>
      <c r="F6" s="17">
        <v>17</v>
      </c>
      <c r="G6" s="18" t="s">
        <v>12</v>
      </c>
      <c r="H6" s="13">
        <f>(C6*H7)/C7</f>
        <v>1.2554119170984457</v>
      </c>
      <c r="I6" s="19"/>
      <c r="J6" s="14"/>
      <c r="K6" s="13"/>
    </row>
    <row r="7" spans="1:11" x14ac:dyDescent="0.15">
      <c r="A7" s="13">
        <v>18</v>
      </c>
      <c r="B7" s="20">
        <v>7.0989999999999998E-2</v>
      </c>
      <c r="C7" s="13">
        <f t="shared" si="0"/>
        <v>0.85187999999999997</v>
      </c>
      <c r="D7" s="15"/>
      <c r="E7" s="15"/>
      <c r="F7" s="17">
        <v>18</v>
      </c>
      <c r="G7" s="18" t="s">
        <v>13</v>
      </c>
      <c r="H7" s="13">
        <f>(C7*H8)/C8</f>
        <v>1.2873834196891192</v>
      </c>
      <c r="I7" s="19"/>
      <c r="J7" s="14"/>
      <c r="K7" s="13"/>
    </row>
    <row r="8" spans="1:11" x14ac:dyDescent="0.15">
      <c r="A8" s="13">
        <v>19</v>
      </c>
      <c r="B8" s="20">
        <v>7.2457999999999995E-2</v>
      </c>
      <c r="C8" s="13">
        <f t="shared" si="0"/>
        <v>0.86949599999999994</v>
      </c>
      <c r="D8" s="15"/>
      <c r="E8" s="15"/>
      <c r="F8" s="17">
        <v>19</v>
      </c>
      <c r="G8" s="18" t="s">
        <v>14</v>
      </c>
      <c r="H8" s="13">
        <f>(C8*H9)/C9</f>
        <v>1.3140051813471503</v>
      </c>
      <c r="I8" s="19"/>
      <c r="J8" s="14"/>
      <c r="K8" s="13"/>
    </row>
    <row r="9" spans="1:11" x14ac:dyDescent="0.15">
      <c r="A9" s="13">
        <v>20</v>
      </c>
      <c r="B9" s="20">
        <v>7.3340000000000002E-2</v>
      </c>
      <c r="C9" s="13">
        <f t="shared" si="0"/>
        <v>0.88007999999999997</v>
      </c>
      <c r="D9" s="21">
        <v>1.083</v>
      </c>
      <c r="E9" s="13">
        <v>1.7084999999999999</v>
      </c>
      <c r="F9" s="17">
        <v>20</v>
      </c>
      <c r="G9" s="18" t="s">
        <v>15</v>
      </c>
      <c r="H9" s="12">
        <v>1.33</v>
      </c>
      <c r="I9" s="19"/>
      <c r="J9" s="14">
        <v>1.1000000000000001</v>
      </c>
      <c r="K9" s="13"/>
    </row>
    <row r="10" spans="1:11" x14ac:dyDescent="0.15">
      <c r="A10" s="13">
        <v>21</v>
      </c>
      <c r="B10" s="20">
        <v>7.5396000000000005E-2</v>
      </c>
      <c r="C10" s="13">
        <f t="shared" si="0"/>
        <v>0.904752</v>
      </c>
      <c r="D10" s="15">
        <f t="shared" ref="D10:D18" si="1">C10*D9/C9</f>
        <v>1.1133606217616581</v>
      </c>
      <c r="E10" s="15">
        <f>C10*E9/C9</f>
        <v>1.7563957731115352</v>
      </c>
      <c r="F10" s="17">
        <v>21</v>
      </c>
      <c r="G10" s="18" t="s">
        <v>16</v>
      </c>
      <c r="H10" s="13">
        <f t="shared" ref="H10:H18" si="2">(C10*H11)/C11</f>
        <v>1.310251508695083</v>
      </c>
      <c r="I10" s="13"/>
      <c r="J10" s="14">
        <f t="shared" ref="J10:J18" si="3">(C10*J9)/C9</f>
        <v>1.1308371966184894</v>
      </c>
      <c r="K10" s="13"/>
    </row>
    <row r="11" spans="1:11" x14ac:dyDescent="0.15">
      <c r="A11" s="13">
        <v>22</v>
      </c>
      <c r="B11" s="20">
        <v>7.7451999999999993E-2</v>
      </c>
      <c r="C11" s="13">
        <f t="shared" si="0"/>
        <v>0.92942399999999992</v>
      </c>
      <c r="D11" s="15">
        <f t="shared" si="1"/>
        <v>1.1437212435233162</v>
      </c>
      <c r="E11" s="15">
        <f>C11*E10/C10</f>
        <v>1.8042915462230704</v>
      </c>
      <c r="F11" s="17">
        <v>22</v>
      </c>
      <c r="G11" s="18" t="s">
        <v>17</v>
      </c>
      <c r="H11" s="13">
        <f t="shared" si="2"/>
        <v>1.3459812171925771</v>
      </c>
      <c r="I11" s="19"/>
      <c r="J11" s="14">
        <f t="shared" si="3"/>
        <v>1.1616743932369786</v>
      </c>
      <c r="K11" s="13"/>
    </row>
    <row r="12" spans="1:11" x14ac:dyDescent="0.15">
      <c r="A12" s="13">
        <v>23</v>
      </c>
      <c r="B12" s="20">
        <v>7.9409999999999994E-2</v>
      </c>
      <c r="C12" s="13">
        <f t="shared" si="0"/>
        <v>0.95291999999999999</v>
      </c>
      <c r="D12" s="15">
        <f t="shared" si="1"/>
        <v>1.1726347150259069</v>
      </c>
      <c r="E12" s="15">
        <f>C12*E11/C11</f>
        <v>1.8499043496045813</v>
      </c>
      <c r="F12" s="17">
        <v>23</v>
      </c>
      <c r="G12" s="18" t="s">
        <v>18</v>
      </c>
      <c r="H12" s="13">
        <f t="shared" si="2"/>
        <v>1.3800078559270588</v>
      </c>
      <c r="I12" s="19"/>
      <c r="J12" s="14">
        <f t="shared" si="3"/>
        <v>1.191041723479684</v>
      </c>
      <c r="K12" s="13"/>
    </row>
    <row r="13" spans="1:11" x14ac:dyDescent="0.15">
      <c r="A13" s="13">
        <v>24</v>
      </c>
      <c r="B13" s="20">
        <v>8.0976999999999993E-2</v>
      </c>
      <c r="C13" s="13">
        <f t="shared" si="0"/>
        <v>0.97172399999999992</v>
      </c>
      <c r="D13" s="15">
        <f t="shared" si="1"/>
        <v>1.1957743523316062</v>
      </c>
      <c r="E13" s="15">
        <f>C13*E12/C12</f>
        <v>1.8864085696754838</v>
      </c>
      <c r="F13" s="17">
        <v>24</v>
      </c>
      <c r="G13" s="18" t="s">
        <v>19</v>
      </c>
      <c r="H13" s="13">
        <f t="shared" si="2"/>
        <v>1.4072395938723767</v>
      </c>
      <c r="I13" s="19"/>
      <c r="J13" s="14">
        <f t="shared" si="3"/>
        <v>1.2145445868557405</v>
      </c>
      <c r="K13" s="13"/>
    </row>
    <row r="14" spans="1:11" x14ac:dyDescent="0.15">
      <c r="A14" s="13">
        <v>25</v>
      </c>
      <c r="B14" s="20">
        <v>8.2348000000000005E-2</v>
      </c>
      <c r="C14" s="13">
        <f t="shared" si="0"/>
        <v>0.98817600000000005</v>
      </c>
      <c r="D14" s="15">
        <f t="shared" si="1"/>
        <v>1.2160196891191712</v>
      </c>
      <c r="E14" s="13">
        <v>1.887</v>
      </c>
      <c r="F14" s="17">
        <v>25</v>
      </c>
      <c r="G14" s="18" t="s">
        <v>20</v>
      </c>
      <c r="H14" s="13">
        <f t="shared" si="2"/>
        <v>1.4310651922916693</v>
      </c>
      <c r="I14" s="13">
        <v>1.3109999999999999</v>
      </c>
      <c r="J14" s="14">
        <f t="shared" si="3"/>
        <v>1.2351077174802294</v>
      </c>
      <c r="K14" s="13"/>
    </row>
    <row r="15" spans="1:11" x14ac:dyDescent="0.15">
      <c r="A15" s="13">
        <v>26</v>
      </c>
      <c r="B15" s="20">
        <v>8.3523E-2</v>
      </c>
      <c r="C15" s="13">
        <f t="shared" si="0"/>
        <v>1.0022759999999999</v>
      </c>
      <c r="D15" s="15">
        <f t="shared" si="1"/>
        <v>1.2333707253886013</v>
      </c>
      <c r="E15" s="15">
        <f>C15*E14/C14</f>
        <v>1.9139250619322872</v>
      </c>
      <c r="F15" s="17">
        <v>26</v>
      </c>
      <c r="G15" s="18" t="s">
        <v>21</v>
      </c>
      <c r="H15" s="13">
        <f t="shared" si="2"/>
        <v>1.4514846511849355</v>
      </c>
      <c r="I15" s="19">
        <f t="shared" ref="I15:I23" si="4">C15*I14/C14</f>
        <v>1.3297062830912709</v>
      </c>
      <c r="J15" s="14">
        <f t="shared" si="3"/>
        <v>1.2527311153531497</v>
      </c>
      <c r="K15" s="13"/>
    </row>
    <row r="16" spans="1:11" x14ac:dyDescent="0.15">
      <c r="A16" s="13">
        <v>27</v>
      </c>
      <c r="B16" s="20">
        <v>8.4208000000000005E-2</v>
      </c>
      <c r="C16" s="13">
        <f t="shared" si="0"/>
        <v>1.0104960000000001</v>
      </c>
      <c r="D16" s="15">
        <f t="shared" si="1"/>
        <v>1.2434860103626946</v>
      </c>
      <c r="E16" s="15">
        <f>C16*E15/C15</f>
        <v>1.9296218001651528</v>
      </c>
      <c r="F16" s="17">
        <v>27</v>
      </c>
      <c r="G16" s="18" t="s">
        <v>22</v>
      </c>
      <c r="H16" s="13">
        <f t="shared" si="2"/>
        <v>1.4633887612631378</v>
      </c>
      <c r="I16" s="19">
        <f t="shared" si="4"/>
        <v>1.340611648127459</v>
      </c>
      <c r="J16" s="14">
        <f t="shared" si="3"/>
        <v>1.2630051813471506</v>
      </c>
      <c r="K16" s="13"/>
    </row>
    <row r="17" spans="1:11" x14ac:dyDescent="0.15">
      <c r="A17" s="13">
        <v>28</v>
      </c>
      <c r="B17" s="20">
        <v>8.4697999999999996E-2</v>
      </c>
      <c r="C17" s="13">
        <f t="shared" si="0"/>
        <v>1.0163759999999999</v>
      </c>
      <c r="D17" s="15">
        <f t="shared" si="1"/>
        <v>1.2507217616580313</v>
      </c>
      <c r="E17" s="15">
        <f>C17*E16/C16</f>
        <v>1.9408501238645746</v>
      </c>
      <c r="F17" s="17">
        <v>28</v>
      </c>
      <c r="G17" s="18" t="s">
        <v>23</v>
      </c>
      <c r="H17" s="13">
        <f t="shared" si="2"/>
        <v>1.471904110078202</v>
      </c>
      <c r="I17" s="19">
        <f t="shared" si="4"/>
        <v>1.3484125661825421</v>
      </c>
      <c r="J17" s="14">
        <f t="shared" si="3"/>
        <v>1.2703545132260705</v>
      </c>
      <c r="K17" s="13"/>
    </row>
    <row r="18" spans="1:11" x14ac:dyDescent="0.15">
      <c r="A18" s="13">
        <v>29</v>
      </c>
      <c r="B18" s="20">
        <v>8.4599999999999995E-2</v>
      </c>
      <c r="C18" s="13">
        <f t="shared" si="0"/>
        <v>1.0151999999999999</v>
      </c>
      <c r="D18" s="15">
        <f t="shared" si="1"/>
        <v>1.2492746113989639</v>
      </c>
      <c r="E18" s="15">
        <f>C18*E17/C17</f>
        <v>1.93860445912469</v>
      </c>
      <c r="F18" s="17">
        <v>29</v>
      </c>
      <c r="G18" s="18" t="s">
        <v>23</v>
      </c>
      <c r="H18" s="13">
        <f t="shared" si="2"/>
        <v>1.4702010403151891</v>
      </c>
      <c r="I18" s="19">
        <f t="shared" si="4"/>
        <v>1.3468523825715253</v>
      </c>
      <c r="J18" s="14">
        <f t="shared" si="3"/>
        <v>1.2688846468502863</v>
      </c>
      <c r="K18" s="13"/>
    </row>
    <row r="19" spans="1:11" x14ac:dyDescent="0.15">
      <c r="A19" s="13">
        <v>30</v>
      </c>
      <c r="B19" s="20">
        <v>8.4013000000000004E-2</v>
      </c>
      <c r="C19" s="13">
        <f t="shared" si="0"/>
        <v>1.0081560000000001</v>
      </c>
      <c r="D19" s="21">
        <v>1.363</v>
      </c>
      <c r="E19" s="13">
        <v>2.0234999999999999</v>
      </c>
      <c r="F19" s="17">
        <v>30</v>
      </c>
      <c r="G19" s="18" t="s">
        <v>23</v>
      </c>
      <c r="H19" s="12">
        <v>1.46</v>
      </c>
      <c r="I19" s="19">
        <f t="shared" si="4"/>
        <v>1.3375072011463542</v>
      </c>
      <c r="J19" s="14">
        <v>1.29</v>
      </c>
      <c r="K19" s="13"/>
    </row>
    <row r="20" spans="1:11" x14ac:dyDescent="0.15">
      <c r="A20" s="13">
        <v>31</v>
      </c>
      <c r="B20" s="20">
        <v>8.3719000000000002E-2</v>
      </c>
      <c r="C20" s="13">
        <f t="shared" si="0"/>
        <v>1.0046280000000001</v>
      </c>
      <c r="D20" s="15">
        <f t="shared" ref="D20:D28" si="5">C20*D19/C19</f>
        <v>1.3582302381774249</v>
      </c>
      <c r="E20" s="15">
        <f>C20*E19/C19</f>
        <v>2.0164188458928973</v>
      </c>
      <c r="F20" s="17">
        <v>31</v>
      </c>
      <c r="G20" s="18" t="s">
        <v>23</v>
      </c>
      <c r="H20" s="13">
        <f t="shared" ref="H20:H28" si="6">C20*H19/C19</f>
        <v>1.4548907907109614</v>
      </c>
      <c r="I20" s="19">
        <f t="shared" si="4"/>
        <v>1.3328266503133044</v>
      </c>
      <c r="J20" s="14">
        <f t="shared" ref="J20:J28" si="7">(C20*J19)/C19</f>
        <v>1.285485698641877</v>
      </c>
      <c r="K20" s="13"/>
    </row>
    <row r="21" spans="1:11" x14ac:dyDescent="0.15">
      <c r="A21" s="13">
        <v>32</v>
      </c>
      <c r="B21" s="20">
        <v>8.5481000000000001E-2</v>
      </c>
      <c r="C21" s="13">
        <f t="shared" si="0"/>
        <v>1.0257719999999999</v>
      </c>
      <c r="D21" s="15">
        <f t="shared" si="5"/>
        <v>1.3868163617535378</v>
      </c>
      <c r="E21" s="15">
        <f>C21*E20/C20</f>
        <v>2.0588575994191367</v>
      </c>
      <c r="F21" s="17">
        <v>32</v>
      </c>
      <c r="G21" s="18" t="s">
        <v>24</v>
      </c>
      <c r="H21" s="13">
        <f t="shared" si="6"/>
        <v>1.4855112899194169</v>
      </c>
      <c r="I21" s="19">
        <f t="shared" si="4"/>
        <v>1.3608781148297466</v>
      </c>
      <c r="J21" s="14">
        <f t="shared" si="7"/>
        <v>1.3125407972575673</v>
      </c>
      <c r="K21" s="13"/>
    </row>
    <row r="22" spans="1:11" x14ac:dyDescent="0.15">
      <c r="A22" s="13">
        <v>33</v>
      </c>
      <c r="B22" s="20">
        <v>8.8222999999999996E-2</v>
      </c>
      <c r="C22" s="13">
        <f t="shared" si="0"/>
        <v>1.058676</v>
      </c>
      <c r="D22" s="15">
        <f t="shared" si="5"/>
        <v>1.4313016914049015</v>
      </c>
      <c r="E22" s="15">
        <f>C22*E21/C21</f>
        <v>2.1249001999690518</v>
      </c>
      <c r="F22" s="17">
        <v>33</v>
      </c>
      <c r="G22" s="18" t="s">
        <v>25</v>
      </c>
      <c r="H22" s="13">
        <f t="shared" si="6"/>
        <v>1.5331624867580016</v>
      </c>
      <c r="I22" s="19">
        <f t="shared" si="4"/>
        <v>1.4045314154563557</v>
      </c>
      <c r="J22" s="14">
        <f t="shared" si="7"/>
        <v>1.3546435670670016</v>
      </c>
      <c r="K22" s="13"/>
    </row>
    <row r="23" spans="1:11" x14ac:dyDescent="0.15">
      <c r="A23" s="13">
        <v>34</v>
      </c>
      <c r="B23" s="20">
        <v>9.214E-2</v>
      </c>
      <c r="C23" s="13">
        <f t="shared" si="0"/>
        <v>1.10568</v>
      </c>
      <c r="D23" s="15">
        <f t="shared" si="5"/>
        <v>1.4948498446668967</v>
      </c>
      <c r="E23" s="15">
        <f>C23*E22/C22</f>
        <v>2.2192433313891891</v>
      </c>
      <c r="F23" s="17">
        <v>34</v>
      </c>
      <c r="G23" s="18" t="s">
        <v>26</v>
      </c>
      <c r="H23" s="13">
        <f t="shared" si="6"/>
        <v>1.6012331424898527</v>
      </c>
      <c r="I23" s="19">
        <f t="shared" si="4"/>
        <v>1.466890999174236</v>
      </c>
      <c r="J23" s="14">
        <f t="shared" si="7"/>
        <v>1.4147881875424042</v>
      </c>
      <c r="K23" s="13"/>
    </row>
    <row r="24" spans="1:11" x14ac:dyDescent="0.15">
      <c r="A24" s="13">
        <v>35</v>
      </c>
      <c r="B24" s="20">
        <v>9.7328999999999999E-2</v>
      </c>
      <c r="C24" s="13">
        <f t="shared" si="0"/>
        <v>1.167948</v>
      </c>
      <c r="D24" s="15">
        <f t="shared" si="5"/>
        <v>1.57903451846738</v>
      </c>
      <c r="E24" s="13">
        <v>2.202</v>
      </c>
      <c r="F24" s="17">
        <v>35</v>
      </c>
      <c r="G24" s="18" t="s">
        <v>27</v>
      </c>
      <c r="H24" s="13">
        <f t="shared" si="6"/>
        <v>1.6914089486150954</v>
      </c>
      <c r="I24" s="19">
        <v>1.65025</v>
      </c>
      <c r="J24" s="14">
        <f t="shared" si="7"/>
        <v>1.4944640710366255</v>
      </c>
      <c r="K24" s="13"/>
    </row>
    <row r="25" spans="1:11" x14ac:dyDescent="0.15">
      <c r="A25" s="13">
        <v>36</v>
      </c>
      <c r="B25" s="20">
        <v>0.103204</v>
      </c>
      <c r="C25" s="13">
        <f t="shared" si="0"/>
        <v>1.238448</v>
      </c>
      <c r="D25" s="15">
        <f t="shared" si="5"/>
        <v>1.6743486365205384</v>
      </c>
      <c r="E25" s="15">
        <f>C25*E24/C24</f>
        <v>2.3349177326387816</v>
      </c>
      <c r="F25" s="17">
        <v>36</v>
      </c>
      <c r="G25" s="18" t="s">
        <v>28</v>
      </c>
      <c r="H25" s="13">
        <f t="shared" si="6"/>
        <v>1.7935062430814281</v>
      </c>
      <c r="I25" s="19">
        <f t="shared" ref="I25:I33" si="8">C25*I24/C24</f>
        <v>1.749862846633583</v>
      </c>
      <c r="J25" s="14">
        <f t="shared" si="7"/>
        <v>1.5846733243664672</v>
      </c>
      <c r="K25" s="13"/>
    </row>
    <row r="26" spans="1:11" x14ac:dyDescent="0.15">
      <c r="A26" s="13">
        <v>37</v>
      </c>
      <c r="B26" s="20">
        <v>0.110254</v>
      </c>
      <c r="C26" s="13">
        <f t="shared" si="0"/>
        <v>1.323048</v>
      </c>
      <c r="D26" s="15">
        <f t="shared" si="5"/>
        <v>1.7887255781843288</v>
      </c>
      <c r="E26" s="15">
        <f>C26*E25/C25</f>
        <v>2.49441901180532</v>
      </c>
      <c r="F26" s="17">
        <v>37</v>
      </c>
      <c r="G26" s="18" t="s">
        <v>29</v>
      </c>
      <c r="H26" s="13">
        <f t="shared" si="6"/>
        <v>1.9160229964410271</v>
      </c>
      <c r="I26" s="19">
        <f t="shared" si="8"/>
        <v>1.8693982625938828</v>
      </c>
      <c r="J26" s="14">
        <f t="shared" si="7"/>
        <v>1.6929244283622775</v>
      </c>
      <c r="K26" s="13"/>
    </row>
    <row r="27" spans="1:11" x14ac:dyDescent="0.15">
      <c r="A27" s="13">
        <v>38</v>
      </c>
      <c r="B27" s="20">
        <v>0.118185</v>
      </c>
      <c r="C27" s="13">
        <f t="shared" si="0"/>
        <v>1.41822</v>
      </c>
      <c r="D27" s="15">
        <f t="shared" si="5"/>
        <v>1.9173955816361756</v>
      </c>
      <c r="E27" s="15">
        <f>C27*E26/C26</f>
        <v>2.6738522947939463</v>
      </c>
      <c r="F27" s="17">
        <v>38</v>
      </c>
      <c r="G27" s="18" t="s">
        <v>30</v>
      </c>
      <c r="H27" s="13">
        <f t="shared" si="6"/>
        <v>2.053849999404854</v>
      </c>
      <c r="I27" s="19">
        <f t="shared" si="8"/>
        <v>2.0038713667046824</v>
      </c>
      <c r="J27" s="14">
        <f t="shared" si="7"/>
        <v>1.8147030816659329</v>
      </c>
      <c r="K27" s="13"/>
    </row>
    <row r="28" spans="1:11" x14ac:dyDescent="0.15">
      <c r="A28" s="13">
        <v>39</v>
      </c>
      <c r="B28" s="20">
        <v>0.12729199999999999</v>
      </c>
      <c r="C28" s="13">
        <f t="shared" si="0"/>
        <v>1.527504</v>
      </c>
      <c r="D28" s="15">
        <f t="shared" si="5"/>
        <v>2.0651446323783227</v>
      </c>
      <c r="E28" s="15">
        <f>C28*E27/C27</f>
        <v>2.879891748605246</v>
      </c>
      <c r="F28" s="17">
        <v>39</v>
      </c>
      <c r="G28" s="18" t="s">
        <v>31</v>
      </c>
      <c r="H28" s="13">
        <f t="shared" si="6"/>
        <v>2.2121138395248354</v>
      </c>
      <c r="I28" s="19">
        <f t="shared" si="8"/>
        <v>2.1582839955203488</v>
      </c>
      <c r="J28" s="14">
        <f t="shared" si="7"/>
        <v>1.9545389404020805</v>
      </c>
      <c r="K28" s="13"/>
    </row>
    <row r="29" spans="1:11" x14ac:dyDescent="0.15">
      <c r="A29" s="13">
        <v>40</v>
      </c>
      <c r="B29" s="20">
        <v>0.13894400000000001</v>
      </c>
      <c r="C29" s="13">
        <f t="shared" si="0"/>
        <v>1.6673280000000001</v>
      </c>
      <c r="D29" s="21">
        <v>3.11</v>
      </c>
      <c r="E29" s="13">
        <v>2.6955</v>
      </c>
      <c r="F29" s="17">
        <v>40</v>
      </c>
      <c r="G29" s="18" t="s">
        <v>32</v>
      </c>
      <c r="H29" s="12">
        <v>2.48</v>
      </c>
      <c r="I29" s="19">
        <f t="shared" si="8"/>
        <v>2.3558480617287763</v>
      </c>
      <c r="J29" s="14">
        <v>2.2599999999999998</v>
      </c>
      <c r="K29" s="13"/>
    </row>
    <row r="30" spans="1:11" x14ac:dyDescent="0.15">
      <c r="A30" s="13">
        <v>41</v>
      </c>
      <c r="B30" s="20">
        <v>0.15098800000000001</v>
      </c>
      <c r="C30" s="13">
        <f t="shared" si="0"/>
        <v>1.8118560000000001</v>
      </c>
      <c r="D30" s="15">
        <f t="shared" ref="D30:D38" si="9">C30*D29/C29</f>
        <v>3.379582277752188</v>
      </c>
      <c r="E30" s="13">
        <f>C30*E29/C29</f>
        <v>2.9291524211193001</v>
      </c>
      <c r="F30" s="17">
        <v>41</v>
      </c>
      <c r="G30" s="18" t="s">
        <v>33</v>
      </c>
      <c r="H30" s="13">
        <f t="shared" ref="H30:H38" si="10">C30*H29/C29</f>
        <v>2.6949723629663751</v>
      </c>
      <c r="I30" s="19">
        <f t="shared" si="8"/>
        <v>2.5600586361721591</v>
      </c>
      <c r="J30" s="14">
        <f t="shared" ref="J30:J38" si="11">(C30*J29)/C29</f>
        <v>2.4559022339935508</v>
      </c>
      <c r="K30" s="13"/>
    </row>
    <row r="31" spans="1:11" x14ac:dyDescent="0.15">
      <c r="A31" s="13">
        <v>42</v>
      </c>
      <c r="B31" s="20">
        <v>0.161465</v>
      </c>
      <c r="C31" s="13">
        <f t="shared" si="0"/>
        <v>1.9375800000000001</v>
      </c>
      <c r="D31" s="15">
        <f t="shared" si="9"/>
        <v>3.6140902090050671</v>
      </c>
      <c r="E31" s="13">
        <f>C31*E30/C30</f>
        <v>3.1324051956183787</v>
      </c>
      <c r="F31" s="17">
        <v>42</v>
      </c>
      <c r="G31" s="18" t="s">
        <v>34</v>
      </c>
      <c r="H31" s="13">
        <f t="shared" si="10"/>
        <v>2.8819754721326576</v>
      </c>
      <c r="I31" s="19">
        <f t="shared" si="8"/>
        <v>2.7377001330538695</v>
      </c>
      <c r="J31" s="14">
        <f t="shared" si="11"/>
        <v>2.6263163576692761</v>
      </c>
      <c r="K31" s="13"/>
    </row>
    <row r="32" spans="1:11" x14ac:dyDescent="0.15">
      <c r="A32" s="13">
        <v>43</v>
      </c>
      <c r="B32" s="20">
        <v>0.172627</v>
      </c>
      <c r="C32" s="13">
        <f t="shared" si="0"/>
        <v>2.0715240000000001</v>
      </c>
      <c r="D32" s="15">
        <f t="shared" si="9"/>
        <v>3.8639305763473062</v>
      </c>
      <c r="E32" s="13">
        <f>C32*E31/C31</f>
        <v>3.3489469030688626</v>
      </c>
      <c r="F32" s="17">
        <v>43</v>
      </c>
      <c r="G32" s="18" t="s">
        <v>35</v>
      </c>
      <c r="H32" s="13">
        <f t="shared" si="10"/>
        <v>3.0812050898203589</v>
      </c>
      <c r="I32" s="19">
        <f t="shared" si="8"/>
        <v>2.9269560639686021</v>
      </c>
      <c r="J32" s="14">
        <f t="shared" si="11"/>
        <v>2.80787238023952</v>
      </c>
      <c r="K32" s="13"/>
    </row>
    <row r="33" spans="1:11" x14ac:dyDescent="0.15">
      <c r="A33" s="13">
        <v>44</v>
      </c>
      <c r="B33" s="20">
        <v>0.186727</v>
      </c>
      <c r="C33" s="13">
        <f t="shared" si="0"/>
        <v>2.2407240000000002</v>
      </c>
      <c r="D33" s="15">
        <f t="shared" si="9"/>
        <v>4.1795325454859524</v>
      </c>
      <c r="E33" s="13">
        <f>C33*E32/C32</f>
        <v>3.6224855229444959</v>
      </c>
      <c r="F33" s="17">
        <v>44</v>
      </c>
      <c r="G33" s="18" t="s">
        <v>36</v>
      </c>
      <c r="H33" s="13">
        <f t="shared" si="10"/>
        <v>3.3328748272685398</v>
      </c>
      <c r="I33" s="19">
        <f t="shared" si="8"/>
        <v>3.1660268958892015</v>
      </c>
      <c r="J33" s="14">
        <f t="shared" si="11"/>
        <v>3.037216576462459</v>
      </c>
      <c r="K33" s="13"/>
    </row>
    <row r="34" spans="1:11" x14ac:dyDescent="0.15">
      <c r="A34" s="13">
        <v>45</v>
      </c>
      <c r="B34" s="20">
        <v>0.20396</v>
      </c>
      <c r="C34" s="13">
        <f t="shared" si="0"/>
        <v>2.4475199999999999</v>
      </c>
      <c r="D34" s="15">
        <f t="shared" si="9"/>
        <v>4.5652608245048372</v>
      </c>
      <c r="E34" s="13">
        <v>3.5145</v>
      </c>
      <c r="F34" s="17">
        <v>45</v>
      </c>
      <c r="G34" s="18" t="s">
        <v>37</v>
      </c>
      <c r="H34" s="13">
        <f t="shared" si="10"/>
        <v>3.6404652233993553</v>
      </c>
      <c r="I34" s="13">
        <v>3.7650999999999999</v>
      </c>
      <c r="J34" s="14">
        <f t="shared" si="11"/>
        <v>3.3175207277752179</v>
      </c>
      <c r="K34" s="13"/>
    </row>
    <row r="35" spans="1:11" x14ac:dyDescent="0.15">
      <c r="A35" s="13">
        <v>46</v>
      </c>
      <c r="B35" s="20">
        <v>0.22501299999999999</v>
      </c>
      <c r="C35" s="13">
        <f t="shared" si="0"/>
        <v>2.7001559999999998</v>
      </c>
      <c r="D35" s="15">
        <f t="shared" si="9"/>
        <v>5.0364926157300784</v>
      </c>
      <c r="E35" s="13">
        <f>C35*E34/C34</f>
        <v>3.8772709771523828</v>
      </c>
      <c r="F35" s="17">
        <v>46</v>
      </c>
      <c r="G35" s="18" t="s">
        <v>38</v>
      </c>
      <c r="H35" s="13">
        <f t="shared" si="10"/>
        <v>4.0162384845693229</v>
      </c>
      <c r="I35" s="19">
        <f t="shared" ref="I35:I43" si="12">C35*I34/C34</f>
        <v>4.1537382148460482</v>
      </c>
      <c r="J35" s="14">
        <f t="shared" si="11"/>
        <v>3.6599592641639784</v>
      </c>
      <c r="K35" s="13"/>
    </row>
    <row r="36" spans="1:11" x14ac:dyDescent="0.15">
      <c r="A36" s="13">
        <v>47</v>
      </c>
      <c r="B36" s="20">
        <v>0.24909999999999999</v>
      </c>
      <c r="C36" s="13">
        <f t="shared" si="0"/>
        <v>2.9891999999999999</v>
      </c>
      <c r="D36" s="15">
        <f t="shared" si="9"/>
        <v>5.5756347881160755</v>
      </c>
      <c r="E36" s="13">
        <f>C36*E35/C35</f>
        <v>4.2923217787801535</v>
      </c>
      <c r="F36" s="17">
        <v>47</v>
      </c>
      <c r="G36" s="18" t="s">
        <v>39</v>
      </c>
      <c r="H36" s="13">
        <f t="shared" si="10"/>
        <v>4.4461653615845229</v>
      </c>
      <c r="I36" s="19">
        <f t="shared" si="12"/>
        <v>4.5983840458913514</v>
      </c>
      <c r="J36" s="14">
        <f t="shared" si="11"/>
        <v>4.0517474666052502</v>
      </c>
      <c r="K36" s="13"/>
    </row>
    <row r="37" spans="1:11" x14ac:dyDescent="0.15">
      <c r="A37" s="13">
        <v>48</v>
      </c>
      <c r="B37" s="20">
        <v>0.27641900000000003</v>
      </c>
      <c r="C37" s="13">
        <f t="shared" si="0"/>
        <v>3.3170280000000005</v>
      </c>
      <c r="D37" s="15">
        <f t="shared" si="9"/>
        <v>6.1871191991017973</v>
      </c>
      <c r="E37" s="13">
        <f>C37*E36/C36</f>
        <v>4.7630642062169066</v>
      </c>
      <c r="F37" s="17">
        <v>48</v>
      </c>
      <c r="G37" s="18" t="s">
        <v>40</v>
      </c>
      <c r="H37" s="13">
        <f t="shared" si="10"/>
        <v>4.9337799401197611</v>
      </c>
      <c r="I37" s="19">
        <f t="shared" si="12"/>
        <v>5.102692571582665</v>
      </c>
      <c r="J37" s="14">
        <f t="shared" si="11"/>
        <v>4.4961059131736532</v>
      </c>
      <c r="K37" s="13"/>
    </row>
    <row r="38" spans="1:11" x14ac:dyDescent="0.15">
      <c r="A38" s="13">
        <v>49</v>
      </c>
      <c r="B38" s="20">
        <v>0.30696899999999999</v>
      </c>
      <c r="C38" s="13">
        <f t="shared" si="0"/>
        <v>3.6836279999999997</v>
      </c>
      <c r="D38" s="15">
        <f t="shared" si="9"/>
        <v>6.8709234655688611</v>
      </c>
      <c r="E38" s="13">
        <f>C38*E37/C37</f>
        <v>5.2894810281427729</v>
      </c>
      <c r="F38" s="17">
        <v>49</v>
      </c>
      <c r="G38" s="18" t="s">
        <v>41</v>
      </c>
      <c r="H38" s="13">
        <f t="shared" si="10"/>
        <v>5.4790643712574845</v>
      </c>
      <c r="I38" s="19">
        <f t="shared" si="12"/>
        <v>5.6666453319278292</v>
      </c>
      <c r="J38" s="14">
        <f t="shared" si="11"/>
        <v>4.9930183383233526</v>
      </c>
      <c r="K38" s="13"/>
    </row>
    <row r="39" spans="1:11" x14ac:dyDescent="0.15">
      <c r="A39" s="13">
        <v>50</v>
      </c>
      <c r="B39" s="20">
        <v>0.34084799999999998</v>
      </c>
      <c r="C39" s="13">
        <f t="shared" si="0"/>
        <v>4.0901759999999996</v>
      </c>
      <c r="D39" s="21">
        <v>8.5709999999999997</v>
      </c>
      <c r="E39" s="13">
        <v>5.226</v>
      </c>
      <c r="F39" s="17">
        <v>50</v>
      </c>
      <c r="G39" s="18" t="s">
        <v>42</v>
      </c>
      <c r="H39" s="12">
        <v>5.91</v>
      </c>
      <c r="I39" s="19">
        <f t="shared" si="12"/>
        <v>6.2920514061580706</v>
      </c>
      <c r="J39" s="14">
        <v>5.77</v>
      </c>
      <c r="K39" s="13"/>
    </row>
    <row r="40" spans="1:11" x14ac:dyDescent="0.15">
      <c r="A40" s="13">
        <v>51</v>
      </c>
      <c r="B40" s="20">
        <v>0.37795800000000002</v>
      </c>
      <c r="C40" s="13">
        <f t="shared" si="0"/>
        <v>4.5354960000000002</v>
      </c>
      <c r="D40" s="15">
        <f t="shared" ref="D40:D48" si="13">C40*D39/C39</f>
        <v>9.5041720004224768</v>
      </c>
      <c r="E40" s="13">
        <f>C40*E39/C39</f>
        <v>5.7949834178284751</v>
      </c>
      <c r="F40" s="17">
        <v>51</v>
      </c>
      <c r="G40" s="18" t="s">
        <v>43</v>
      </c>
      <c r="H40" s="13">
        <f t="shared" ref="H40:H49" si="14">C40*H39/C39</f>
        <v>6.5534542670046489</v>
      </c>
      <c r="I40" s="19">
        <f t="shared" si="12"/>
        <v>6.9771017150421661</v>
      </c>
      <c r="J40" s="14">
        <f t="shared" ref="J40:J49" si="15">(C40*J39)/C39</f>
        <v>6.3982116955358412</v>
      </c>
      <c r="K40" s="13"/>
    </row>
    <row r="41" spans="1:11" x14ac:dyDescent="0.15">
      <c r="A41" s="13">
        <v>52</v>
      </c>
      <c r="B41" s="20">
        <v>0.41879</v>
      </c>
      <c r="C41" s="13">
        <f t="shared" si="0"/>
        <v>5.0254799999999999</v>
      </c>
      <c r="D41" s="15">
        <f t="shared" si="13"/>
        <v>10.530937808055205</v>
      </c>
      <c r="E41" s="13">
        <f>C41*E40/C40</f>
        <v>6.4210338332629204</v>
      </c>
      <c r="F41" s="17">
        <v>52</v>
      </c>
      <c r="G41" s="18" t="s">
        <v>44</v>
      </c>
      <c r="H41" s="13">
        <f t="shared" si="14"/>
        <v>7.2614446908886077</v>
      </c>
      <c r="I41" s="19">
        <f t="shared" si="12"/>
        <v>7.7308601147283786</v>
      </c>
      <c r="J41" s="14">
        <f t="shared" si="15"/>
        <v>7.0894307726611281</v>
      </c>
      <c r="K41" s="13"/>
    </row>
    <row r="42" spans="1:11" x14ac:dyDescent="0.15">
      <c r="A42" s="13">
        <v>53</v>
      </c>
      <c r="B42" s="20">
        <v>0.46255800000000002</v>
      </c>
      <c r="C42" s="13">
        <f t="shared" si="0"/>
        <v>5.5506960000000003</v>
      </c>
      <c r="D42" s="15">
        <f t="shared" si="13"/>
        <v>11.631532583438954</v>
      </c>
      <c r="E42" s="13">
        <f>C42*E41/C41</f>
        <v>7.0921000211237848</v>
      </c>
      <c r="F42" s="17">
        <v>53</v>
      </c>
      <c r="G42" s="18" t="s">
        <v>45</v>
      </c>
      <c r="H42" s="13">
        <f t="shared" si="14"/>
        <v>8.020342733417829</v>
      </c>
      <c r="I42" s="19">
        <f t="shared" si="12"/>
        <v>8.538817051382626</v>
      </c>
      <c r="J42" s="14">
        <f t="shared" si="15"/>
        <v>7.8303515349950725</v>
      </c>
      <c r="K42" s="13"/>
    </row>
    <row r="43" spans="1:11" x14ac:dyDescent="0.15">
      <c r="A43" s="13">
        <v>54</v>
      </c>
      <c r="B43" s="20">
        <v>0.51004799999999995</v>
      </c>
      <c r="C43" s="13">
        <f t="shared" si="0"/>
        <v>6.1205759999999998</v>
      </c>
      <c r="D43" s="15">
        <f t="shared" si="13"/>
        <v>12.825721166032954</v>
      </c>
      <c r="E43" s="13">
        <f>C43*E42/C42</f>
        <v>7.8202332065906193</v>
      </c>
      <c r="F43" s="17">
        <v>54</v>
      </c>
      <c r="G43" s="18" t="s">
        <v>46</v>
      </c>
      <c r="H43" s="13">
        <f t="shared" si="14"/>
        <v>8.843776932826362</v>
      </c>
      <c r="I43" s="19">
        <f t="shared" si="12"/>
        <v>9.4154820788389895</v>
      </c>
      <c r="J43" s="14">
        <f t="shared" si="15"/>
        <v>8.6342796789184639</v>
      </c>
      <c r="K43" s="13"/>
    </row>
    <row r="44" spans="1:11" x14ac:dyDescent="0.15">
      <c r="A44" s="13">
        <v>55</v>
      </c>
      <c r="B44" s="20">
        <v>0.56145400000000001</v>
      </c>
      <c r="C44" s="13">
        <f t="shared" si="0"/>
        <v>6.7374480000000005</v>
      </c>
      <c r="D44" s="15">
        <f t="shared" si="13"/>
        <v>14.118381900436562</v>
      </c>
      <c r="E44" s="13">
        <v>7.9035000000000002</v>
      </c>
      <c r="F44" s="17">
        <v>55</v>
      </c>
      <c r="G44" s="18" t="s">
        <v>47</v>
      </c>
      <c r="H44" s="13">
        <f t="shared" si="14"/>
        <v>9.7351110759048023</v>
      </c>
      <c r="I44" s="19">
        <v>10.375299999999999</v>
      </c>
      <c r="J44" s="14">
        <f t="shared" si="15"/>
        <v>9.5044993076092599</v>
      </c>
      <c r="K44" s="13"/>
    </row>
    <row r="45" spans="1:11" x14ac:dyDescent="0.15">
      <c r="A45" s="13">
        <v>56</v>
      </c>
      <c r="B45" s="20">
        <v>0.61667899999999998</v>
      </c>
      <c r="C45" s="13">
        <f t="shared" si="0"/>
        <v>7.4001479999999997</v>
      </c>
      <c r="D45" s="15">
        <f t="shared" si="13"/>
        <v>15.507075614350093</v>
      </c>
      <c r="E45" s="13">
        <f>C45*E44/C44</f>
        <v>8.680893673390873</v>
      </c>
      <c r="F45" s="17">
        <v>56</v>
      </c>
      <c r="G45" s="18" t="s">
        <v>48</v>
      </c>
      <c r="H45" s="13">
        <f t="shared" si="14"/>
        <v>10.692663269257849</v>
      </c>
      <c r="I45" s="19">
        <f>C45*I44/C44</f>
        <v>11.395821614415425</v>
      </c>
      <c r="J45" s="14">
        <f t="shared" si="15"/>
        <v>10.43936836947848</v>
      </c>
      <c r="K45" s="13"/>
    </row>
    <row r="46" spans="1:11" x14ac:dyDescent="0.15">
      <c r="A46" s="13">
        <v>57</v>
      </c>
      <c r="B46" s="20">
        <v>0.67513500000000004</v>
      </c>
      <c r="C46" s="13">
        <f t="shared" si="0"/>
        <v>8.1016200000000005</v>
      </c>
      <c r="D46" s="15">
        <f t="shared" si="13"/>
        <v>16.977016397338407</v>
      </c>
      <c r="E46" s="13">
        <f>C46*E45/C45</f>
        <v>9.5037696276097421</v>
      </c>
      <c r="F46" s="17">
        <v>57</v>
      </c>
      <c r="G46" s="18" t="s">
        <v>49</v>
      </c>
      <c r="H46" s="13">
        <f t="shared" si="14"/>
        <v>11.706238117870722</v>
      </c>
      <c r="I46" s="19">
        <f>C46*I45/C45</f>
        <v>12.476049980051792</v>
      </c>
      <c r="J46" s="14">
        <f t="shared" si="15"/>
        <v>11.42893298479088</v>
      </c>
      <c r="K46" s="13"/>
    </row>
    <row r="47" spans="1:11" x14ac:dyDescent="0.15">
      <c r="A47" s="13">
        <v>58</v>
      </c>
      <c r="B47" s="20">
        <v>0.72546500000000003</v>
      </c>
      <c r="C47" s="13">
        <f t="shared" si="0"/>
        <v>8.7055800000000012</v>
      </c>
      <c r="D47" s="15">
        <f t="shared" si="13"/>
        <v>18.242619921489936</v>
      </c>
      <c r="E47" s="13">
        <f>C47*E46/C46</f>
        <v>10.212257152856692</v>
      </c>
      <c r="F47" s="17">
        <v>58</v>
      </c>
      <c r="G47" s="18" t="s">
        <v>50</v>
      </c>
      <c r="H47" s="13">
        <f t="shared" si="14"/>
        <v>12.57891538163639</v>
      </c>
      <c r="I47" s="19">
        <f>C47*I46/C46</f>
        <v>13.406115219590562</v>
      </c>
      <c r="J47" s="14">
        <f t="shared" si="15"/>
        <v>12.280937690700846</v>
      </c>
      <c r="K47" s="13"/>
    </row>
    <row r="48" spans="1:11" x14ac:dyDescent="0.15">
      <c r="A48" s="13">
        <v>59</v>
      </c>
      <c r="B48" s="20">
        <v>0.79077500000000001</v>
      </c>
      <c r="C48" s="13">
        <f t="shared" si="0"/>
        <v>9.4893000000000001</v>
      </c>
      <c r="D48" s="15">
        <f t="shared" si="13"/>
        <v>19.884912116251233</v>
      </c>
      <c r="E48" s="13">
        <f>C48*E47/C47</f>
        <v>11.131615791320394</v>
      </c>
      <c r="F48" s="17">
        <v>59</v>
      </c>
      <c r="G48" s="18" t="s">
        <v>51</v>
      </c>
      <c r="H48" s="13">
        <f t="shared" si="14"/>
        <v>13.711332470778762</v>
      </c>
      <c r="I48" s="19">
        <f>C48*I47/C47</f>
        <v>14.613000989395388</v>
      </c>
      <c r="J48" s="14">
        <f t="shared" si="15"/>
        <v>13.386529332723095</v>
      </c>
      <c r="K48" s="13"/>
    </row>
    <row r="49" spans="1:11" x14ac:dyDescent="0.15">
      <c r="A49" s="13">
        <v>60</v>
      </c>
      <c r="B49" s="20">
        <v>0.86969600000000002</v>
      </c>
      <c r="C49" s="13">
        <f t="shared" si="0"/>
        <v>10.436351999999999</v>
      </c>
      <c r="D49" s="21">
        <v>21.061</v>
      </c>
      <c r="E49" s="13">
        <v>11.5365</v>
      </c>
      <c r="F49" s="17">
        <v>60</v>
      </c>
      <c r="G49" s="18" t="s">
        <v>52</v>
      </c>
      <c r="H49" s="13">
        <f t="shared" si="14"/>
        <v>15.079752147584843</v>
      </c>
      <c r="I49" s="19">
        <f>C49*I48/C48</f>
        <v>16.071409071446634</v>
      </c>
      <c r="J49" s="14">
        <f t="shared" si="15"/>
        <v>14.722532976576073</v>
      </c>
      <c r="K49" s="13"/>
    </row>
    <row r="50" spans="1:11" x14ac:dyDescent="0.15">
      <c r="B50" s="20"/>
    </row>
    <row r="51" spans="1:11" x14ac:dyDescent="0.15">
      <c r="B51" s="20"/>
    </row>
    <row r="52" spans="1:11" x14ac:dyDescent="0.15">
      <c r="B52" s="20"/>
    </row>
    <row r="53" spans="1:11" x14ac:dyDescent="0.15">
      <c r="B53" s="20"/>
    </row>
    <row r="54" spans="1:11" x14ac:dyDescent="0.15">
      <c r="B54" s="20"/>
    </row>
    <row r="55" spans="1:11" x14ac:dyDescent="0.15">
      <c r="B55" s="20"/>
    </row>
    <row r="56" spans="1:11" x14ac:dyDescent="0.15">
      <c r="B56" s="20"/>
    </row>
    <row r="57" spans="1:11" x14ac:dyDescent="0.15">
      <c r="B57" s="20"/>
    </row>
    <row r="58" spans="1:11" x14ac:dyDescent="0.15">
      <c r="B58" s="20"/>
    </row>
    <row r="59" spans="1:11" x14ac:dyDescent="0.15">
      <c r="B59" s="20"/>
    </row>
    <row r="60" spans="1:11" x14ac:dyDescent="0.15">
      <c r="B60" s="20"/>
    </row>
    <row r="61" spans="1:11" x14ac:dyDescent="0.15">
      <c r="B61" s="20"/>
    </row>
    <row r="62" spans="1:11" x14ac:dyDescent="0.15">
      <c r="B62" s="20"/>
    </row>
    <row r="63" spans="1:11" x14ac:dyDescent="0.15">
      <c r="B63" s="20"/>
    </row>
    <row r="64" spans="1:11" x14ac:dyDescent="0.15">
      <c r="B64" s="20"/>
    </row>
    <row r="65" spans="2:2" x14ac:dyDescent="0.15">
      <c r="B65" s="20"/>
    </row>
    <row r="66" spans="2:2" x14ac:dyDescent="0.15">
      <c r="B66" s="20"/>
    </row>
    <row r="67" spans="2:2" x14ac:dyDescent="0.15">
      <c r="B67" s="20"/>
    </row>
    <row r="68" spans="2:2" x14ac:dyDescent="0.15">
      <c r="B68" s="20"/>
    </row>
    <row r="69" spans="2:2" x14ac:dyDescent="0.15">
      <c r="B69" s="20"/>
    </row>
    <row r="70" spans="2:2" x14ac:dyDescent="0.15">
      <c r="B70" s="20"/>
    </row>
    <row r="71" spans="2:2" x14ac:dyDescent="0.15">
      <c r="B71" s="20"/>
    </row>
    <row r="72" spans="2:2" x14ac:dyDescent="0.15">
      <c r="B72" s="20"/>
    </row>
    <row r="73" spans="2:2" x14ac:dyDescent="0.15">
      <c r="B73" s="20"/>
    </row>
    <row r="74" spans="2:2" x14ac:dyDescent="0.15">
      <c r="B74" s="20"/>
    </row>
    <row r="75" spans="2:2" x14ac:dyDescent="0.15">
      <c r="B75" s="20"/>
    </row>
    <row r="76" spans="2:2" x14ac:dyDescent="0.15">
      <c r="B76" s="20"/>
    </row>
    <row r="77" spans="2:2" x14ac:dyDescent="0.15">
      <c r="B77" s="20"/>
    </row>
    <row r="78" spans="2:2" x14ac:dyDescent="0.15">
      <c r="B78" s="20"/>
    </row>
    <row r="79" spans="2:2" x14ac:dyDescent="0.15">
      <c r="B79" s="20"/>
    </row>
  </sheetData>
  <mergeCells count="1">
    <mergeCell ref="B2:C2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32"/>
  <sheetViews>
    <sheetView tabSelected="1" topLeftCell="B2" zoomScale="120" zoomScaleNormal="120" workbookViewId="0">
      <selection activeCell="L11" sqref="L11"/>
    </sheetView>
  </sheetViews>
  <sheetFormatPr baseColWidth="10" defaultColWidth="9.1640625" defaultRowHeight="13" x14ac:dyDescent="0.15"/>
  <cols>
    <col min="1" max="1" width="19" style="10" customWidth="1"/>
    <col min="2" max="2" width="49.6640625" style="10" customWidth="1"/>
    <col min="3" max="3" width="8.5" style="10" customWidth="1"/>
    <col min="4" max="5" width="9.33203125" style="10" customWidth="1"/>
    <col min="6" max="6" width="17.6640625" style="10" customWidth="1"/>
    <col min="7" max="7" width="18.83203125" style="10" customWidth="1"/>
    <col min="8" max="8" width="10.33203125" style="10" customWidth="1"/>
    <col min="9" max="9" width="9.6640625" style="10" customWidth="1"/>
    <col min="10" max="10" width="9.33203125" style="10" customWidth="1"/>
    <col min="11" max="11" width="11.33203125" style="10" customWidth="1"/>
    <col min="12" max="12" width="11.83203125" style="10" customWidth="1"/>
    <col min="13" max="13" width="26.83203125" style="10" customWidth="1"/>
    <col min="14" max="14" width="33.83203125" style="10" hidden="1" customWidth="1"/>
    <col min="15" max="15" width="27.6640625" style="10" customWidth="1"/>
    <col min="16" max="16" width="19.33203125" style="10" customWidth="1"/>
    <col min="17" max="17" width="16.83203125" style="10" hidden="1" customWidth="1"/>
    <col min="18" max="1023" width="9.1640625" style="10"/>
    <col min="1024" max="1024" width="11.5" customWidth="1"/>
  </cols>
  <sheetData>
    <row r="1" spans="1:1024" ht="23" hidden="1" x14ac:dyDescent="0.25">
      <c r="A1" s="8" t="s">
        <v>53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024" x14ac:dyDescent="0.15">
      <c r="A2" s="22"/>
      <c r="B2" s="22"/>
      <c r="C2" s="23" t="s">
        <v>54</v>
      </c>
      <c r="D2" s="7" t="s">
        <v>55</v>
      </c>
      <c r="E2" s="7"/>
      <c r="F2" s="7"/>
      <c r="G2" s="7"/>
      <c r="H2" s="6"/>
      <c r="I2" s="6"/>
      <c r="J2" s="6"/>
      <c r="K2" s="6"/>
      <c r="L2" s="6"/>
      <c r="M2" s="6"/>
    </row>
    <row r="3" spans="1:1024" x14ac:dyDescent="0.15">
      <c r="A3" s="23" t="s">
        <v>56</v>
      </c>
      <c r="B3" s="24">
        <v>52</v>
      </c>
      <c r="C3" s="7" t="s">
        <v>57</v>
      </c>
      <c r="D3" s="7"/>
      <c r="E3" s="7" t="s">
        <v>58</v>
      </c>
      <c r="F3" s="7"/>
      <c r="G3" s="25" t="s">
        <v>59</v>
      </c>
      <c r="H3" s="26"/>
      <c r="I3" s="27"/>
      <c r="J3" s="27"/>
      <c r="K3" s="27"/>
      <c r="L3" s="27"/>
      <c r="M3" s="27"/>
    </row>
    <row r="4" spans="1:1024" x14ac:dyDescent="0.15">
      <c r="A4" s="23" t="s">
        <v>60</v>
      </c>
      <c r="B4" s="23">
        <v>10</v>
      </c>
      <c r="C4" s="5">
        <v>5000000</v>
      </c>
      <c r="D4" s="5"/>
      <c r="E4" s="5">
        <v>0</v>
      </c>
      <c r="F4" s="5"/>
      <c r="G4" s="28">
        <v>5000000</v>
      </c>
      <c r="H4" s="29"/>
      <c r="I4" s="30"/>
      <c r="J4" s="31"/>
      <c r="K4" s="31"/>
      <c r="L4" s="32">
        <f>1+L5/100</f>
        <v>1.2</v>
      </c>
      <c r="M4" s="32">
        <f>1-M5/100</f>
        <v>0.98250000000000004</v>
      </c>
    </row>
    <row r="5" spans="1:1024" x14ac:dyDescent="0.15">
      <c r="A5" s="23" t="s">
        <v>61</v>
      </c>
      <c r="B5" s="22"/>
      <c r="C5" s="28">
        <v>200000</v>
      </c>
      <c r="D5" s="33"/>
      <c r="E5" s="28">
        <v>0</v>
      </c>
      <c r="F5" s="34"/>
      <c r="G5" s="28">
        <v>0</v>
      </c>
      <c r="H5" s="35"/>
      <c r="I5" s="4" t="s">
        <v>62</v>
      </c>
      <c r="J5" s="4"/>
      <c r="K5" s="4"/>
      <c r="L5" s="36">
        <v>20</v>
      </c>
      <c r="M5" s="32">
        <v>1.75</v>
      </c>
      <c r="N5" s="10" t="s">
        <v>63</v>
      </c>
    </row>
    <row r="6" spans="1:1024" s="40" customFormat="1" ht="42" x14ac:dyDescent="0.15">
      <c r="A6" s="37" t="s">
        <v>64</v>
      </c>
      <c r="B6" s="38" t="s">
        <v>56</v>
      </c>
      <c r="C6" s="38" t="s">
        <v>65</v>
      </c>
      <c r="D6" s="37" t="s">
        <v>66</v>
      </c>
      <c r="E6" s="37" t="s">
        <v>67</v>
      </c>
      <c r="F6" s="37" t="s">
        <v>68</v>
      </c>
      <c r="G6" s="37" t="s">
        <v>69</v>
      </c>
      <c r="H6" s="37" t="s">
        <v>70</v>
      </c>
      <c r="I6" s="37" t="s">
        <v>71</v>
      </c>
      <c r="J6" s="37" t="s">
        <v>72</v>
      </c>
      <c r="K6" s="37" t="s">
        <v>73</v>
      </c>
      <c r="L6" s="39" t="s">
        <v>74</v>
      </c>
      <c r="M6" s="38" t="s">
        <v>75</v>
      </c>
      <c r="O6" s="40" t="s">
        <v>76</v>
      </c>
      <c r="P6" s="40" t="s">
        <v>77</v>
      </c>
      <c r="Q6" s="40" t="s">
        <v>78</v>
      </c>
      <c r="AMJ6"/>
    </row>
    <row r="7" spans="1:1024" x14ac:dyDescent="0.15">
      <c r="A7" s="13">
        <v>1</v>
      </c>
      <c r="B7" s="13">
        <v>54</v>
      </c>
      <c r="C7" s="41">
        <v>500000</v>
      </c>
      <c r="D7" s="42">
        <f>C7*6%</f>
        <v>30000</v>
      </c>
      <c r="E7" s="43">
        <f>$E$5</f>
        <v>0</v>
      </c>
      <c r="F7" s="43">
        <f t="shared" ref="F7:F16" si="0">E7*0.035</f>
        <v>0</v>
      </c>
      <c r="G7" s="44">
        <f>Mortality!C15</f>
        <v>1.0022759999999999</v>
      </c>
      <c r="H7" s="43">
        <f>(G7/1000)*($G$4-(C7-D7))</f>
        <v>4540.3102799999997</v>
      </c>
      <c r="I7" s="43">
        <v>6000</v>
      </c>
      <c r="J7" s="45">
        <v>0</v>
      </c>
      <c r="K7" s="46">
        <f>(C7-D7+E7-F7-H7-I7-J7)</f>
        <v>459459.68972000002</v>
      </c>
      <c r="L7" s="47">
        <f t="shared" ref="L7:L26" si="1">K7*$L$4</f>
        <v>551351.62766400003</v>
      </c>
      <c r="M7" s="43">
        <f t="shared" ref="M7:M26" si="2">L7*$M$4</f>
        <v>541702.97417988</v>
      </c>
      <c r="N7" s="10">
        <v>4</v>
      </c>
      <c r="O7" s="10" t="s">
        <v>79</v>
      </c>
      <c r="P7" s="10" t="s">
        <v>79</v>
      </c>
    </row>
    <row r="8" spans="1:1024" x14ac:dyDescent="0.15">
      <c r="A8" s="13">
        <v>2</v>
      </c>
      <c r="B8" s="13">
        <f t="shared" ref="B8:B26" si="3">SUM(B7+1)</f>
        <v>55</v>
      </c>
      <c r="C8" s="41">
        <v>500000</v>
      </c>
      <c r="D8" s="42">
        <f>C8*5%</f>
        <v>25000</v>
      </c>
      <c r="E8" s="43">
        <f>$E$5</f>
        <v>0</v>
      </c>
      <c r="F8" s="43">
        <f t="shared" si="0"/>
        <v>0</v>
      </c>
      <c r="G8" s="44">
        <f>Mortality!C16</f>
        <v>1.0104960000000001</v>
      </c>
      <c r="H8" s="43">
        <f t="shared" ref="H8:H15" si="4">(G8/1000)*($G$4-(M7+C8-D8))</f>
        <v>4025.1057114031282</v>
      </c>
      <c r="I8" s="43">
        <v>6000</v>
      </c>
      <c r="J8" s="45">
        <v>0</v>
      </c>
      <c r="K8" s="46">
        <f t="shared" ref="K8:K26" si="5">(C8-D8+E8-F8-H8-I8+M7-J8)</f>
        <v>1006677.8684684769</v>
      </c>
      <c r="L8" s="47">
        <f t="shared" si="1"/>
        <v>1208013.4421621722</v>
      </c>
      <c r="M8" s="43">
        <f t="shared" si="2"/>
        <v>1186873.2069243342</v>
      </c>
      <c r="N8" s="10">
        <v>5</v>
      </c>
    </row>
    <row r="9" spans="1:1024" x14ac:dyDescent="0.15">
      <c r="A9" s="13">
        <v>3</v>
      </c>
      <c r="B9" s="13">
        <f t="shared" si="3"/>
        <v>56</v>
      </c>
      <c r="C9" s="41">
        <v>500000</v>
      </c>
      <c r="D9" s="42">
        <f>C9*4.5%</f>
        <v>22500</v>
      </c>
      <c r="E9" s="43">
        <f>$E$5</f>
        <v>0</v>
      </c>
      <c r="F9" s="43">
        <f t="shared" si="0"/>
        <v>0</v>
      </c>
      <c r="G9" s="44">
        <f>Mortality!C17</f>
        <v>1.0163759999999999</v>
      </c>
      <c r="H9" s="43">
        <f t="shared" si="4"/>
        <v>3390.2510174390732</v>
      </c>
      <c r="I9" s="43">
        <v>6000</v>
      </c>
      <c r="J9" s="45">
        <v>0</v>
      </c>
      <c r="K9" s="46">
        <f t="shared" si="5"/>
        <v>1654982.955906895</v>
      </c>
      <c r="L9" s="47">
        <f t="shared" si="1"/>
        <v>1985979.5470882738</v>
      </c>
      <c r="M9" s="43">
        <f t="shared" si="2"/>
        <v>1951224.905014229</v>
      </c>
      <c r="N9" s="10">
        <v>6</v>
      </c>
    </row>
    <row r="10" spans="1:1024" x14ac:dyDescent="0.15">
      <c r="A10" s="13">
        <v>4</v>
      </c>
      <c r="B10" s="13">
        <f t="shared" si="3"/>
        <v>57</v>
      </c>
      <c r="C10" s="41">
        <v>500000</v>
      </c>
      <c r="D10" s="42">
        <f>C10*4%</f>
        <v>20000</v>
      </c>
      <c r="E10" s="43">
        <v>0</v>
      </c>
      <c r="F10" s="43">
        <f t="shared" si="0"/>
        <v>0</v>
      </c>
      <c r="G10" s="44">
        <f>Mortality!C18</f>
        <v>1.0151999999999999</v>
      </c>
      <c r="H10" s="43">
        <f t="shared" si="4"/>
        <v>2607.8204764295547</v>
      </c>
      <c r="I10" s="43">
        <v>6000</v>
      </c>
      <c r="J10" s="43">
        <v>0</v>
      </c>
      <c r="K10" s="46">
        <f t="shared" si="5"/>
        <v>2422617.0845377995</v>
      </c>
      <c r="L10" s="48">
        <f t="shared" si="1"/>
        <v>2907140.5014453591</v>
      </c>
      <c r="M10" s="43">
        <f t="shared" si="2"/>
        <v>2856265.5426700655</v>
      </c>
      <c r="N10" s="10">
        <v>7</v>
      </c>
    </row>
    <row r="11" spans="1:1024" x14ac:dyDescent="0.15">
      <c r="A11" s="49">
        <v>5</v>
      </c>
      <c r="B11" s="49">
        <f t="shared" si="3"/>
        <v>58</v>
      </c>
      <c r="C11" s="41">
        <v>500000</v>
      </c>
      <c r="D11" s="42">
        <f>C11*4%</f>
        <v>20000</v>
      </c>
      <c r="E11" s="50">
        <v>0</v>
      </c>
      <c r="F11" s="50">
        <f t="shared" si="0"/>
        <v>0</v>
      </c>
      <c r="G11" s="44">
        <f>Mortality!C19</f>
        <v>1.0081560000000001</v>
      </c>
      <c r="H11" s="50">
        <f t="shared" si="4"/>
        <v>1677.3038755639175</v>
      </c>
      <c r="I11" s="43">
        <v>6000</v>
      </c>
      <c r="J11" s="50">
        <v>0</v>
      </c>
      <c r="K11" s="51">
        <f t="shared" si="5"/>
        <v>3328588.2387945019</v>
      </c>
      <c r="L11" s="52">
        <f t="shared" si="1"/>
        <v>3994305.8865534021</v>
      </c>
      <c r="M11" s="53">
        <f t="shared" si="2"/>
        <v>3924405.5335387178</v>
      </c>
      <c r="N11" s="10">
        <v>8</v>
      </c>
    </row>
    <row r="12" spans="1:1024" x14ac:dyDescent="0.15">
      <c r="A12" s="13">
        <v>6</v>
      </c>
      <c r="B12" s="13">
        <f t="shared" si="3"/>
        <v>59</v>
      </c>
      <c r="C12" s="54">
        <f>M11*0.1%</f>
        <v>3924.4055335387179</v>
      </c>
      <c r="D12" s="43">
        <v>0</v>
      </c>
      <c r="E12" s="43">
        <v>0</v>
      </c>
      <c r="F12" s="43">
        <f t="shared" si="0"/>
        <v>0</v>
      </c>
      <c r="G12" s="44">
        <f>Mortality!C20</f>
        <v>1.0046280000000001</v>
      </c>
      <c r="H12" s="43">
        <f t="shared" si="4"/>
        <v>1076.6297499697173</v>
      </c>
      <c r="I12" s="43">
        <v>0</v>
      </c>
      <c r="J12" s="43">
        <v>0</v>
      </c>
      <c r="K12" s="46">
        <f t="shared" si="5"/>
        <v>3927253.3093222869</v>
      </c>
      <c r="L12" s="48">
        <f t="shared" si="1"/>
        <v>4712703.971186744</v>
      </c>
      <c r="M12" s="43">
        <f t="shared" si="2"/>
        <v>4630231.6516909758</v>
      </c>
      <c r="N12" s="10">
        <v>9</v>
      </c>
      <c r="O12" s="55">
        <v>4.0000000000000001E-3</v>
      </c>
    </row>
    <row r="13" spans="1:1024" x14ac:dyDescent="0.15">
      <c r="A13" s="13">
        <v>7</v>
      </c>
      <c r="B13" s="13">
        <f t="shared" si="3"/>
        <v>60</v>
      </c>
      <c r="C13" s="54">
        <f>M12*0.15%</f>
        <v>6945.3474775364639</v>
      </c>
      <c r="D13" s="43">
        <v>0</v>
      </c>
      <c r="E13" s="43">
        <v>0</v>
      </c>
      <c r="F13" s="43">
        <f t="shared" si="0"/>
        <v>0</v>
      </c>
      <c r="G13" s="44">
        <f>Mortality!C21</f>
        <v>1.0257719999999999</v>
      </c>
      <c r="H13" s="43">
        <f t="shared" si="4"/>
        <v>372.17367520891662</v>
      </c>
      <c r="I13" s="43">
        <v>0</v>
      </c>
      <c r="J13" s="43">
        <v>0</v>
      </c>
      <c r="K13" s="46">
        <f t="shared" si="5"/>
        <v>4636804.8254933031</v>
      </c>
      <c r="L13" s="48">
        <f t="shared" si="1"/>
        <v>5564165.7905919636</v>
      </c>
      <c r="M13" s="43">
        <f t="shared" si="2"/>
        <v>5466792.889256604</v>
      </c>
      <c r="N13" s="10">
        <v>10</v>
      </c>
      <c r="O13" s="55">
        <v>4.0000000000000001E-3</v>
      </c>
    </row>
    <row r="14" spans="1:1024" x14ac:dyDescent="0.15">
      <c r="A14" s="13">
        <v>8</v>
      </c>
      <c r="B14" s="13">
        <f t="shared" si="3"/>
        <v>61</v>
      </c>
      <c r="C14" s="54">
        <f>M13*0.2%</f>
        <v>10933.585778513208</v>
      </c>
      <c r="D14" s="43">
        <v>0</v>
      </c>
      <c r="E14" s="43">
        <v>0</v>
      </c>
      <c r="F14" s="43">
        <f t="shared" si="0"/>
        <v>0</v>
      </c>
      <c r="G14" s="44">
        <f>Mortality!C22</f>
        <v>1.058676</v>
      </c>
      <c r="H14" s="43">
        <f t="shared" si="4"/>
        <v>-505.75755368427753</v>
      </c>
      <c r="I14" s="43">
        <v>0</v>
      </c>
      <c r="J14" s="43">
        <v>0</v>
      </c>
      <c r="K14" s="46">
        <f t="shared" si="5"/>
        <v>5478232.2325888015</v>
      </c>
      <c r="L14" s="48">
        <f t="shared" si="1"/>
        <v>6573878.6791065615</v>
      </c>
      <c r="M14" s="43">
        <f t="shared" si="2"/>
        <v>6458835.8022221969</v>
      </c>
      <c r="N14" s="10">
        <v>11</v>
      </c>
      <c r="O14" s="55">
        <v>4.0000000000000001E-3</v>
      </c>
    </row>
    <row r="15" spans="1:1024" x14ac:dyDescent="0.15">
      <c r="A15" s="13">
        <v>9</v>
      </c>
      <c r="B15" s="13">
        <f t="shared" si="3"/>
        <v>62</v>
      </c>
      <c r="C15" s="54">
        <f>M14*0.25%</f>
        <v>16147.089505555492</v>
      </c>
      <c r="D15" s="43">
        <v>0</v>
      </c>
      <c r="E15" s="43">
        <v>0</v>
      </c>
      <c r="F15" s="43">
        <f t="shared" si="0"/>
        <v>0</v>
      </c>
      <c r="G15" s="44">
        <f>Mortality!C23</f>
        <v>1.10568</v>
      </c>
      <c r="H15" s="43">
        <f t="shared" si="4"/>
        <v>-1630.8590837255408</v>
      </c>
      <c r="I15" s="43">
        <v>0</v>
      </c>
      <c r="J15" s="43">
        <v>0</v>
      </c>
      <c r="K15" s="46">
        <f t="shared" si="5"/>
        <v>6476613.7508114781</v>
      </c>
      <c r="L15" s="48">
        <f t="shared" si="1"/>
        <v>7771936.5009737732</v>
      </c>
      <c r="M15" s="43">
        <f t="shared" si="2"/>
        <v>7635927.6122067329</v>
      </c>
      <c r="N15" s="10">
        <v>12</v>
      </c>
      <c r="O15" s="55">
        <v>4.0000000000000001E-3</v>
      </c>
    </row>
    <row r="16" spans="1:1024" x14ac:dyDescent="0.15">
      <c r="A16" s="49">
        <v>10</v>
      </c>
      <c r="B16" s="49">
        <f t="shared" si="3"/>
        <v>63</v>
      </c>
      <c r="C16" s="56">
        <f>(M15*0.3%)+(M15*2.5%)</f>
        <v>213805.97314178853</v>
      </c>
      <c r="D16" s="50">
        <v>0</v>
      </c>
      <c r="E16" s="50">
        <v>0</v>
      </c>
      <c r="F16" s="50">
        <f t="shared" si="0"/>
        <v>0</v>
      </c>
      <c r="G16" s="44">
        <f>Mortality!C24</f>
        <v>1.167948</v>
      </c>
      <c r="H16" s="50">
        <v>0</v>
      </c>
      <c r="I16" s="50">
        <v>0</v>
      </c>
      <c r="J16" s="50">
        <v>0</v>
      </c>
      <c r="K16" s="51">
        <f t="shared" si="5"/>
        <v>7849733.5853485214</v>
      </c>
      <c r="L16" s="52">
        <f t="shared" si="1"/>
        <v>9419680.3024182245</v>
      </c>
      <c r="M16" s="53">
        <f t="shared" si="2"/>
        <v>9254835.8971259054</v>
      </c>
      <c r="N16" s="10">
        <v>13</v>
      </c>
      <c r="O16" s="57">
        <v>4.0000000000000001E-3</v>
      </c>
      <c r="P16" s="55">
        <v>0.02</v>
      </c>
      <c r="Q16" s="58"/>
    </row>
    <row r="17" spans="1:17" x14ac:dyDescent="0.15">
      <c r="A17" s="13">
        <v>11</v>
      </c>
      <c r="B17" s="13">
        <f t="shared" si="3"/>
        <v>64</v>
      </c>
      <c r="C17" s="54">
        <f>M16*0.35%</f>
        <v>32391.925639940666</v>
      </c>
      <c r="D17" s="13">
        <v>0</v>
      </c>
      <c r="E17" s="43">
        <v>0</v>
      </c>
      <c r="F17" s="13">
        <v>0</v>
      </c>
      <c r="G17" s="44">
        <f>Mortality!C25</f>
        <v>1.238448</v>
      </c>
      <c r="H17" s="43">
        <v>0</v>
      </c>
      <c r="I17" s="43">
        <v>0</v>
      </c>
      <c r="J17" s="13">
        <v>0</v>
      </c>
      <c r="K17" s="46">
        <f t="shared" si="5"/>
        <v>9287227.8227658458</v>
      </c>
      <c r="L17" s="48">
        <f t="shared" si="1"/>
        <v>11144673.387319015</v>
      </c>
      <c r="M17" s="59">
        <f t="shared" si="2"/>
        <v>10949641.603040934</v>
      </c>
      <c r="N17" s="10">
        <v>14</v>
      </c>
      <c r="O17" s="55">
        <v>4.0000000000000001E-3</v>
      </c>
    </row>
    <row r="18" spans="1:17" x14ac:dyDescent="0.15">
      <c r="A18" s="13">
        <v>12</v>
      </c>
      <c r="B18" s="13">
        <f t="shared" si="3"/>
        <v>65</v>
      </c>
      <c r="C18" s="54">
        <f>M17*0.4%</f>
        <v>43798.566412163738</v>
      </c>
      <c r="D18" s="13">
        <v>0</v>
      </c>
      <c r="E18" s="13">
        <v>0</v>
      </c>
      <c r="F18" s="13">
        <v>0</v>
      </c>
      <c r="G18" s="44">
        <f>Mortality!C26</f>
        <v>1.323048</v>
      </c>
      <c r="H18" s="43">
        <v>0</v>
      </c>
      <c r="I18" s="43">
        <v>0</v>
      </c>
      <c r="J18" s="13">
        <v>0</v>
      </c>
      <c r="K18" s="46">
        <f t="shared" si="5"/>
        <v>10993440.169453098</v>
      </c>
      <c r="L18" s="48">
        <f t="shared" si="1"/>
        <v>13192128.203343717</v>
      </c>
      <c r="M18" s="59">
        <f t="shared" si="2"/>
        <v>12961265.959785203</v>
      </c>
      <c r="N18" s="60">
        <v>15</v>
      </c>
      <c r="O18" s="61">
        <v>4.0000000000000001E-3</v>
      </c>
    </row>
    <row r="19" spans="1:17" x14ac:dyDescent="0.15">
      <c r="A19" s="13">
        <v>13</v>
      </c>
      <c r="B19" s="13">
        <f t="shared" si="3"/>
        <v>66</v>
      </c>
      <c r="C19" s="54">
        <f>M18*0.45%</f>
        <v>58325.696819033416</v>
      </c>
      <c r="D19" s="13">
        <v>0</v>
      </c>
      <c r="E19" s="13">
        <v>0</v>
      </c>
      <c r="F19" s="13">
        <v>0</v>
      </c>
      <c r="G19" s="44">
        <f>Mortality!C27</f>
        <v>1.41822</v>
      </c>
      <c r="H19" s="43">
        <v>0</v>
      </c>
      <c r="I19" s="43">
        <v>0</v>
      </c>
      <c r="J19" s="13">
        <v>0</v>
      </c>
      <c r="K19" s="46">
        <f t="shared" si="5"/>
        <v>13019591.656604236</v>
      </c>
      <c r="L19" s="48">
        <f t="shared" si="1"/>
        <v>15623509.987925082</v>
      </c>
      <c r="M19" s="59">
        <f t="shared" si="2"/>
        <v>15350098.563136393</v>
      </c>
      <c r="N19" s="10">
        <v>16</v>
      </c>
      <c r="O19" s="55">
        <v>4.0000000000000001E-3</v>
      </c>
    </row>
    <row r="20" spans="1:17" x14ac:dyDescent="0.15">
      <c r="A20" s="13">
        <v>14</v>
      </c>
      <c r="B20" s="13">
        <f t="shared" si="3"/>
        <v>67</v>
      </c>
      <c r="C20" s="54">
        <f>M19*0.5%</f>
        <v>76750.492815681966</v>
      </c>
      <c r="D20" s="13">
        <v>0</v>
      </c>
      <c r="E20" s="13">
        <v>0</v>
      </c>
      <c r="F20" s="13">
        <v>0</v>
      </c>
      <c r="G20" s="44">
        <f>Mortality!C28</f>
        <v>1.527504</v>
      </c>
      <c r="H20" s="43">
        <v>0</v>
      </c>
      <c r="I20" s="43">
        <v>0</v>
      </c>
      <c r="J20" s="13">
        <v>0</v>
      </c>
      <c r="K20" s="46">
        <f t="shared" si="5"/>
        <v>15426849.055952076</v>
      </c>
      <c r="L20" s="47">
        <f t="shared" si="1"/>
        <v>18512218.867142491</v>
      </c>
      <c r="M20" s="59">
        <f t="shared" si="2"/>
        <v>18188255.036967497</v>
      </c>
      <c r="N20" s="60">
        <v>17</v>
      </c>
      <c r="O20" s="61">
        <v>4.0000000000000001E-3</v>
      </c>
    </row>
    <row r="21" spans="1:17" x14ac:dyDescent="0.15">
      <c r="A21" s="49">
        <v>15</v>
      </c>
      <c r="B21" s="49">
        <f t="shared" si="3"/>
        <v>68</v>
      </c>
      <c r="C21" s="56">
        <f>(M20*0.55%)+(M20*2.5%)</f>
        <v>554741.77862750879</v>
      </c>
      <c r="D21" s="62">
        <v>0</v>
      </c>
      <c r="E21" s="62">
        <v>0</v>
      </c>
      <c r="F21" s="62">
        <v>0</v>
      </c>
      <c r="G21" s="44">
        <f>Mortality!C29</f>
        <v>1.6673280000000001</v>
      </c>
      <c r="H21" s="50">
        <v>0</v>
      </c>
      <c r="I21" s="50">
        <v>0</v>
      </c>
      <c r="J21" s="62">
        <v>0</v>
      </c>
      <c r="K21" s="51">
        <f t="shared" si="5"/>
        <v>18742996.815595005</v>
      </c>
      <c r="L21" s="52">
        <f t="shared" si="1"/>
        <v>22491596.178714003</v>
      </c>
      <c r="M21" s="53">
        <f t="shared" si="2"/>
        <v>22097993.245586511</v>
      </c>
      <c r="N21" s="10">
        <v>18</v>
      </c>
      <c r="O21" s="57">
        <v>4.0000000000000001E-3</v>
      </c>
      <c r="P21" s="55">
        <v>0.02</v>
      </c>
      <c r="Q21" s="58">
        <v>15600000</v>
      </c>
    </row>
    <row r="22" spans="1:17" ht="13.5" customHeight="1" x14ac:dyDescent="0.15">
      <c r="A22" s="13">
        <v>16</v>
      </c>
      <c r="B22" s="13">
        <f t="shared" si="3"/>
        <v>69</v>
      </c>
      <c r="C22" s="63">
        <f>M21*0.6%</f>
        <v>132587.95947351906</v>
      </c>
      <c r="D22" s="64">
        <v>0</v>
      </c>
      <c r="E22" s="64">
        <v>0</v>
      </c>
      <c r="F22" s="64">
        <v>0</v>
      </c>
      <c r="G22" s="44">
        <f>Mortality!C30</f>
        <v>1.8118560000000001</v>
      </c>
      <c r="H22" s="65">
        <v>0</v>
      </c>
      <c r="I22" s="65">
        <v>0</v>
      </c>
      <c r="J22" s="64">
        <v>0</v>
      </c>
      <c r="K22" s="66">
        <f t="shared" si="5"/>
        <v>22230581.205060031</v>
      </c>
      <c r="L22" s="67">
        <f t="shared" si="1"/>
        <v>26676697.446072038</v>
      </c>
      <c r="M22" s="65">
        <f t="shared" si="2"/>
        <v>26209855.24076578</v>
      </c>
      <c r="N22" s="10">
        <v>19</v>
      </c>
      <c r="O22" s="55">
        <v>4.0000000000000001E-3</v>
      </c>
    </row>
    <row r="23" spans="1:17" x14ac:dyDescent="0.15">
      <c r="A23" s="13">
        <v>17</v>
      </c>
      <c r="B23" s="13">
        <f t="shared" si="3"/>
        <v>70</v>
      </c>
      <c r="C23" s="63">
        <f>M22*0.65%</f>
        <v>170364.0590649776</v>
      </c>
      <c r="D23" s="49">
        <v>0</v>
      </c>
      <c r="E23" s="49">
        <v>0</v>
      </c>
      <c r="F23" s="49">
        <v>0</v>
      </c>
      <c r="G23" s="44">
        <f>Mortality!C31</f>
        <v>1.9375800000000001</v>
      </c>
      <c r="H23" s="42">
        <v>0</v>
      </c>
      <c r="I23" s="42">
        <v>0</v>
      </c>
      <c r="J23" s="49">
        <v>0</v>
      </c>
      <c r="K23" s="68">
        <f t="shared" si="5"/>
        <v>26380219.299830757</v>
      </c>
      <c r="L23" s="48">
        <f t="shared" si="1"/>
        <v>31656263.159796908</v>
      </c>
      <c r="M23" s="65">
        <f t="shared" si="2"/>
        <v>31102278.554500464</v>
      </c>
      <c r="O23" s="55">
        <v>4.0000000000000001E-3</v>
      </c>
    </row>
    <row r="24" spans="1:17" x14ac:dyDescent="0.15">
      <c r="A24" s="13">
        <v>18</v>
      </c>
      <c r="B24" s="13">
        <f t="shared" si="3"/>
        <v>71</v>
      </c>
      <c r="C24" s="63">
        <f>M23*0.7%</f>
        <v>217715.94988150324</v>
      </c>
      <c r="D24" s="64">
        <v>0</v>
      </c>
      <c r="E24" s="64">
        <v>0</v>
      </c>
      <c r="F24" s="64">
        <v>0</v>
      </c>
      <c r="G24" s="44">
        <f>Mortality!C32</f>
        <v>2.0715240000000001</v>
      </c>
      <c r="H24" s="65">
        <v>0</v>
      </c>
      <c r="I24" s="65">
        <v>0</v>
      </c>
      <c r="J24" s="64">
        <v>0</v>
      </c>
      <c r="K24" s="66">
        <f t="shared" si="5"/>
        <v>31319994.504381966</v>
      </c>
      <c r="L24" s="67">
        <f t="shared" si="1"/>
        <v>37583993.405258358</v>
      </c>
      <c r="M24" s="65">
        <f t="shared" si="2"/>
        <v>36926273.520666339</v>
      </c>
      <c r="O24" s="55">
        <v>4.0000000000000001E-3</v>
      </c>
    </row>
    <row r="25" spans="1:17" x14ac:dyDescent="0.15">
      <c r="A25" s="13">
        <v>19</v>
      </c>
      <c r="B25" s="13">
        <f t="shared" si="3"/>
        <v>72</v>
      </c>
      <c r="C25" s="63">
        <f>M24*0.5%</f>
        <v>184631.36760333169</v>
      </c>
      <c r="D25" s="13">
        <v>0</v>
      </c>
      <c r="E25" s="13">
        <v>0</v>
      </c>
      <c r="F25" s="13">
        <v>0</v>
      </c>
      <c r="G25" s="44">
        <f>Mortality!C33</f>
        <v>2.2407240000000002</v>
      </c>
      <c r="H25" s="43">
        <v>0</v>
      </c>
      <c r="I25" s="43">
        <v>0</v>
      </c>
      <c r="J25" s="13">
        <v>0</v>
      </c>
      <c r="K25" s="46">
        <f t="shared" si="5"/>
        <v>37110904.88826967</v>
      </c>
      <c r="L25" s="47">
        <f t="shared" si="1"/>
        <v>44533085.865923606</v>
      </c>
      <c r="M25" s="65">
        <f t="shared" si="2"/>
        <v>43753756.863269947</v>
      </c>
      <c r="O25" s="55">
        <v>4.0000000000000001E-3</v>
      </c>
    </row>
    <row r="26" spans="1:17" x14ac:dyDescent="0.15">
      <c r="A26" s="49">
        <v>20</v>
      </c>
      <c r="B26" s="49">
        <f t="shared" si="3"/>
        <v>73</v>
      </c>
      <c r="C26" s="56">
        <f>(M25*0.75%)+(M25*2.5%)</f>
        <v>1421997.0980562733</v>
      </c>
      <c r="D26" s="69">
        <v>0</v>
      </c>
      <c r="E26" s="69">
        <v>0</v>
      </c>
      <c r="F26" s="69">
        <v>0</v>
      </c>
      <c r="G26" s="44">
        <f>Mortality!C34</f>
        <v>2.4475199999999999</v>
      </c>
      <c r="H26" s="53">
        <v>0</v>
      </c>
      <c r="I26" s="53">
        <v>0</v>
      </c>
      <c r="J26" s="69">
        <v>0</v>
      </c>
      <c r="K26" s="70">
        <f t="shared" si="5"/>
        <v>45175753.961326219</v>
      </c>
      <c r="L26" s="71">
        <f t="shared" si="1"/>
        <v>54210904.753591463</v>
      </c>
      <c r="M26" s="53">
        <f t="shared" si="2"/>
        <v>53262213.920403615</v>
      </c>
      <c r="O26" s="72">
        <v>4.0000000000000001E-3</v>
      </c>
      <c r="P26" s="55">
        <v>0.02</v>
      </c>
      <c r="Q26" s="58">
        <v>30400000</v>
      </c>
    </row>
    <row r="30" spans="1:17" x14ac:dyDescent="0.15">
      <c r="A30" s="73"/>
      <c r="L30" s="55"/>
    </row>
    <row r="31" spans="1:17" x14ac:dyDescent="0.15">
      <c r="L31" s="55"/>
    </row>
    <row r="32" spans="1:17" x14ac:dyDescent="0.15">
      <c r="A32" s="73"/>
      <c r="B32" s="73"/>
      <c r="C32" s="73"/>
      <c r="D32" s="73"/>
      <c r="J32" s="55"/>
    </row>
  </sheetData>
  <mergeCells count="8">
    <mergeCell ref="C4:D4"/>
    <mergeCell ref="E4:F4"/>
    <mergeCell ref="I5:K5"/>
    <mergeCell ref="A1:M1"/>
    <mergeCell ref="D2:G2"/>
    <mergeCell ref="H2:M2"/>
    <mergeCell ref="C3:D3"/>
    <mergeCell ref="E3:F3"/>
  </mergeCells>
  <pageMargins left="0.75" right="0.75" top="1" bottom="1" header="0.51180555555555496" footer="0.51180555555555496"/>
  <pageSetup scale="80"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6"/>
  <sheetViews>
    <sheetView zoomScaleNormal="100" workbookViewId="0">
      <selection activeCell="J5" sqref="J5"/>
    </sheetView>
  </sheetViews>
  <sheetFormatPr baseColWidth="10" defaultColWidth="8.6640625" defaultRowHeight="13" x14ac:dyDescent="0.15"/>
  <cols>
    <col min="2" max="2" width="17" customWidth="1"/>
    <col min="6" max="6" width="10.1640625" customWidth="1"/>
    <col min="7" max="7" width="12.83203125" customWidth="1"/>
    <col min="9" max="9" width="13.1640625" customWidth="1"/>
    <col min="10" max="10" width="17" customWidth="1"/>
    <col min="14" max="14" width="10.1640625" customWidth="1"/>
    <col min="15" max="15" width="9.1640625" customWidth="1"/>
  </cols>
  <sheetData>
    <row r="1" spans="1:18" x14ac:dyDescent="0.15">
      <c r="A1" s="3" t="s">
        <v>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15" x14ac:dyDescent="0.2">
      <c r="A3" s="2" t="s">
        <v>81</v>
      </c>
      <c r="B3" s="2"/>
      <c r="C3" s="2"/>
      <c r="D3" s="2"/>
      <c r="E3" s="2"/>
      <c r="F3" s="2"/>
      <c r="G3" s="2"/>
      <c r="H3" s="2"/>
      <c r="I3" s="1" t="s">
        <v>82</v>
      </c>
      <c r="J3" s="1"/>
      <c r="K3" s="1"/>
      <c r="L3" s="1"/>
      <c r="M3" s="1"/>
      <c r="N3" s="1"/>
      <c r="O3" s="1"/>
      <c r="P3" s="1"/>
      <c r="Q3" s="1"/>
    </row>
    <row r="4" spans="1:18" ht="15" x14ac:dyDescent="0.2">
      <c r="A4" s="74" t="s">
        <v>83</v>
      </c>
      <c r="B4" s="74" t="s">
        <v>84</v>
      </c>
      <c r="C4" s="74" t="s">
        <v>85</v>
      </c>
      <c r="D4" s="74" t="s">
        <v>86</v>
      </c>
      <c r="E4" s="74" t="s">
        <v>87</v>
      </c>
      <c r="F4" s="74" t="s">
        <v>88</v>
      </c>
      <c r="G4" s="74" t="s">
        <v>89</v>
      </c>
      <c r="H4" s="74" t="s">
        <v>90</v>
      </c>
      <c r="I4" s="74" t="s">
        <v>83</v>
      </c>
      <c r="J4" s="74" t="s">
        <v>84</v>
      </c>
      <c r="K4" s="74" t="s">
        <v>91</v>
      </c>
      <c r="L4" s="74" t="s">
        <v>86</v>
      </c>
      <c r="M4" s="74" t="s">
        <v>87</v>
      </c>
      <c r="N4" s="74" t="s">
        <v>88</v>
      </c>
      <c r="O4" s="74" t="s">
        <v>89</v>
      </c>
      <c r="P4" s="74" t="s">
        <v>92</v>
      </c>
      <c r="Q4" s="74" t="s">
        <v>93</v>
      </c>
    </row>
    <row r="5" spans="1:18" x14ac:dyDescent="0.15">
      <c r="A5" s="13" t="s">
        <v>94</v>
      </c>
      <c r="B5" s="13">
        <v>-10000000</v>
      </c>
      <c r="C5" s="46">
        <v>0</v>
      </c>
      <c r="D5" s="46">
        <v>0</v>
      </c>
      <c r="E5" s="46">
        <v>115090</v>
      </c>
      <c r="F5" s="46">
        <v>138719</v>
      </c>
      <c r="G5" s="46"/>
      <c r="H5" s="46">
        <v>0</v>
      </c>
      <c r="I5" s="13" t="s">
        <v>94</v>
      </c>
      <c r="J5" s="13">
        <v>-10000000</v>
      </c>
      <c r="K5" s="13">
        <v>500000</v>
      </c>
      <c r="L5" s="13">
        <v>4800</v>
      </c>
      <c r="M5" s="13">
        <v>93057</v>
      </c>
      <c r="N5" s="46">
        <v>122032</v>
      </c>
      <c r="O5" s="13">
        <f t="shared" ref="O5:O25" si="0">SUM(K5:N5)</f>
        <v>719889</v>
      </c>
      <c r="P5" s="13">
        <v>0</v>
      </c>
      <c r="Q5" s="13">
        <v>0</v>
      </c>
    </row>
    <row r="6" spans="1:18" x14ac:dyDescent="0.15">
      <c r="A6" s="13" t="s">
        <v>95</v>
      </c>
      <c r="B6" s="13">
        <v>-10000000</v>
      </c>
      <c r="C6" s="46">
        <v>0</v>
      </c>
      <c r="D6" s="46">
        <v>0</v>
      </c>
      <c r="E6" s="46">
        <v>107239</v>
      </c>
      <c r="F6" s="46">
        <v>285464</v>
      </c>
      <c r="G6" s="46"/>
      <c r="H6" s="46">
        <v>0</v>
      </c>
      <c r="I6" s="13" t="s">
        <v>95</v>
      </c>
      <c r="J6" s="13">
        <v>-10000000</v>
      </c>
      <c r="K6" s="13">
        <v>500000</v>
      </c>
      <c r="L6" s="13">
        <v>4800</v>
      </c>
      <c r="M6" s="46">
        <v>87341</v>
      </c>
      <c r="N6" s="46">
        <v>251322</v>
      </c>
      <c r="O6" s="13">
        <f t="shared" si="0"/>
        <v>843463</v>
      </c>
      <c r="P6" s="13">
        <v>0</v>
      </c>
      <c r="Q6" s="13">
        <v>0</v>
      </c>
    </row>
    <row r="7" spans="1:18" x14ac:dyDescent="0.15">
      <c r="A7" s="13" t="s">
        <v>96</v>
      </c>
      <c r="B7" s="13">
        <v>-10000000</v>
      </c>
      <c r="C7" s="46">
        <v>0</v>
      </c>
      <c r="D7" s="46">
        <v>0</v>
      </c>
      <c r="E7" s="46">
        <v>97590</v>
      </c>
      <c r="F7" s="46">
        <v>441669</v>
      </c>
      <c r="G7" s="46"/>
      <c r="H7" s="46">
        <v>0</v>
      </c>
      <c r="I7" s="13" t="s">
        <v>96</v>
      </c>
      <c r="J7" s="13">
        <v>-10000000</v>
      </c>
      <c r="K7" s="13">
        <v>400000</v>
      </c>
      <c r="L7" s="13">
        <v>4800</v>
      </c>
      <c r="M7" s="46">
        <v>80187</v>
      </c>
      <c r="N7" s="46">
        <v>390548</v>
      </c>
      <c r="O7" s="13">
        <f t="shared" si="0"/>
        <v>875535</v>
      </c>
      <c r="P7" s="13">
        <v>0</v>
      </c>
      <c r="Q7" s="13">
        <v>0</v>
      </c>
    </row>
    <row r="8" spans="1:18" x14ac:dyDescent="0.15">
      <c r="A8" s="13" t="s">
        <v>97</v>
      </c>
      <c r="B8" s="13">
        <v>-10000000</v>
      </c>
      <c r="C8" s="46">
        <v>0</v>
      </c>
      <c r="D8" s="46">
        <v>0</v>
      </c>
      <c r="E8" s="46">
        <v>85537</v>
      </c>
      <c r="F8" s="46">
        <v>607967</v>
      </c>
      <c r="G8" s="46"/>
      <c r="H8" s="46">
        <v>0</v>
      </c>
      <c r="I8" s="13" t="s">
        <v>97</v>
      </c>
      <c r="J8" s="13">
        <v>-10000000</v>
      </c>
      <c r="K8" s="13">
        <v>400000</v>
      </c>
      <c r="L8" s="13">
        <v>4800</v>
      </c>
      <c r="M8" s="46">
        <v>71180</v>
      </c>
      <c r="N8" s="46">
        <v>538892</v>
      </c>
      <c r="O8" s="13">
        <f t="shared" si="0"/>
        <v>1014872</v>
      </c>
      <c r="P8" s="13">
        <v>0</v>
      </c>
      <c r="Q8" s="13">
        <v>0</v>
      </c>
    </row>
    <row r="9" spans="1:18" x14ac:dyDescent="0.15">
      <c r="A9" s="13" t="s">
        <v>98</v>
      </c>
      <c r="B9" s="13">
        <v>-10000000</v>
      </c>
      <c r="C9" s="46">
        <v>0</v>
      </c>
      <c r="D9" s="46">
        <v>0</v>
      </c>
      <c r="E9" s="46">
        <v>70318</v>
      </c>
      <c r="F9" s="46">
        <v>785044</v>
      </c>
      <c r="G9" s="46"/>
      <c r="H9" s="46">
        <v>0</v>
      </c>
      <c r="I9" s="13" t="s">
        <v>98</v>
      </c>
      <c r="J9" s="13">
        <v>-10000000</v>
      </c>
      <c r="K9" s="13">
        <v>400000</v>
      </c>
      <c r="L9" s="13">
        <v>4800</v>
      </c>
      <c r="M9" s="46">
        <v>59731</v>
      </c>
      <c r="N9" s="46">
        <v>696975</v>
      </c>
      <c r="O9" s="13">
        <f t="shared" si="0"/>
        <v>1161506</v>
      </c>
      <c r="P9" s="13">
        <v>0</v>
      </c>
      <c r="Q9" s="13">
        <v>0</v>
      </c>
    </row>
    <row r="10" spans="1:18" x14ac:dyDescent="0.15">
      <c r="A10" s="13" t="s">
        <v>99</v>
      </c>
      <c r="B10" s="13">
        <v>0</v>
      </c>
      <c r="C10" s="46">
        <v>0</v>
      </c>
      <c r="D10" s="46">
        <v>0</v>
      </c>
      <c r="E10" s="46">
        <v>69564</v>
      </c>
      <c r="F10" s="46">
        <v>833784</v>
      </c>
      <c r="G10" s="46"/>
      <c r="H10" s="46">
        <v>0</v>
      </c>
      <c r="I10" s="13" t="s">
        <v>99</v>
      </c>
      <c r="J10" s="13">
        <v>0</v>
      </c>
      <c r="K10" s="13"/>
      <c r="L10" s="13"/>
      <c r="M10" s="46">
        <v>59650</v>
      </c>
      <c r="N10" s="46">
        <v>741096</v>
      </c>
      <c r="O10" s="13">
        <f t="shared" si="0"/>
        <v>800746</v>
      </c>
      <c r="P10" s="46">
        <v>60550</v>
      </c>
      <c r="Q10" s="13">
        <v>0</v>
      </c>
    </row>
    <row r="11" spans="1:18" x14ac:dyDescent="0.15">
      <c r="A11" s="13" t="s">
        <v>100</v>
      </c>
      <c r="B11" s="13">
        <v>0</v>
      </c>
      <c r="C11" s="46">
        <v>0</v>
      </c>
      <c r="D11" s="46">
        <v>0</v>
      </c>
      <c r="E11" s="46">
        <v>68124</v>
      </c>
      <c r="F11" s="46">
        <v>885636</v>
      </c>
      <c r="G11" s="46"/>
      <c r="H11" s="46">
        <v>0</v>
      </c>
      <c r="I11" s="13" t="s">
        <v>100</v>
      </c>
      <c r="J11" s="13">
        <v>0</v>
      </c>
      <c r="K11" s="13"/>
      <c r="L11" s="13"/>
      <c r="M11" s="46">
        <v>59105</v>
      </c>
      <c r="N11" s="46">
        <v>788893</v>
      </c>
      <c r="O11" s="13">
        <f t="shared" si="0"/>
        <v>847998</v>
      </c>
      <c r="P11" s="46">
        <v>96687</v>
      </c>
      <c r="Q11" s="13">
        <v>0</v>
      </c>
    </row>
    <row r="12" spans="1:18" x14ac:dyDescent="0.15">
      <c r="A12" s="13" t="s">
        <v>101</v>
      </c>
      <c r="B12" s="13">
        <v>0</v>
      </c>
      <c r="C12" s="46">
        <v>0</v>
      </c>
      <c r="D12" s="46">
        <v>0</v>
      </c>
      <c r="E12" s="46">
        <v>65723</v>
      </c>
      <c r="F12" s="46">
        <v>940811</v>
      </c>
      <c r="G12" s="46"/>
      <c r="H12" s="46">
        <v>0</v>
      </c>
      <c r="I12" s="13" t="s">
        <v>101</v>
      </c>
      <c r="J12" s="13">
        <v>0</v>
      </c>
      <c r="K12" s="13"/>
      <c r="L12" s="13"/>
      <c r="M12" s="46">
        <v>57433</v>
      </c>
      <c r="N12" s="46">
        <v>840267</v>
      </c>
      <c r="O12" s="13">
        <f t="shared" si="0"/>
        <v>897700</v>
      </c>
      <c r="P12" s="46">
        <v>137317</v>
      </c>
      <c r="Q12" s="13">
        <v>0</v>
      </c>
    </row>
    <row r="13" spans="1:18" x14ac:dyDescent="0.15">
      <c r="A13" s="13" t="s">
        <v>102</v>
      </c>
      <c r="B13" s="13">
        <v>0</v>
      </c>
      <c r="C13" s="46">
        <v>0</v>
      </c>
      <c r="D13" s="46">
        <v>0</v>
      </c>
      <c r="E13" s="46">
        <v>61997</v>
      </c>
      <c r="F13" s="46">
        <v>999540</v>
      </c>
      <c r="G13" s="46"/>
      <c r="H13" s="46">
        <v>0</v>
      </c>
      <c r="I13" s="13" t="s">
        <v>102</v>
      </c>
      <c r="J13" s="13">
        <v>0</v>
      </c>
      <c r="K13" s="13"/>
      <c r="L13" s="13"/>
      <c r="M13" s="46">
        <v>54933</v>
      </c>
      <c r="N13" s="46">
        <v>895521</v>
      </c>
      <c r="O13" s="13">
        <f t="shared" si="0"/>
        <v>950454</v>
      </c>
      <c r="P13" s="46">
        <v>182942</v>
      </c>
      <c r="Q13" s="13">
        <v>0</v>
      </c>
    </row>
    <row r="14" spans="1:18" x14ac:dyDescent="0.15">
      <c r="A14" s="13" t="s">
        <v>103</v>
      </c>
      <c r="B14" s="13">
        <v>0</v>
      </c>
      <c r="C14" s="46">
        <v>0</v>
      </c>
      <c r="D14" s="46">
        <v>0</v>
      </c>
      <c r="E14" s="46">
        <v>56472</v>
      </c>
      <c r="F14" s="46">
        <v>1062073</v>
      </c>
      <c r="G14" s="46"/>
      <c r="H14" s="46">
        <v>0</v>
      </c>
      <c r="I14" s="13" t="s">
        <v>103</v>
      </c>
      <c r="J14" s="13">
        <v>0</v>
      </c>
      <c r="K14" s="13"/>
      <c r="L14" s="13"/>
      <c r="M14" s="46">
        <v>50756</v>
      </c>
      <c r="N14" s="46">
        <v>954991</v>
      </c>
      <c r="O14" s="13">
        <f t="shared" si="0"/>
        <v>1005747</v>
      </c>
      <c r="P14" s="46">
        <v>234122</v>
      </c>
      <c r="Q14" s="46">
        <v>1951013</v>
      </c>
    </row>
    <row r="15" spans="1:18" x14ac:dyDescent="0.15">
      <c r="A15" s="13" t="s">
        <v>104</v>
      </c>
      <c r="B15" s="13">
        <v>0</v>
      </c>
      <c r="C15" s="46">
        <v>0</v>
      </c>
      <c r="D15" s="46">
        <v>0</v>
      </c>
      <c r="E15" s="46">
        <v>48500</v>
      </c>
      <c r="F15" s="46">
        <v>1128685</v>
      </c>
      <c r="G15" s="46"/>
      <c r="H15" s="46">
        <v>0</v>
      </c>
      <c r="I15" s="13" t="s">
        <v>104</v>
      </c>
      <c r="J15" s="13">
        <v>0</v>
      </c>
      <c r="K15" s="13"/>
      <c r="L15" s="13"/>
      <c r="M15" s="46">
        <v>40130</v>
      </c>
      <c r="N15" s="46">
        <v>1044491</v>
      </c>
      <c r="O15" s="13">
        <f t="shared" si="0"/>
        <v>1084621</v>
      </c>
      <c r="P15" s="46">
        <v>298769</v>
      </c>
      <c r="Q15" s="13">
        <v>0</v>
      </c>
    </row>
    <row r="16" spans="1:18" x14ac:dyDescent="0.15">
      <c r="A16" s="13" t="s">
        <v>105</v>
      </c>
      <c r="B16" s="13">
        <v>0</v>
      </c>
      <c r="C16" s="46">
        <v>0</v>
      </c>
      <c r="D16" s="46">
        <v>0</v>
      </c>
      <c r="E16" s="46">
        <v>37249</v>
      </c>
      <c r="F16" s="46">
        <v>1199682</v>
      </c>
      <c r="G16" s="46"/>
      <c r="H16" s="46">
        <v>0</v>
      </c>
      <c r="I16" s="13" t="s">
        <v>105</v>
      </c>
      <c r="J16" s="13">
        <v>0</v>
      </c>
      <c r="K16" s="13"/>
      <c r="L16" s="13"/>
      <c r="M16" s="46">
        <v>30330</v>
      </c>
      <c r="N16" s="46">
        <v>1115359</v>
      </c>
      <c r="O16" s="13">
        <f t="shared" si="0"/>
        <v>1145689</v>
      </c>
      <c r="P16" s="46">
        <v>364645</v>
      </c>
      <c r="Q16" s="13">
        <v>0</v>
      </c>
    </row>
    <row r="17" spans="1:17" x14ac:dyDescent="0.15">
      <c r="A17" s="13" t="s">
        <v>106</v>
      </c>
      <c r="B17" s="13">
        <v>0</v>
      </c>
      <c r="C17" s="46">
        <v>0</v>
      </c>
      <c r="D17" s="46">
        <v>0</v>
      </c>
      <c r="E17" s="46">
        <v>21672</v>
      </c>
      <c r="F17" s="46">
        <v>1275402</v>
      </c>
      <c r="G17" s="46"/>
      <c r="H17" s="46">
        <v>0</v>
      </c>
      <c r="I17" s="13" t="s">
        <v>106</v>
      </c>
      <c r="J17" s="13">
        <v>0</v>
      </c>
      <c r="K17" s="13"/>
      <c r="L17" s="13"/>
      <c r="M17" s="46">
        <v>16543</v>
      </c>
      <c r="N17" s="46">
        <v>1191842</v>
      </c>
      <c r="O17" s="13">
        <f t="shared" si="0"/>
        <v>1208385</v>
      </c>
      <c r="P17" s="46">
        <v>438394</v>
      </c>
      <c r="Q17" s="13">
        <v>0</v>
      </c>
    </row>
    <row r="18" spans="1:17" x14ac:dyDescent="0.15">
      <c r="A18" s="13" t="s">
        <v>107</v>
      </c>
      <c r="B18" s="13">
        <v>0</v>
      </c>
      <c r="C18" s="46">
        <v>0</v>
      </c>
      <c r="D18" s="46">
        <v>0</v>
      </c>
      <c r="E18" s="46">
        <v>3312</v>
      </c>
      <c r="F18" s="46">
        <v>1356218</v>
      </c>
      <c r="G18" s="46"/>
      <c r="H18" s="46">
        <v>0</v>
      </c>
      <c r="I18" s="13" t="s">
        <v>107</v>
      </c>
      <c r="J18" s="13">
        <v>0</v>
      </c>
      <c r="K18" s="13"/>
      <c r="L18" s="13"/>
      <c r="M18" s="46">
        <v>1479</v>
      </c>
      <c r="N18" s="46">
        <v>1274458</v>
      </c>
      <c r="O18" s="13">
        <f t="shared" si="0"/>
        <v>1275937</v>
      </c>
      <c r="P18" s="46">
        <v>520907</v>
      </c>
      <c r="Q18" s="13">
        <v>0</v>
      </c>
    </row>
    <row r="19" spans="1:17" x14ac:dyDescent="0.15">
      <c r="A19" s="13" t="s">
        <v>108</v>
      </c>
      <c r="B19" s="13">
        <v>0</v>
      </c>
      <c r="C19" s="46">
        <v>0</v>
      </c>
      <c r="D19" s="46">
        <v>0</v>
      </c>
      <c r="E19" s="46">
        <v>0</v>
      </c>
      <c r="F19" s="46">
        <v>1442336</v>
      </c>
      <c r="G19" s="46"/>
      <c r="H19" s="46">
        <v>0</v>
      </c>
      <c r="I19" s="13" t="s">
        <v>108</v>
      </c>
      <c r="J19" s="13">
        <v>0</v>
      </c>
      <c r="K19" s="13"/>
      <c r="L19" s="13"/>
      <c r="M19" s="13"/>
      <c r="N19" s="46">
        <v>1363598</v>
      </c>
      <c r="O19" s="13">
        <f t="shared" si="0"/>
        <v>1363598</v>
      </c>
      <c r="P19" s="46">
        <v>613076</v>
      </c>
      <c r="Q19" s="46">
        <v>2786710</v>
      </c>
    </row>
    <row r="20" spans="1:17" x14ac:dyDescent="0.15">
      <c r="A20" s="13" t="s">
        <v>109</v>
      </c>
      <c r="B20" s="13">
        <v>0</v>
      </c>
      <c r="C20" s="46">
        <v>0</v>
      </c>
      <c r="D20" s="46">
        <v>0</v>
      </c>
      <c r="E20" s="46">
        <v>0</v>
      </c>
      <c r="F20" s="46">
        <v>1533931</v>
      </c>
      <c r="G20" s="46"/>
      <c r="H20" s="46">
        <v>0</v>
      </c>
      <c r="I20" s="13" t="s">
        <v>109</v>
      </c>
      <c r="J20" s="13">
        <v>0</v>
      </c>
      <c r="K20" s="13"/>
      <c r="L20" s="13"/>
      <c r="M20" s="13"/>
      <c r="N20" s="46">
        <v>1495995</v>
      </c>
      <c r="O20" s="13">
        <f t="shared" si="0"/>
        <v>1495995</v>
      </c>
      <c r="P20" s="46">
        <v>733747</v>
      </c>
      <c r="Q20" s="13">
        <v>0</v>
      </c>
    </row>
    <row r="21" spans="1:17" x14ac:dyDescent="0.15">
      <c r="A21" s="13" t="s">
        <v>110</v>
      </c>
      <c r="B21" s="13">
        <v>0</v>
      </c>
      <c r="C21" s="46">
        <v>0</v>
      </c>
      <c r="D21" s="46">
        <v>0</v>
      </c>
      <c r="E21" s="46">
        <v>0</v>
      </c>
      <c r="F21" s="46">
        <v>1631343</v>
      </c>
      <c r="G21" s="46"/>
      <c r="H21" s="46">
        <v>0</v>
      </c>
      <c r="I21" s="13" t="s">
        <v>110</v>
      </c>
      <c r="J21" s="13">
        <v>0</v>
      </c>
      <c r="K21" s="13"/>
      <c r="L21" s="13"/>
      <c r="M21" s="13"/>
      <c r="N21" s="46">
        <v>1602225</v>
      </c>
      <c r="O21" s="13">
        <f t="shared" si="0"/>
        <v>1602225</v>
      </c>
      <c r="P21" s="46">
        <v>851338</v>
      </c>
      <c r="Q21" s="13">
        <v>0</v>
      </c>
    </row>
    <row r="22" spans="1:17" x14ac:dyDescent="0.15">
      <c r="A22" s="13" t="s">
        <v>111</v>
      </c>
      <c r="B22" s="13">
        <v>0</v>
      </c>
      <c r="C22" s="46">
        <v>0</v>
      </c>
      <c r="D22" s="46">
        <v>0</v>
      </c>
      <c r="E22" s="46">
        <v>0</v>
      </c>
      <c r="F22" s="46">
        <v>1734940</v>
      </c>
      <c r="G22" s="46"/>
      <c r="H22" s="46">
        <v>0</v>
      </c>
      <c r="I22" s="13" t="s">
        <v>111</v>
      </c>
      <c r="J22" s="13">
        <v>0</v>
      </c>
      <c r="K22" s="13"/>
      <c r="L22" s="13"/>
      <c r="M22" s="13"/>
      <c r="N22" s="46">
        <v>1716853</v>
      </c>
      <c r="O22" s="13">
        <f t="shared" si="0"/>
        <v>1716853</v>
      </c>
      <c r="P22" s="46">
        <v>982418</v>
      </c>
      <c r="Q22" s="13">
        <v>0</v>
      </c>
    </row>
    <row r="23" spans="1:17" x14ac:dyDescent="0.15">
      <c r="A23" s="13" t="s">
        <v>112</v>
      </c>
      <c r="B23" s="13">
        <v>0</v>
      </c>
      <c r="C23" s="46">
        <v>0</v>
      </c>
      <c r="D23" s="46">
        <v>0</v>
      </c>
      <c r="E23" s="46">
        <v>0</v>
      </c>
      <c r="F23" s="46">
        <v>1845116</v>
      </c>
      <c r="G23" s="46"/>
      <c r="H23" s="46">
        <v>0</v>
      </c>
      <c r="I23" s="13" t="s">
        <v>112</v>
      </c>
      <c r="J23" s="13">
        <v>0</v>
      </c>
      <c r="K23" s="13"/>
      <c r="L23" s="13"/>
      <c r="M23" s="13"/>
      <c r="N23" s="46">
        <v>1840594</v>
      </c>
      <c r="O23" s="13">
        <f t="shared" si="0"/>
        <v>1840594</v>
      </c>
      <c r="P23" s="46">
        <v>1128456</v>
      </c>
      <c r="Q23" s="13">
        <v>0</v>
      </c>
    </row>
    <row r="24" spans="1:17" x14ac:dyDescent="0.15">
      <c r="A24" s="13" t="s">
        <v>113</v>
      </c>
      <c r="B24" s="13">
        <v>0</v>
      </c>
      <c r="C24" s="46">
        <v>0</v>
      </c>
      <c r="D24" s="46">
        <v>0</v>
      </c>
      <c r="E24" s="46">
        <v>0</v>
      </c>
      <c r="F24" s="46">
        <v>1962290</v>
      </c>
      <c r="G24" s="46"/>
      <c r="H24" s="46">
        <v>0</v>
      </c>
      <c r="I24" s="13" t="s">
        <v>113</v>
      </c>
      <c r="J24" s="13">
        <v>0</v>
      </c>
      <c r="K24" s="13"/>
      <c r="L24" s="13"/>
      <c r="M24" s="13"/>
      <c r="N24" s="46">
        <v>1974235</v>
      </c>
      <c r="O24" s="13">
        <f t="shared" si="0"/>
        <v>1974235</v>
      </c>
      <c r="P24" s="46">
        <v>1291083</v>
      </c>
      <c r="Q24" s="46">
        <v>4034633</v>
      </c>
    </row>
    <row r="25" spans="1:17" ht="15" x14ac:dyDescent="0.2">
      <c r="A25" s="13" t="s">
        <v>114</v>
      </c>
      <c r="B25" s="75">
        <v>149381194</v>
      </c>
      <c r="C25" s="76">
        <f>SUM(C5:C24)</f>
        <v>0</v>
      </c>
      <c r="D25" s="76">
        <f>SUM(D5:D24)</f>
        <v>0</v>
      </c>
      <c r="E25" s="77">
        <f>SUM(E5:E24)</f>
        <v>908387</v>
      </c>
      <c r="F25" s="77">
        <f>SUM(F5:F24)</f>
        <v>22090650</v>
      </c>
      <c r="G25" s="77">
        <f>SUM(C25:F25)</f>
        <v>22999037</v>
      </c>
      <c r="H25" s="77">
        <f>SUM(H5:H24)</f>
        <v>0</v>
      </c>
      <c r="I25" s="13" t="s">
        <v>114</v>
      </c>
      <c r="J25" s="75">
        <v>161385327</v>
      </c>
      <c r="K25" s="78">
        <f>SUM(K5:K24)</f>
        <v>2200000</v>
      </c>
      <c r="L25" s="78">
        <f>SUM(L5:L24)</f>
        <v>24000</v>
      </c>
      <c r="M25" s="79">
        <f>SUM(M5:M24)</f>
        <v>761855</v>
      </c>
      <c r="N25" s="76">
        <f>SUM(N5:N24)</f>
        <v>20840187</v>
      </c>
      <c r="O25" s="78">
        <f t="shared" si="0"/>
        <v>23826042</v>
      </c>
      <c r="P25" s="79">
        <f>SUM(P5:P24)</f>
        <v>7934451</v>
      </c>
      <c r="Q25" s="79">
        <f>SUM(Q5:Q24)</f>
        <v>8772356</v>
      </c>
    </row>
    <row r="26" spans="1:17" ht="15" x14ac:dyDescent="0.2">
      <c r="A26" s="80" t="s">
        <v>115</v>
      </c>
      <c r="B26" s="81">
        <f>IRR(B5:B25)</f>
        <v>6.2474363829293056E-2</v>
      </c>
      <c r="C26" s="82"/>
      <c r="D26" s="82"/>
      <c r="E26" s="82"/>
      <c r="F26" s="82"/>
      <c r="G26" s="82"/>
      <c r="H26" s="82"/>
      <c r="I26" s="80" t="s">
        <v>115</v>
      </c>
      <c r="J26" s="83">
        <f>IRR(J5:J25)</f>
        <v>6.7014861492979083E-2</v>
      </c>
      <c r="K26" s="13"/>
      <c r="L26" s="13"/>
      <c r="M26" s="13"/>
      <c r="N26" s="13"/>
      <c r="O26" s="84"/>
      <c r="P26" s="10"/>
      <c r="Q26" s="10"/>
    </row>
    <row r="27" spans="1:17" x14ac:dyDescent="0.15">
      <c r="A27" s="10"/>
      <c r="B27" s="10"/>
      <c r="C27" s="10"/>
      <c r="D27" s="10"/>
      <c r="E27" s="10"/>
      <c r="F27" s="10"/>
      <c r="G27" s="85"/>
      <c r="H27" s="85"/>
      <c r="I27" s="10"/>
      <c r="J27" s="10"/>
      <c r="K27" s="10"/>
      <c r="L27" s="10"/>
      <c r="M27" s="10"/>
      <c r="N27" s="10"/>
      <c r="P27" s="10"/>
      <c r="Q27" s="10"/>
    </row>
    <row r="28" spans="1:17" ht="15" x14ac:dyDescent="0.2">
      <c r="A28" s="10"/>
      <c r="B28" s="86" t="s">
        <v>116</v>
      </c>
      <c r="C28" s="87" t="s">
        <v>117</v>
      </c>
      <c r="D28" s="88"/>
      <c r="E28" s="88"/>
      <c r="F28" s="88"/>
      <c r="G28" s="88"/>
      <c r="H28" s="89"/>
      <c r="I28" s="90"/>
      <c r="J28" s="90"/>
      <c r="K28" s="10"/>
      <c r="L28" s="10"/>
      <c r="M28" s="10"/>
      <c r="N28" s="10"/>
      <c r="P28" s="10"/>
      <c r="Q28" s="10"/>
    </row>
    <row r="29" spans="1:17" x14ac:dyDescent="0.15">
      <c r="A29" s="10"/>
      <c r="B29" s="91" t="s">
        <v>118</v>
      </c>
      <c r="C29" s="92" t="s">
        <v>119</v>
      </c>
      <c r="D29" s="90"/>
      <c r="E29" s="90"/>
      <c r="F29" s="90"/>
      <c r="G29" s="90"/>
      <c r="H29" s="93"/>
      <c r="I29" s="90"/>
      <c r="J29" s="94"/>
      <c r="K29" s="10"/>
      <c r="L29" s="85"/>
      <c r="M29" s="10"/>
      <c r="N29" s="10"/>
      <c r="P29" s="10"/>
      <c r="Q29" s="10"/>
    </row>
    <row r="30" spans="1:17" x14ac:dyDescent="0.15">
      <c r="A30" s="10"/>
      <c r="B30" s="91"/>
      <c r="C30" s="92" t="s">
        <v>120</v>
      </c>
      <c r="D30" s="90"/>
      <c r="E30" s="90"/>
      <c r="F30" s="90"/>
      <c r="G30" s="90"/>
      <c r="H30" s="93"/>
      <c r="I30" s="90"/>
      <c r="J30" s="94"/>
      <c r="K30" s="10"/>
      <c r="L30" s="95"/>
      <c r="M30" s="10"/>
      <c r="N30" s="10"/>
      <c r="P30" s="10"/>
      <c r="Q30" s="10"/>
    </row>
    <row r="31" spans="1:17" x14ac:dyDescent="0.15">
      <c r="A31" s="10"/>
      <c r="B31" s="91"/>
      <c r="C31" s="92" t="s">
        <v>121</v>
      </c>
      <c r="D31" s="90"/>
      <c r="E31" s="90"/>
      <c r="F31" s="90"/>
      <c r="G31" s="90"/>
      <c r="H31" s="93"/>
      <c r="I31" s="90"/>
      <c r="J31" s="90"/>
      <c r="K31" s="10"/>
      <c r="L31" s="85"/>
      <c r="M31" s="10"/>
      <c r="N31" s="10"/>
      <c r="P31" s="10"/>
      <c r="Q31" s="10"/>
    </row>
    <row r="32" spans="1:17" x14ac:dyDescent="0.15">
      <c r="A32" s="10"/>
      <c r="B32" s="91"/>
      <c r="C32" s="92" t="s">
        <v>122</v>
      </c>
      <c r="D32" s="90"/>
      <c r="E32" s="90"/>
      <c r="F32" s="90"/>
      <c r="G32" s="90"/>
      <c r="H32" s="93"/>
      <c r="I32" s="90"/>
      <c r="J32" s="90"/>
      <c r="K32" s="10"/>
      <c r="L32" s="10"/>
      <c r="M32" s="10"/>
      <c r="N32" s="10"/>
      <c r="P32" s="10"/>
      <c r="Q32" s="10"/>
    </row>
    <row r="33" spans="1:17" x14ac:dyDescent="0.15">
      <c r="A33" s="10"/>
      <c r="B33" s="96"/>
      <c r="C33" s="97" t="s">
        <v>123</v>
      </c>
      <c r="D33" s="98"/>
      <c r="E33" s="98"/>
      <c r="F33" s="98"/>
      <c r="G33" s="98"/>
      <c r="H33" s="99"/>
      <c r="I33" s="90"/>
      <c r="J33" s="90"/>
      <c r="K33" s="10"/>
      <c r="L33" s="10"/>
      <c r="M33" s="10"/>
      <c r="N33" s="10"/>
      <c r="P33" s="10"/>
      <c r="Q33" s="10"/>
    </row>
    <row r="35" spans="1:17" x14ac:dyDescent="0.15">
      <c r="C35" s="100"/>
      <c r="D35" t="s">
        <v>124</v>
      </c>
    </row>
    <row r="36" spans="1:17" x14ac:dyDescent="0.15">
      <c r="C36" s="101"/>
      <c r="D36" t="s">
        <v>125</v>
      </c>
    </row>
  </sheetData>
  <mergeCells count="3">
    <mergeCell ref="A1:R2"/>
    <mergeCell ref="A3:H3"/>
    <mergeCell ref="I3:Q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Mortality</vt:lpstr>
      <vt:lpstr>PWP</vt:lpstr>
      <vt:lpstr>PWP Vs HDFC C2Invest</vt:lpstr>
    </vt:vector>
  </TitlesOfParts>
  <Company>MetLife India Insurance Co.Pvt.Ltd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Birsa Dey</cp:lastModifiedBy>
  <cp:revision>8</cp:revision>
  <cp:lastPrinted>2006-08-02T07:22:12Z</cp:lastPrinted>
  <dcterms:created xsi:type="dcterms:W3CDTF">2006-02-05T17:06:31Z</dcterms:created>
  <dcterms:modified xsi:type="dcterms:W3CDTF">2021-11-16T07:29:35Z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