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filterPrivacy="1" codeName="DieseArbeitsmappe"/>
  <xr:revisionPtr revIDLastSave="0" documentId="13_ncr:1_{C956595B-161D-4882-ACBD-3174F61C46BB}" xr6:coauthVersionLast="37" xr6:coauthVersionMax="37" xr10:uidLastSave="{00000000-0000-0000-0000-000000000000}"/>
  <bookViews>
    <workbookView xWindow="0" yWindow="0" windowWidth="38400" windowHeight="17625" activeTab="7" xr2:uid="{00000000-000D-0000-FFFF-FFFF00000000}"/>
  </bookViews>
  <sheets>
    <sheet name="Problems - Data" sheetId="36" r:id="rId1"/>
    <sheet name="Problems - Codes" sheetId="37" r:id="rId2"/>
    <sheet name="HelpfulExplanation - Data" sheetId="38" r:id="rId3"/>
    <sheet name="HelpfulExplanation - Codes" sheetId="39" r:id="rId4"/>
    <sheet name="Advantages - Data" sheetId="40" r:id="rId5"/>
    <sheet name="Advantages - Codes" sheetId="41" r:id="rId6"/>
    <sheet name="Disadvantages - Data" sheetId="42" r:id="rId7"/>
    <sheet name="Disadvantages - Codes" sheetId="43" r:id="rId8"/>
  </sheets>
  <definedNames>
    <definedName name="_xlnm._FilterDatabase" localSheetId="5" hidden="1">'Advantages - Codes'!$A$3:$A$299</definedName>
    <definedName name="_xlnm._FilterDatabase" localSheetId="4" hidden="1">'Advantages - Data'!$A$1:$T$56</definedName>
    <definedName name="_xlnm._FilterDatabase" localSheetId="2" hidden="1">'HelpfulExplanation - Data'!$A$1:$K$90</definedName>
    <definedName name="_xlnm._FilterDatabase" localSheetId="0" hidden="1">'Problems - Data'!$A$1:$H$7</definedName>
  </definedNames>
  <calcPr calcId="179021"/>
</workbook>
</file>

<file path=xl/calcChain.xml><?xml version="1.0" encoding="utf-8"?>
<calcChain xmlns="http://schemas.openxmlformats.org/spreadsheetml/2006/main">
  <c r="L19" i="43" l="1"/>
  <c r="K19" i="43"/>
  <c r="J19" i="43"/>
  <c r="I28" i="41"/>
  <c r="I2" i="41"/>
  <c r="P2" i="39" l="1"/>
  <c r="O2" i="39"/>
  <c r="L15" i="43"/>
  <c r="L14" i="43"/>
  <c r="L13" i="43"/>
  <c r="L11" i="43"/>
  <c r="L10" i="43"/>
  <c r="L9" i="43"/>
  <c r="L8" i="43"/>
  <c r="L5" i="43"/>
  <c r="L4" i="43"/>
  <c r="L3" i="43"/>
  <c r="L2" i="43"/>
  <c r="K15" i="43"/>
  <c r="K14" i="43"/>
  <c r="K11" i="43"/>
  <c r="K10" i="43"/>
  <c r="K9" i="43"/>
  <c r="K13" i="43"/>
  <c r="K8" i="43"/>
  <c r="K2" i="43"/>
  <c r="K5" i="43"/>
  <c r="K4" i="43"/>
  <c r="K3" i="43"/>
  <c r="J15" i="43"/>
  <c r="J14" i="43"/>
  <c r="J11" i="43"/>
  <c r="J10" i="43"/>
  <c r="J9" i="43"/>
  <c r="J5" i="43"/>
  <c r="J4" i="43"/>
  <c r="J3" i="43"/>
  <c r="J13" i="43"/>
  <c r="J8" i="43"/>
  <c r="J2" i="43"/>
  <c r="K26" i="41"/>
  <c r="K25" i="41"/>
  <c r="K24" i="41"/>
  <c r="K23" i="41"/>
  <c r="K20" i="41"/>
  <c r="K19" i="41"/>
  <c r="K18" i="41"/>
  <c r="K14" i="41"/>
  <c r="K13" i="41"/>
  <c r="K12" i="41"/>
  <c r="K11" i="41"/>
  <c r="J26" i="41"/>
  <c r="J25" i="41"/>
  <c r="J24" i="41"/>
  <c r="J23" i="41"/>
  <c r="J20" i="41"/>
  <c r="J19" i="41"/>
  <c r="J18" i="41"/>
  <c r="J14" i="41"/>
  <c r="J13" i="41"/>
  <c r="J11" i="41"/>
  <c r="J12" i="41"/>
  <c r="K7" i="41"/>
  <c r="K6" i="41"/>
  <c r="K5" i="41"/>
  <c r="K4" i="41"/>
  <c r="K2" i="41"/>
  <c r="K3" i="41"/>
  <c r="J7" i="41"/>
  <c r="J6" i="41"/>
  <c r="J5" i="41"/>
  <c r="J4" i="41"/>
  <c r="J3" i="41"/>
  <c r="J2" i="41"/>
  <c r="I26" i="41"/>
  <c r="I7" i="41"/>
  <c r="I5" i="41"/>
  <c r="I20" i="41"/>
  <c r="I19" i="41"/>
  <c r="I15" i="41"/>
  <c r="I14" i="41"/>
  <c r="I13" i="41"/>
  <c r="I8" i="41"/>
  <c r="Q2" i="43" l="1"/>
  <c r="O19" i="43" s="1"/>
  <c r="R2" i="43"/>
  <c r="P2" i="43"/>
  <c r="N19" i="43" s="1"/>
  <c r="O2" i="41"/>
  <c r="P2" i="41"/>
  <c r="N28" i="41" s="1"/>
  <c r="I6" i="41"/>
  <c r="I4" i="41"/>
  <c r="I3" i="41"/>
  <c r="I25" i="41"/>
  <c r="I24" i="41"/>
  <c r="I23" i="41"/>
  <c r="I18" i="41"/>
  <c r="I11" i="41"/>
  <c r="I12" i="41"/>
  <c r="M12" i="41" l="1"/>
  <c r="M28" i="41"/>
  <c r="Q2" i="41"/>
  <c r="L11" i="41" s="1"/>
  <c r="M14" i="43"/>
  <c r="M19" i="43"/>
  <c r="M10" i="43"/>
  <c r="M15" i="43"/>
  <c r="M5" i="43"/>
  <c r="M11" i="43"/>
  <c r="M3" i="43"/>
  <c r="M13" i="43"/>
  <c r="M8" i="43"/>
  <c r="M9" i="43"/>
  <c r="M2" i="43"/>
  <c r="M4" i="43"/>
  <c r="N6" i="39"/>
  <c r="M6" i="39"/>
  <c r="N4" i="39"/>
  <c r="M4" i="39"/>
  <c r="N2" i="39"/>
  <c r="M2" i="39"/>
  <c r="O14" i="43"/>
  <c r="O15" i="43"/>
  <c r="O13" i="43"/>
  <c r="O9" i="43"/>
  <c r="O10" i="43"/>
  <c r="O11" i="43"/>
  <c r="O8" i="43"/>
  <c r="O3" i="43"/>
  <c r="O4" i="43"/>
  <c r="O5" i="43"/>
  <c r="N14" i="43"/>
  <c r="N15" i="43"/>
  <c r="N13" i="43"/>
  <c r="N9" i="43"/>
  <c r="N10" i="43"/>
  <c r="N11" i="43"/>
  <c r="N8" i="43"/>
  <c r="N3" i="43"/>
  <c r="N4" i="43"/>
  <c r="N5" i="43"/>
  <c r="O2" i="43"/>
  <c r="N2" i="43"/>
  <c r="L18" i="41" l="1"/>
  <c r="L6" i="41"/>
  <c r="L3" i="41"/>
  <c r="L4" i="41"/>
  <c r="L25" i="41"/>
  <c r="L28" i="41"/>
  <c r="L2" i="41"/>
  <c r="L8" i="41"/>
  <c r="L19" i="41"/>
  <c r="L7" i="41"/>
  <c r="L15" i="41"/>
  <c r="L26" i="41"/>
  <c r="L14" i="41"/>
  <c r="L13" i="41"/>
  <c r="L5" i="41"/>
  <c r="L20" i="41"/>
  <c r="L23" i="41"/>
  <c r="L12" i="41"/>
  <c r="L24" i="41"/>
  <c r="N26" i="41"/>
  <c r="M26" i="41"/>
  <c r="N25" i="41"/>
  <c r="N24" i="41"/>
  <c r="M25" i="41"/>
  <c r="M24" i="41"/>
  <c r="N23" i="41"/>
  <c r="M23" i="41"/>
  <c r="N19" i="41"/>
  <c r="M19" i="41"/>
  <c r="N20" i="41"/>
  <c r="M20" i="41"/>
  <c r="N18" i="41"/>
  <c r="M18" i="41"/>
  <c r="N14" i="41"/>
  <c r="M14" i="41"/>
  <c r="N13" i="41"/>
  <c r="M13" i="41"/>
  <c r="N12" i="41"/>
  <c r="N11" i="41"/>
  <c r="M11" i="41"/>
  <c r="N7" i="41"/>
  <c r="M7" i="41"/>
  <c r="N6" i="41"/>
  <c r="M6" i="41"/>
  <c r="N5" i="41"/>
  <c r="M5" i="41"/>
  <c r="N4" i="41"/>
  <c r="M4" i="41"/>
  <c r="N3" i="41"/>
  <c r="M3" i="41"/>
  <c r="N2" i="41"/>
  <c r="M2" i="41"/>
  <c r="L32" i="41" l="1"/>
</calcChain>
</file>

<file path=xl/sharedStrings.xml><?xml version="1.0" encoding="utf-8"?>
<sst xmlns="http://schemas.openxmlformats.org/spreadsheetml/2006/main" count="1422" uniqueCount="566">
  <si>
    <t>id. Response ID</t>
  </si>
  <si>
    <t>Category</t>
  </si>
  <si>
    <t>Perspective</t>
  </si>
  <si>
    <t>Software</t>
  </si>
  <si>
    <t>Moovit</t>
  </si>
  <si>
    <t>Waze</t>
  </si>
  <si>
    <t>Google Maps</t>
  </si>
  <si>
    <t>Dead Space 3</t>
  </si>
  <si>
    <t>Microsoft Office Excel</t>
  </si>
  <si>
    <t>Know if have some problem in the another way, or if the new one is better</t>
  </si>
  <si>
    <t xml:space="preserve">History </t>
  </si>
  <si>
    <t>Humanazing the app</t>
  </si>
  <si>
    <t>Making user feel in control</t>
  </si>
  <si>
    <t>NA</t>
  </si>
  <si>
    <t xml:space="preserve">Leading the decisions to the user </t>
  </si>
  <si>
    <t>PODER REVER A EXPLICACAO</t>
  </si>
  <si>
    <t>not to be confused by decision made by software</t>
  </si>
  <si>
    <t xml:space="preserve">Transparency </t>
  </si>
  <si>
    <t xml:space="preserve">Better understanding </t>
  </si>
  <si>
    <t>have good user experience</t>
  </si>
  <si>
    <t>Knowledge about the data</t>
  </si>
  <si>
    <t>Understand the app</t>
  </si>
  <si>
    <t>Grund, Stau, schönere Strecke,  Unfall oder ???</t>
  </si>
  <si>
    <t>Accessibility</t>
  </si>
  <si>
    <t>Usability</t>
  </si>
  <si>
    <t>Informativeness</t>
  </si>
  <si>
    <t>Understandability</t>
  </si>
  <si>
    <t>Auditability</t>
  </si>
  <si>
    <t>Portability</t>
  </si>
  <si>
    <t>Availability</t>
  </si>
  <si>
    <t>Publicity</t>
  </si>
  <si>
    <t>Uniformity</t>
  </si>
  <si>
    <t>Simplicity</t>
  </si>
  <si>
    <t>Operability</t>
  </si>
  <si>
    <t>Intuitiveness</t>
  </si>
  <si>
    <t>Adaptability</t>
  </si>
  <si>
    <t>User-friendliness</t>
  </si>
  <si>
    <t>Clarity</t>
  </si>
  <si>
    <t>Completeness</t>
  </si>
  <si>
    <t>Correctness</t>
  </si>
  <si>
    <t>Current</t>
  </si>
  <si>
    <t>Comparable</t>
  </si>
  <si>
    <t>Consistency</t>
  </si>
  <si>
    <t>Integrity</t>
  </si>
  <si>
    <t>Accuracy</t>
  </si>
  <si>
    <t>Conciseness</t>
  </si>
  <si>
    <t>Composability</t>
  </si>
  <si>
    <t>Decomposability</t>
  </si>
  <si>
    <t>Extensibility</t>
  </si>
  <si>
    <t>Dependability</t>
  </si>
  <si>
    <t>Validity</t>
  </si>
  <si>
    <t>Controllability</t>
  </si>
  <si>
    <t>Verifiability</t>
  </si>
  <si>
    <t>Traceability</t>
  </si>
  <si>
    <t>Accountability</t>
  </si>
  <si>
    <t>The quality of being light enough to be carried</t>
  </si>
  <si>
    <t>The quality of being at hand when needed</t>
  </si>
  <si>
    <t>The quality of being open to the public view</t>
  </si>
  <si>
    <t>The quality of lacking diversity or variation</t>
  </si>
  <si>
    <t>The quality of being free from difficulty or hardship or effort</t>
  </si>
  <si>
    <t>The quality of being spontaneously derived from or prompted by a natural tendency</t>
  </si>
  <si>
    <t>The ability of giving a good performance</t>
  </si>
  <si>
    <t>The ability to change (or be changed) to fit changed circustamces</t>
  </si>
  <si>
    <t>The ability to use easily</t>
  </si>
  <si>
    <t>The quality of providing or conveying information</t>
  </si>
  <si>
    <t>The ability to be free from obscurity and easy to understand</t>
  </si>
  <si>
    <t>The quality of being complete and entire; having everything that is needed</t>
  </si>
  <si>
    <t>The quality of being conform to fact or truth</t>
  </si>
  <si>
    <t>The quality of occurring in or belonging to the present time</t>
  </si>
  <si>
    <t>The ability to be compared</t>
  </si>
  <si>
    <t>The ability to express logical coherence and accordance with the facts</t>
  </si>
  <si>
    <t>The quality of being undivided or having unbroken completeness, or totality with nothing wanting</t>
  </si>
  <si>
    <t>The quality of being near to the true value</t>
  </si>
  <si>
    <t>The ability to express a great deal in just a few words</t>
  </si>
  <si>
    <t>The ability to put together out of existing material</t>
  </si>
  <si>
    <t>The ability of separating into constituent elements or parts</t>
  </si>
  <si>
    <t>The quality of being protruded or stretched or opened out</t>
  </si>
  <si>
    <t>The quality of being dependable or reliable</t>
  </si>
  <si>
    <t>The quality of being valid and rigorous</t>
  </si>
  <si>
    <t>The ability of being certain of something</t>
  </si>
  <si>
    <t>The quality of being tested (verified or falsified) by experiment or observation</t>
  </si>
  <si>
    <t>The quality of following, discover, or ascertain the course of development of somethiing</t>
  </si>
  <si>
    <t>The quality of being explained; made something plain or intelligible</t>
  </si>
  <si>
    <t>The quality of being easy to meet deal with</t>
  </si>
  <si>
    <t>The quality of being able to provide good service</t>
  </si>
  <si>
    <t>The quality of comprehensible language or thought</t>
  </si>
  <si>
    <t>The ability to examine carefully for accuracy with the intent of verification</t>
  </si>
  <si>
    <t>Performability</t>
  </si>
  <si>
    <t>The quality of being operated</t>
  </si>
  <si>
    <t>Algorithm</t>
  </si>
  <si>
    <t>IA</t>
  </si>
  <si>
    <t>logical explanation [in vivo]</t>
  </si>
  <si>
    <t>Doing what it should do</t>
  </si>
  <si>
    <t>To inform [enough to be useful][in vivo]</t>
  </si>
  <si>
    <t>Why [which information supported this decision] [sucint information]</t>
  </si>
  <si>
    <t>Why [which information supported this decision]</t>
  </si>
  <si>
    <t>How [algorithm]</t>
  </si>
  <si>
    <t>Evaluate the capacity of generate better routes [in vivo]</t>
  </si>
  <si>
    <t>To be curious about, to know more about the inner reasoning process</t>
  </si>
  <si>
    <t>Brief message</t>
  </si>
  <si>
    <t>Why [which information supported this decision] [why is different]</t>
  </si>
  <si>
    <t>Why</t>
  </si>
  <si>
    <t xml:space="preserve">Why </t>
  </si>
  <si>
    <t>Preocupation in whether the decision is really tuned with the reality. Suggestion that the user should have the control to fine-tune the decision, and should give the control to choose the best option for himself.</t>
  </si>
  <si>
    <t>Why [why is different]</t>
  </si>
  <si>
    <t>Preocupation in whether the decision is really tuned with the reality</t>
  </si>
  <si>
    <t>Expresses complete trust on what the system chose and does not expresses the need for an explanation</t>
  </si>
  <si>
    <t>[which information supported this decision]</t>
  </si>
  <si>
    <t>Why not [why is different]</t>
  </si>
  <si>
    <t>Why. [just if it is not obvious]</t>
  </si>
  <si>
    <t>expresses interest in having the possibility of knowing more about it, user wants to have control</t>
  </si>
  <si>
    <t>[why is different]</t>
  </si>
  <si>
    <r>
      <rPr>
        <sz val="12"/>
        <color theme="9"/>
        <rFont val="Arial"/>
        <family val="2"/>
      </rPr>
      <t>Warum</t>
    </r>
    <r>
      <rPr>
        <sz val="12"/>
        <rFont val="Arial"/>
        <family val="2"/>
      </rPr>
      <t xml:space="preserve"> die Navigationsapp auf eine andere Strecke schickt. (Zum Beispiel Stau voraus/ Baustelle/ Straßensperrung so was. )</t>
    </r>
  </si>
  <si>
    <t>Why [inner working of algorithm] [which information supported this decision], What is the Model the system built about me</t>
  </si>
  <si>
    <t>Why [why is different] [which information supported this decision]</t>
  </si>
  <si>
    <t>Why [which information supported this decision] [if something changed in the algorithm behavior (updates, etc)]</t>
  </si>
  <si>
    <t>Why [which information supported this decision] [why is different] Expresses desire to understand the inner reasoning logic of the algorithm</t>
  </si>
  <si>
    <t>Why [why is different] [what are the advantages for me]</t>
  </si>
  <si>
    <t>Why, Expresses the desire of having control and the possibility of choosing the best option</t>
  </si>
  <si>
    <t>Expresses the desire of the algorithm knowing exactly what is best for the user, based on his unique profile. Why [why is different] [which information supported the decision]</t>
  </si>
  <si>
    <t>Why [which information supported the decision] [what are the advantages for me]</t>
  </si>
  <si>
    <t>how was the reasoning process, which information supported the decision</t>
  </si>
  <si>
    <t>not interested in having explanations</t>
  </si>
  <si>
    <t>[what are the advantages for me] [present good solutions]</t>
  </si>
  <si>
    <t>Categories</t>
  </si>
  <si>
    <t xml:space="preserve">Frequency </t>
  </si>
  <si>
    <t>Codes:</t>
  </si>
  <si>
    <t xml:space="preserve">Total freq. </t>
  </si>
  <si>
    <t>Sentiments</t>
  </si>
  <si>
    <t>Qualities of Explanations</t>
  </si>
  <si>
    <t>Category 1</t>
  </si>
  <si>
    <t>Category 2</t>
  </si>
  <si>
    <t xml:space="preserve">How </t>
  </si>
  <si>
    <t>Logical</t>
  </si>
  <si>
    <t>What</t>
  </si>
  <si>
    <t>How</t>
  </si>
  <si>
    <t>Category 3</t>
  </si>
  <si>
    <t>Quality of Explanation</t>
  </si>
  <si>
    <t>Sentiment</t>
  </si>
  <si>
    <t>Kind of Explanations</t>
  </si>
  <si>
    <t>How [audit]</t>
  </si>
  <si>
    <t>Beneficial to the User</t>
  </si>
  <si>
    <t>Useful</t>
  </si>
  <si>
    <t>Sucint</t>
  </si>
  <si>
    <t>#</t>
  </si>
  <si>
    <t>User has the control</t>
  </si>
  <si>
    <t>Trusts completely the system</t>
  </si>
  <si>
    <r>
      <rPr>
        <sz val="12"/>
        <rFont val="Times New Roman"/>
        <family val="1"/>
      </rPr>
      <t xml:space="preserve">1. </t>
    </r>
    <r>
      <rPr>
        <i/>
        <sz val="12"/>
        <rFont val="Times New Roman"/>
        <family val="1"/>
      </rPr>
      <t xml:space="preserve">What Information - </t>
    </r>
    <r>
      <rPr>
        <sz val="12"/>
        <rFont val="Times New Roman"/>
        <family val="1"/>
      </rPr>
      <t>the user is interested to know which specific piece of information (datasets, live information) supported and influenced the given decision</t>
    </r>
  </si>
  <si>
    <r>
      <rPr>
        <sz val="12"/>
        <rFont val="Times New Roman"/>
        <family val="1"/>
      </rPr>
      <t>2.</t>
    </r>
    <r>
      <rPr>
        <i/>
        <sz val="12"/>
        <color theme="1"/>
        <rFont val="Times New Roman"/>
        <family val="1"/>
      </rPr>
      <t xml:space="preserve"> Beneficial - </t>
    </r>
    <r>
      <rPr>
        <sz val="12"/>
        <color theme="1"/>
        <rFont val="Times New Roman"/>
        <family val="1"/>
      </rPr>
      <t xml:space="preserve">the user wants to feel the decision makes his/her life better, offering benefits </t>
    </r>
  </si>
  <si>
    <r>
      <rPr>
        <sz val="12"/>
        <rFont val="Times New Roman"/>
        <family val="1"/>
      </rPr>
      <t xml:space="preserve">1. </t>
    </r>
    <r>
      <rPr>
        <i/>
        <sz val="12"/>
        <rFont val="Times New Roman"/>
        <family val="1"/>
      </rPr>
      <t xml:space="preserve">In Control - </t>
    </r>
    <r>
      <rPr>
        <sz val="12"/>
        <rFont val="Times New Roman"/>
        <family val="1"/>
      </rPr>
      <t>the user expresses the desire of having control and the possibility of choosing the best option</t>
    </r>
  </si>
  <si>
    <r>
      <rPr>
        <sz val="12"/>
        <rFont val="Times New Roman"/>
        <family val="1"/>
      </rPr>
      <t xml:space="preserve">3. </t>
    </r>
    <r>
      <rPr>
        <i/>
        <sz val="12"/>
        <rFont val="Times New Roman"/>
        <family val="1"/>
      </rPr>
      <t>Trusts the System</t>
    </r>
    <r>
      <rPr>
        <i/>
        <sz val="12"/>
        <color theme="1"/>
        <rFont val="Times New Roman"/>
        <family val="1"/>
      </rPr>
      <t xml:space="preserve"> - </t>
    </r>
    <r>
      <rPr>
        <sz val="12"/>
        <color theme="1"/>
        <rFont val="Times New Roman"/>
        <family val="1"/>
      </rPr>
      <t xml:space="preserve">the user expresses complete trust on the system's choices </t>
    </r>
    <r>
      <rPr>
        <i/>
        <sz val="12"/>
        <color theme="1"/>
        <rFont val="Times New Roman"/>
        <family val="1"/>
      </rPr>
      <t>and/or</t>
    </r>
    <r>
      <rPr>
        <sz val="12"/>
        <color theme="1"/>
        <rFont val="Times New Roman"/>
        <family val="1"/>
      </rPr>
      <t xml:space="preserve"> does not expresses the need for an explanation</t>
    </r>
  </si>
  <si>
    <r>
      <rPr>
        <sz val="12"/>
        <rFont val="Times New Roman"/>
        <family val="1"/>
      </rPr>
      <t xml:space="preserve">1. </t>
    </r>
    <r>
      <rPr>
        <i/>
        <sz val="12"/>
        <rFont val="Times New Roman"/>
        <family val="1"/>
      </rPr>
      <t>Logical</t>
    </r>
  </si>
  <si>
    <r>
      <rPr>
        <sz val="12"/>
        <rFont val="Times New Roman"/>
        <family val="1"/>
      </rPr>
      <t>2.</t>
    </r>
    <r>
      <rPr>
        <i/>
        <sz val="12"/>
        <color theme="1"/>
        <rFont val="Times New Roman"/>
        <family val="1"/>
      </rPr>
      <t xml:space="preserve"> Useful</t>
    </r>
  </si>
  <si>
    <t>[why is different], [why is that good to me],  [which information supported this decision]</t>
  </si>
  <si>
    <t>[which information supported this decision],  [why is the system making this decision]</t>
  </si>
  <si>
    <t>Why [is different]</t>
  </si>
  <si>
    <t xml:space="preserve">[why is different] [which information supported this decision] </t>
  </si>
  <si>
    <t>Why[is different]</t>
  </si>
  <si>
    <t>[why is that good to me]</t>
  </si>
  <si>
    <t>[why is that good to me], the difference between the current decision and the habitual [in vivo]</t>
  </si>
  <si>
    <t>[why is different] [which information supported this decision]</t>
  </si>
  <si>
    <t xml:space="preserve">[why is different] </t>
  </si>
  <si>
    <r>
      <rPr>
        <sz val="12"/>
        <color theme="9"/>
        <rFont val="Arial"/>
        <family val="2"/>
      </rPr>
      <t>Why is the app pointing in in a different way</t>
    </r>
    <r>
      <rPr>
        <sz val="12"/>
        <rFont val="Arial"/>
        <family val="2"/>
      </rPr>
      <t xml:space="preserve"> and what are people thinking about this change.</t>
    </r>
  </si>
  <si>
    <t>why [which information supported this decision]</t>
  </si>
  <si>
    <t>[which information supported this decision]  [why is that good to me] [need to be in control]</t>
  </si>
  <si>
    <t>Why  [why is that good to me]</t>
  </si>
  <si>
    <t>Why [which information supported this decision] [inner reasoning]</t>
  </si>
  <si>
    <t>these information would be useful, it would be useful to know</t>
  </si>
  <si>
    <r>
      <t xml:space="preserve">The answer to </t>
    </r>
    <r>
      <rPr>
        <sz val="12"/>
        <color theme="9"/>
        <rFont val="Arial"/>
        <family val="2"/>
      </rPr>
      <t>why</t>
    </r>
    <r>
      <rPr>
        <sz val="12"/>
        <rFont val="Arial"/>
        <family val="2"/>
      </rPr>
      <t xml:space="preserve"> the route is different would be </t>
    </r>
    <r>
      <rPr>
        <u/>
        <sz val="12"/>
        <color theme="1"/>
        <rFont val="Arial"/>
        <family val="2"/>
      </rPr>
      <t>useful</t>
    </r>
    <r>
      <rPr>
        <sz val="12"/>
        <rFont val="Arial"/>
        <family val="2"/>
      </rPr>
      <t>.</t>
    </r>
  </si>
  <si>
    <t>Why [how - audit]</t>
  </si>
  <si>
    <t>why, [need to be in control]</t>
  </si>
  <si>
    <r>
      <t xml:space="preserve">There is </t>
    </r>
    <r>
      <rPr>
        <sz val="12"/>
        <color theme="8"/>
        <rFont val="Arial"/>
        <family val="2"/>
      </rPr>
      <t>road work ahead</t>
    </r>
    <r>
      <rPr>
        <sz val="12"/>
        <rFont val="Arial"/>
        <family val="2"/>
      </rPr>
      <t xml:space="preserve"> on usual route. Or there is traffic jam or accident </t>
    </r>
    <r>
      <rPr>
        <sz val="12"/>
        <color theme="9"/>
        <rFont val="Arial"/>
        <family val="2"/>
      </rPr>
      <t xml:space="preserve">on usual route. </t>
    </r>
  </si>
  <si>
    <t>Why [algorithm behavior]</t>
  </si>
  <si>
    <t>Simple</t>
  </si>
  <si>
    <t>Expresses desire to understand the inner reasoning logic of the algorithm</t>
  </si>
  <si>
    <t xml:space="preserve"> if it is reading correctly the information; algorithm; evaluate the capacity of generate better routes; to gather knowledge; system error because of…; how the algorithm detected the changes; from how many users on, the algorithm decided…; updates; what are the used criteria; the reasoning logic changed?; explain if something changed in the software version</t>
  </si>
  <si>
    <t xml:space="preserve"> if it is worth it; give the option to the user to choose; what are my options; to show my options, not to change it automatically; decide if I would follow the recommendation or choose something that I think ist better</t>
  </si>
  <si>
    <r>
      <t xml:space="preserve">Die Route wurde aufgrund von </t>
    </r>
    <r>
      <rPr>
        <sz val="12"/>
        <color theme="9"/>
        <rFont val="Arial"/>
        <family val="2"/>
      </rPr>
      <t>Stau</t>
    </r>
    <r>
      <rPr>
        <sz val="12"/>
        <rFont val="Arial"/>
        <family val="2"/>
      </rPr>
      <t xml:space="preserve"> auf der üblichen Route angepasst und umgestellt, </t>
    </r>
    <r>
      <rPr>
        <sz val="12"/>
        <color theme="9"/>
        <rFont val="Arial"/>
        <family val="2"/>
      </rPr>
      <t>um so Zeit zu sparen.</t>
    </r>
  </si>
  <si>
    <r>
      <t xml:space="preserve">inform me if the new route is more </t>
    </r>
    <r>
      <rPr>
        <sz val="12"/>
        <color rgb="FFFF00FF"/>
        <rFont val="Times New Roman"/>
        <family val="1"/>
      </rPr>
      <t>secure</t>
    </r>
    <r>
      <rPr>
        <sz val="12"/>
        <rFont val="Times New Roman"/>
        <family val="1"/>
      </rPr>
      <t xml:space="preserve"> or </t>
    </r>
    <r>
      <rPr>
        <sz val="12"/>
        <color rgb="FFFF00FF"/>
        <rFont val="Times New Roman"/>
        <family val="1"/>
      </rPr>
      <t>faster</t>
    </r>
    <r>
      <rPr>
        <sz val="12"/>
        <rFont val="Times New Roman"/>
        <family val="1"/>
      </rPr>
      <t xml:space="preserve">, benefits of the new route, explain a reason that benefits the user, shows the best option, if the route is </t>
    </r>
    <r>
      <rPr>
        <sz val="12"/>
        <color rgb="FFFF00FF"/>
        <rFont val="Times New Roman"/>
        <family val="1"/>
      </rPr>
      <t>faster,</t>
    </r>
    <r>
      <rPr>
        <sz val="12"/>
        <color theme="1"/>
        <rFont val="Times New Roman"/>
        <family val="1"/>
      </rPr>
      <t xml:space="preserve"> advantages and disadvantages; </t>
    </r>
    <r>
      <rPr>
        <sz val="12"/>
        <rFont val="Times New Roman"/>
        <family val="1"/>
      </rPr>
      <t>if the new route presents any risks; advantages of the alternative routes; aiming for my well-being; the new one is better; to save time</t>
    </r>
  </si>
  <si>
    <t>for me, it chose the best option between the options it had; not interested in having explanations</t>
  </si>
  <si>
    <t>Easy</t>
  </si>
  <si>
    <r>
      <rPr>
        <sz val="12"/>
        <rFont val="Times New Roman"/>
        <family val="1"/>
      </rPr>
      <t xml:space="preserve">3. </t>
    </r>
    <r>
      <rPr>
        <i/>
        <sz val="12"/>
        <rFont val="Times New Roman"/>
        <family val="1"/>
      </rPr>
      <t>Sucint, Easy, Simple</t>
    </r>
  </si>
  <si>
    <t>the critical reason, the main reason, breaf message; easy to understand language</t>
  </si>
  <si>
    <t>Understand how the software works</t>
  </si>
  <si>
    <t>Clarification of doubts</t>
  </si>
  <si>
    <t>Reliability</t>
  </si>
  <si>
    <t>Reliability in the decision algorithm</t>
  </si>
  <si>
    <t>Know all available features</t>
  </si>
  <si>
    <t>facilitates usability</t>
  </si>
  <si>
    <t>Information</t>
  </si>
  <si>
    <t>Understanding</t>
  </si>
  <si>
    <t>TIME OPTIMIZATION</t>
  </si>
  <si>
    <t>Avoid future problems</t>
  </si>
  <si>
    <t>Knowledge</t>
  </si>
  <si>
    <t>Understand the reason for an error that occurred</t>
  </si>
  <si>
    <t>Comprehensibility</t>
  </si>
  <si>
    <t>You better understand how the software works</t>
  </si>
  <si>
    <t>Understand the purpose</t>
  </si>
  <si>
    <t>clarity in what is happening to my data or information.</t>
  </si>
  <si>
    <t>To ease doubts</t>
  </si>
  <si>
    <t>Ease its use</t>
  </si>
  <si>
    <t>Increase confidence in software and its developers</t>
  </si>
  <si>
    <t>Credibility</t>
  </si>
  <si>
    <t>Understand differences</t>
  </si>
  <si>
    <t>Quick familiarization</t>
  </si>
  <si>
    <t>Understand the working</t>
  </si>
  <si>
    <t>Better use</t>
  </si>
  <si>
    <t>Know the system</t>
  </si>
  <si>
    <t>Better understanding of problems</t>
  </si>
  <si>
    <t>Acquired knowledge</t>
  </si>
  <si>
    <t>Know how to better use it</t>
  </si>
  <si>
    <t>Clarity while using it</t>
  </si>
  <si>
    <t>First contact</t>
  </si>
  <si>
    <t>Help users to use the software</t>
  </si>
  <si>
    <t>Information about how my data will be used (privacy policies) is very useful.</t>
  </si>
  <si>
    <t>Clarifying the navigation</t>
  </si>
  <si>
    <t>Clarity in information</t>
  </si>
  <si>
    <t>The person ends up increasing the knowledge acquired.</t>
  </si>
  <si>
    <t xml:space="preserve">Security </t>
  </si>
  <si>
    <t>Comfort in using the application</t>
  </si>
  <si>
    <t>reduces time spent using software</t>
  </si>
  <si>
    <t>Information security</t>
  </si>
  <si>
    <t>Confirm that the request I sent was received by the server</t>
  </si>
  <si>
    <t>How to work around the problem</t>
  </si>
  <si>
    <t>Know how to use it better</t>
  </si>
  <si>
    <t>ease of use and avoid errors in the use of software</t>
  </si>
  <si>
    <t>Allow me to make my own decisions.</t>
  </si>
  <si>
    <t>Conscious use of program functions</t>
  </si>
  <si>
    <t>Know that the app is working correctly</t>
  </si>
  <si>
    <t>Enabling the full potential of the software</t>
  </si>
  <si>
    <t>Facilitates its use</t>
  </si>
  <si>
    <t>Enable user decisions consciously</t>
  </si>
  <si>
    <t>Avoid Frustrations</t>
  </si>
  <si>
    <t>I would become a more loyal user</t>
  </si>
  <si>
    <t>Know all the tools available.</t>
  </si>
  <si>
    <t>Concise and clear</t>
  </si>
  <si>
    <t>Satisfaction in use</t>
  </si>
  <si>
    <t>Save time</t>
  </si>
  <si>
    <t>Clarify any doubt</t>
  </si>
  <si>
    <t>Precision</t>
  </si>
  <si>
    <t>The mastery of the situation</t>
  </si>
  <si>
    <t>Avoid errors</t>
  </si>
  <si>
    <t>Enables non-abandonment of use of the software.</t>
  </si>
  <si>
    <t>Dissemination of knowledge</t>
  </si>
  <si>
    <t>Control</t>
  </si>
  <si>
    <t>Software Potential</t>
  </si>
  <si>
    <t>Increases ease, usability of the device.</t>
  </si>
  <si>
    <t>Transparency</t>
  </si>
  <si>
    <t>Use the app more often</t>
  </si>
  <si>
    <t>allows the user to become familiar with the software.</t>
  </si>
  <si>
    <t>Ease of use</t>
  </si>
  <si>
    <t>Information about the usage of the service</t>
  </si>
  <si>
    <t>Purpose of the software</t>
  </si>
  <si>
    <t>Operate correctly</t>
  </si>
  <si>
    <t>Privacy</t>
  </si>
  <si>
    <t>In a first contact, understand how the software works</t>
  </si>
  <si>
    <t>Makes the software more interactive with the user</t>
  </si>
  <si>
    <t>Justify the access of software to the specific information or functionalities</t>
  </si>
  <si>
    <t>provide greater security when using the software, leave the user less tense.</t>
  </si>
  <si>
    <t>It's easier to compare similar software for its features</t>
  </si>
  <si>
    <t>Allow my decisions to be made on the basis of clear information</t>
  </si>
  <si>
    <t>Shows transparency</t>
  </si>
  <si>
    <t>Assist in taking decisions</t>
  </si>
  <si>
    <t>And gives a sense of concern to the user of the program.</t>
  </si>
  <si>
    <t>Time to learn the most advanced software tools</t>
  </si>
  <si>
    <t>Continuity of use</t>
  </si>
  <si>
    <t>Satisfaction</t>
  </si>
  <si>
    <t>Teach the user</t>
  </si>
  <si>
    <t>Help to solve oncoming problems</t>
  </si>
  <si>
    <t>To have a notion about their functionality</t>
  </si>
  <si>
    <t>Agility</t>
  </si>
  <si>
    <t>Fast</t>
  </si>
  <si>
    <t>Coherence</t>
  </si>
  <si>
    <t>Be aware of what I'm doing</t>
  </si>
  <si>
    <t>Importance</t>
  </si>
  <si>
    <t>Safety</t>
  </si>
  <si>
    <t>Loyalty in the use of software.</t>
  </si>
  <si>
    <r>
      <rPr>
        <b/>
        <sz val="10"/>
        <rFont val="Arial"/>
        <family val="2"/>
      </rPr>
      <t>Transparency</t>
    </r>
    <r>
      <rPr>
        <sz val="10"/>
        <rFont val="Arial"/>
        <family val="2"/>
        <charset val="1"/>
      </rPr>
      <t xml:space="preserve"> </t>
    </r>
  </si>
  <si>
    <t>improves time use</t>
  </si>
  <si>
    <t>eases the use</t>
  </si>
  <si>
    <t>control, facilitates understanding the situation</t>
  </si>
  <si>
    <t>eases the use, tutorial idea</t>
  </si>
  <si>
    <t>transparency</t>
  </si>
  <si>
    <t>understanding</t>
  </si>
  <si>
    <t>clarification of doubts, informativeness</t>
  </si>
  <si>
    <t>improves time use, eases the use</t>
  </si>
  <si>
    <t>Certainty</t>
  </si>
  <si>
    <t>auditability</t>
  </si>
  <si>
    <t>data transparency</t>
  </si>
  <si>
    <t>facilitates understanding, clarify doubts</t>
  </si>
  <si>
    <t>tutorial idea</t>
  </si>
  <si>
    <t>clarify doubts, clears obscurity</t>
  </si>
  <si>
    <t>control</t>
  </si>
  <si>
    <t>facilitates understanding</t>
  </si>
  <si>
    <t>facilitates understanding the inner processes, eases the use</t>
  </si>
  <si>
    <t>tutorial idea, familiarization</t>
  </si>
  <si>
    <t>understanding about information</t>
  </si>
  <si>
    <t>informativeness</t>
  </si>
  <si>
    <t>eases the use, clarity</t>
  </si>
  <si>
    <t>informativeness, knowledge</t>
  </si>
  <si>
    <t>transparency, clarity</t>
  </si>
  <si>
    <t>clarity, informativeness</t>
  </si>
  <si>
    <t>understanding why something happened</t>
  </si>
  <si>
    <t>auditability, veriafilibility</t>
  </si>
  <si>
    <t>auxiliates the user making choices</t>
  </si>
  <si>
    <t>informativeness, knowledge, auxiliates making choices</t>
  </si>
  <si>
    <t>usability, ux</t>
  </si>
  <si>
    <t>ease of use</t>
  </si>
  <si>
    <t>auxiliates the user making choices, control</t>
  </si>
  <si>
    <t>full potential of software</t>
  </si>
  <si>
    <t>understanding the information</t>
  </si>
  <si>
    <t>understand the software inner reasoning</t>
  </si>
  <si>
    <t>clarify doubts</t>
  </si>
  <si>
    <t>knowledge, tutorial idea, understanding the inner process of the software</t>
  </si>
  <si>
    <t>We can explore the software's benefits</t>
  </si>
  <si>
    <t>evaluate the value of the software</t>
  </si>
  <si>
    <t>control, auxiliate user making decisions</t>
  </si>
  <si>
    <t>usability</t>
  </si>
  <si>
    <t>auditability, verifiability</t>
  </si>
  <si>
    <t>understanding the inner reasoning of the software</t>
  </si>
  <si>
    <t>understanding the inner reasoning of the software, tutorial idea</t>
  </si>
  <si>
    <t>auxiliate the user making choices</t>
  </si>
  <si>
    <t>value of software</t>
  </si>
  <si>
    <t>understand the inner reasoning of the software</t>
  </si>
  <si>
    <t>understandability, ease of understanding</t>
  </si>
  <si>
    <t>simplicity, ease of use</t>
  </si>
  <si>
    <t>security</t>
  </si>
  <si>
    <t>understanding the reasoning of the software</t>
  </si>
  <si>
    <t>avoid mistakes, eases the use</t>
  </si>
  <si>
    <t xml:space="preserve">facilitates the understanding </t>
  </si>
  <si>
    <t>facilitates the understanding</t>
  </si>
  <si>
    <t>understand the software decision</t>
  </si>
  <si>
    <t>facilitates understanding about the inner processes of the software</t>
  </si>
  <si>
    <t>improves the value of the software in the eyes of the user</t>
  </si>
  <si>
    <t>facilitates understanding [information]</t>
  </si>
  <si>
    <t>facilitates understand [software]</t>
  </si>
  <si>
    <t>value of the software, usability</t>
  </si>
  <si>
    <t>avoid mistakes</t>
  </si>
  <si>
    <t>usability, improves the relationship</t>
  </si>
  <si>
    <t>usability, mastering the software</t>
  </si>
  <si>
    <t>improves time use, value of software</t>
  </si>
  <si>
    <t>understand the inner reasoning</t>
  </si>
  <si>
    <t>clears obscurity</t>
  </si>
  <si>
    <t>guides the use</t>
  </si>
  <si>
    <t>Advantages of Explanations</t>
  </si>
  <si>
    <r>
      <rPr>
        <sz val="12"/>
        <rFont val="Times New Roman"/>
        <family val="1"/>
      </rPr>
      <t xml:space="preserve">1. </t>
    </r>
    <r>
      <rPr>
        <i/>
        <sz val="12"/>
        <rFont val="Times New Roman"/>
        <family val="1"/>
      </rPr>
      <t>Usability</t>
    </r>
  </si>
  <si>
    <t>guides the use (tutorial):</t>
  </si>
  <si>
    <t>improves the use of time:</t>
  </si>
  <si>
    <t>avoids making mistakes:</t>
  </si>
  <si>
    <t>facilitates the use (user-friendliness):</t>
  </si>
  <si>
    <t>proficiency in operating the system:</t>
  </si>
  <si>
    <t>improves use of time</t>
  </si>
  <si>
    <t>user-friendliness</t>
  </si>
  <si>
    <r>
      <t>If I'm using the software for the first time,</t>
    </r>
    <r>
      <rPr>
        <sz val="10"/>
        <color theme="4"/>
        <rFont val="Arial"/>
        <family val="2"/>
      </rPr>
      <t xml:space="preserve"> information of how to use are extremly useful</t>
    </r>
  </si>
  <si>
    <t>proficiency in use</t>
  </si>
  <si>
    <t xml:space="preserve">data transparency: </t>
  </si>
  <si>
    <r>
      <rPr>
        <sz val="12"/>
        <rFont val="Times New Roman"/>
        <family val="1"/>
      </rPr>
      <t xml:space="preserve">4. </t>
    </r>
    <r>
      <rPr>
        <i/>
        <sz val="12"/>
        <rFont val="Times New Roman"/>
        <family val="1"/>
      </rPr>
      <t>Relationship with Software</t>
    </r>
  </si>
  <si>
    <t>builds trust [reliability][security]:</t>
  </si>
  <si>
    <t>puts user in control:</t>
  </si>
  <si>
    <r>
      <rPr>
        <sz val="12"/>
        <rFont val="Times New Roman"/>
        <family val="1"/>
      </rPr>
      <t xml:space="preserve">3. </t>
    </r>
    <r>
      <rPr>
        <i/>
        <sz val="12"/>
        <rFont val="Times New Roman"/>
        <family val="1"/>
      </rPr>
      <t>Auditability / Verifiability -</t>
    </r>
    <r>
      <rPr>
        <i/>
        <sz val="12"/>
        <color theme="1"/>
        <rFont val="Times New Roman"/>
        <family val="1"/>
      </rPr>
      <t xml:space="preserve"> </t>
    </r>
    <r>
      <rPr>
        <sz val="12"/>
        <rFont val="Times New Roman"/>
        <family val="1"/>
      </rPr>
      <t xml:space="preserve">understanding the inner reasoning process of the algorithm </t>
    </r>
    <r>
      <rPr>
        <i/>
        <sz val="12"/>
        <color theme="1"/>
        <rFont val="Times New Roman"/>
        <family val="1"/>
      </rPr>
      <t xml:space="preserve">or </t>
    </r>
    <r>
      <rPr>
        <sz val="12"/>
        <color theme="1"/>
        <rFont val="Times New Roman"/>
        <family val="1"/>
      </rPr>
      <t>to be able to audit/verify the behavior</t>
    </r>
    <r>
      <rPr>
        <i/>
        <sz val="12"/>
        <color theme="1"/>
        <rFont val="Times New Roman"/>
        <family val="1"/>
      </rPr>
      <t xml:space="preserve"> or</t>
    </r>
    <r>
      <rPr>
        <sz val="12"/>
        <color theme="1"/>
        <rFont val="Times New Roman"/>
        <family val="1"/>
      </rPr>
      <t xml:space="preserve"> to discover more about the Inner Model the System built about the user</t>
    </r>
  </si>
  <si>
    <t>user in control</t>
  </si>
  <si>
    <r>
      <rPr>
        <sz val="10"/>
        <color rgb="FFFF00FF"/>
        <rFont val="Arial"/>
        <family val="2"/>
      </rPr>
      <t>no loss of control:</t>
    </r>
    <r>
      <rPr>
        <sz val="10"/>
        <color theme="9"/>
        <rFont val="Arial"/>
        <family val="2"/>
      </rPr>
      <t xml:space="preserve"> information helps to decide</t>
    </r>
    <r>
      <rPr>
        <sz val="10"/>
        <color rgb="FFFF00FF"/>
        <rFont val="Arial"/>
        <family val="2"/>
      </rPr>
      <t xml:space="preserve"> if the decision of the computer can be accepted</t>
    </r>
  </si>
  <si>
    <t>Auditability / Verifiability</t>
  </si>
  <si>
    <r>
      <rPr>
        <sz val="10"/>
        <color theme="9"/>
        <rFont val="Arial"/>
        <family val="2"/>
      </rPr>
      <t>Understand</t>
    </r>
    <r>
      <rPr>
        <sz val="10"/>
        <color rgb="FFFF00FF"/>
        <rFont val="Arial"/>
        <family val="2"/>
      </rPr>
      <t xml:space="preserve"> </t>
    </r>
    <r>
      <rPr>
        <sz val="10"/>
        <color theme="5"/>
        <rFont val="Arial"/>
        <family val="2"/>
      </rPr>
      <t>the purpose of an atypical operation</t>
    </r>
  </si>
  <si>
    <r>
      <rPr>
        <sz val="10"/>
        <color theme="9"/>
        <rFont val="Arial"/>
        <family val="2"/>
      </rPr>
      <t xml:space="preserve">Understanding how it </t>
    </r>
    <r>
      <rPr>
        <sz val="10"/>
        <color theme="4"/>
        <rFont val="Arial"/>
        <family val="2"/>
      </rPr>
      <t>works increases its usability</t>
    </r>
  </si>
  <si>
    <r>
      <t>Report what is done with data collected</t>
    </r>
    <r>
      <rPr>
        <sz val="10"/>
        <color theme="1"/>
        <rFont val="Arial"/>
        <family val="2"/>
      </rPr>
      <t xml:space="preserve"> from personal devices</t>
    </r>
  </si>
  <si>
    <r>
      <t>User</t>
    </r>
    <r>
      <rPr>
        <sz val="10"/>
        <color rgb="FFFF00FF"/>
        <rFont val="Arial"/>
        <family val="2"/>
      </rPr>
      <t xml:space="preserve"> increases the trust he has in the application</t>
    </r>
  </si>
  <si>
    <t xml:space="preserve"> </t>
  </si>
  <si>
    <t>of technical aspects</t>
  </si>
  <si>
    <r>
      <rPr>
        <sz val="10"/>
        <color theme="5"/>
        <rFont val="Arial"/>
        <family val="2"/>
      </rPr>
      <t xml:space="preserve">Updates on the use of the software </t>
    </r>
    <r>
      <rPr>
        <sz val="10"/>
        <rFont val="Arial"/>
        <family val="2"/>
        <charset val="1"/>
      </rPr>
      <t>or anything that changes my use behavior are also important</t>
    </r>
  </si>
  <si>
    <r>
      <t xml:space="preserve">How to </t>
    </r>
    <r>
      <rPr>
        <sz val="10"/>
        <color rgb="FFFF00FF"/>
        <rFont val="Arial"/>
        <family val="2"/>
      </rPr>
      <t>control</t>
    </r>
    <r>
      <rPr>
        <sz val="10"/>
        <rFont val="Arial"/>
        <family val="2"/>
      </rPr>
      <t xml:space="preserve"> </t>
    </r>
    <r>
      <rPr>
        <sz val="10"/>
        <color rgb="FFFF00FF"/>
        <rFont val="Arial"/>
        <family val="2"/>
      </rPr>
      <t>the choices</t>
    </r>
  </si>
  <si>
    <r>
      <rPr>
        <sz val="10"/>
        <color theme="8"/>
        <rFont val="Arial"/>
        <family val="2"/>
      </rPr>
      <t xml:space="preserve">save time, energy or other resource </t>
    </r>
    <r>
      <rPr>
        <sz val="10"/>
        <rFont val="Arial"/>
        <family val="2"/>
      </rPr>
      <t>by good decision made by software</t>
    </r>
  </si>
  <si>
    <r>
      <rPr>
        <sz val="10"/>
        <color theme="9"/>
        <rFont val="Arial"/>
        <family val="2"/>
      </rPr>
      <t>Increased information regarding the operation</t>
    </r>
    <r>
      <rPr>
        <sz val="10"/>
        <rFont val="Arial"/>
        <family val="2"/>
      </rPr>
      <t xml:space="preserve"> of the software.</t>
    </r>
  </si>
  <si>
    <r>
      <t xml:space="preserve">get </t>
    </r>
    <r>
      <rPr>
        <sz val="10"/>
        <color theme="8"/>
        <rFont val="Arial"/>
        <family val="2"/>
      </rPr>
      <t>better effectiveness with less time of dedication.</t>
    </r>
  </si>
  <si>
    <t>of technical aspects:</t>
  </si>
  <si>
    <t xml:space="preserve">Avoid losing time; Time Optization; Increases speed while using it; reduces time spent using software; Speed; Save time; save time, energy or other resource; get better effectiveness with less time of dedication; agility; fast; </t>
  </si>
  <si>
    <r>
      <t xml:space="preserve">After </t>
    </r>
    <r>
      <rPr>
        <sz val="10"/>
        <color theme="8"/>
        <rFont val="Arial"/>
        <family val="2"/>
      </rPr>
      <t xml:space="preserve">knowing the system </t>
    </r>
    <r>
      <rPr>
        <sz val="10"/>
        <color rgb="FFFF00FF"/>
        <rFont val="Arial"/>
        <family val="2"/>
      </rPr>
      <t>recognize its utility.</t>
    </r>
  </si>
  <si>
    <t xml:space="preserve"> information helps to decide; Information to help search for a possible solution; Analyze the situation; How to work around the problem; Enable user decisions consciously; The mastery of the situation; Process Flow Analysis; Allow my decisions to be made on the basis of clear information; Assist in taking decisions; Help to solve oncoming problems; Be aware of what I'm doing</t>
  </si>
  <si>
    <t>clarity in what is happening to my data or information; Information about how my data will be used (privacy policies) is very useful; Information security; Report what is done with data collected; Understand how I feed information to the software; Privacy; Justify the access of software to the specific information or functionalities</t>
  </si>
  <si>
    <t>Increase confidence in software and its developers; Feeling secure while using it; Reliability; Reliability in the decision algorithm; Relationship of trust and transparency between user and software; Security; I will use it more often and with more confidence; Increase confidence in software; Trust; provide greater security when using the software, leave the user less tens; Safety</t>
  </si>
  <si>
    <t>no loss of control; decide if the decision of the computer can be accepted; Making user feel in control; Allow me to make my own decisions; Leading the decisions to the user ; How to control the choices; Be aware of what I'm doing</t>
  </si>
  <si>
    <t>Disadvantages of Explanations</t>
  </si>
  <si>
    <t xml:space="preserve">time consuming: </t>
  </si>
  <si>
    <t xml:space="preserve">impairs the use: </t>
  </si>
  <si>
    <t>loss of control (user wants the control):</t>
  </si>
  <si>
    <t xml:space="preserve">use of computational resources: </t>
  </si>
  <si>
    <r>
      <rPr>
        <sz val="12"/>
        <rFont val="Times New Roman"/>
        <family val="1"/>
      </rPr>
      <t xml:space="preserve">3. </t>
    </r>
    <r>
      <rPr>
        <i/>
        <sz val="12"/>
        <rFont val="Times New Roman"/>
        <family val="1"/>
      </rPr>
      <t>Relationship with Software</t>
    </r>
  </si>
  <si>
    <t>unnecessary information [lengthy][useless][repetitive]:</t>
  </si>
  <si>
    <t>adds obscurity or fails to clear obscurity:</t>
  </si>
  <si>
    <t>Time to understand the explanations; The time invested; For some, can be waste of time; Loss of time when not requested; Time consuming; Lack of time / interest; decreases dynamism and speed; ask to do more things than what I'm used to do</t>
  </si>
  <si>
    <t>Can use more resources like CPU, memory, etc; can bug the system; Storage space is likely to become smaller; It takes longer to initialize de software; Battery consumption; Data volume</t>
  </si>
  <si>
    <t>Automatic explanations at unwanted moments; sometimes it can bother you if you do not allow them to be silenced; Loss of time when not requested; When the explanation was not requested, makes it inconvenient; Excess of unwanted information; Appear with no request; It would be interesting if I could request the explanation just when I wanted; Not requested explanation; Absence of skip options; the information being forced to the user, without prior interest shown; Lack of option, apps that require you to see information without a disable option</t>
  </si>
  <si>
    <t>Other:</t>
  </si>
  <si>
    <t>not to be confused by decision made by software; Clarity while using it; Allow my decisions to be made on the basis of clear information; Clarification of doubts; To ease doubts; Clarify questions; Information about the usage of the service; Clarifying the navigation; Clarity in information; Concise and clear</t>
  </si>
  <si>
    <t>software errors can be discovered; Updates on the use of the software; Understand the software patterns while making decisions</t>
  </si>
  <si>
    <t>positive impact</t>
  </si>
  <si>
    <t>positive impact in the eyes of the user</t>
  </si>
  <si>
    <r>
      <t xml:space="preserve">Why the usual route is not being suggested, as for </t>
    </r>
    <r>
      <rPr>
        <sz val="12"/>
        <color theme="8"/>
        <rFont val="Arial"/>
        <family val="2"/>
      </rPr>
      <t>bottling</t>
    </r>
    <r>
      <rPr>
        <sz val="12"/>
        <color theme="9"/>
        <rFont val="Arial"/>
        <family val="2"/>
      </rPr>
      <t xml:space="preserve"> or </t>
    </r>
    <r>
      <rPr>
        <sz val="12"/>
        <color theme="8"/>
        <rFont val="Arial"/>
        <family val="2"/>
      </rPr>
      <t>roadworks</t>
    </r>
    <r>
      <rPr>
        <sz val="12"/>
        <color theme="9"/>
        <rFont val="Arial"/>
        <family val="2"/>
      </rPr>
      <t>.</t>
    </r>
  </si>
  <si>
    <r>
      <t xml:space="preserve">If he is reading correctly the information </t>
    </r>
    <r>
      <rPr>
        <sz val="12"/>
        <color theme="1"/>
        <rFont val="Arial"/>
        <family val="2"/>
      </rPr>
      <t>obtained by the GPS of the device.</t>
    </r>
  </si>
  <si>
    <t>A logical explanation</t>
  </si>
  <si>
    <r>
      <t xml:space="preserve">Explain </t>
    </r>
    <r>
      <rPr>
        <sz val="12"/>
        <color theme="8"/>
        <rFont val="Arial"/>
        <family val="2"/>
      </rPr>
      <t>which incident</t>
    </r>
    <r>
      <rPr>
        <sz val="12"/>
        <rFont val="Arial"/>
        <family val="2"/>
      </rPr>
      <t xml:space="preserve"> caused the route to change. Ex: </t>
    </r>
    <r>
      <rPr>
        <sz val="12"/>
        <color theme="8"/>
        <rFont val="Arial"/>
        <family val="2"/>
      </rPr>
      <t>accident, blitz, road construction, etc.</t>
    </r>
  </si>
  <si>
    <t>Traffic</t>
  </si>
  <si>
    <r>
      <rPr>
        <b/>
        <sz val="12"/>
        <color theme="9"/>
        <rFont val="Arial"/>
        <family val="2"/>
      </rPr>
      <t>Explain</t>
    </r>
    <r>
      <rPr>
        <sz val="12"/>
        <color theme="9"/>
        <rFont val="Arial"/>
        <family val="2"/>
      </rPr>
      <t xml:space="preserve"> the reason</t>
    </r>
    <r>
      <rPr>
        <sz val="12"/>
        <rFont val="Arial"/>
        <family val="2"/>
      </rPr>
      <t xml:space="preserve"> of showing new routes in a way that</t>
    </r>
    <r>
      <rPr>
        <sz val="12"/>
        <color rgb="FFFF00FF"/>
        <rFont val="Arial"/>
        <family val="2"/>
      </rPr>
      <t xml:space="preserve"> benefits the user</t>
    </r>
  </si>
  <si>
    <r>
      <rPr>
        <sz val="12"/>
        <color theme="8"/>
        <rFont val="Arial"/>
        <family val="2"/>
      </rPr>
      <t>Which variables</t>
    </r>
    <r>
      <rPr>
        <sz val="12"/>
        <rFont val="Arial"/>
        <family val="2"/>
      </rPr>
      <t xml:space="preserve"> are influencing the path choice and the </t>
    </r>
    <r>
      <rPr>
        <sz val="12"/>
        <color theme="9"/>
        <rFont val="Arial"/>
        <family val="2"/>
      </rPr>
      <t>reason</t>
    </r>
    <r>
      <rPr>
        <sz val="12"/>
        <rFont val="Arial"/>
        <family val="2"/>
      </rPr>
      <t>.</t>
    </r>
  </si>
  <si>
    <r>
      <rPr>
        <sz val="12"/>
        <color theme="9"/>
        <rFont val="Arial"/>
        <family val="2"/>
      </rPr>
      <t>State the reason</t>
    </r>
    <r>
      <rPr>
        <sz val="12"/>
        <rFont val="Arial"/>
        <family val="2"/>
      </rPr>
      <t xml:space="preserve"> for the different route being presented, the </t>
    </r>
    <r>
      <rPr>
        <sz val="12"/>
        <color rgb="FFFF00FF"/>
        <rFont val="Arial"/>
        <family val="2"/>
      </rPr>
      <t>benefits</t>
    </r>
    <r>
      <rPr>
        <sz val="12"/>
        <rFont val="Arial"/>
        <family val="2"/>
      </rPr>
      <t xml:space="preserve"> </t>
    </r>
    <r>
      <rPr>
        <sz val="12"/>
        <color theme="9"/>
        <rFont val="Arial"/>
        <family val="2"/>
      </rPr>
      <t>of the new route relative to the conventional route</t>
    </r>
    <r>
      <rPr>
        <sz val="12"/>
        <rFont val="Arial"/>
        <family val="2"/>
      </rPr>
      <t xml:space="preserve">, </t>
    </r>
    <r>
      <rPr>
        <sz val="12"/>
        <color theme="8"/>
        <rFont val="Arial"/>
        <family val="2"/>
      </rPr>
      <t>and what information led you to make that route decision.</t>
    </r>
  </si>
  <si>
    <r>
      <rPr>
        <sz val="12"/>
        <color theme="9"/>
        <rFont val="Arial"/>
        <family val="2"/>
      </rPr>
      <t>Reasons for change</t>
    </r>
    <r>
      <rPr>
        <sz val="12"/>
        <rFont val="Arial"/>
        <family val="2"/>
      </rPr>
      <t xml:space="preserve"> of route, transit, etc.</t>
    </r>
  </si>
  <si>
    <t>[why is different],</t>
  </si>
  <si>
    <r>
      <rPr>
        <sz val="12"/>
        <color theme="9"/>
        <rFont val="Arial"/>
        <family val="2"/>
      </rPr>
      <t>The reason</t>
    </r>
    <r>
      <rPr>
        <sz val="12"/>
        <rFont val="Arial"/>
        <family val="2"/>
      </rPr>
      <t xml:space="preserve"> the usual route was changed. If there is </t>
    </r>
    <r>
      <rPr>
        <sz val="12"/>
        <color theme="8"/>
        <rFont val="Arial"/>
        <family val="2"/>
      </rPr>
      <t>some kind of blockage</t>
    </r>
    <r>
      <rPr>
        <sz val="12"/>
        <rFont val="Arial"/>
        <family val="2"/>
      </rPr>
      <t xml:space="preserve"> on the usual route or if the route taken now is </t>
    </r>
    <r>
      <rPr>
        <sz val="12"/>
        <color rgb="FFFF00FF"/>
        <rFont val="Arial"/>
        <family val="2"/>
      </rPr>
      <t>faster</t>
    </r>
    <r>
      <rPr>
        <sz val="12"/>
        <rFont val="Arial"/>
        <family val="2"/>
      </rPr>
      <t xml:space="preserve"> and </t>
    </r>
    <r>
      <rPr>
        <sz val="12"/>
        <color rgb="FFFF00FF"/>
        <rFont val="Arial"/>
        <family val="2"/>
      </rPr>
      <t>shorter</t>
    </r>
    <r>
      <rPr>
        <sz val="12"/>
        <rFont val="Arial"/>
        <family val="2"/>
      </rPr>
      <t xml:space="preserve">. This information would be </t>
    </r>
    <r>
      <rPr>
        <b/>
        <sz val="12"/>
        <rFont val="Arial"/>
        <family val="2"/>
      </rPr>
      <t>useful</t>
    </r>
    <r>
      <rPr>
        <sz val="12"/>
        <rFont val="Arial"/>
        <family val="2"/>
      </rPr>
      <t xml:space="preserve">. </t>
    </r>
  </si>
  <si>
    <t xml:space="preserve">Time of travel._x000D_
If you have a travel history, display how long it would take the route I do routinely._x000D_
Differentiating the two. </t>
  </si>
  <si>
    <r>
      <t xml:space="preserve">It depends on the situation, if I'm going from point A to point B and a route with a greater distance is presented to me, informing me that this new route is </t>
    </r>
    <r>
      <rPr>
        <sz val="12"/>
        <color rgb="FFFF00FF"/>
        <rFont val="Arial"/>
        <family val="2"/>
      </rPr>
      <t>safer</t>
    </r>
    <r>
      <rPr>
        <sz val="12"/>
        <rFont val="Arial"/>
        <family val="2"/>
      </rPr>
      <t xml:space="preserve"> or </t>
    </r>
    <r>
      <rPr>
        <sz val="12"/>
        <color rgb="FFFF00FF"/>
        <rFont val="Arial"/>
        <family val="2"/>
      </rPr>
      <t>faster</t>
    </r>
    <r>
      <rPr>
        <sz val="12"/>
        <rFont val="Arial"/>
        <family val="2"/>
      </rPr>
      <t xml:space="preserve">, or is avoiding some obstacle is enough to be </t>
    </r>
    <r>
      <rPr>
        <b/>
        <sz val="12"/>
        <color theme="1"/>
        <rFont val="Arial"/>
        <family val="2"/>
      </rPr>
      <t>useful</t>
    </r>
    <r>
      <rPr>
        <sz val="12"/>
        <rFont val="Arial"/>
        <family val="2"/>
      </rPr>
      <t>.</t>
    </r>
  </si>
  <si>
    <r>
      <rPr>
        <u/>
        <sz val="12"/>
        <rFont val="Arial"/>
        <family val="2"/>
      </rPr>
      <t>Brief</t>
    </r>
    <r>
      <rPr>
        <sz val="12"/>
        <rFont val="Arial"/>
        <family val="2"/>
      </rPr>
      <t xml:space="preserve"> </t>
    </r>
    <r>
      <rPr>
        <sz val="12"/>
        <color theme="9"/>
        <rFont val="Arial"/>
        <family val="2"/>
      </rPr>
      <t>explanations about the reason for the</t>
    </r>
    <r>
      <rPr>
        <sz val="12"/>
        <rFont val="Arial"/>
        <family val="2"/>
      </rPr>
      <t xml:space="preserve"> deviation. E.g .: </t>
    </r>
    <r>
      <rPr>
        <sz val="12"/>
        <color theme="8"/>
        <rFont val="Arial"/>
        <family val="2"/>
      </rPr>
      <t>hole in the lane, flooded street, traffic jam above the average, deviation made by the transit organ, street with modified sense.</t>
    </r>
  </si>
  <si>
    <r>
      <rPr>
        <sz val="12"/>
        <color theme="9"/>
        <rFont val="Arial"/>
        <family val="2"/>
      </rPr>
      <t xml:space="preserve">Reason for the change. </t>
    </r>
    <r>
      <rPr>
        <sz val="12"/>
        <color theme="8"/>
        <rFont val="Arial"/>
        <family val="2"/>
      </rPr>
      <t>Accident</t>
    </r>
    <r>
      <rPr>
        <sz val="12"/>
        <color theme="9"/>
        <rFont val="Arial"/>
        <family val="2"/>
      </rPr>
      <t>.</t>
    </r>
  </si>
  <si>
    <r>
      <t xml:space="preserve">The </t>
    </r>
    <r>
      <rPr>
        <u/>
        <sz val="12"/>
        <rFont val="Arial"/>
        <family val="2"/>
      </rPr>
      <t>main / critical</t>
    </r>
    <r>
      <rPr>
        <sz val="12"/>
        <rFont val="Arial"/>
        <family val="2"/>
      </rPr>
      <t xml:space="preserve"> </t>
    </r>
    <r>
      <rPr>
        <sz val="12"/>
        <color theme="9"/>
        <rFont val="Arial"/>
        <family val="2"/>
      </rPr>
      <t>reason</t>
    </r>
    <r>
      <rPr>
        <sz val="12"/>
        <rFont val="Arial"/>
        <family val="2"/>
      </rPr>
      <t xml:space="preserve"> </t>
    </r>
    <r>
      <rPr>
        <sz val="12"/>
        <color theme="9"/>
        <rFont val="Arial"/>
        <family val="2"/>
      </rPr>
      <t>why</t>
    </r>
    <r>
      <rPr>
        <sz val="12"/>
        <rFont val="Arial"/>
        <family val="2"/>
      </rPr>
      <t xml:space="preserve">, based on the history of the execution routine of the same route, </t>
    </r>
    <r>
      <rPr>
        <sz val="12"/>
        <color theme="9"/>
        <rFont val="Arial"/>
        <family val="2"/>
      </rPr>
      <t>there was the change adopted by the algorithm.</t>
    </r>
  </si>
  <si>
    <r>
      <t xml:space="preserve"> The alternative route shows me the</t>
    </r>
    <r>
      <rPr>
        <sz val="12"/>
        <color theme="8"/>
        <rFont val="Arial"/>
        <family val="2"/>
      </rPr>
      <t xml:space="preserve"> time spent,</t>
    </r>
    <r>
      <rPr>
        <sz val="12"/>
        <rFont val="Arial"/>
        <family val="2"/>
      </rPr>
      <t xml:space="preserve"> </t>
    </r>
    <r>
      <rPr>
        <sz val="12"/>
        <color theme="8"/>
        <rFont val="Arial"/>
        <family val="2"/>
      </rPr>
      <t>distance and if you have bottling, blitzs or accident in the course.</t>
    </r>
  </si>
  <si>
    <t xml:space="preserve">The reason for the change </t>
  </si>
  <si>
    <r>
      <t>If there was change of time and or distance from one route to another. If there was any kind of accident or impediment on the other route that led to the suggestion (ie,</t>
    </r>
    <r>
      <rPr>
        <sz val="12"/>
        <color theme="8"/>
        <rFont val="Arial"/>
        <family val="2"/>
      </rPr>
      <t>based in which data</t>
    </r>
    <r>
      <rPr>
        <sz val="12"/>
        <rFont val="Arial"/>
        <family val="2"/>
      </rPr>
      <t>) to see</t>
    </r>
    <r>
      <rPr>
        <sz val="12"/>
        <color rgb="FFB40000"/>
        <rFont val="Arial"/>
        <family val="2"/>
      </rPr>
      <t xml:space="preserve"> if it's worth it to change my current route</t>
    </r>
    <r>
      <rPr>
        <sz val="12"/>
        <rFont val="Arial"/>
        <family val="2"/>
      </rPr>
      <t xml:space="preserve">. There are always </t>
    </r>
    <r>
      <rPr>
        <sz val="12"/>
        <color rgb="FFFF00FF"/>
        <rFont val="Arial"/>
        <family val="2"/>
      </rPr>
      <t>advantages</t>
    </r>
    <r>
      <rPr>
        <sz val="12"/>
        <rFont val="Arial"/>
        <family val="2"/>
      </rPr>
      <t xml:space="preserve"> and </t>
    </r>
    <r>
      <rPr>
        <sz val="12"/>
        <color rgb="FFFF00FF"/>
        <rFont val="Arial"/>
        <family val="2"/>
      </rPr>
      <t>disadvantages</t>
    </r>
    <r>
      <rPr>
        <sz val="12"/>
        <rFont val="Arial"/>
        <family val="2"/>
      </rPr>
      <t xml:space="preserve"> / Risks </t>
    </r>
    <r>
      <rPr>
        <sz val="12"/>
        <color rgb="FFFF00FF"/>
        <rFont val="Arial"/>
        <family val="2"/>
      </rPr>
      <t>to consider.</t>
    </r>
  </si>
  <si>
    <r>
      <rPr>
        <sz val="12"/>
        <color theme="7"/>
        <rFont val="Arial"/>
        <family val="2"/>
      </rPr>
      <t>Evaluate the application's ability</t>
    </r>
    <r>
      <rPr>
        <sz val="12"/>
        <rFont val="Arial"/>
        <family val="2"/>
      </rPr>
      <t xml:space="preserve"> to generate new, better routes.</t>
    </r>
  </si>
  <si>
    <r>
      <t xml:space="preserve">Audio explanation at the beginning of the trip </t>
    </r>
    <r>
      <rPr>
        <sz val="12"/>
        <color theme="9"/>
        <rFont val="Arial"/>
        <family val="2"/>
      </rPr>
      <t>of the why is showing a different route</t>
    </r>
  </si>
  <si>
    <t>Alternate congested paths.</t>
  </si>
  <si>
    <r>
      <t xml:space="preserve">Just for </t>
    </r>
    <r>
      <rPr>
        <sz val="12"/>
        <color theme="7"/>
        <rFont val="Arial"/>
        <family val="2"/>
      </rPr>
      <t>knowledge</t>
    </r>
  </si>
  <si>
    <r>
      <rPr>
        <sz val="12"/>
        <color theme="5"/>
        <rFont val="Arial"/>
        <family val="2"/>
      </rPr>
      <t>Brief message</t>
    </r>
    <r>
      <rPr>
        <sz val="12"/>
        <rFont val="Arial"/>
        <family val="2"/>
      </rPr>
      <t xml:space="preserve">
</t>
    </r>
  </si>
  <si>
    <r>
      <rPr>
        <sz val="12"/>
        <color theme="9"/>
        <rFont val="Arial"/>
        <family val="2"/>
      </rPr>
      <t>What is the reason for the change</t>
    </r>
    <r>
      <rPr>
        <sz val="12"/>
        <rFont val="Arial"/>
        <family val="2"/>
      </rPr>
      <t xml:space="preserve"> of route, </t>
    </r>
    <r>
      <rPr>
        <sz val="12"/>
        <color rgb="FFFF00FF"/>
        <rFont val="Arial"/>
        <family val="2"/>
      </rPr>
      <t>and if the new route poses some security risk.</t>
    </r>
  </si>
  <si>
    <r>
      <t xml:space="preserve">Explanation </t>
    </r>
    <r>
      <rPr>
        <sz val="12"/>
        <color theme="8"/>
        <rFont val="Arial"/>
        <family val="2"/>
      </rPr>
      <t>of the dynamic elements (i.e., dependent upon the time the search was performed) that were taken into account to propose the new route.</t>
    </r>
  </si>
  <si>
    <r>
      <t xml:space="preserve">It would be </t>
    </r>
    <r>
      <rPr>
        <u/>
        <sz val="12"/>
        <rFont val="Arial"/>
        <family val="2"/>
      </rPr>
      <t>useful</t>
    </r>
    <r>
      <rPr>
        <sz val="12"/>
        <rFont val="Arial"/>
        <family val="2"/>
      </rPr>
      <t xml:space="preserve"> to know with which </t>
    </r>
    <r>
      <rPr>
        <sz val="12"/>
        <color theme="8"/>
        <rFont val="Arial"/>
        <family val="2"/>
      </rPr>
      <t>bases / information / etc</t>
    </r>
    <r>
      <rPr>
        <sz val="12"/>
        <rFont val="Arial"/>
        <family val="2"/>
      </rPr>
      <t>.,</t>
    </r>
    <r>
      <rPr>
        <sz val="12"/>
        <color theme="7"/>
        <rFont val="Arial"/>
        <family val="2"/>
      </rPr>
      <t xml:space="preserve"> although there are other alternative routes with smaller, more agile and less traffic routes, the program was based to make the decision</t>
    </r>
    <r>
      <rPr>
        <sz val="12"/>
        <rFont val="Arial"/>
        <family val="2"/>
      </rPr>
      <t xml:space="preserve"> to choose a route completely out of normal / predicted. </t>
    </r>
  </si>
  <si>
    <t>Some update implied system error.</t>
  </si>
  <si>
    <r>
      <t>I realize that these GPS applications choose the shortest path to the route, regardless of the equipment I'm using</t>
    </r>
    <r>
      <rPr>
        <b/>
        <sz val="12"/>
        <rFont val="Arial"/>
        <family val="2"/>
      </rPr>
      <t xml:space="preserve"> [user perception about how the software works]</t>
    </r>
    <r>
      <rPr>
        <sz val="12"/>
        <rFont val="Arial"/>
        <family val="2"/>
      </rPr>
      <t>, and the most useful route is not always the safest route. I do not know how to solve this since it is a matter of public security, you could create the options: shorter or safer?</t>
    </r>
  </si>
  <si>
    <t>Not interested</t>
  </si>
  <si>
    <t>Why the route changed</t>
  </si>
  <si>
    <r>
      <t>The route I asked for. Location not found on the map</t>
    </r>
    <r>
      <rPr>
        <b/>
        <sz val="12"/>
        <rFont val="Arial"/>
        <family val="2"/>
      </rPr>
      <t xml:space="preserve"> [suggestion of an explanation for this case]</t>
    </r>
  </si>
  <si>
    <t>System update</t>
  </si>
  <si>
    <r>
      <t xml:space="preserve">Change of route by </t>
    </r>
    <r>
      <rPr>
        <sz val="12"/>
        <color theme="8"/>
        <rFont val="Arial"/>
        <family val="2"/>
      </rPr>
      <t>route closure</t>
    </r>
    <r>
      <rPr>
        <b/>
        <sz val="12"/>
        <rFont val="Arial"/>
        <family val="2"/>
      </rPr>
      <t xml:space="preserve"> [suggestion of an explanation for this case]</t>
    </r>
  </si>
  <si>
    <t>Advertisement for other apps, make the user take an interest in other products.</t>
  </si>
  <si>
    <t>I understand very little of these computing things. I am afraid of using the smartphone. So there are many doubts.</t>
  </si>
  <si>
    <t>user is afraid of using information systems</t>
  </si>
  <si>
    <r>
      <t xml:space="preserve">The </t>
    </r>
    <r>
      <rPr>
        <sz val="12"/>
        <color theme="9"/>
        <rFont val="Arial"/>
        <family val="2"/>
      </rPr>
      <t>real reason for the new route</t>
    </r>
    <r>
      <rPr>
        <sz val="12"/>
        <rFont val="Arial"/>
        <family val="2"/>
      </rPr>
      <t xml:space="preserve">, </t>
    </r>
    <r>
      <rPr>
        <sz val="12"/>
        <color rgb="FFB40000"/>
        <rFont val="Arial"/>
        <family val="2"/>
      </rPr>
      <t>what are my options</t>
    </r>
    <r>
      <rPr>
        <sz val="12"/>
        <rFont val="Arial"/>
        <family val="2"/>
      </rPr>
      <t xml:space="preserve">, the </t>
    </r>
    <r>
      <rPr>
        <sz val="12"/>
        <color rgb="FFB40000"/>
        <rFont val="Arial"/>
        <family val="2"/>
      </rPr>
      <t>app should show the new route and not change it automatically.</t>
    </r>
    <r>
      <rPr>
        <sz val="12"/>
        <rFont val="Arial"/>
        <family val="2"/>
      </rPr>
      <t xml:space="preserve"> </t>
    </r>
  </si>
  <si>
    <t>It's a matter of security</t>
  </si>
  <si>
    <t>The problem that is happening with the change of route.</t>
  </si>
  <si>
    <r>
      <t xml:space="preserve">In this situation, if you have an explanation, that is a </t>
    </r>
    <r>
      <rPr>
        <u/>
        <sz val="12"/>
        <rFont val="Arial"/>
        <family val="2"/>
      </rPr>
      <t>plausible</t>
    </r>
    <r>
      <rPr>
        <sz val="12"/>
        <rFont val="Arial"/>
        <family val="2"/>
      </rPr>
      <t>, that is, the usual path is with</t>
    </r>
    <r>
      <rPr>
        <sz val="12"/>
        <color theme="8"/>
        <rFont val="Arial"/>
        <family val="2"/>
      </rPr>
      <t xml:space="preserve"> an accident and, therefore, a lot of traffic in the area, etc.</t>
    </r>
    <r>
      <rPr>
        <sz val="12"/>
        <rFont val="Arial"/>
        <family val="2"/>
      </rPr>
      <t xml:space="preserve"> </t>
    </r>
  </si>
  <si>
    <t>Why do other connections appear?</t>
  </si>
  <si>
    <t xml:space="preserve">None. For me it determined the best route against the variables that were present at the time. </t>
  </si>
  <si>
    <t>App preference settings</t>
  </si>
  <si>
    <r>
      <t xml:space="preserve">An explanation saying </t>
    </r>
    <r>
      <rPr>
        <sz val="12"/>
        <color theme="9"/>
        <rFont val="Arial"/>
        <family val="2"/>
      </rPr>
      <t>why this path is better today and the previous one is no longer an option</t>
    </r>
    <r>
      <rPr>
        <sz val="12"/>
        <rFont val="Arial"/>
        <family val="2"/>
      </rPr>
      <t xml:space="preserve"> </t>
    </r>
  </si>
  <si>
    <r>
      <t xml:space="preserve">Traffic jam caused by a </t>
    </r>
    <r>
      <rPr>
        <sz val="12"/>
        <color theme="8"/>
        <rFont val="Arial"/>
        <family val="2"/>
      </rPr>
      <t>rally, demonstration, accident or anything that made the traffic stop</t>
    </r>
    <r>
      <rPr>
        <sz val="12"/>
        <rFont val="Arial"/>
        <family val="2"/>
      </rPr>
      <t xml:space="preserve"> on the route I usually take. Or simply that the route is so bottled up that another has become faster even though it is a longer route. </t>
    </r>
  </si>
  <si>
    <t>The reason for the path deviation</t>
  </si>
  <si>
    <t xml:space="preserve">I would not be very interested in knowing why specifically, unless it was a route considerably further than the proposal normally. </t>
  </si>
  <si>
    <r>
      <t>I would be</t>
    </r>
    <r>
      <rPr>
        <sz val="12"/>
        <color rgb="FFFF00FF"/>
        <rFont val="Arial"/>
        <family val="2"/>
      </rPr>
      <t xml:space="preserve"> very interested</t>
    </r>
    <r>
      <rPr>
        <sz val="12"/>
        <rFont val="Arial"/>
        <family val="2"/>
      </rPr>
      <t>, because if there is an alternative route that will take me to the same destination more quickly I would like to know.</t>
    </r>
  </si>
  <si>
    <t xml:space="preserve">Why the browser is showing a longer path if the shortest path is saved in the software. </t>
  </si>
  <si>
    <r>
      <rPr>
        <sz val="12"/>
        <color theme="8"/>
        <rFont val="Arial"/>
        <family val="2"/>
      </rPr>
      <t xml:space="preserve">If there was an accident, if there is congestion, </t>
    </r>
    <r>
      <rPr>
        <sz val="12"/>
        <rFont val="Arial"/>
        <family val="2"/>
      </rPr>
      <t>something that would demonstrate for example because the normal route was not chosen</t>
    </r>
  </si>
  <si>
    <r>
      <t xml:space="preserve">1. If the majority of users are using different route, </t>
    </r>
    <r>
      <rPr>
        <sz val="12"/>
        <color theme="7"/>
        <rFont val="Arial"/>
        <family val="2"/>
      </rPr>
      <t>and from how many users the algorithm found by well change.</t>
    </r>
    <r>
      <rPr>
        <sz val="12"/>
        <rFont val="Arial"/>
        <family val="2"/>
      </rPr>
      <t xml:space="preserve">
2. If there </t>
    </r>
    <r>
      <rPr>
        <sz val="12"/>
        <color theme="8"/>
        <rFont val="Arial"/>
        <family val="2"/>
      </rPr>
      <t xml:space="preserve">was any structural change in the city </t>
    </r>
    <r>
      <rPr>
        <sz val="12"/>
        <rFont val="Arial"/>
        <family val="2"/>
      </rPr>
      <t xml:space="preserve">and </t>
    </r>
    <r>
      <rPr>
        <sz val="12"/>
        <color theme="7"/>
        <rFont val="Arial"/>
        <family val="2"/>
      </rPr>
      <t>how the algorithm detected this change to the point of showing me.</t>
    </r>
    <r>
      <rPr>
        <sz val="12"/>
        <rFont val="Arial"/>
        <family val="2"/>
      </rPr>
      <t xml:space="preserve">
3. If the algorithm detected in MY behavior / history some pattern that I eventually did not notice.</t>
    </r>
  </si>
  <si>
    <r>
      <t>Inform in which the new route differs</t>
    </r>
    <r>
      <rPr>
        <sz val="12"/>
        <color theme="8"/>
        <rFont val="Arial"/>
        <family val="2"/>
      </rPr>
      <t xml:space="preserve"> (time, distances,)</t>
    </r>
    <r>
      <rPr>
        <sz val="12"/>
        <rFont val="Arial"/>
        <family val="2"/>
      </rPr>
      <t xml:space="preserve"> and </t>
    </r>
    <r>
      <rPr>
        <sz val="12"/>
        <color theme="9"/>
        <rFont val="Arial"/>
        <family val="2"/>
      </rPr>
      <t>reason</t>
    </r>
    <r>
      <rPr>
        <sz val="12"/>
        <rFont val="Arial"/>
        <family val="2"/>
      </rPr>
      <t xml:space="preserve"> for the suggestion of the new route</t>
    </r>
  </si>
  <si>
    <r>
      <rPr>
        <sz val="12"/>
        <color theme="9"/>
        <rFont val="Arial"/>
        <family val="2"/>
      </rPr>
      <t>I would like to know why the address has changed</t>
    </r>
    <r>
      <rPr>
        <sz val="12"/>
        <color theme="8"/>
        <rFont val="Arial"/>
        <family val="2"/>
      </rPr>
      <t xml:space="preserve">, if </t>
    </r>
    <r>
      <rPr>
        <sz val="12"/>
        <color theme="7"/>
        <rFont val="Arial"/>
        <family val="2"/>
      </rPr>
      <t>there has been an update</t>
    </r>
    <r>
      <rPr>
        <sz val="12"/>
        <color theme="8"/>
        <rFont val="Arial"/>
        <family val="2"/>
      </rPr>
      <t xml:space="preserve"> or if the country of origin has changed ...</t>
    </r>
  </si>
  <si>
    <t>Why the route changes and what criteria are used</t>
  </si>
  <si>
    <r>
      <t xml:space="preserve">If the route I am familiar with </t>
    </r>
    <r>
      <rPr>
        <sz val="12"/>
        <color theme="8"/>
        <rFont val="Arial"/>
        <family val="2"/>
      </rPr>
      <t>is congested; street under construction; manifestation; change in the direction of transit</t>
    </r>
  </si>
  <si>
    <r>
      <t>W</t>
    </r>
    <r>
      <rPr>
        <sz val="12"/>
        <color theme="8"/>
        <rFont val="Arial"/>
        <family val="2"/>
      </rPr>
      <t>hat affected the application's decision making</t>
    </r>
    <r>
      <rPr>
        <sz val="12"/>
        <rFont val="Arial"/>
        <family val="2"/>
      </rPr>
      <t xml:space="preserve">? </t>
    </r>
    <r>
      <rPr>
        <sz val="12"/>
        <color theme="7"/>
        <rFont val="Arial"/>
        <family val="2"/>
      </rPr>
      <t>Has the logic of decision making changed</t>
    </r>
    <r>
      <rPr>
        <sz val="12"/>
        <rFont val="Arial"/>
        <family val="2"/>
      </rPr>
      <t xml:space="preserve">? </t>
    </r>
    <r>
      <rPr>
        <sz val="12"/>
        <color theme="8"/>
        <rFont val="Arial"/>
        <family val="2"/>
      </rPr>
      <t>Or has any data influenced the outcome today? Which?</t>
    </r>
  </si>
  <si>
    <r>
      <t xml:space="preserve">That in a </t>
    </r>
    <r>
      <rPr>
        <u/>
        <sz val="12"/>
        <rFont val="Arial"/>
        <family val="2"/>
      </rPr>
      <t>simple</t>
    </r>
    <r>
      <rPr>
        <sz val="12"/>
        <rFont val="Arial"/>
        <family val="2"/>
      </rPr>
      <t xml:space="preserve"> and </t>
    </r>
    <r>
      <rPr>
        <u/>
        <sz val="12"/>
        <rFont val="Arial"/>
        <family val="2"/>
      </rPr>
      <t>quick</t>
    </r>
    <r>
      <rPr>
        <sz val="12"/>
        <rFont val="Arial"/>
        <family val="2"/>
      </rPr>
      <t xml:space="preserve"> way,</t>
    </r>
    <r>
      <rPr>
        <sz val="12"/>
        <color theme="9"/>
        <rFont val="Arial"/>
        <family val="2"/>
      </rPr>
      <t xml:space="preserve"> the program could explain to me the adoption of this alternative route</t>
    </r>
    <r>
      <rPr>
        <sz val="12"/>
        <rFont val="Arial"/>
        <family val="2"/>
      </rPr>
      <t xml:space="preserve"> to a path already known and that has a route traced. Present data that shows the </t>
    </r>
    <r>
      <rPr>
        <sz val="12"/>
        <color rgb="FFFF00FF"/>
        <rFont val="Arial"/>
        <family val="2"/>
      </rPr>
      <t>advantages</t>
    </r>
    <r>
      <rPr>
        <sz val="12"/>
        <rFont val="Arial"/>
        <family val="2"/>
      </rPr>
      <t xml:space="preserve"> of the alternative routes presented (less traffic, time of travel and etc).</t>
    </r>
  </si>
  <si>
    <r>
      <t>Explanation of</t>
    </r>
    <r>
      <rPr>
        <sz val="12"/>
        <color theme="9"/>
        <rFont val="Arial"/>
        <family val="2"/>
      </rPr>
      <t xml:space="preserve"> what reasons </t>
    </r>
    <r>
      <rPr>
        <sz val="12"/>
        <rFont val="Arial"/>
        <family val="2"/>
      </rPr>
      <t>led the app to choose the new route.</t>
    </r>
  </si>
  <si>
    <r>
      <t>Explain</t>
    </r>
    <r>
      <rPr>
        <sz val="12"/>
        <color theme="7"/>
        <rFont val="Arial"/>
        <family val="2"/>
      </rPr>
      <t xml:space="preserve"> if there was any update in the browser or page directions based on the last visit.</t>
    </r>
  </si>
  <si>
    <r>
      <t xml:space="preserve">Very interested. It would be interesting for the application to tell you </t>
    </r>
    <r>
      <rPr>
        <sz val="12"/>
        <color theme="9"/>
        <rFont val="Arial"/>
        <family val="2"/>
      </rPr>
      <t>why an alternate route is being used</t>
    </r>
    <r>
      <rPr>
        <sz val="12"/>
        <rFont val="Arial"/>
        <family val="2"/>
      </rPr>
      <t xml:space="preserve">, </t>
    </r>
    <r>
      <rPr>
        <sz val="12"/>
        <color theme="8"/>
        <rFont val="Arial"/>
        <family val="2"/>
      </rPr>
      <t>whether there has been an accident on the usual route, or if the traffic on that route is slower for example.</t>
    </r>
  </si>
  <si>
    <r>
      <t xml:space="preserve">It would be </t>
    </r>
    <r>
      <rPr>
        <b/>
        <sz val="12"/>
        <rFont val="Arial"/>
        <family val="2"/>
      </rPr>
      <t>useful</t>
    </r>
    <r>
      <rPr>
        <sz val="12"/>
        <rFont val="Arial"/>
        <family val="2"/>
      </rPr>
      <t xml:space="preserve"> to know if the path was changed by traffic congestion, accidents or opening of new roads.</t>
    </r>
    <r>
      <rPr>
        <sz val="12"/>
        <color theme="9"/>
        <rFont val="Arial"/>
        <family val="2"/>
      </rPr>
      <t xml:space="preserve"> Knowing the reason</t>
    </r>
    <r>
      <rPr>
        <sz val="12"/>
        <rFont val="Arial"/>
        <family val="2"/>
      </rPr>
      <t xml:space="preserve"> for the change would help decide whether to follow the guidance of the application, or whether you would make a different choice.</t>
    </r>
  </si>
  <si>
    <r>
      <t xml:space="preserve">The most pleasant would be that: </t>
    </r>
    <r>
      <rPr>
        <sz val="12"/>
        <color rgb="FFFF00FF"/>
        <rFont val="Arial"/>
        <family val="2"/>
      </rPr>
      <t>the route had been rearranged for my better well-being,</t>
    </r>
    <r>
      <rPr>
        <sz val="12"/>
        <rFont val="Arial"/>
        <family val="2"/>
      </rPr>
      <t xml:space="preserve"> and preferably explaining the obstacles or changes in the way the original</t>
    </r>
  </si>
  <si>
    <t>Explain why of the different route.</t>
  </si>
  <si>
    <r>
      <rPr>
        <sz val="12"/>
        <color theme="9"/>
        <rFont val="Arial"/>
        <family val="2"/>
      </rPr>
      <t>Information on how they came to the conclusion</t>
    </r>
    <r>
      <rPr>
        <sz val="12"/>
        <rFont val="Arial"/>
        <family val="2"/>
      </rPr>
      <t xml:space="preserve"> that the best route would be a different day to day</t>
    </r>
  </si>
  <si>
    <t>As I am very predictable with my smartphone, the explanation that comes to mind is that someone else would be using my smartphone and changing / creating new routes.</t>
  </si>
  <si>
    <t xml:space="preserve">Little interested._x000D_
Unless there are more practical and / or efficient application solutions. </t>
  </si>
  <si>
    <t>Show what shortcut the user can use to continue the navigation.</t>
  </si>
  <si>
    <r>
      <t xml:space="preserve">All explanations in a very </t>
    </r>
    <r>
      <rPr>
        <b/>
        <sz val="12"/>
        <rFont val="Arial"/>
        <family val="2"/>
      </rPr>
      <t>basic and easy to understand language</t>
    </r>
  </si>
  <si>
    <t>In Excell, the formula for turning "comma" into "colon" was correctly written, but it did not show the expected result.</t>
  </si>
  <si>
    <t>Maps, incorrect accuracy. The location got elsewhere generating location conflicts.</t>
  </si>
  <si>
    <t>Because it is a game, it is a virtual reality environment that obeys rules that must be understood by the player. If the rules are not explicitly or diegetically illustrated to the player, he may be lost / confused by what to do in the game. In Dead Space 3, there was an opponent who needed to be drawn to a certain location, where a machine could be used to defeat him when he was vulnerable. This was not clear, leading to repetitive and tedious experimentation until one divined the intentions of the developers. In a game, or any VR application, failing to explain the actions and purposes of the implemented mechanisms governing the virtual reality environment compromise the experience.</t>
  </si>
  <si>
    <t>Relationship</t>
  </si>
  <si>
    <t>Digital Natives</t>
  </si>
  <si>
    <t>Digital Immigrants</t>
  </si>
  <si>
    <t>If too much, it can harm the experience of the user; Poluted UI; If the explanations are not well arranged on the screen, it can become annoying and inconvenient; delay in receiving the main information; It can be a risk when reading if you are driving; the flow of usage is hampered by too much information; uncomfortable with excessive information on the screen; you may be distracted; the user having to interact with the text to apply the information and improve performance; disruputs the flow; interrupts the flow; distractive; Massive interruption of the activities; occupy screen space that could be best used (user interface, etc.); it can take too much screen space; information that hinders the use of software; Interrupts the use experience; ask to do more things than what I'm used to do; Decreases dynamism and speed; more text on display; Explanation appearing as notifications; Depending on the explanation, this may lead to influence the user action; Receive remindings and notifications often; Lack of focus; May delay functionality; Upon receiving the explanations before using it, it becomes more difficult to verify that the software is intuitive.</t>
  </si>
  <si>
    <t>cause doubts; Difficult language; Can be complicated to understand; If the explanation contains technical terms without me having any idea about what does it mean; That the explanations are confusing or exaggeratedly technical; Not understand the explanation; Ambiguity; If it is in a very technical language the user will not understand depending on the purpose of the software; Faulty messages / explanations; bad explanation is worse than misinformation; possibly understandable only with expertise; It leaves so many doubts as not to have received it; Very technical explanations are discouraging for the basic user; Confuse the use by not following the explanations of the program; Wrong language; If written in a complex way, misdirect the use of the program causing misunderstandings; It results in some degree of disorientation on how to proceed to solve the problemnderstandings; Difficult to access; Misinformation; delay in receiving the main information</t>
  </si>
  <si>
    <t>Unnecessary information; If the explanations are repetitive (it's bad); Sometimes it can be a lot but really necessary information; When you are already used to use the system, the explanation is unnecessary; too much information; It may generate information overload for users; receive explanations about somethig you already know; repetitive explanation everytime I use the software; excess of information, which can cause confusion; Very long and lengthy information; Flood; Spam; Excess of unwanted information; Many things to read; if they are long and without a purpose; brings nothing if too long / incomprehensible; If the explanations are out of context (news, promotions, spam); Occlusion of "more important" information; Useless information; Excessive explanations at inopportune moments are tiring; Lack of objectivity; Bring information that we don't need; Unnecessary details; Can be irrelevant considering my habits of use; Divert the main purpose of the software; if the software was chosen it is because someone has indicated and explained its purpose and functioning; Explanations that do not interest me. That they add nothing to my use; lack of interest in explanations by a mass audience; explaining what is already known makes information boring and irrelevant; for many probably supposedly "irrelevant" knowledge; Long user manuals</t>
  </si>
  <si>
    <t>improves the Relationshipwith the software</t>
  </si>
  <si>
    <t>improves the Relationshipwith the software, value of software</t>
  </si>
  <si>
    <t>value of software, improves the Relationshipwith software</t>
  </si>
  <si>
    <t>security, reliability, improves the Relationshipwith the software</t>
  </si>
  <si>
    <t>tutorial idea, influences the Relationshipbetween user and software</t>
  </si>
  <si>
    <t>builds trust</t>
  </si>
  <si>
    <t>understanding about inner process of software, facilitates understanding</t>
  </si>
  <si>
    <t>Total Digital Natives</t>
  </si>
  <si>
    <t>Total Digital Immigrants</t>
  </si>
  <si>
    <t>Total of Codes - Digital Natives</t>
  </si>
  <si>
    <t>Total of Codes - Digital Immigrants</t>
  </si>
  <si>
    <r>
      <rPr>
        <sz val="12"/>
        <color theme="8"/>
        <rFont val="Arial"/>
        <family val="2"/>
      </rPr>
      <t>Reason</t>
    </r>
    <r>
      <rPr>
        <sz val="12"/>
        <rFont val="Arial"/>
        <family val="2"/>
      </rPr>
      <t xml:space="preserve"> for the Change (z.B. Congestion, Work, ...) would be interest</t>
    </r>
  </si>
  <si>
    <r>
      <rPr>
        <sz val="12"/>
        <color theme="8"/>
        <rFont val="Arial"/>
        <family val="2"/>
      </rPr>
      <t>Con gestion</t>
    </r>
    <r>
      <rPr>
        <sz val="12"/>
        <rFont val="Arial"/>
        <family val="2"/>
      </rPr>
      <t>,shorter ways</t>
    </r>
  </si>
  <si>
    <t>Since it knows that the road is heavily used and therefore the new route takes less time</t>
  </si>
  <si>
    <t>Lockdown, traffic jam, distance, nicer route ...</t>
  </si>
  <si>
    <t>Traffic jam, roadblocks or similar</t>
  </si>
  <si>
    <t>Reason</t>
  </si>
  <si>
    <r>
      <rPr>
        <sz val="12"/>
        <color theme="9"/>
        <rFont val="Arial"/>
        <family val="2"/>
      </rPr>
      <t xml:space="preserve">A route with an explanation </t>
    </r>
    <r>
      <rPr>
        <sz val="12"/>
        <rFont val="Arial"/>
        <family val="2"/>
      </rPr>
      <t>shows the</t>
    </r>
    <r>
      <rPr>
        <sz val="12"/>
        <color rgb="FFFF00FF"/>
        <rFont val="Arial"/>
        <family val="2"/>
      </rPr>
      <t xml:space="preserve"> best option</t>
    </r>
    <r>
      <rPr>
        <sz val="12"/>
        <rFont val="Arial"/>
        <family val="2"/>
      </rPr>
      <t xml:space="preserve"> at this time.</t>
    </r>
  </si>
  <si>
    <t>Traffic conditions (traffic jam, accidents ...)</t>
  </si>
  <si>
    <t>Something like "accident", "Road closed", "Heavy traffic" ...</t>
  </si>
  <si>
    <t>Sich sicher fühlen</t>
  </si>
  <si>
    <t>Adds value to software</t>
  </si>
  <si>
    <t>Understand the context of the situation</t>
  </si>
  <si>
    <t>Avoid that I make mistakes</t>
  </si>
  <si>
    <t>Support me so I don't cause any problems</t>
  </si>
  <si>
    <t>Facilitates the use</t>
  </si>
  <si>
    <t>I feel more secure</t>
  </si>
  <si>
    <t>Increases speed while using the software</t>
  </si>
  <si>
    <t>Better target my  use of the tool</t>
  </si>
  <si>
    <t>Fast explanation</t>
  </si>
  <si>
    <t>Comprehensible</t>
  </si>
  <si>
    <t>You do not have to  [make thinking effort] to figure out how it works</t>
  </si>
  <si>
    <t>auxiliates to make better decisions in the future, even without the use of the software</t>
  </si>
  <si>
    <t>Trust</t>
  </si>
  <si>
    <t>Use all options available in the system</t>
  </si>
  <si>
    <t>Understanding the process</t>
  </si>
  <si>
    <t>Agility while using the software</t>
  </si>
  <si>
    <t>Software errors could be found earlier</t>
  </si>
  <si>
    <t>Facilitating the operation</t>
  </si>
  <si>
    <t>To deal better with the software</t>
  </si>
  <si>
    <t>Category 0 - 1 Iteration</t>
  </si>
  <si>
    <t>other</t>
  </si>
  <si>
    <r>
      <t>Facilitates that the non-developer user</t>
    </r>
    <r>
      <rPr>
        <sz val="10"/>
        <color theme="9"/>
        <rFont val="Arial"/>
        <family val="2"/>
      </rPr>
      <t xml:space="preserve"> learns how the softwares are made even if it's just basic knowledge</t>
    </r>
  </si>
  <si>
    <r>
      <t xml:space="preserve">Have less stress trying </t>
    </r>
    <r>
      <rPr>
        <sz val="10"/>
        <color theme="4"/>
        <rFont val="Arial"/>
        <family val="2"/>
      </rPr>
      <t>to figure out how to use the software</t>
    </r>
  </si>
  <si>
    <t>Iother</t>
  </si>
  <si>
    <t>Uother</t>
  </si>
  <si>
    <t>After knowing the system decide its purpose.</t>
  </si>
  <si>
    <t>supports decision</t>
  </si>
  <si>
    <t>DN</t>
  </si>
  <si>
    <t>DI</t>
  </si>
  <si>
    <t>hinders understanding [difficult language][information][data]:</t>
  </si>
  <si>
    <r>
      <t xml:space="preserve">can be annoying; Less practicality; </t>
    </r>
    <r>
      <rPr>
        <b/>
        <sz val="12"/>
        <rFont val="Times New Roman"/>
        <family val="1"/>
      </rPr>
      <t>Appear everytime I use it</t>
    </r>
    <r>
      <rPr>
        <sz val="12"/>
        <rFont val="Times New Roman"/>
        <family val="1"/>
      </rPr>
      <t xml:space="preserve"> [annoying]; </t>
    </r>
    <r>
      <rPr>
        <b/>
        <sz val="12"/>
        <rFont val="Times New Roman"/>
        <family val="1"/>
      </rPr>
      <t>sometimes it can bother you if you do not allow them to be silenced</t>
    </r>
    <r>
      <rPr>
        <sz val="12"/>
        <rFont val="Times New Roman"/>
        <family val="1"/>
      </rPr>
      <t xml:space="preserve">;  Can be inconvenient; If it's long, it gets tiresome and not didactic; </t>
    </r>
    <r>
      <rPr>
        <b/>
        <sz val="12"/>
        <rFont val="Times New Roman"/>
        <family val="1"/>
      </rPr>
      <t>When the explanation was not requested, makes it inconvenient</t>
    </r>
    <r>
      <rPr>
        <sz val="12"/>
        <rFont val="Times New Roman"/>
        <family val="1"/>
      </rPr>
      <t>; If little objective, it can become tiring; User can get impantient to read the explanations; If the explanation is not satisfactory to the user, it may lose the customer;  Can be tiring; Insecurity; It's not always secure; it can become annoying and inconvenient; Uncomfortable with excessive information on the screen; Excessive explanations at inopportune moments are tiring; Imporation; Makes you feel uncomfortable to use; Treating the user like a idiot; Inconvenience; Bureaucracy; Stress; Tiring; Boring; Lack of time / interest; The user having to interact with the text to apply the information and improve performance; Insecurity when knowing the accumulation of personal data that a software can generate; Reliability;  If too much, it can harm the experience of the user;  specific features can be disapproved by consumers; lack of interest in explanations by a mass audience;  the explanations are frustrating and keep the user away</t>
    </r>
  </si>
  <si>
    <t>After knowing the system, decide ist purpose, Information</t>
  </si>
  <si>
    <t>Simplicity, no explanation means software is maybe not functioning at all</t>
  </si>
  <si>
    <t>Subcategory</t>
  </si>
  <si>
    <t>Category 0 - Iteration 1</t>
  </si>
  <si>
    <t>Consider the previously shown hypothetical situation: "Hypothetical Situation: You are using the Navigation App in your smartphone. You are somewhat familiar with the way, but you notice that today the Navi is showing another route or connections. How interested would you be in knowing why the Navi is not showing the route you expected? " What kind of explanation would be helpful for you in this situation?</t>
  </si>
  <si>
    <t>Quality of Explanations</t>
  </si>
  <si>
    <t>Can you share with us ONE situation where you could not understand the software behavior? Please, start by saying which of the softwares in the list below was the software in question.</t>
  </si>
  <si>
    <t>[1] What do you think are the 3 most important advantages of receiving explanations while using software? </t>
  </si>
  <si>
    <t>[2] What do you think are the 3 most important advantages of receiving explanations while using software? </t>
  </si>
  <si>
    <t>[3] What do you think are the 3 most important advantages of receiving explanations while using software? </t>
  </si>
  <si>
    <t>The system was not explicit about the public transport routes, nor if it was it necessary to take more than one line</t>
  </si>
  <si>
    <t>I tried to identify which transport I could take. And the information usually comes a little muddled. I cannot always get the information I need</t>
  </si>
  <si>
    <t>Tutorial;  information of how to use are extremly useful; discover new features; Quick familiarization; First contact; Help users to use the software; Learn; Faster adaptation; Do not get stuck in a situation; Accelerate understanding; In a first contact, understand how the software works; Teach the userying to figure out how to use the software; learn how to deal with the software; allows the user to become familiar with the software; Learn to use</t>
  </si>
  <si>
    <t xml:space="preserve">positive impression: </t>
  </si>
  <si>
    <t>negative impression:</t>
  </si>
  <si>
    <t>Avoid mistakes; Not to cause problems; Avoid mistakes or confusion when using software; Avoid errors; Avoid future problems</t>
  </si>
  <si>
    <t>Others</t>
  </si>
  <si>
    <t>Upon receiving the explanations before using it, it becomes more difficult to verify that the software is intuitive; None, without explanations there are more disadvantages; There are no disadvantages;  More effort while developing software with explanations; Could never be 100% assertuve</t>
  </si>
  <si>
    <r>
      <rPr>
        <sz val="12"/>
        <rFont val="Times New Roman"/>
        <family val="1"/>
      </rPr>
      <t>2.</t>
    </r>
    <r>
      <rPr>
        <i/>
        <sz val="12"/>
        <color theme="1"/>
        <rFont val="Times New Roman"/>
        <family val="1"/>
      </rPr>
      <t xml:space="preserve"> Understanding Why - </t>
    </r>
    <r>
      <rPr>
        <sz val="12"/>
        <color theme="1"/>
        <rFont val="Times New Roman"/>
        <family val="1"/>
      </rPr>
      <t xml:space="preserve"> indicates that the user wants to understand better the reasons behind a decision, event or policies.  Higher level of abstraction.</t>
    </r>
  </si>
  <si>
    <t>why the route is not being suggested, benefits of the new route when compared to the usual, the reason, explained route, why the route changed, explanations about why, alert about the reason of the change, why is the app pointing in in a different way, the reason why (based on the historic) the changed happened; why is showing a different route; the answer to why is different; reason;  the problem that is happening; why are they different connections; why this way is good and the one before is not good anymore; reason of the new suggestion; ... on usual route; why the route I'm familiar with; to explain the adoption of the alternative route; history; the route was changed because...; why the decision of changing from the usual; Reasons for change of route; It's a matter of security, expose the reason,</t>
  </si>
  <si>
    <r>
      <t xml:space="preserve">  motivos de </t>
    </r>
    <r>
      <rPr>
        <sz val="12"/>
        <color theme="8"/>
        <rFont val="Times New Roman"/>
        <family val="1"/>
      </rPr>
      <t>engarrafamento</t>
    </r>
    <r>
      <rPr>
        <sz val="12"/>
        <rFont val="Times New Roman"/>
        <family val="1"/>
      </rPr>
      <t xml:space="preserve"> ou </t>
    </r>
    <r>
      <rPr>
        <sz val="12"/>
        <color theme="8"/>
        <rFont val="Times New Roman"/>
        <family val="1"/>
      </rPr>
      <t xml:space="preserve">obra nas vias, </t>
    </r>
    <r>
      <rPr>
        <sz val="12"/>
        <color theme="1"/>
        <rFont val="Times New Roman"/>
        <family val="1"/>
      </rPr>
      <t xml:space="preserve">which incident influenced the change, </t>
    </r>
    <r>
      <rPr>
        <sz val="12"/>
        <color theme="8"/>
        <rFont val="Times New Roman"/>
        <family val="1"/>
      </rPr>
      <t>traffic</t>
    </r>
    <r>
      <rPr>
        <sz val="12"/>
        <rFont val="Times New Roman"/>
        <family val="1"/>
      </rPr>
      <t>,  which information leaded the software to take this decision, which variables are influencing the choice, if there is some kind of incident, show me the route and the time, accidents, etc; in which data the decision is based; elements considered to make the proposal; based in which information; what changes; traffic on usual route; what affected the decision; which information affected the decision today; traffic conditions, Reason for the Change (z.B. Congestion, Work, ...)</t>
    </r>
  </si>
  <si>
    <r>
      <rPr>
        <sz val="12"/>
        <rFont val="Times New Roman"/>
        <family val="1"/>
      </rPr>
      <t xml:space="preserve">3. </t>
    </r>
    <r>
      <rPr>
        <i/>
        <sz val="12"/>
        <color theme="1"/>
        <rFont val="Times New Roman"/>
        <family val="1"/>
      </rPr>
      <t>How reflected either (1) the users desire to understand the inner reasoning process of the algorithm, (2) the wish to be able to audit or verify the behavior of the system or (3) to discover more about the inner model the system built about the user</t>
    </r>
  </si>
  <si>
    <r>
      <t xml:space="preserve">Usual route is congested. Alternative route is in use. </t>
    </r>
    <r>
      <rPr>
        <b/>
        <sz val="12"/>
        <rFont val="Arial"/>
        <family val="2"/>
      </rPr>
      <t>[suggestion of an explanation]</t>
    </r>
  </si>
  <si>
    <t>Know all available features; To best use the software; Proficiency and caution in use; Know the system; Conscious use of program functions; Enabling the full potential of the software; Know all the tools available; Use all your options; Software Potential; Operate correctly; Time to learn the most advanced software tools; avoid errors in the use of software</t>
  </si>
  <si>
    <t>Increase trust in software</t>
  </si>
  <si>
    <t>positive impact; Humanazing the app; Increase trust in software and its developers; Credibility; Very useful and important; Trust; Comfort in using the application;  Precision; compare similar software for its features; importance;  ensure ... of the benefits of using the software; Avoid Frustrations; I would become a more loyal user; I can recommend it with property to others; Satisfaction in use; After knowing the system recognize its utility; Reason for trust; We can explore the software's benefits; Use the app more often; Makes the software more interactive with the user; gives a sense of concern to the user of the program; Satisfaction; Loyalty in the use of software; Improve the experience of using the software; have good user experience</t>
  </si>
  <si>
    <t>Accessible language with details essential to understanding</t>
  </si>
  <si>
    <t>Understand the situation / how the software works/ what is being shown / differences/ working / problems / process; Inform yourself; Better understanding; Comprehensibility;  Knowledge; Better understanding of problems; Acquired knowledge; Knowledge about the data; Comprehensibly; Information about the usage of the service; Purpose of the software; Understand the app; To have a notion about their functionality; Reasons behind decisions; The person ends up increasing the knowledge acquired. Accelerate understanding. Accessible language with details essential to understanding;</t>
  </si>
  <si>
    <t>Spare me time, so I don't have to search for what happened</t>
  </si>
  <si>
    <t>Avoids wrong usage</t>
  </si>
  <si>
    <t>TOTAL</t>
  </si>
  <si>
    <t>Total</t>
  </si>
  <si>
    <t>Not understand the supposed improvement; If the explanations are vague or ambiguous, the user gets confused; The explanation is not always clear enough</t>
  </si>
  <si>
    <t>Greater ease of use; Ease of doing things; facilitates usability; Ease its use; Better use; Ease the usability; Know how to better use it; Streamline its use; ease of use and avoid errors in the use of software; Facilitates its use; Better operation; Clarity while using it; Increases ease, usability of the device; make the use easier;  Understanding how it works increases its usability; Enables non-abandonment of use of the software; Better platform usability; Continuity of use; Better target use of the tool;  Have less stress trying to figure out how to use the software</t>
  </si>
  <si>
    <r>
      <rPr>
        <sz val="12"/>
        <rFont val="Times New Roman"/>
        <family val="1"/>
      </rPr>
      <t xml:space="preserve">2. </t>
    </r>
    <r>
      <rPr>
        <i/>
        <sz val="12"/>
        <rFont val="Times New Roman"/>
        <family val="1"/>
      </rPr>
      <t>Informativeness and Understandability</t>
    </r>
  </si>
  <si>
    <t>GPS out-of-date</t>
  </si>
  <si>
    <t>reduce obscurity / clarify doubts:</t>
  </si>
  <si>
    <t>support decision making</t>
  </si>
  <si>
    <t>facilitate understanding [situation][information][data]: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</si>
</sst>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name val="Arial"/>
      <family val="2"/>
      <charset val="1"/>
    </font>
    <font>
      <sz val="10"/>
      <name val="Arial"/>
      <family val="2"/>
    </font>
    <font>
      <b/>
      <sz val="12"/>
      <name val="Arial"/>
      <family val="2"/>
    </font>
    <font>
      <sz val="12"/>
      <name val="Arial"/>
      <family val="2"/>
    </font>
    <font>
      <sz val="12"/>
      <color theme="7"/>
      <name val="Arial"/>
      <family val="2"/>
    </font>
    <font>
      <sz val="10"/>
      <name val="Arial"/>
      <family val="2"/>
    </font>
    <font>
      <sz val="12"/>
      <color theme="9"/>
      <name val="Arial"/>
      <family val="2"/>
    </font>
    <font>
      <sz val="12"/>
      <color theme="5"/>
      <name val="Arial"/>
      <family val="2"/>
    </font>
    <font>
      <sz val="12"/>
      <color theme="8"/>
      <name val="Arial"/>
      <family val="2"/>
    </font>
    <font>
      <sz val="12"/>
      <color rgb="FFFF00FF"/>
      <name val="Arial"/>
      <family val="2"/>
    </font>
    <font>
      <b/>
      <sz val="12"/>
      <name val="Times New Roman"/>
      <family val="1"/>
    </font>
    <font>
      <b/>
      <sz val="12"/>
      <color theme="1"/>
      <name val="Times New Roman"/>
      <family val="1"/>
    </font>
    <font>
      <i/>
      <sz val="12"/>
      <color theme="1"/>
      <name val="Times New Roman"/>
      <family val="1"/>
    </font>
    <font>
      <sz val="12"/>
      <name val="Times New Roman"/>
      <family val="1"/>
    </font>
    <font>
      <i/>
      <sz val="12"/>
      <name val="Times New Roman"/>
      <family val="1"/>
    </font>
    <font>
      <sz val="12"/>
      <color theme="1"/>
      <name val="Times New Roman"/>
      <family val="1"/>
    </font>
    <font>
      <sz val="20"/>
      <name val="Arial"/>
      <family val="2"/>
      <charset val="1"/>
    </font>
    <font>
      <sz val="12"/>
      <color theme="8"/>
      <name val="Times New Roman"/>
      <family val="1"/>
    </font>
    <font>
      <sz val="12"/>
      <color theme="1"/>
      <name val="Arial"/>
      <family val="2"/>
    </font>
    <font>
      <b/>
      <sz val="12"/>
      <color theme="1"/>
      <name val="Arial"/>
      <family val="2"/>
    </font>
    <font>
      <sz val="12"/>
      <color rgb="FFFF00FF"/>
      <name val="Times New Roman"/>
      <family val="1"/>
    </font>
    <font>
      <sz val="12"/>
      <color rgb="FFB40000"/>
      <name val="Arial"/>
      <family val="2"/>
    </font>
    <font>
      <u/>
      <sz val="12"/>
      <color theme="1"/>
      <name val="Arial"/>
      <family val="2"/>
    </font>
    <font>
      <u/>
      <sz val="12"/>
      <name val="Arial"/>
      <family val="2"/>
    </font>
    <font>
      <b/>
      <sz val="10"/>
      <name val="Arial"/>
      <family val="2"/>
    </font>
    <font>
      <sz val="10"/>
      <color theme="8"/>
      <name val="Arial"/>
      <family val="2"/>
    </font>
    <font>
      <sz val="10"/>
      <color theme="9"/>
      <name val="Arial"/>
      <family val="2"/>
    </font>
    <font>
      <sz val="10"/>
      <color theme="5"/>
      <name val="Arial"/>
      <family val="2"/>
    </font>
    <font>
      <sz val="10"/>
      <color rgb="FFFF00FF"/>
      <name val="Arial"/>
      <family val="2"/>
    </font>
    <font>
      <sz val="10"/>
      <color theme="4"/>
      <name val="Arial"/>
      <family val="2"/>
    </font>
    <font>
      <sz val="10"/>
      <color theme="7" tint="-0.249977111117893"/>
      <name val="Arial"/>
      <family val="2"/>
    </font>
    <font>
      <sz val="10"/>
      <color theme="1"/>
      <name val="Arial"/>
      <family val="2"/>
    </font>
    <font>
      <sz val="10"/>
      <color theme="9"/>
      <name val="Arial"/>
      <family val="2"/>
      <charset val="1"/>
    </font>
    <font>
      <sz val="10"/>
      <color theme="5"/>
      <name val="Arial"/>
      <family val="2"/>
      <charset val="1"/>
    </font>
    <font>
      <sz val="10"/>
      <color theme="8"/>
      <name val="Arial"/>
      <family val="2"/>
      <charset val="1"/>
    </font>
    <font>
      <sz val="10"/>
      <color theme="4"/>
      <name val="Arial"/>
      <family val="2"/>
      <charset val="1"/>
    </font>
    <font>
      <b/>
      <sz val="10"/>
      <color theme="1"/>
      <name val="Arial"/>
      <family val="2"/>
    </font>
    <font>
      <sz val="10"/>
      <color rgb="FFFF00FF"/>
      <name val="Arial"/>
      <family val="2"/>
      <charset val="1"/>
    </font>
    <font>
      <b/>
      <sz val="12"/>
      <color theme="9"/>
      <name val="Arial"/>
      <family val="2"/>
    </font>
    <font>
      <sz val="12"/>
      <color rgb="FF99FFCC"/>
      <name val="Arial"/>
      <family val="2"/>
    </font>
    <font>
      <sz val="12"/>
      <color rgb="FF2F2F2F"/>
      <name val="Segoe UI"/>
      <family val="2"/>
    </font>
    <font>
      <sz val="20"/>
      <name val="Arial"/>
      <family val="2"/>
    </font>
    <font>
      <b/>
      <sz val="20"/>
      <name val="Arial"/>
      <family val="2"/>
    </font>
    <font>
      <sz val="13"/>
      <name val="Arial"/>
      <family val="2"/>
    </font>
    <font>
      <sz val="22"/>
      <name val="Arial"/>
      <family val="2"/>
      <charset val="1"/>
    </font>
    <font>
      <sz val="24"/>
      <name val="Arial"/>
      <family val="2"/>
    </font>
  </fonts>
  <fills count="19">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2"/>
        <bgColor indexed="64"/>
      </patternFill>
    </fill>
    <fill>
      <patternFill patternType="solid">
        <fgColor rgb="FFFAD4ED"/>
        <bgColor indexed="64"/>
      </patternFill>
    </fill>
    <fill>
      <patternFill patternType="solid">
        <fgColor rgb="FFB40000"/>
        <bgColor indexed="64"/>
      </patternFill>
    </fill>
    <fill>
      <patternFill patternType="solid">
        <fgColor rgb="FF99FFCC"/>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Dashed">
        <color indexed="64"/>
      </right>
      <top style="medium">
        <color indexed="64"/>
      </top>
      <bottom/>
      <diagonal/>
    </border>
    <border>
      <left style="mediumDashed">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Dashed">
        <color indexed="64"/>
      </right>
      <top/>
      <bottom/>
      <diagonal/>
    </border>
    <border>
      <left style="mediumDashed">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Dashed">
        <color indexed="64"/>
      </right>
      <top/>
      <bottom style="medium">
        <color indexed="64"/>
      </bottom>
      <diagonal/>
    </border>
    <border>
      <left style="mediumDashed">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ck">
        <color indexed="64"/>
      </bottom>
      <diagonal/>
    </border>
    <border>
      <left style="thin">
        <color indexed="64"/>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63">
    <xf numFmtId="0" fontId="0" fillId="0" borderId="0" xfId="0"/>
    <xf numFmtId="0" fontId="0" fillId="0" borderId="0" xfId="0" applyAlignment="1">
      <alignment vertical="top" wrapText="1"/>
    </xf>
    <xf numFmtId="0" fontId="0" fillId="0" borderId="0" xfId="0" applyAlignment="1">
      <alignment wrapText="1"/>
    </xf>
    <xf numFmtId="0" fontId="1" fillId="0" borderId="0" xfId="1" applyFill="1" applyProtection="1">
      <protection locked="0"/>
    </xf>
    <xf numFmtId="0" fontId="0" fillId="0" borderId="0" xfId="0" applyProtection="1">
      <protection locked="0"/>
    </xf>
    <xf numFmtId="0" fontId="1" fillId="0" borderId="0" xfId="1" applyProtection="1">
      <protection locked="0"/>
    </xf>
    <xf numFmtId="0" fontId="1" fillId="0" borderId="0" xfId="1" applyProtection="1">
      <protection locked="0"/>
    </xf>
    <xf numFmtId="0" fontId="0" fillId="0" borderId="0" xfId="0"/>
    <xf numFmtId="0" fontId="1" fillId="0" borderId="0" xfId="1" applyProtection="1">
      <protection locked="0"/>
    </xf>
    <xf numFmtId="0" fontId="3" fillId="0" borderId="0" xfId="0" applyFont="1"/>
    <xf numFmtId="0" fontId="3" fillId="0" borderId="0" xfId="1" applyFont="1" applyProtection="1">
      <protection locked="0"/>
    </xf>
    <xf numFmtId="0" fontId="3" fillId="0" borderId="0" xfId="1" applyFont="1" applyFill="1" applyProtection="1">
      <protection locked="0"/>
    </xf>
    <xf numFmtId="0" fontId="3" fillId="0" borderId="0" xfId="0" applyFont="1" applyProtection="1">
      <protection locked="0"/>
    </xf>
    <xf numFmtId="0" fontId="2" fillId="0" borderId="1" xfId="0" applyFont="1" applyBorder="1" applyAlignment="1">
      <alignment vertical="center" wrapText="1"/>
    </xf>
    <xf numFmtId="0" fontId="2" fillId="0" borderId="1" xfId="0" applyFont="1" applyBorder="1" applyAlignment="1">
      <alignment vertical="center"/>
    </xf>
    <xf numFmtId="0" fontId="2" fillId="0" borderId="1" xfId="1" applyFont="1" applyBorder="1" applyAlignment="1" applyProtection="1">
      <alignment vertical="center" wrapText="1"/>
      <protection locked="0"/>
    </xf>
    <xf numFmtId="0" fontId="5" fillId="0" borderId="0" xfId="1" applyFont="1" applyProtection="1">
      <protection locked="0"/>
    </xf>
    <xf numFmtId="0" fontId="3" fillId="0" borderId="0" xfId="1" applyFont="1" applyAlignment="1" applyProtection="1">
      <alignment wrapText="1"/>
      <protection locked="0"/>
    </xf>
    <xf numFmtId="0" fontId="3" fillId="0" borderId="0" xfId="0" applyFont="1" applyAlignment="1" applyProtection="1">
      <alignment wrapText="1"/>
      <protection locked="0"/>
    </xf>
    <xf numFmtId="0" fontId="2" fillId="0" borderId="0" xfId="1" applyFont="1" applyAlignment="1" applyProtection="1">
      <alignment wrapText="1"/>
      <protection locked="0"/>
    </xf>
    <xf numFmtId="0" fontId="2" fillId="0" borderId="0" xfId="0" applyFont="1"/>
    <xf numFmtId="0" fontId="2" fillId="0" borderId="0" xfId="0" applyFont="1" applyAlignment="1">
      <alignment vertical="top" wrapText="1"/>
    </xf>
    <xf numFmtId="0" fontId="6" fillId="0" borderId="0" xfId="1" applyFont="1" applyAlignment="1" applyProtection="1">
      <alignment wrapText="1"/>
      <protection locked="0"/>
    </xf>
    <xf numFmtId="0" fontId="0" fillId="4" borderId="5" xfId="0" applyFill="1" applyBorder="1" applyAlignment="1">
      <alignment horizontal="center" vertical="center"/>
    </xf>
    <xf numFmtId="0" fontId="16" fillId="4" borderId="5" xfId="0" applyFont="1" applyFill="1" applyBorder="1" applyAlignment="1">
      <alignment horizontal="center" vertical="center"/>
    </xf>
    <xf numFmtId="0" fontId="16" fillId="0" borderId="5" xfId="0" applyFont="1" applyBorder="1" applyAlignment="1">
      <alignment horizontal="center" vertical="center"/>
    </xf>
    <xf numFmtId="0" fontId="16" fillId="0" borderId="13" xfId="0" applyFont="1" applyBorder="1" applyAlignment="1">
      <alignment horizontal="center" vertical="center"/>
    </xf>
    <xf numFmtId="0" fontId="13" fillId="5" borderId="8" xfId="0" applyFont="1" applyFill="1" applyBorder="1" applyAlignment="1">
      <alignment horizontal="right" vertical="top"/>
    </xf>
    <xf numFmtId="0" fontId="13" fillId="6" borderId="8" xfId="0" applyFont="1" applyFill="1" applyBorder="1" applyAlignment="1">
      <alignment horizontal="right" vertical="top"/>
    </xf>
    <xf numFmtId="0" fontId="13" fillId="7" borderId="8" xfId="0" applyFont="1" applyFill="1" applyBorder="1" applyAlignment="1">
      <alignment horizontal="right" vertical="top"/>
    </xf>
    <xf numFmtId="0" fontId="3" fillId="6" borderId="0" xfId="0" applyFont="1" applyFill="1" applyAlignment="1" applyProtection="1">
      <alignment wrapText="1"/>
      <protection locked="0"/>
    </xf>
    <xf numFmtId="0" fontId="3" fillId="6" borderId="0" xfId="0" applyFont="1" applyFill="1" applyAlignment="1" applyProtection="1">
      <alignment horizontal="center" wrapText="1"/>
      <protection locked="0"/>
    </xf>
    <xf numFmtId="0" fontId="3" fillId="8" borderId="0" xfId="0" applyFont="1" applyFill="1" applyAlignment="1" applyProtection="1">
      <alignment wrapText="1"/>
      <protection locked="0"/>
    </xf>
    <xf numFmtId="0" fontId="18" fillId="5" borderId="0" xfId="0" applyFont="1" applyFill="1" applyAlignment="1" applyProtection="1">
      <alignment horizontal="center" wrapText="1"/>
      <protection locked="0"/>
    </xf>
    <xf numFmtId="0" fontId="3" fillId="5" borderId="0" xfId="0" applyFont="1" applyFill="1" applyAlignment="1" applyProtection="1">
      <alignment wrapText="1"/>
      <protection locked="0"/>
    </xf>
    <xf numFmtId="0" fontId="3" fillId="5" borderId="0" xfId="0" applyFont="1" applyFill="1" applyAlignment="1" applyProtection="1">
      <alignment horizontal="center" wrapText="1"/>
      <protection locked="0"/>
    </xf>
    <xf numFmtId="0" fontId="3" fillId="9" borderId="0" xfId="0" applyFont="1" applyFill="1" applyAlignment="1" applyProtection="1">
      <alignment wrapText="1"/>
      <protection locked="0"/>
    </xf>
    <xf numFmtId="0" fontId="0" fillId="3" borderId="0" xfId="0" applyFill="1"/>
    <xf numFmtId="0" fontId="13" fillId="9" borderId="8" xfId="0" applyFont="1" applyFill="1" applyBorder="1" applyAlignment="1">
      <alignment horizontal="right" vertical="top"/>
    </xf>
    <xf numFmtId="0" fontId="13" fillId="10" borderId="8" xfId="0" applyFont="1" applyFill="1" applyBorder="1" applyAlignment="1">
      <alignment horizontal="right" vertical="top"/>
    </xf>
    <xf numFmtId="0" fontId="13" fillId="11" borderId="8" xfId="0" applyFont="1" applyFill="1" applyBorder="1" applyAlignment="1">
      <alignment horizontal="right" vertical="top"/>
    </xf>
    <xf numFmtId="0" fontId="3" fillId="7" borderId="0" xfId="0" applyFont="1" applyFill="1" applyAlignment="1" applyProtection="1">
      <alignment wrapText="1"/>
      <protection locked="0"/>
    </xf>
    <xf numFmtId="0" fontId="13" fillId="12" borderId="8" xfId="0" applyFont="1" applyFill="1" applyBorder="1" applyAlignment="1">
      <alignment horizontal="right" vertical="top"/>
    </xf>
    <xf numFmtId="0" fontId="13" fillId="13" borderId="8" xfId="0" applyFont="1" applyFill="1" applyBorder="1" applyAlignment="1">
      <alignment horizontal="right" vertical="top"/>
    </xf>
    <xf numFmtId="0" fontId="13" fillId="14" borderId="8" xfId="0" applyFont="1" applyFill="1" applyBorder="1" applyAlignment="1">
      <alignment horizontal="right" vertical="top"/>
    </xf>
    <xf numFmtId="0" fontId="3" fillId="14" borderId="0" xfId="0" applyFont="1" applyFill="1" applyAlignment="1" applyProtection="1">
      <alignment wrapText="1"/>
      <protection locked="0"/>
    </xf>
    <xf numFmtId="0" fontId="3" fillId="0" borderId="0" xfId="0" applyFont="1" applyFill="1" applyAlignment="1" applyProtection="1">
      <alignment horizontal="center" wrapText="1"/>
      <protection locked="0"/>
    </xf>
    <xf numFmtId="0" fontId="3" fillId="12" borderId="0" xfId="0" applyFont="1" applyFill="1" applyAlignment="1" applyProtection="1">
      <alignment wrapText="1"/>
      <protection locked="0"/>
    </xf>
    <xf numFmtId="0" fontId="3" fillId="0" borderId="0" xfId="0" applyFont="1" applyFill="1" applyAlignment="1" applyProtection="1">
      <alignment wrapText="1"/>
      <protection locked="0"/>
    </xf>
    <xf numFmtId="0" fontId="3" fillId="13" borderId="0" xfId="0" applyFont="1" applyFill="1" applyAlignment="1" applyProtection="1">
      <alignment wrapText="1"/>
      <protection locked="0"/>
    </xf>
    <xf numFmtId="0" fontId="8" fillId="0" borderId="0" xfId="0" applyFont="1" applyAlignment="1" applyProtection="1">
      <alignment wrapText="1"/>
      <protection locked="0"/>
    </xf>
    <xf numFmtId="0" fontId="4" fillId="0" borderId="0" xfId="0" applyFont="1" applyAlignment="1" applyProtection="1">
      <alignment wrapText="1"/>
      <protection locked="0"/>
    </xf>
    <xf numFmtId="0" fontId="3" fillId="10" borderId="0" xfId="1" applyFont="1" applyFill="1" applyAlignment="1" applyProtection="1">
      <alignment wrapText="1"/>
      <protection locked="0"/>
    </xf>
    <xf numFmtId="0" fontId="3" fillId="7" borderId="0" xfId="0" applyFont="1" applyFill="1" applyAlignment="1" applyProtection="1">
      <alignment horizontal="center" wrapText="1"/>
      <protection locked="0"/>
    </xf>
    <xf numFmtId="0" fontId="2" fillId="0" borderId="0" xfId="1" applyFont="1" applyProtection="1">
      <protection locked="0"/>
    </xf>
    <xf numFmtId="0" fontId="3" fillId="6" borderId="0" xfId="1" applyFont="1" applyFill="1" applyAlignment="1" applyProtection="1">
      <alignment wrapText="1"/>
      <protection locked="0"/>
    </xf>
    <xf numFmtId="0" fontId="3" fillId="5" borderId="0" xfId="1" applyFont="1" applyFill="1" applyAlignment="1" applyProtection="1">
      <alignment wrapText="1"/>
      <protection locked="0"/>
    </xf>
    <xf numFmtId="0" fontId="18" fillId="7" borderId="0" xfId="1" applyFont="1" applyFill="1" applyAlignment="1" applyProtection="1">
      <alignment horizontal="center" wrapText="1"/>
      <protection locked="0"/>
    </xf>
    <xf numFmtId="0" fontId="3" fillId="11" borderId="0" xfId="1" applyFont="1" applyFill="1" applyAlignment="1" applyProtection="1">
      <alignment wrapText="1"/>
      <protection locked="0"/>
    </xf>
    <xf numFmtId="0" fontId="3" fillId="7" borderId="0" xfId="1" applyFont="1" applyFill="1" applyAlignment="1" applyProtection="1">
      <alignment wrapText="1"/>
      <protection locked="0"/>
    </xf>
    <xf numFmtId="0" fontId="3" fillId="15" borderId="0" xfId="1" applyFont="1" applyFill="1" applyAlignment="1" applyProtection="1">
      <alignment wrapText="1"/>
      <protection locked="0"/>
    </xf>
    <xf numFmtId="0" fontId="8" fillId="0" borderId="0" xfId="1" applyFont="1" applyAlignment="1" applyProtection="1">
      <alignment wrapText="1"/>
      <protection locked="0"/>
    </xf>
    <xf numFmtId="0" fontId="18" fillId="5" borderId="0" xfId="1" applyFont="1" applyFill="1" applyAlignment="1" applyProtection="1">
      <alignment wrapText="1"/>
      <protection locked="0"/>
    </xf>
    <xf numFmtId="0" fontId="3" fillId="13" borderId="0" xfId="1" applyFont="1" applyFill="1" applyAlignment="1" applyProtection="1">
      <alignment wrapText="1"/>
      <protection locked="0"/>
    </xf>
    <xf numFmtId="0" fontId="18" fillId="13" borderId="0" xfId="0" applyFont="1" applyFill="1"/>
    <xf numFmtId="0" fontId="3" fillId="6" borderId="0" xfId="0" applyFont="1" applyFill="1"/>
    <xf numFmtId="0" fontId="3" fillId="12" borderId="0" xfId="1" applyFont="1" applyFill="1" applyAlignment="1" applyProtection="1">
      <alignment wrapText="1"/>
      <protection locked="0"/>
    </xf>
    <xf numFmtId="0" fontId="24" fillId="0" borderId="0" xfId="0" applyFont="1" applyAlignment="1">
      <alignment vertical="top" wrapText="1"/>
    </xf>
    <xf numFmtId="0" fontId="24" fillId="0" borderId="0" xfId="0" applyFont="1"/>
    <xf numFmtId="0" fontId="24" fillId="0" borderId="0" xfId="0" applyFont="1" applyProtection="1">
      <protection locked="0"/>
    </xf>
    <xf numFmtId="0" fontId="24" fillId="0" borderId="0" xfId="0" applyFont="1" applyAlignment="1" applyProtection="1">
      <alignment wrapText="1"/>
      <protection locked="0"/>
    </xf>
    <xf numFmtId="0" fontId="1" fillId="0" borderId="0" xfId="0" applyFont="1" applyProtection="1">
      <protection locked="0"/>
    </xf>
    <xf numFmtId="0" fontId="26" fillId="0" borderId="0" xfId="0" applyFont="1" applyProtection="1">
      <protection locked="0"/>
    </xf>
    <xf numFmtId="0" fontId="27" fillId="0" borderId="0" xfId="0" applyFont="1" applyProtection="1">
      <protection locked="0"/>
    </xf>
    <xf numFmtId="0" fontId="28" fillId="0" borderId="0" xfId="0" applyFont="1" applyProtection="1">
      <protection locked="0"/>
    </xf>
    <xf numFmtId="0" fontId="30" fillId="0" borderId="0" xfId="0" applyFont="1" applyProtection="1">
      <protection locked="0"/>
    </xf>
    <xf numFmtId="0" fontId="32" fillId="0" borderId="0" xfId="0" applyFont="1" applyProtection="1">
      <protection locked="0"/>
    </xf>
    <xf numFmtId="0" fontId="33" fillId="0" borderId="0" xfId="0" applyFont="1" applyProtection="1">
      <protection locked="0"/>
    </xf>
    <xf numFmtId="0" fontId="34" fillId="0" borderId="0" xfId="0" applyFont="1" applyProtection="1">
      <protection locked="0"/>
    </xf>
    <xf numFmtId="0" fontId="27" fillId="0" borderId="0" xfId="1" applyFont="1" applyProtection="1">
      <protection locked="0"/>
    </xf>
    <xf numFmtId="0" fontId="26" fillId="0" borderId="0" xfId="1" applyFont="1" applyProtection="1">
      <protection locked="0"/>
    </xf>
    <xf numFmtId="0" fontId="30" fillId="0" borderId="0" xfId="1" applyFont="1" applyProtection="1">
      <protection locked="0"/>
    </xf>
    <xf numFmtId="0" fontId="28" fillId="0" borderId="0" xfId="1" applyFont="1" applyProtection="1">
      <protection locked="0"/>
    </xf>
    <xf numFmtId="0" fontId="0" fillId="0" borderId="0" xfId="0" applyAlignment="1" applyProtection="1">
      <alignment wrapText="1"/>
      <protection locked="0"/>
    </xf>
    <xf numFmtId="0" fontId="1" fillId="0" borderId="0" xfId="1" applyFill="1" applyAlignment="1" applyProtection="1">
      <alignment wrapText="1"/>
      <protection locked="0"/>
    </xf>
    <xf numFmtId="0" fontId="24" fillId="0" borderId="0" xfId="1" applyFont="1" applyProtection="1">
      <protection locked="0"/>
    </xf>
    <xf numFmtId="0" fontId="13" fillId="16" borderId="8" xfId="0" applyFont="1" applyFill="1" applyBorder="1" applyAlignment="1">
      <alignment horizontal="right" vertical="top" wrapText="1"/>
    </xf>
    <xf numFmtId="0" fontId="1" fillId="16" borderId="0" xfId="0" applyFont="1" applyFill="1" applyAlignment="1" applyProtection="1">
      <alignment horizontal="center"/>
      <protection locked="0"/>
    </xf>
    <xf numFmtId="0" fontId="29" fillId="0" borderId="0" xfId="0" applyFont="1" applyProtection="1">
      <protection locked="0"/>
    </xf>
    <xf numFmtId="0" fontId="31" fillId="16" borderId="0" xfId="0" applyFont="1" applyFill="1" applyAlignment="1" applyProtection="1">
      <alignment horizontal="center"/>
      <protection locked="0"/>
    </xf>
    <xf numFmtId="0" fontId="31" fillId="0" borderId="0" xfId="0" applyFont="1" applyAlignment="1" applyProtection="1">
      <alignment horizontal="center"/>
      <protection locked="0"/>
    </xf>
    <xf numFmtId="0" fontId="35" fillId="0" borderId="0" xfId="0" applyFont="1" applyProtection="1">
      <protection locked="0"/>
    </xf>
    <xf numFmtId="0" fontId="1" fillId="16" borderId="0" xfId="1" applyFill="1" applyAlignment="1" applyProtection="1">
      <alignment horizontal="center"/>
      <protection locked="0"/>
    </xf>
    <xf numFmtId="0" fontId="0" fillId="0" borderId="0" xfId="0" applyAlignment="1" applyProtection="1">
      <alignment horizontal="center"/>
      <protection locked="0"/>
    </xf>
    <xf numFmtId="0" fontId="0" fillId="17" borderId="0" xfId="0" applyFill="1"/>
    <xf numFmtId="0" fontId="0" fillId="16" borderId="0" xfId="0" applyFill="1" applyAlignment="1">
      <alignment wrapText="1"/>
    </xf>
    <xf numFmtId="0" fontId="13" fillId="17" borderId="8" xfId="0" applyFont="1" applyFill="1" applyBorder="1" applyAlignment="1">
      <alignment horizontal="right" vertical="top"/>
    </xf>
    <xf numFmtId="0" fontId="13" fillId="17" borderId="17" xfId="0" applyFont="1" applyFill="1" applyBorder="1" applyAlignment="1">
      <alignment horizontal="right" vertical="top"/>
    </xf>
    <xf numFmtId="0" fontId="13" fillId="3" borderId="0" xfId="0" applyFont="1" applyFill="1" applyBorder="1" applyAlignment="1">
      <alignment horizontal="right" vertical="top"/>
    </xf>
    <xf numFmtId="0" fontId="13" fillId="3" borderId="0" xfId="0" applyFont="1" applyFill="1" applyBorder="1" applyAlignment="1">
      <alignment horizontal="left" vertical="top" wrapText="1"/>
    </xf>
    <xf numFmtId="0" fontId="16" fillId="3" borderId="0" xfId="0" applyFont="1" applyFill="1" applyBorder="1" applyAlignment="1">
      <alignment horizontal="center" vertical="center"/>
    </xf>
    <xf numFmtId="0" fontId="0" fillId="3" borderId="0" xfId="0" applyFill="1" applyBorder="1"/>
    <xf numFmtId="0" fontId="0" fillId="0" borderId="16" xfId="0" applyBorder="1"/>
    <xf numFmtId="0" fontId="0" fillId="9" borderId="0" xfId="0" applyFill="1"/>
    <xf numFmtId="0" fontId="0" fillId="15" borderId="0" xfId="0" applyFill="1"/>
    <xf numFmtId="0" fontId="13" fillId="15" borderId="8" xfId="0" applyFont="1" applyFill="1" applyBorder="1" applyAlignment="1">
      <alignment horizontal="right" vertical="top"/>
    </xf>
    <xf numFmtId="0" fontId="13" fillId="15" borderId="17" xfId="0" applyFont="1" applyFill="1" applyBorder="1" applyAlignment="1">
      <alignment horizontal="right" vertical="top" wrapText="1"/>
    </xf>
    <xf numFmtId="0" fontId="10" fillId="2" borderId="0" xfId="0" applyFont="1" applyFill="1" applyBorder="1" applyAlignment="1">
      <alignment horizontal="center" vertical="center" textRotation="90"/>
    </xf>
    <xf numFmtId="0" fontId="11" fillId="3" borderId="0" xfId="0" applyFont="1" applyFill="1" applyBorder="1" applyAlignment="1">
      <alignment horizontal="center" vertical="center" textRotation="90" wrapText="1"/>
    </xf>
    <xf numFmtId="0" fontId="11" fillId="3" borderId="0" xfId="0" applyFont="1" applyFill="1" applyBorder="1" applyAlignment="1">
      <alignment horizontal="center" vertical="center" textRotation="90" wrapText="1"/>
    </xf>
    <xf numFmtId="0" fontId="10" fillId="2" borderId="0" xfId="0" applyFont="1" applyFill="1" applyBorder="1" applyAlignment="1">
      <alignment horizontal="center" vertical="center" textRotation="90"/>
    </xf>
    <xf numFmtId="0" fontId="13" fillId="9" borderId="17" xfId="0" applyFont="1" applyFill="1" applyBorder="1" applyAlignment="1">
      <alignment horizontal="right" vertical="top" wrapText="1"/>
    </xf>
    <xf numFmtId="0" fontId="13" fillId="9" borderId="17" xfId="0" applyFont="1" applyFill="1" applyBorder="1" applyAlignment="1">
      <alignment horizontal="right" vertical="top"/>
    </xf>
    <xf numFmtId="0" fontId="13" fillId="17" borderId="17" xfId="0" applyFont="1" applyFill="1" applyBorder="1" applyAlignment="1">
      <alignment horizontal="right" vertical="top" wrapText="1"/>
    </xf>
    <xf numFmtId="0" fontId="0" fillId="0" borderId="0" xfId="0" applyFill="1" applyBorder="1"/>
    <xf numFmtId="0" fontId="16" fillId="3" borderId="20" xfId="0" applyFont="1" applyFill="1" applyBorder="1" applyAlignment="1">
      <alignment horizontal="center" vertical="center"/>
    </xf>
    <xf numFmtId="0" fontId="31" fillId="17" borderId="0" xfId="0" applyFont="1" applyFill="1" applyAlignment="1" applyProtection="1">
      <alignment horizontal="center"/>
      <protection locked="0"/>
    </xf>
    <xf numFmtId="0" fontId="1" fillId="9" borderId="0" xfId="0" applyFont="1" applyFill="1" applyAlignment="1" applyProtection="1">
      <alignment horizontal="center"/>
      <protection locked="0"/>
    </xf>
    <xf numFmtId="0" fontId="31" fillId="9" borderId="0" xfId="0" applyFont="1" applyFill="1" applyAlignment="1" applyProtection="1">
      <alignment horizontal="center"/>
      <protection locked="0"/>
    </xf>
    <xf numFmtId="0" fontId="1" fillId="0" borderId="0" xfId="0" applyFont="1" applyAlignment="1" applyProtection="1">
      <alignment horizontal="center"/>
      <protection locked="0"/>
    </xf>
    <xf numFmtId="0" fontId="31" fillId="16" borderId="0" xfId="1" applyFont="1" applyFill="1" applyAlignment="1" applyProtection="1">
      <alignment horizontal="center"/>
      <protection locked="0"/>
    </xf>
    <xf numFmtId="0" fontId="37" fillId="0" borderId="0" xfId="0" applyFont="1" applyProtection="1">
      <protection locked="0"/>
    </xf>
    <xf numFmtId="0" fontId="36" fillId="0" borderId="0" xfId="0" applyFont="1" applyAlignment="1" applyProtection="1">
      <alignment horizontal="center" wrapText="1"/>
      <protection locked="0"/>
    </xf>
    <xf numFmtId="0" fontId="24" fillId="0" borderId="0" xfId="0" applyFont="1" applyAlignment="1" applyProtection="1">
      <alignment horizontal="center" wrapText="1"/>
      <protection locked="0"/>
    </xf>
    <xf numFmtId="0" fontId="36" fillId="0" borderId="0" xfId="0" applyFont="1" applyAlignment="1" applyProtection="1">
      <alignment horizontal="center"/>
      <protection locked="0"/>
    </xf>
    <xf numFmtId="0" fontId="31" fillId="15" borderId="0" xfId="1" applyFont="1" applyFill="1" applyAlignment="1" applyProtection="1">
      <alignment horizontal="center"/>
      <protection locked="0"/>
    </xf>
    <xf numFmtId="0" fontId="31" fillId="0" borderId="0" xfId="1" applyFont="1" applyAlignment="1" applyProtection="1">
      <alignment horizontal="center"/>
      <protection locked="0"/>
    </xf>
    <xf numFmtId="0" fontId="31" fillId="0" borderId="0" xfId="0" applyFont="1" applyAlignment="1">
      <alignment horizontal="center"/>
    </xf>
    <xf numFmtId="0" fontId="31" fillId="17" borderId="0" xfId="1" applyFont="1" applyFill="1" applyAlignment="1" applyProtection="1">
      <alignment horizontal="center"/>
      <protection locked="0"/>
    </xf>
    <xf numFmtId="0" fontId="29" fillId="0" borderId="0" xfId="1" applyFont="1" applyProtection="1">
      <protection locked="0"/>
    </xf>
    <xf numFmtId="0" fontId="25" fillId="0" borderId="0" xfId="1" applyFont="1" applyProtection="1">
      <protection locked="0"/>
    </xf>
    <xf numFmtId="0" fontId="0" fillId="0" borderId="0" xfId="0" applyAlignment="1">
      <alignment horizontal="center"/>
    </xf>
    <xf numFmtId="0" fontId="31" fillId="0" borderId="0" xfId="0" applyFont="1" applyFill="1" applyAlignment="1" applyProtection="1">
      <alignment horizontal="center"/>
      <protection locked="0"/>
    </xf>
    <xf numFmtId="0" fontId="1" fillId="0" borderId="0" xfId="0" applyFont="1" applyFill="1" applyAlignment="1" applyProtection="1">
      <alignment horizontal="center"/>
      <protection locked="0"/>
    </xf>
    <xf numFmtId="0" fontId="34" fillId="0" borderId="0" xfId="0" applyFont="1"/>
    <xf numFmtId="0" fontId="13" fillId="16" borderId="17" xfId="0" applyFont="1" applyFill="1" applyBorder="1" applyAlignment="1">
      <alignment horizontal="right" vertical="top" wrapText="1"/>
    </xf>
    <xf numFmtId="0" fontId="13" fillId="16" borderId="8" xfId="0" applyFont="1" applyFill="1" applyBorder="1" applyAlignment="1">
      <alignment horizontal="right" vertical="top"/>
    </xf>
    <xf numFmtId="0" fontId="10" fillId="2" borderId="0" xfId="0" applyFont="1" applyFill="1" applyBorder="1" applyAlignment="1">
      <alignment horizontal="center" vertical="center" textRotation="90"/>
    </xf>
    <xf numFmtId="0" fontId="11" fillId="3" borderId="0" xfId="0" applyFont="1" applyFill="1" applyBorder="1" applyAlignment="1">
      <alignment horizontal="center" vertical="center" textRotation="90" wrapText="1"/>
    </xf>
    <xf numFmtId="0" fontId="0" fillId="0" borderId="0" xfId="0" applyBorder="1"/>
    <xf numFmtId="0" fontId="6" fillId="0" borderId="0" xfId="0" applyFont="1" applyAlignment="1" applyProtection="1">
      <alignment wrapText="1"/>
      <protection locked="0"/>
    </xf>
    <xf numFmtId="0" fontId="7" fillId="0" borderId="0" xfId="0" applyFont="1" applyAlignment="1" applyProtection="1">
      <alignment wrapText="1"/>
      <protection locked="0"/>
    </xf>
    <xf numFmtId="0" fontId="39" fillId="0" borderId="0" xfId="1" applyFont="1" applyAlignment="1" applyProtection="1">
      <alignment wrapText="1"/>
      <protection locked="0"/>
    </xf>
    <xf numFmtId="0" fontId="8" fillId="0" borderId="0" xfId="0" applyFont="1"/>
    <xf numFmtId="0" fontId="0" fillId="0" borderId="21" xfId="0" applyBorder="1" applyAlignment="1"/>
    <xf numFmtId="0" fontId="0" fillId="0" borderId="22" xfId="0" applyBorder="1" applyAlignment="1"/>
    <xf numFmtId="0" fontId="0" fillId="0" borderId="22" xfId="0" applyBorder="1"/>
    <xf numFmtId="0" fontId="0" fillId="0" borderId="23" xfId="0" applyBorder="1"/>
    <xf numFmtId="0" fontId="0" fillId="0" borderId="18" xfId="0" applyBorder="1" applyAlignment="1"/>
    <xf numFmtId="0" fontId="0" fillId="0" borderId="0" xfId="0" applyBorder="1" applyAlignment="1"/>
    <xf numFmtId="0" fontId="0" fillId="0" borderId="20" xfId="0" applyBorder="1"/>
    <xf numFmtId="0" fontId="0" fillId="0" borderId="8" xfId="0" applyBorder="1" applyAlignment="1"/>
    <xf numFmtId="0" fontId="0" fillId="0" borderId="16" xfId="0" applyBorder="1" applyAlignment="1"/>
    <xf numFmtId="0" fontId="0" fillId="0" borderId="19" xfId="0" applyBorder="1"/>
    <xf numFmtId="0" fontId="0" fillId="0" borderId="21" xfId="0" applyBorder="1"/>
    <xf numFmtId="0" fontId="14" fillId="3" borderId="4" xfId="0" applyFont="1" applyFill="1" applyBorder="1" applyAlignment="1">
      <alignment horizontal="left" vertical="center"/>
    </xf>
    <xf numFmtId="0" fontId="14" fillId="3" borderId="16" xfId="0" applyFont="1" applyFill="1" applyBorder="1" applyAlignment="1">
      <alignment horizontal="left" vertical="center"/>
    </xf>
    <xf numFmtId="0" fontId="12" fillId="3" borderId="16" xfId="0" applyFont="1" applyFill="1" applyBorder="1" applyAlignment="1">
      <alignment horizontal="left" vertical="center"/>
    </xf>
    <xf numFmtId="0" fontId="12" fillId="3" borderId="0" xfId="0" applyFont="1" applyFill="1" applyBorder="1" applyAlignment="1">
      <alignment horizontal="left" vertical="center"/>
    </xf>
    <xf numFmtId="0" fontId="3" fillId="17" borderId="0" xfId="0" applyFont="1" applyFill="1"/>
    <xf numFmtId="0" fontId="24" fillId="4" borderId="5" xfId="0" applyFont="1" applyFill="1" applyBorder="1" applyAlignment="1">
      <alignment horizontal="center" vertical="center"/>
    </xf>
    <xf numFmtId="0" fontId="24" fillId="0" borderId="5" xfId="0" applyFont="1" applyBorder="1" applyAlignment="1">
      <alignment horizontal="center"/>
    </xf>
    <xf numFmtId="0" fontId="24" fillId="0" borderId="0" xfId="0" applyFont="1" applyAlignment="1">
      <alignment horizontal="center"/>
    </xf>
    <xf numFmtId="0" fontId="16" fillId="4" borderId="24" xfId="0" applyFont="1" applyFill="1" applyBorder="1" applyAlignment="1">
      <alignment vertical="center"/>
    </xf>
    <xf numFmtId="0" fontId="16" fillId="0" borderId="24" xfId="0" applyFont="1" applyBorder="1" applyAlignment="1">
      <alignment vertical="center"/>
    </xf>
    <xf numFmtId="0" fontId="16" fillId="0" borderId="25" xfId="0" applyFont="1" applyBorder="1" applyAlignment="1">
      <alignment vertical="center"/>
    </xf>
    <xf numFmtId="0" fontId="16" fillId="0" borderId="13" xfId="0" applyFont="1" applyBorder="1" applyAlignment="1">
      <alignment vertical="center"/>
    </xf>
    <xf numFmtId="0" fontId="16" fillId="0" borderId="26" xfId="0" applyFont="1" applyBorder="1" applyAlignment="1">
      <alignment vertical="center"/>
    </xf>
    <xf numFmtId="0" fontId="16" fillId="4" borderId="5" xfId="0" applyFont="1" applyFill="1" applyBorder="1" applyAlignment="1">
      <alignment vertical="center"/>
    </xf>
    <xf numFmtId="0" fontId="16" fillId="0" borderId="5" xfId="0" applyFont="1" applyBorder="1" applyAlignment="1">
      <alignment vertical="center"/>
    </xf>
    <xf numFmtId="0" fontId="24" fillId="4" borderId="23" xfId="0" applyFont="1" applyFill="1" applyBorder="1" applyAlignment="1">
      <alignment horizontal="center" vertical="center"/>
    </xf>
    <xf numFmtId="0" fontId="40" fillId="0" borderId="0" xfId="0" applyFont="1"/>
    <xf numFmtId="0" fontId="41" fillId="4" borderId="23" xfId="0" applyFont="1" applyFill="1" applyBorder="1" applyAlignment="1">
      <alignment horizontal="center" vertical="center"/>
    </xf>
    <xf numFmtId="0" fontId="0" fillId="0" borderId="0" xfId="0" applyNumberFormat="1" applyFill="1" applyBorder="1"/>
    <xf numFmtId="0" fontId="16" fillId="0" borderId="0" xfId="0" applyFont="1" applyFill="1" applyBorder="1" applyAlignment="1">
      <alignment horizontal="center" vertical="center"/>
    </xf>
    <xf numFmtId="0" fontId="41" fillId="4" borderId="20" xfId="0" applyFont="1" applyFill="1" applyBorder="1" applyAlignment="1">
      <alignment horizontal="center" vertical="center"/>
    </xf>
    <xf numFmtId="0" fontId="41" fillId="0" borderId="5" xfId="0" applyFont="1" applyBorder="1" applyAlignment="1">
      <alignment horizontal="center" vertical="center"/>
    </xf>
    <xf numFmtId="0" fontId="16" fillId="0" borderId="4" xfId="0" applyFont="1" applyFill="1" applyBorder="1" applyAlignment="1">
      <alignment horizontal="center" vertical="center"/>
    </xf>
    <xf numFmtId="0" fontId="24" fillId="0" borderId="28" xfId="0" applyFont="1" applyBorder="1" applyAlignment="1">
      <alignment horizontal="center"/>
    </xf>
    <xf numFmtId="0" fontId="24" fillId="0" borderId="29" xfId="0" applyFont="1" applyBorder="1" applyAlignment="1">
      <alignment horizontal="center"/>
    </xf>
    <xf numFmtId="0" fontId="41" fillId="0" borderId="13" xfId="0" applyFont="1" applyBorder="1" applyAlignment="1">
      <alignment horizontal="center" vertical="center"/>
    </xf>
    <xf numFmtId="0" fontId="16" fillId="0" borderId="5" xfId="0" applyFont="1" applyFill="1" applyBorder="1" applyAlignment="1">
      <alignment horizontal="center" vertical="center"/>
    </xf>
    <xf numFmtId="0" fontId="16" fillId="0" borderId="19" xfId="0" applyFont="1" applyFill="1" applyBorder="1" applyAlignment="1">
      <alignment horizontal="center" vertical="center"/>
    </xf>
    <xf numFmtId="0" fontId="16" fillId="0" borderId="13" xfId="0" applyFont="1" applyFill="1" applyBorder="1" applyAlignment="1">
      <alignment horizontal="center" vertical="center"/>
    </xf>
    <xf numFmtId="0" fontId="24" fillId="0" borderId="21" xfId="0" applyFont="1" applyBorder="1" applyAlignment="1">
      <alignment horizontal="center"/>
    </xf>
    <xf numFmtId="0" fontId="24" fillId="0" borderId="23" xfId="0" applyFont="1" applyBorder="1" applyAlignment="1">
      <alignment horizontal="center"/>
    </xf>
    <xf numFmtId="0" fontId="24" fillId="0" borderId="24" xfId="0" applyFont="1" applyBorder="1" applyAlignment="1">
      <alignment horizontal="center"/>
    </xf>
    <xf numFmtId="0" fontId="41" fillId="0" borderId="19" xfId="0" applyFont="1" applyBorder="1" applyAlignment="1">
      <alignment horizontal="center" vertical="center"/>
    </xf>
    <xf numFmtId="0" fontId="16" fillId="0" borderId="12" xfId="0" applyFont="1" applyFill="1" applyBorder="1" applyAlignment="1">
      <alignment horizontal="center" vertical="center"/>
    </xf>
    <xf numFmtId="0" fontId="41" fillId="0" borderId="12" xfId="0" applyFont="1" applyBorder="1" applyAlignment="1">
      <alignment horizontal="center" vertical="center"/>
    </xf>
    <xf numFmtId="0" fontId="41" fillId="0" borderId="20" xfId="0" applyFont="1" applyBorder="1" applyAlignment="1">
      <alignment horizontal="center"/>
    </xf>
    <xf numFmtId="0" fontId="41" fillId="0" borderId="25" xfId="0" applyFont="1" applyBorder="1" applyAlignment="1">
      <alignment horizontal="center"/>
    </xf>
    <xf numFmtId="0" fontId="24" fillId="0" borderId="12" xfId="0" applyFont="1" applyBorder="1" applyAlignment="1">
      <alignment horizontal="center"/>
    </xf>
    <xf numFmtId="10" fontId="0" fillId="0" borderId="0" xfId="0" applyNumberFormat="1" applyFill="1" applyBorder="1"/>
    <xf numFmtId="0" fontId="24" fillId="0" borderId="20" xfId="0" applyFont="1" applyFill="1" applyBorder="1" applyAlignment="1">
      <alignment horizontal="center"/>
    </xf>
    <xf numFmtId="0" fontId="16" fillId="0" borderId="18" xfId="0" applyFont="1" applyFill="1" applyBorder="1" applyAlignment="1">
      <alignment horizontal="center" vertical="center"/>
    </xf>
    <xf numFmtId="0" fontId="16" fillId="4" borderId="0" xfId="0" applyFont="1" applyFill="1" applyBorder="1" applyAlignment="1">
      <alignment horizontal="center" vertical="center"/>
    </xf>
    <xf numFmtId="0" fontId="42" fillId="0" borderId="0" xfId="0" applyFont="1" applyAlignment="1">
      <alignment horizontal="center" vertical="center"/>
    </xf>
    <xf numFmtId="0" fontId="3" fillId="7" borderId="0" xfId="0" applyFont="1" applyFill="1" applyProtection="1">
      <protection locked="0"/>
    </xf>
    <xf numFmtId="0" fontId="0" fillId="18" borderId="0" xfId="0" applyFill="1"/>
    <xf numFmtId="0" fontId="3" fillId="0" borderId="0" xfId="1" applyFont="1" applyFill="1" applyAlignment="1" applyProtection="1">
      <alignment wrapText="1"/>
      <protection locked="0"/>
    </xf>
    <xf numFmtId="0" fontId="32" fillId="8" borderId="0" xfId="0" applyFont="1" applyFill="1"/>
    <xf numFmtId="0" fontId="13" fillId="17" borderId="0" xfId="0" applyFont="1" applyFill="1" applyBorder="1" applyAlignment="1">
      <alignment horizontal="right" vertical="top"/>
    </xf>
    <xf numFmtId="0" fontId="13" fillId="0" borderId="0" xfId="0" applyFont="1" applyBorder="1" applyAlignment="1">
      <alignment horizontal="left" vertical="top" wrapText="1"/>
    </xf>
    <xf numFmtId="0" fontId="13" fillId="16" borderId="0" xfId="0" applyFont="1" applyFill="1" applyBorder="1" applyAlignment="1">
      <alignment horizontal="right" vertical="top"/>
    </xf>
    <xf numFmtId="0" fontId="41" fillId="4" borderId="0" xfId="0" applyFont="1" applyFill="1" applyBorder="1" applyAlignment="1">
      <alignment horizontal="center" vertical="center"/>
    </xf>
    <xf numFmtId="0" fontId="16" fillId="0" borderId="5" xfId="0" applyFont="1" applyBorder="1" applyAlignment="1">
      <alignment horizontal="center"/>
    </xf>
    <xf numFmtId="0" fontId="43" fillId="0" borderId="0" xfId="0" applyFont="1" applyAlignment="1">
      <alignment vertical="center"/>
    </xf>
    <xf numFmtId="0" fontId="10" fillId="2" borderId="0" xfId="0" applyFont="1" applyFill="1" applyBorder="1" applyAlignment="1">
      <alignment horizontal="center" vertical="center" textRotation="90"/>
    </xf>
    <xf numFmtId="0" fontId="11" fillId="3" borderId="0" xfId="0" applyFont="1" applyFill="1" applyBorder="1" applyAlignment="1">
      <alignment horizontal="center" vertical="center" textRotation="90" wrapText="1"/>
    </xf>
    <xf numFmtId="0" fontId="1" fillId="0" borderId="0" xfId="1" applyFont="1" applyProtection="1">
      <protection locked="0"/>
    </xf>
    <xf numFmtId="10" fontId="24" fillId="0" borderId="12" xfId="0" applyNumberFormat="1" applyFont="1" applyBorder="1" applyAlignment="1">
      <alignment horizontal="center"/>
    </xf>
    <xf numFmtId="10" fontId="41" fillId="0" borderId="0" xfId="0" applyNumberFormat="1" applyFont="1" applyBorder="1" applyAlignment="1">
      <alignment horizontal="center"/>
    </xf>
    <xf numFmtId="10" fontId="24" fillId="0" borderId="0" xfId="0" applyNumberFormat="1" applyFont="1" applyBorder="1" applyAlignment="1">
      <alignment horizontal="center"/>
    </xf>
    <xf numFmtId="10" fontId="0" fillId="0" borderId="0" xfId="0" applyNumberFormat="1"/>
    <xf numFmtId="10" fontId="42" fillId="0" borderId="32" xfId="0" applyNumberFormat="1" applyFont="1" applyFill="1" applyBorder="1" applyAlignment="1">
      <alignment vertical="center"/>
    </xf>
    <xf numFmtId="0" fontId="13" fillId="3" borderId="21" xfId="0" applyFont="1" applyFill="1" applyBorder="1" applyAlignment="1">
      <alignment vertical="top"/>
    </xf>
    <xf numFmtId="0" fontId="13" fillId="3" borderId="18" xfId="0" applyFont="1" applyFill="1" applyBorder="1" applyAlignment="1">
      <alignment vertical="top"/>
    </xf>
    <xf numFmtId="0" fontId="13" fillId="3" borderId="8" xfId="0" applyFont="1" applyFill="1" applyBorder="1" applyAlignment="1">
      <alignment vertical="top"/>
    </xf>
    <xf numFmtId="0" fontId="13" fillId="4" borderId="22" xfId="0" applyFont="1" applyFill="1" applyBorder="1" applyAlignment="1">
      <alignment vertical="top" wrapText="1"/>
    </xf>
    <xf numFmtId="0" fontId="13" fillId="4" borderId="0" xfId="0" applyFont="1" applyFill="1" applyBorder="1" applyAlignment="1">
      <alignment vertical="top" wrapText="1"/>
    </xf>
    <xf numFmtId="0" fontId="13" fillId="4" borderId="16" xfId="0" applyFont="1" applyFill="1" applyBorder="1" applyAlignment="1">
      <alignment vertical="top" wrapText="1"/>
    </xf>
    <xf numFmtId="0" fontId="16" fillId="4" borderId="22" xfId="0" applyFont="1" applyFill="1" applyBorder="1" applyAlignment="1">
      <alignment vertical="center"/>
    </xf>
    <xf numFmtId="0" fontId="16" fillId="4" borderId="0" xfId="0" applyFont="1" applyFill="1" applyBorder="1" applyAlignment="1">
      <alignment vertical="center"/>
    </xf>
    <xf numFmtId="0" fontId="16" fillId="4" borderId="16" xfId="0" applyFont="1" applyFill="1" applyBorder="1" applyAlignment="1">
      <alignment vertical="center"/>
    </xf>
    <xf numFmtId="0" fontId="42" fillId="0" borderId="30" xfId="0" applyFont="1" applyFill="1" applyBorder="1" applyAlignment="1">
      <alignment vertical="center"/>
    </xf>
    <xf numFmtId="0" fontId="42" fillId="0" borderId="32" xfId="0" applyFont="1" applyFill="1" applyBorder="1" applyAlignment="1">
      <alignment vertical="center"/>
    </xf>
    <xf numFmtId="0" fontId="42" fillId="0" borderId="34" xfId="0" applyFont="1" applyFill="1" applyBorder="1" applyAlignment="1">
      <alignment vertical="center"/>
    </xf>
    <xf numFmtId="0" fontId="42" fillId="0" borderId="31" xfId="0" applyFont="1" applyFill="1" applyBorder="1" applyAlignment="1">
      <alignment vertical="center"/>
    </xf>
    <xf numFmtId="0" fontId="42" fillId="0" borderId="33" xfId="0" applyFont="1" applyFill="1" applyBorder="1" applyAlignment="1">
      <alignment vertical="center"/>
    </xf>
    <xf numFmtId="0" fontId="42" fillId="0" borderId="35" xfId="0" applyFont="1" applyFill="1" applyBorder="1" applyAlignment="1">
      <alignment vertical="center"/>
    </xf>
    <xf numFmtId="10" fontId="24" fillId="0" borderId="0" xfId="0" applyNumberFormat="1" applyFont="1" applyAlignment="1">
      <alignment horizontal="center"/>
    </xf>
    <xf numFmtId="10" fontId="16" fillId="0" borderId="0" xfId="0" applyNumberFormat="1" applyFont="1" applyBorder="1" applyAlignment="1">
      <alignment vertical="center"/>
    </xf>
    <xf numFmtId="10" fontId="16" fillId="3" borderId="0" xfId="0" applyNumberFormat="1" applyFont="1" applyFill="1" applyBorder="1" applyAlignment="1">
      <alignment horizontal="center" vertical="center"/>
    </xf>
    <xf numFmtId="10" fontId="44" fillId="0" borderId="0" xfId="0" applyNumberFormat="1" applyFont="1" applyFill="1" applyBorder="1" applyAlignment="1">
      <alignment horizontal="center" vertical="center"/>
    </xf>
    <xf numFmtId="0" fontId="45" fillId="0" borderId="0" xfId="0" applyFont="1" applyFill="1" applyBorder="1" applyAlignment="1">
      <alignment vertical="center"/>
    </xf>
    <xf numFmtId="0" fontId="44" fillId="0" borderId="0" xfId="0" applyFont="1" applyFill="1" applyBorder="1" applyAlignment="1">
      <alignment vertical="center"/>
    </xf>
    <xf numFmtId="0" fontId="2" fillId="0" borderId="0" xfId="1" applyFont="1" applyAlignment="1" applyProtection="1">
      <alignment horizontal="center" wrapText="1"/>
      <protection locked="0"/>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2" fillId="3" borderId="4" xfId="0" applyFont="1" applyFill="1" applyBorder="1" applyAlignment="1">
      <alignment horizontal="left" vertical="center" wrapText="1"/>
    </xf>
    <xf numFmtId="0" fontId="13" fillId="0" borderId="4" xfId="0" applyFont="1" applyBorder="1" applyAlignment="1">
      <alignment horizontal="left" vertical="top" wrapText="1"/>
    </xf>
    <xf numFmtId="0" fontId="13" fillId="0" borderId="12" xfId="0" applyFont="1" applyBorder="1" applyAlignment="1">
      <alignment horizontal="left" vertical="top" wrapText="1"/>
    </xf>
    <xf numFmtId="0" fontId="14" fillId="3" borderId="4" xfId="0" applyFont="1" applyFill="1" applyBorder="1" applyAlignment="1">
      <alignment horizontal="left" vertical="center"/>
    </xf>
    <xf numFmtId="0" fontId="12" fillId="3" borderId="4" xfId="0" applyFont="1" applyFill="1" applyBorder="1" applyAlignment="1">
      <alignment horizontal="left" vertical="center"/>
    </xf>
    <xf numFmtId="0" fontId="10" fillId="2" borderId="2" xfId="0" applyFont="1" applyFill="1" applyBorder="1" applyAlignment="1">
      <alignment horizontal="center" vertical="center" textRotation="90"/>
    </xf>
    <xf numFmtId="0" fontId="10" fillId="2" borderId="6" xfId="0" applyFont="1" applyFill="1" applyBorder="1" applyAlignment="1">
      <alignment horizontal="center" vertical="center" textRotation="90"/>
    </xf>
    <xf numFmtId="0" fontId="10" fillId="2" borderId="14" xfId="0" applyFont="1" applyFill="1" applyBorder="1" applyAlignment="1">
      <alignment horizontal="center" vertical="center" textRotation="90"/>
    </xf>
    <xf numFmtId="0" fontId="11" fillId="3" borderId="3" xfId="0" applyFont="1" applyFill="1" applyBorder="1" applyAlignment="1">
      <alignment horizontal="center" vertical="center" textRotation="90" wrapText="1"/>
    </xf>
    <xf numFmtId="0" fontId="11" fillId="3" borderId="7" xfId="0" applyFont="1" applyFill="1" applyBorder="1" applyAlignment="1">
      <alignment horizontal="center" vertical="center" textRotation="90" wrapText="1"/>
    </xf>
    <xf numFmtId="0" fontId="11" fillId="3" borderId="15" xfId="0" applyFont="1" applyFill="1" applyBorder="1" applyAlignment="1">
      <alignment horizontal="center" vertical="center" textRotation="90" wrapText="1"/>
    </xf>
    <xf numFmtId="0" fontId="13" fillId="3" borderId="4" xfId="0" applyFont="1" applyFill="1" applyBorder="1" applyAlignment="1">
      <alignment horizontal="left" vertical="center"/>
    </xf>
    <xf numFmtId="0" fontId="10" fillId="2" borderId="0" xfId="0" applyFont="1" applyFill="1" applyBorder="1" applyAlignment="1">
      <alignment horizontal="center" vertical="center" textRotation="90"/>
    </xf>
    <xf numFmtId="0" fontId="11" fillId="3" borderId="0" xfId="0" applyFont="1" applyFill="1" applyBorder="1" applyAlignment="1">
      <alignment horizontal="center" vertical="center" textRotation="90" wrapText="1"/>
    </xf>
    <xf numFmtId="0" fontId="14" fillId="3" borderId="16" xfId="0" applyFont="1" applyFill="1" applyBorder="1" applyAlignment="1">
      <alignment horizontal="left" vertical="center"/>
    </xf>
    <xf numFmtId="0" fontId="12" fillId="3" borderId="16" xfId="0" applyFont="1" applyFill="1" applyBorder="1" applyAlignment="1">
      <alignment horizontal="left" vertical="center"/>
    </xf>
    <xf numFmtId="0" fontId="12" fillId="3" borderId="0" xfId="0" applyFont="1" applyFill="1" applyBorder="1" applyAlignment="1">
      <alignment horizontal="left" vertical="center"/>
    </xf>
    <xf numFmtId="0" fontId="13" fillId="0" borderId="16" xfId="0" applyFont="1" applyBorder="1" applyAlignment="1">
      <alignment horizontal="left" vertical="top" wrapText="1"/>
    </xf>
    <xf numFmtId="0" fontId="13" fillId="0" borderId="22" xfId="0" applyFont="1" applyBorder="1" applyAlignment="1">
      <alignment horizontal="left" vertical="top" wrapText="1"/>
    </xf>
    <xf numFmtId="0" fontId="13" fillId="4" borderId="22" xfId="0" applyFont="1" applyFill="1" applyBorder="1" applyAlignment="1">
      <alignment horizontal="center" vertical="top" wrapText="1"/>
    </xf>
    <xf numFmtId="0" fontId="14" fillId="3" borderId="0" xfId="0" applyFont="1" applyFill="1" applyBorder="1" applyAlignment="1">
      <alignment horizontal="left" vertical="center"/>
    </xf>
    <xf numFmtId="0" fontId="13" fillId="0" borderId="27" xfId="0" applyFont="1" applyBorder="1" applyAlignment="1">
      <alignment horizontal="left" vertical="top" wrapText="1"/>
    </xf>
  </cellXfs>
  <cellStyles count="2">
    <cellStyle name="Standard" xfId="0" builtinId="0"/>
    <cellStyle name="Standard 2" xfId="1" xr:uid="{00000000-0005-0000-0000-00002F000000}"/>
  </cellStyles>
  <dxfs count="0"/>
  <tableStyles count="0" defaultTableStyle="TableStyleMedium2" defaultPivotStyle="PivotStyleLight16"/>
  <colors>
    <mruColors>
      <color rgb="FFFAD4ED"/>
      <color rgb="FFFF00FF"/>
      <color rgb="FF99FFCC"/>
      <color rgb="FFB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F7220-D53B-4BEC-A35D-20B789574B85}">
  <sheetPr codeName="Tabelle2" filterMode="1"/>
  <dimension ref="A1:H7"/>
  <sheetViews>
    <sheetView zoomScale="87" zoomScaleNormal="87" workbookViewId="0">
      <selection activeCell="D28" sqref="D28"/>
    </sheetView>
  </sheetViews>
  <sheetFormatPr baseColWidth="10" defaultRowHeight="12.75" x14ac:dyDescent="0.2"/>
  <cols>
    <col min="1" max="1" width="18.85546875" customWidth="1"/>
    <col min="2" max="2" width="18" bestFit="1" customWidth="1"/>
    <col min="3" max="3" width="48.42578125" bestFit="1" customWidth="1"/>
    <col min="4" max="4" width="165.28515625" bestFit="1" customWidth="1"/>
    <col min="5" max="5" width="24.42578125" customWidth="1"/>
    <col min="6" max="6" width="49.140625" customWidth="1"/>
  </cols>
  <sheetData>
    <row r="1" spans="1:8" ht="31.5" customHeight="1" x14ac:dyDescent="0.2">
      <c r="A1" s="13" t="s">
        <v>0</v>
      </c>
      <c r="B1" s="14" t="s">
        <v>2</v>
      </c>
      <c r="C1" s="14" t="s">
        <v>3</v>
      </c>
      <c r="D1" s="15" t="s">
        <v>533</v>
      </c>
      <c r="E1" s="14" t="s">
        <v>1</v>
      </c>
      <c r="F1" s="1" t="s">
        <v>529</v>
      </c>
      <c r="H1" s="1"/>
    </row>
    <row r="2" spans="1:8" ht="39" customHeight="1" x14ac:dyDescent="0.2">
      <c r="A2" s="9">
        <v>7</v>
      </c>
      <c r="B2" s="9" t="s">
        <v>523</v>
      </c>
      <c r="C2" s="9" t="s">
        <v>4</v>
      </c>
      <c r="D2" s="207" t="s">
        <v>537</v>
      </c>
      <c r="E2" s="10" t="s">
        <v>25</v>
      </c>
      <c r="F2" s="9" t="s">
        <v>38</v>
      </c>
      <c r="G2" s="16"/>
    </row>
    <row r="3" spans="1:8" ht="15" x14ac:dyDescent="0.2">
      <c r="A3" s="9">
        <v>73</v>
      </c>
      <c r="B3" s="9" t="s">
        <v>523</v>
      </c>
      <c r="C3" s="9" t="s">
        <v>4</v>
      </c>
      <c r="D3" s="200" t="s">
        <v>538</v>
      </c>
      <c r="E3" s="9" t="s">
        <v>25</v>
      </c>
      <c r="F3" s="9" t="s">
        <v>37</v>
      </c>
    </row>
    <row r="4" spans="1:8" ht="15" x14ac:dyDescent="0.2">
      <c r="A4" s="9">
        <v>76</v>
      </c>
      <c r="B4" s="9" t="s">
        <v>523</v>
      </c>
      <c r="C4" s="9" t="s">
        <v>5</v>
      </c>
      <c r="D4" s="200" t="s">
        <v>562</v>
      </c>
      <c r="E4" s="159" t="s">
        <v>25</v>
      </c>
      <c r="F4" s="9" t="s">
        <v>42</v>
      </c>
      <c r="G4" s="9"/>
    </row>
    <row r="5" spans="1:8" ht="75" x14ac:dyDescent="0.2">
      <c r="A5" s="9">
        <v>109</v>
      </c>
      <c r="B5" s="9" t="s">
        <v>523</v>
      </c>
      <c r="C5" s="9" t="s">
        <v>7</v>
      </c>
      <c r="D5" s="200" t="s">
        <v>468</v>
      </c>
      <c r="E5" s="9" t="s">
        <v>25</v>
      </c>
      <c r="F5" s="9" t="s">
        <v>37</v>
      </c>
    </row>
    <row r="6" spans="1:8" ht="15" x14ac:dyDescent="0.2">
      <c r="A6" s="12">
        <v>72</v>
      </c>
      <c r="B6" s="9" t="s">
        <v>524</v>
      </c>
      <c r="C6" s="11" t="s">
        <v>8</v>
      </c>
      <c r="D6" s="48" t="s">
        <v>466</v>
      </c>
      <c r="E6" s="9" t="s">
        <v>25</v>
      </c>
      <c r="F6" s="9" t="s">
        <v>42</v>
      </c>
      <c r="G6" s="9"/>
    </row>
    <row r="7" spans="1:8" ht="15" x14ac:dyDescent="0.2">
      <c r="A7" s="12">
        <v>97</v>
      </c>
      <c r="B7" s="9" t="s">
        <v>524</v>
      </c>
      <c r="C7" s="11" t="s">
        <v>6</v>
      </c>
      <c r="D7" s="48" t="s">
        <v>467</v>
      </c>
      <c r="E7" s="9" t="s">
        <v>25</v>
      </c>
      <c r="F7" s="9" t="s">
        <v>39</v>
      </c>
      <c r="G7" s="9"/>
    </row>
  </sheetData>
  <autoFilter ref="A1:H7" xr:uid="{2616D146-90B9-43EC-B3D3-6CA0BA419DA0}">
    <filterColumn colId="4">
      <filters>
        <filter val="Informativeness"/>
      </filters>
    </filterColumn>
  </autoFilter>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E37D8-DD63-4B60-AD8A-678D5948891D}">
  <sheetPr codeName="Tabelle3">
    <pageSetUpPr fitToPage="1"/>
  </sheetPr>
  <dimension ref="A1:D28"/>
  <sheetViews>
    <sheetView workbookViewId="0">
      <selection activeCell="I39" sqref="I39"/>
    </sheetView>
  </sheetViews>
  <sheetFormatPr baseColWidth="10" defaultRowHeight="12.75" x14ac:dyDescent="0.2"/>
  <cols>
    <col min="1" max="1" width="15.28515625" bestFit="1" customWidth="1"/>
    <col min="2" max="2" width="61.85546875" style="7" bestFit="1" customWidth="1"/>
    <col min="3" max="3" width="14.7109375" bestFit="1" customWidth="1"/>
    <col min="4" max="4" width="93.42578125" customWidth="1"/>
  </cols>
  <sheetData>
    <row r="1" spans="1:4" x14ac:dyDescent="0.2">
      <c r="A1" s="144" t="s">
        <v>23</v>
      </c>
      <c r="B1" s="145" t="s">
        <v>83</v>
      </c>
      <c r="C1" s="146" t="s">
        <v>28</v>
      </c>
      <c r="D1" s="147" t="s">
        <v>55</v>
      </c>
    </row>
    <row r="2" spans="1:4" s="7" customFormat="1" x14ac:dyDescent="0.2">
      <c r="A2" s="148"/>
      <c r="B2" s="149"/>
      <c r="C2" s="139" t="s">
        <v>29</v>
      </c>
      <c r="D2" s="150" t="s">
        <v>56</v>
      </c>
    </row>
    <row r="3" spans="1:4" s="7" customFormat="1" ht="13.5" thickBot="1" x14ac:dyDescent="0.25">
      <c r="A3" s="151"/>
      <c r="B3" s="152"/>
      <c r="C3" s="102" t="s">
        <v>30</v>
      </c>
      <c r="D3" s="153" t="s">
        <v>57</v>
      </c>
    </row>
    <row r="4" spans="1:4" x14ac:dyDescent="0.2">
      <c r="A4" s="144" t="s">
        <v>24</v>
      </c>
      <c r="B4" s="145" t="s">
        <v>84</v>
      </c>
      <c r="C4" s="146" t="s">
        <v>31</v>
      </c>
      <c r="D4" s="147" t="s">
        <v>58</v>
      </c>
    </row>
    <row r="5" spans="1:4" s="7" customFormat="1" x14ac:dyDescent="0.2">
      <c r="A5" s="148"/>
      <c r="B5" s="149"/>
      <c r="C5" s="139" t="s">
        <v>32</v>
      </c>
      <c r="D5" s="150" t="s">
        <v>59</v>
      </c>
    </row>
    <row r="6" spans="1:4" s="7" customFormat="1" x14ac:dyDescent="0.2">
      <c r="A6" s="148"/>
      <c r="B6" s="149"/>
      <c r="C6" s="139" t="s">
        <v>33</v>
      </c>
      <c r="D6" s="150" t="s">
        <v>88</v>
      </c>
    </row>
    <row r="7" spans="1:4" s="7" customFormat="1" x14ac:dyDescent="0.2">
      <c r="A7" s="148"/>
      <c r="B7" s="149"/>
      <c r="C7" s="139" t="s">
        <v>34</v>
      </c>
      <c r="D7" s="150" t="s">
        <v>60</v>
      </c>
    </row>
    <row r="8" spans="1:4" s="7" customFormat="1" x14ac:dyDescent="0.2">
      <c r="A8" s="148"/>
      <c r="B8" s="149"/>
      <c r="C8" s="139" t="s">
        <v>87</v>
      </c>
      <c r="D8" s="150" t="s">
        <v>61</v>
      </c>
    </row>
    <row r="9" spans="1:4" s="7" customFormat="1" x14ac:dyDescent="0.2">
      <c r="A9" s="148"/>
      <c r="B9" s="149"/>
      <c r="C9" s="139" t="s">
        <v>35</v>
      </c>
      <c r="D9" s="150" t="s">
        <v>62</v>
      </c>
    </row>
    <row r="10" spans="1:4" s="7" customFormat="1" ht="13.5" thickBot="1" x14ac:dyDescent="0.25">
      <c r="A10" s="151"/>
      <c r="B10" s="152"/>
      <c r="C10" s="102" t="s">
        <v>36</v>
      </c>
      <c r="D10" s="153" t="s">
        <v>63</v>
      </c>
    </row>
    <row r="11" spans="1:4" s="7" customFormat="1" x14ac:dyDescent="0.2">
      <c r="A11" s="154" t="s">
        <v>25</v>
      </c>
      <c r="B11" s="146" t="s">
        <v>64</v>
      </c>
      <c r="C11" s="146" t="s">
        <v>37</v>
      </c>
      <c r="D11" s="147" t="s">
        <v>65</v>
      </c>
    </row>
    <row r="12" spans="1:4" s="7" customFormat="1" x14ac:dyDescent="0.2">
      <c r="A12" s="148"/>
      <c r="B12" s="149"/>
      <c r="C12" s="139" t="s">
        <v>38</v>
      </c>
      <c r="D12" s="150" t="s">
        <v>66</v>
      </c>
    </row>
    <row r="13" spans="1:4" s="7" customFormat="1" x14ac:dyDescent="0.2">
      <c r="A13" s="148"/>
      <c r="B13" s="149"/>
      <c r="C13" s="139" t="s">
        <v>39</v>
      </c>
      <c r="D13" s="150" t="s">
        <v>67</v>
      </c>
    </row>
    <row r="14" spans="1:4" s="7" customFormat="1" x14ac:dyDescent="0.2">
      <c r="A14" s="148"/>
      <c r="B14" s="149"/>
      <c r="C14" s="139" t="s">
        <v>40</v>
      </c>
      <c r="D14" s="150" t="s">
        <v>68</v>
      </c>
    </row>
    <row r="15" spans="1:4" s="7" customFormat="1" x14ac:dyDescent="0.2">
      <c r="A15" s="148"/>
      <c r="B15" s="149"/>
      <c r="C15" s="139" t="s">
        <v>41</v>
      </c>
      <c r="D15" s="150" t="s">
        <v>69</v>
      </c>
    </row>
    <row r="16" spans="1:4" s="7" customFormat="1" x14ac:dyDescent="0.2">
      <c r="A16" s="148"/>
      <c r="B16" s="149"/>
      <c r="C16" s="139" t="s">
        <v>42</v>
      </c>
      <c r="D16" s="150" t="s">
        <v>70</v>
      </c>
    </row>
    <row r="17" spans="1:4" s="7" customFormat="1" x14ac:dyDescent="0.2">
      <c r="A17" s="148"/>
      <c r="B17" s="149"/>
      <c r="C17" s="139" t="s">
        <v>43</v>
      </c>
      <c r="D17" s="150" t="s">
        <v>71</v>
      </c>
    </row>
    <row r="18" spans="1:4" s="7" customFormat="1" ht="13.5" thickBot="1" x14ac:dyDescent="0.25">
      <c r="A18" s="151"/>
      <c r="B18" s="152"/>
      <c r="C18" s="102" t="s">
        <v>44</v>
      </c>
      <c r="D18" s="153" t="s">
        <v>72</v>
      </c>
    </row>
    <row r="19" spans="1:4" x14ac:dyDescent="0.2">
      <c r="A19" s="144" t="s">
        <v>26</v>
      </c>
      <c r="B19" s="145" t="s">
        <v>85</v>
      </c>
      <c r="C19" s="146" t="s">
        <v>45</v>
      </c>
      <c r="D19" s="147" t="s">
        <v>73</v>
      </c>
    </row>
    <row r="20" spans="1:4" s="7" customFormat="1" x14ac:dyDescent="0.2">
      <c r="A20" s="148"/>
      <c r="B20" s="149"/>
      <c r="C20" s="139" t="s">
        <v>46</v>
      </c>
      <c r="D20" s="150" t="s">
        <v>74</v>
      </c>
    </row>
    <row r="21" spans="1:4" s="7" customFormat="1" x14ac:dyDescent="0.2">
      <c r="A21" s="148"/>
      <c r="B21" s="149"/>
      <c r="C21" s="139" t="s">
        <v>47</v>
      </c>
      <c r="D21" s="150" t="s">
        <v>75</v>
      </c>
    </row>
    <row r="22" spans="1:4" s="7" customFormat="1" x14ac:dyDescent="0.2">
      <c r="A22" s="148"/>
      <c r="B22" s="149"/>
      <c r="C22" s="139" t="s">
        <v>48</v>
      </c>
      <c r="D22" s="150" t="s">
        <v>76</v>
      </c>
    </row>
    <row r="23" spans="1:4" ht="13.5" thickBot="1" x14ac:dyDescent="0.25">
      <c r="A23" s="151"/>
      <c r="B23" s="152"/>
      <c r="C23" s="102" t="s">
        <v>49</v>
      </c>
      <c r="D23" s="153" t="s">
        <v>77</v>
      </c>
    </row>
    <row r="24" spans="1:4" x14ac:dyDescent="0.2">
      <c r="A24" s="144" t="s">
        <v>27</v>
      </c>
      <c r="B24" s="145" t="s">
        <v>86</v>
      </c>
      <c r="C24" s="146" t="s">
        <v>50</v>
      </c>
      <c r="D24" s="147" t="s">
        <v>78</v>
      </c>
    </row>
    <row r="25" spans="1:4" x14ac:dyDescent="0.2">
      <c r="A25" s="148"/>
      <c r="B25" s="149"/>
      <c r="C25" s="139" t="s">
        <v>51</v>
      </c>
      <c r="D25" s="150" t="s">
        <v>79</v>
      </c>
    </row>
    <row r="26" spans="1:4" x14ac:dyDescent="0.2">
      <c r="A26" s="148"/>
      <c r="B26" s="149"/>
      <c r="C26" s="139" t="s">
        <v>52</v>
      </c>
      <c r="D26" s="150" t="s">
        <v>80</v>
      </c>
    </row>
    <row r="27" spans="1:4" x14ac:dyDescent="0.2">
      <c r="A27" s="148"/>
      <c r="B27" s="149"/>
      <c r="C27" s="139" t="s">
        <v>53</v>
      </c>
      <c r="D27" s="150" t="s">
        <v>81</v>
      </c>
    </row>
    <row r="28" spans="1:4" ht="13.5" thickBot="1" x14ac:dyDescent="0.25">
      <c r="A28" s="151"/>
      <c r="B28" s="152"/>
      <c r="C28" s="102" t="s">
        <v>54</v>
      </c>
      <c r="D28" s="153" t="s">
        <v>82</v>
      </c>
    </row>
  </sheetData>
  <pageMargins left="0.7" right="0.7" top="0.78740157499999996" bottom="0.78740157499999996"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FC884-10CD-49ED-B638-A9A842CF41D2}">
  <sheetPr codeName="Tabelle4"/>
  <dimension ref="A1:K90"/>
  <sheetViews>
    <sheetView topLeftCell="A68" zoomScale="64" zoomScaleNormal="64" workbookViewId="0">
      <selection activeCell="C2" sqref="C2:C88"/>
    </sheetView>
  </sheetViews>
  <sheetFormatPr baseColWidth="10" defaultRowHeight="15" x14ac:dyDescent="0.2"/>
  <cols>
    <col min="1" max="1" width="14.28515625" style="9" customWidth="1"/>
    <col min="2" max="2" width="22.140625" style="9" bestFit="1" customWidth="1"/>
    <col min="3" max="3" width="183.5703125" style="9" bestFit="1" customWidth="1"/>
    <col min="4" max="4" width="20.7109375" style="9" customWidth="1"/>
    <col min="5" max="5" width="22.5703125" style="9" customWidth="1"/>
    <col min="6" max="6" width="13" style="9" customWidth="1"/>
    <col min="7" max="7" width="13.28515625" style="9" customWidth="1"/>
    <col min="8" max="8" width="8.5703125" style="9" customWidth="1"/>
    <col min="9" max="9" width="8.28515625" style="9" customWidth="1"/>
    <col min="10" max="10" width="12.28515625" style="9" customWidth="1"/>
    <col min="11" max="11" width="10.85546875" style="9" customWidth="1"/>
    <col min="12" max="16384" width="11.42578125" style="9"/>
  </cols>
  <sheetData>
    <row r="1" spans="1:11" ht="50.25" customHeight="1" x14ac:dyDescent="0.25">
      <c r="A1" s="21" t="s">
        <v>0</v>
      </c>
      <c r="B1" s="20" t="s">
        <v>2</v>
      </c>
      <c r="C1" s="19" t="s">
        <v>531</v>
      </c>
      <c r="D1" s="19" t="s">
        <v>530</v>
      </c>
      <c r="E1" s="19" t="s">
        <v>130</v>
      </c>
      <c r="F1" s="19" t="s">
        <v>131</v>
      </c>
      <c r="G1" s="19" t="s">
        <v>136</v>
      </c>
      <c r="H1" s="237" t="s">
        <v>137</v>
      </c>
      <c r="I1" s="237"/>
      <c r="J1" s="237" t="s">
        <v>138</v>
      </c>
      <c r="K1" s="237"/>
    </row>
    <row r="2" spans="1:11" x14ac:dyDescent="0.2">
      <c r="A2" s="10">
        <v>6</v>
      </c>
      <c r="B2" s="9" t="s">
        <v>523</v>
      </c>
      <c r="C2" s="17" t="s">
        <v>441</v>
      </c>
      <c r="D2" s="17" t="s">
        <v>111</v>
      </c>
      <c r="E2" s="31" t="s">
        <v>157</v>
      </c>
      <c r="F2" s="17"/>
      <c r="G2" s="17"/>
      <c r="H2" s="17"/>
      <c r="I2" s="17"/>
      <c r="J2" s="17"/>
      <c r="K2" s="17"/>
    </row>
    <row r="3" spans="1:11" x14ac:dyDescent="0.2">
      <c r="A3" s="12">
        <v>7</v>
      </c>
      <c r="B3" s="9" t="s">
        <v>523</v>
      </c>
      <c r="C3" s="140" t="s">
        <v>397</v>
      </c>
      <c r="D3" s="18" t="s">
        <v>111</v>
      </c>
      <c r="E3" s="31" t="s">
        <v>155</v>
      </c>
      <c r="F3" s="35" t="s">
        <v>134</v>
      </c>
      <c r="G3" s="46"/>
      <c r="H3" s="46"/>
      <c r="I3" s="46"/>
      <c r="J3" s="46"/>
      <c r="K3" s="46"/>
    </row>
    <row r="4" spans="1:11" ht="45" x14ac:dyDescent="0.2">
      <c r="A4" s="10">
        <v>8</v>
      </c>
      <c r="B4" s="9" t="s">
        <v>523</v>
      </c>
      <c r="C4" s="17" t="s">
        <v>442</v>
      </c>
      <c r="D4" s="17" t="s">
        <v>107</v>
      </c>
      <c r="E4" s="55" t="s">
        <v>101</v>
      </c>
      <c r="F4" s="56" t="s">
        <v>134</v>
      </c>
      <c r="G4" s="17"/>
      <c r="H4" s="17"/>
      <c r="I4" s="17"/>
      <c r="J4" s="17"/>
      <c r="K4" s="17"/>
    </row>
    <row r="5" spans="1:11" ht="30" x14ac:dyDescent="0.2">
      <c r="A5" s="12">
        <v>10</v>
      </c>
      <c r="B5" s="9" t="s">
        <v>523</v>
      </c>
      <c r="C5" s="51" t="s">
        <v>398</v>
      </c>
      <c r="D5" s="18" t="s">
        <v>92</v>
      </c>
      <c r="E5" s="41" t="s">
        <v>140</v>
      </c>
      <c r="F5" s="18" t="s">
        <v>144</v>
      </c>
      <c r="G5" s="18" t="s">
        <v>144</v>
      </c>
      <c r="H5" s="18"/>
      <c r="I5" s="18"/>
      <c r="J5" s="18"/>
      <c r="K5" s="18"/>
    </row>
    <row r="6" spans="1:11" x14ac:dyDescent="0.2">
      <c r="A6" s="10">
        <v>11</v>
      </c>
      <c r="B6" s="9" t="s">
        <v>523</v>
      </c>
      <c r="C6" s="22" t="s">
        <v>443</v>
      </c>
      <c r="D6" s="17" t="s">
        <v>101</v>
      </c>
      <c r="E6" s="31" t="s">
        <v>101</v>
      </c>
      <c r="F6" s="17"/>
      <c r="G6" s="17"/>
      <c r="H6" s="17"/>
      <c r="I6" s="17"/>
      <c r="J6" s="17"/>
      <c r="K6" s="17"/>
    </row>
    <row r="7" spans="1:11" ht="30" x14ac:dyDescent="0.2">
      <c r="A7" s="12">
        <v>12</v>
      </c>
      <c r="B7" s="9" t="s">
        <v>523</v>
      </c>
      <c r="C7" s="141" t="s">
        <v>399</v>
      </c>
      <c r="D7" s="18" t="s">
        <v>91</v>
      </c>
      <c r="E7" s="18" t="s">
        <v>144</v>
      </c>
      <c r="F7" s="18" t="s">
        <v>144</v>
      </c>
      <c r="G7" s="18" t="s">
        <v>144</v>
      </c>
      <c r="H7" s="45" t="s">
        <v>133</v>
      </c>
      <c r="I7" s="48"/>
      <c r="J7" s="18"/>
      <c r="K7" s="18"/>
    </row>
    <row r="8" spans="1:11" ht="45" x14ac:dyDescent="0.2">
      <c r="A8" s="10">
        <v>15</v>
      </c>
      <c r="B8" s="9" t="s">
        <v>523</v>
      </c>
      <c r="C8" s="17" t="s">
        <v>487</v>
      </c>
      <c r="D8" s="17" t="s">
        <v>107</v>
      </c>
      <c r="E8" s="56" t="s">
        <v>134</v>
      </c>
      <c r="F8" s="17"/>
      <c r="G8" s="17"/>
      <c r="H8" s="17"/>
      <c r="I8" s="17"/>
      <c r="J8" s="17"/>
      <c r="K8" s="17"/>
    </row>
    <row r="9" spans="1:11" ht="45" x14ac:dyDescent="0.2">
      <c r="A9" s="10">
        <v>17</v>
      </c>
      <c r="B9" s="9" t="s">
        <v>523</v>
      </c>
      <c r="C9" s="17" t="s">
        <v>444</v>
      </c>
      <c r="D9" s="17" t="s">
        <v>109</v>
      </c>
      <c r="E9" s="55" t="s">
        <v>101</v>
      </c>
      <c r="F9" s="17"/>
      <c r="G9" s="17"/>
      <c r="H9" s="17"/>
      <c r="I9" s="17"/>
      <c r="J9" s="58" t="s">
        <v>146</v>
      </c>
      <c r="K9" s="17"/>
    </row>
    <row r="10" spans="1:11" ht="30" x14ac:dyDescent="0.2">
      <c r="A10" s="9">
        <v>19</v>
      </c>
      <c r="B10" s="9" t="s">
        <v>524</v>
      </c>
      <c r="C10" s="9" t="s">
        <v>464</v>
      </c>
      <c r="D10" s="9" t="s">
        <v>123</v>
      </c>
      <c r="E10" s="9" t="s">
        <v>144</v>
      </c>
      <c r="J10" s="36" t="s">
        <v>141</v>
      </c>
      <c r="K10" s="17"/>
    </row>
    <row r="11" spans="1:11" ht="90" x14ac:dyDescent="0.2">
      <c r="A11" s="10">
        <v>20</v>
      </c>
      <c r="B11" s="9" t="s">
        <v>523</v>
      </c>
      <c r="C11" s="17" t="s">
        <v>445</v>
      </c>
      <c r="D11" s="17" t="s">
        <v>110</v>
      </c>
      <c r="E11" s="17" t="s">
        <v>144</v>
      </c>
      <c r="F11" s="17"/>
      <c r="G11" s="17"/>
      <c r="H11" s="17"/>
      <c r="I11" s="17"/>
      <c r="J11" s="36" t="s">
        <v>141</v>
      </c>
      <c r="K11" s="17"/>
    </row>
    <row r="12" spans="1:11" ht="15.75" x14ac:dyDescent="0.25">
      <c r="A12" s="10">
        <v>21</v>
      </c>
      <c r="B12" s="9" t="s">
        <v>523</v>
      </c>
      <c r="C12" s="17" t="s">
        <v>549</v>
      </c>
      <c r="D12" s="17" t="s">
        <v>111</v>
      </c>
      <c r="E12" s="31" t="s">
        <v>157</v>
      </c>
      <c r="F12" s="17"/>
      <c r="G12" s="17"/>
      <c r="H12" s="17"/>
      <c r="I12" s="17"/>
      <c r="J12" s="17"/>
      <c r="K12" s="17"/>
    </row>
    <row r="13" spans="1:11" ht="45" x14ac:dyDescent="0.2">
      <c r="A13" s="12">
        <v>23</v>
      </c>
      <c r="B13" s="9" t="s">
        <v>523</v>
      </c>
      <c r="C13" s="18" t="s">
        <v>400</v>
      </c>
      <c r="D13" s="18" t="s">
        <v>107</v>
      </c>
      <c r="E13" s="35" t="s">
        <v>134</v>
      </c>
      <c r="G13" s="18"/>
      <c r="H13" s="18"/>
      <c r="I13" s="18"/>
      <c r="J13" s="18"/>
      <c r="K13" s="18"/>
    </row>
    <row r="14" spans="1:11" ht="60" x14ac:dyDescent="0.2">
      <c r="A14" s="10">
        <v>25</v>
      </c>
      <c r="B14" s="9" t="s">
        <v>523</v>
      </c>
      <c r="C14" s="199" t="s">
        <v>488</v>
      </c>
      <c r="D14" s="17" t="s">
        <v>95</v>
      </c>
      <c r="E14" s="55" t="s">
        <v>101</v>
      </c>
      <c r="F14" s="56" t="s">
        <v>134</v>
      </c>
      <c r="G14" s="17"/>
      <c r="H14" s="17"/>
      <c r="I14" s="17"/>
      <c r="J14" s="17"/>
      <c r="K14" s="17"/>
    </row>
    <row r="15" spans="1:11" ht="45" x14ac:dyDescent="0.2">
      <c r="A15" s="12">
        <v>29</v>
      </c>
      <c r="B15" s="9" t="s">
        <v>523</v>
      </c>
      <c r="C15" s="18" t="s">
        <v>486</v>
      </c>
      <c r="D15" s="18" t="s">
        <v>107</v>
      </c>
      <c r="E15" s="33" t="s">
        <v>134</v>
      </c>
      <c r="F15" s="18"/>
      <c r="G15" s="18"/>
      <c r="H15" s="18"/>
      <c r="I15" s="18"/>
      <c r="J15" s="18"/>
      <c r="K15" s="18"/>
    </row>
    <row r="16" spans="1:11" x14ac:dyDescent="0.2">
      <c r="A16" s="10">
        <v>30</v>
      </c>
      <c r="B16" s="9" t="s">
        <v>523</v>
      </c>
      <c r="C16" s="22" t="s">
        <v>446</v>
      </c>
      <c r="D16" s="17" t="s">
        <v>111</v>
      </c>
      <c r="E16" s="31" t="s">
        <v>157</v>
      </c>
      <c r="F16" s="17"/>
      <c r="G16" s="17"/>
      <c r="H16" s="17"/>
      <c r="I16" s="17"/>
      <c r="J16" s="17"/>
      <c r="K16" s="17"/>
    </row>
    <row r="17" spans="1:11" ht="60" x14ac:dyDescent="0.2">
      <c r="A17" s="12">
        <v>31</v>
      </c>
      <c r="B17" s="9" t="s">
        <v>524</v>
      </c>
      <c r="C17" s="18" t="s">
        <v>416</v>
      </c>
      <c r="D17" s="18" t="s">
        <v>97</v>
      </c>
      <c r="E17" s="41" t="s">
        <v>140</v>
      </c>
      <c r="F17" s="18"/>
      <c r="G17" s="18"/>
      <c r="H17" s="18"/>
      <c r="I17" s="18"/>
      <c r="J17" s="18"/>
      <c r="K17" s="18"/>
    </row>
    <row r="18" spans="1:11" ht="45.75" x14ac:dyDescent="0.25">
      <c r="A18" s="12">
        <v>33</v>
      </c>
      <c r="B18" s="9" t="s">
        <v>523</v>
      </c>
      <c r="C18" s="18" t="s">
        <v>409</v>
      </c>
      <c r="D18" s="18" t="s">
        <v>93</v>
      </c>
      <c r="E18" s="31" t="s">
        <v>101</v>
      </c>
      <c r="F18" s="18"/>
      <c r="G18" s="18"/>
      <c r="H18" s="49" t="s">
        <v>143</v>
      </c>
      <c r="I18" s="47" t="s">
        <v>142</v>
      </c>
      <c r="J18" s="36" t="s">
        <v>141</v>
      </c>
      <c r="K18" s="36"/>
    </row>
    <row r="19" spans="1:11" ht="30" x14ac:dyDescent="0.2">
      <c r="A19" s="10">
        <v>34</v>
      </c>
      <c r="B19" s="9" t="s">
        <v>523</v>
      </c>
      <c r="C19" s="17" t="s">
        <v>447</v>
      </c>
      <c r="D19" s="17" t="s">
        <v>108</v>
      </c>
      <c r="E19" s="31" t="s">
        <v>157</v>
      </c>
      <c r="F19" s="56" t="s">
        <v>134</v>
      </c>
      <c r="G19" s="17"/>
      <c r="H19" s="17"/>
      <c r="I19" s="17"/>
      <c r="J19" s="17"/>
      <c r="K19" s="17"/>
    </row>
    <row r="20" spans="1:11" x14ac:dyDescent="0.2">
      <c r="A20" s="12">
        <v>37</v>
      </c>
      <c r="B20" s="9" t="s">
        <v>523</v>
      </c>
      <c r="C20" s="50" t="s">
        <v>401</v>
      </c>
      <c r="D20" s="18"/>
      <c r="E20" s="35" t="s">
        <v>134</v>
      </c>
      <c r="F20" s="18"/>
      <c r="G20" s="18"/>
      <c r="H20" s="18"/>
      <c r="I20" s="18"/>
      <c r="J20" s="18"/>
      <c r="K20" s="18"/>
    </row>
    <row r="21" spans="1:11" ht="30" x14ac:dyDescent="0.2">
      <c r="A21" s="10">
        <v>38</v>
      </c>
      <c r="B21" s="9" t="s">
        <v>523</v>
      </c>
      <c r="C21" s="17" t="s">
        <v>112</v>
      </c>
      <c r="D21" s="17" t="s">
        <v>104</v>
      </c>
      <c r="E21" s="31" t="s">
        <v>101</v>
      </c>
      <c r="F21" s="56" t="s">
        <v>134</v>
      </c>
      <c r="G21" s="17"/>
      <c r="H21" s="17"/>
      <c r="I21" s="17"/>
      <c r="J21" s="17"/>
      <c r="K21" s="17"/>
    </row>
    <row r="22" spans="1:11" ht="120" x14ac:dyDescent="0.2">
      <c r="A22" s="10">
        <v>39</v>
      </c>
      <c r="B22" s="9" t="s">
        <v>523</v>
      </c>
      <c r="C22" s="17" t="s">
        <v>448</v>
      </c>
      <c r="D22" s="17" t="s">
        <v>113</v>
      </c>
      <c r="E22" s="56" t="s">
        <v>134</v>
      </c>
      <c r="F22" s="59" t="s">
        <v>132</v>
      </c>
      <c r="G22" s="17"/>
      <c r="H22" s="17"/>
      <c r="I22" s="17"/>
      <c r="J22" s="17"/>
      <c r="K22" s="17"/>
    </row>
    <row r="23" spans="1:11" ht="75" x14ac:dyDescent="0.2">
      <c r="A23" s="10">
        <v>40</v>
      </c>
      <c r="B23" s="9" t="s">
        <v>523</v>
      </c>
      <c r="C23" s="17" t="s">
        <v>449</v>
      </c>
      <c r="D23" s="17" t="s">
        <v>114</v>
      </c>
      <c r="E23" s="31" t="s">
        <v>157</v>
      </c>
      <c r="F23" s="56" t="s">
        <v>134</v>
      </c>
      <c r="G23" s="17"/>
      <c r="H23" s="17"/>
      <c r="I23" s="17"/>
      <c r="J23" s="17"/>
      <c r="K23" s="17"/>
    </row>
    <row r="24" spans="1:11" x14ac:dyDescent="0.2">
      <c r="A24" s="12">
        <v>41</v>
      </c>
      <c r="B24" s="9" t="s">
        <v>524</v>
      </c>
      <c r="C24" s="18" t="s">
        <v>417</v>
      </c>
      <c r="D24" s="18" t="s">
        <v>161</v>
      </c>
      <c r="E24" s="31" t="s">
        <v>101</v>
      </c>
      <c r="F24" s="18"/>
      <c r="G24" s="18"/>
      <c r="H24" s="18"/>
      <c r="I24" s="18"/>
      <c r="J24" s="18"/>
      <c r="K24" s="18"/>
    </row>
    <row r="25" spans="1:11" ht="60" x14ac:dyDescent="0.2">
      <c r="A25" s="12">
        <v>43</v>
      </c>
      <c r="B25" s="9" t="s">
        <v>524</v>
      </c>
      <c r="C25" s="18" t="s">
        <v>418</v>
      </c>
      <c r="D25" s="18" t="s">
        <v>95</v>
      </c>
      <c r="E25" s="31" t="s">
        <v>101</v>
      </c>
      <c r="F25" s="18"/>
      <c r="G25" s="18"/>
      <c r="H25" s="18"/>
      <c r="I25" s="18"/>
      <c r="J25" s="18"/>
      <c r="K25" s="18"/>
    </row>
    <row r="26" spans="1:11" ht="30.75" x14ac:dyDescent="0.25">
      <c r="A26" s="12">
        <v>44</v>
      </c>
      <c r="B26" s="9" t="s">
        <v>523</v>
      </c>
      <c r="C26" s="18" t="s">
        <v>402</v>
      </c>
      <c r="D26" s="18" t="s">
        <v>158</v>
      </c>
      <c r="E26" s="31" t="s">
        <v>101</v>
      </c>
      <c r="F26" s="32"/>
      <c r="G26" s="32"/>
      <c r="H26" s="32"/>
      <c r="I26" s="32"/>
      <c r="J26" s="36" t="s">
        <v>141</v>
      </c>
      <c r="K26" s="36"/>
    </row>
    <row r="27" spans="1:11" ht="75.75" x14ac:dyDescent="0.25">
      <c r="A27" s="54">
        <v>45</v>
      </c>
      <c r="B27" s="9" t="s">
        <v>524</v>
      </c>
      <c r="C27" s="17" t="s">
        <v>423</v>
      </c>
      <c r="D27" s="17" t="s">
        <v>166</v>
      </c>
      <c r="E27" s="34" t="s">
        <v>134</v>
      </c>
      <c r="F27" s="53" t="s">
        <v>135</v>
      </c>
      <c r="G27" s="17"/>
      <c r="H27" s="47" t="s">
        <v>142</v>
      </c>
      <c r="I27" s="17"/>
      <c r="J27" s="17"/>
      <c r="K27" s="17"/>
    </row>
    <row r="28" spans="1:11" x14ac:dyDescent="0.2">
      <c r="A28" s="10">
        <v>48</v>
      </c>
      <c r="B28" s="9" t="s">
        <v>524</v>
      </c>
      <c r="C28" s="17" t="s">
        <v>168</v>
      </c>
      <c r="D28" s="17" t="s">
        <v>101</v>
      </c>
      <c r="E28" s="31" t="s">
        <v>101</v>
      </c>
      <c r="F28" s="17"/>
      <c r="G28" s="17"/>
      <c r="H28" s="47" t="s">
        <v>142</v>
      </c>
      <c r="I28" s="17"/>
      <c r="J28" s="17"/>
      <c r="K28" s="17"/>
    </row>
    <row r="29" spans="1:11" ht="75" x14ac:dyDescent="0.2">
      <c r="A29" s="12">
        <v>49</v>
      </c>
      <c r="B29" s="9" t="s">
        <v>524</v>
      </c>
      <c r="C29" s="18" t="s">
        <v>419</v>
      </c>
      <c r="D29" s="18" t="s">
        <v>98</v>
      </c>
      <c r="E29" s="53" t="s">
        <v>135</v>
      </c>
      <c r="F29" s="18"/>
      <c r="G29" s="18"/>
      <c r="H29" s="18"/>
      <c r="I29" s="18"/>
      <c r="J29" s="18" t="s">
        <v>144</v>
      </c>
      <c r="K29" s="18"/>
    </row>
    <row r="30" spans="1:11" x14ac:dyDescent="0.2">
      <c r="A30" s="12">
        <v>50</v>
      </c>
      <c r="B30" s="9" t="s">
        <v>523</v>
      </c>
      <c r="C30" s="18" t="s">
        <v>405</v>
      </c>
      <c r="D30" s="18" t="s">
        <v>406</v>
      </c>
      <c r="E30" s="31" t="s">
        <v>101</v>
      </c>
      <c r="F30" s="18"/>
      <c r="G30" s="18"/>
      <c r="H30" s="18"/>
      <c r="I30" s="18"/>
      <c r="J30" s="18"/>
      <c r="K30" s="18"/>
    </row>
    <row r="31" spans="1:11" x14ac:dyDescent="0.2">
      <c r="A31" s="9">
        <v>53</v>
      </c>
      <c r="B31" s="9" t="s">
        <v>524</v>
      </c>
      <c r="C31" s="143" t="s">
        <v>489</v>
      </c>
      <c r="D31" s="9" t="s">
        <v>107</v>
      </c>
      <c r="E31" s="56" t="s">
        <v>134</v>
      </c>
    </row>
    <row r="32" spans="1:11" ht="90" x14ac:dyDescent="0.2">
      <c r="A32" s="12">
        <v>56</v>
      </c>
      <c r="B32" s="9" t="s">
        <v>523</v>
      </c>
      <c r="C32" s="18" t="s">
        <v>404</v>
      </c>
      <c r="D32" s="18" t="s">
        <v>153</v>
      </c>
      <c r="E32" s="31" t="s">
        <v>155</v>
      </c>
      <c r="F32" s="34" t="s">
        <v>134</v>
      </c>
      <c r="G32" s="18"/>
      <c r="H32" s="18"/>
      <c r="I32" s="18"/>
      <c r="J32" s="36" t="s">
        <v>141</v>
      </c>
      <c r="K32" s="36"/>
    </row>
    <row r="33" spans="1:11" x14ac:dyDescent="0.2">
      <c r="A33" s="9">
        <v>57</v>
      </c>
      <c r="B33" s="9" t="s">
        <v>524</v>
      </c>
      <c r="C33" s="143" t="s">
        <v>22</v>
      </c>
      <c r="D33" s="9" t="s">
        <v>107</v>
      </c>
      <c r="E33" s="56" t="s">
        <v>134</v>
      </c>
    </row>
    <row r="34" spans="1:11" ht="45" x14ac:dyDescent="0.2">
      <c r="A34" s="10">
        <v>58</v>
      </c>
      <c r="B34" s="9" t="s">
        <v>523</v>
      </c>
      <c r="C34" s="17" t="s">
        <v>171</v>
      </c>
      <c r="D34" s="17" t="s">
        <v>107</v>
      </c>
      <c r="E34" s="31" t="s">
        <v>157</v>
      </c>
      <c r="F34" s="56" t="s">
        <v>134</v>
      </c>
      <c r="G34" s="17"/>
      <c r="H34" s="17"/>
      <c r="I34" s="17"/>
      <c r="J34" s="17"/>
      <c r="K34" s="17"/>
    </row>
    <row r="35" spans="1:11" ht="75" x14ac:dyDescent="0.2">
      <c r="A35" s="12">
        <v>59</v>
      </c>
      <c r="B35" s="9" t="s">
        <v>523</v>
      </c>
      <c r="C35" s="18" t="s">
        <v>403</v>
      </c>
      <c r="D35" s="18" t="s">
        <v>154</v>
      </c>
      <c r="E35" s="35" t="s">
        <v>134</v>
      </c>
      <c r="F35" s="30" t="s">
        <v>101</v>
      </c>
      <c r="G35" s="18"/>
      <c r="H35" s="18"/>
      <c r="I35" s="18"/>
      <c r="J35" s="18"/>
      <c r="K35" s="18"/>
    </row>
    <row r="36" spans="1:11" ht="120" x14ac:dyDescent="0.2">
      <c r="A36" s="10">
        <v>60</v>
      </c>
      <c r="B36" s="9" t="s">
        <v>523</v>
      </c>
      <c r="C36" s="17" t="s">
        <v>450</v>
      </c>
      <c r="D36" s="17" t="s">
        <v>115</v>
      </c>
      <c r="E36" s="55" t="s">
        <v>101</v>
      </c>
      <c r="F36" s="56" t="s">
        <v>134</v>
      </c>
      <c r="G36" s="59" t="s">
        <v>135</v>
      </c>
      <c r="H36" s="17"/>
      <c r="I36" s="17"/>
      <c r="J36" s="17"/>
      <c r="K36" s="17"/>
    </row>
    <row r="37" spans="1:11" ht="45" x14ac:dyDescent="0.2">
      <c r="A37" s="10">
        <v>62</v>
      </c>
      <c r="B37" s="9" t="s">
        <v>524</v>
      </c>
      <c r="C37" s="200" t="s">
        <v>490</v>
      </c>
      <c r="D37" s="17" t="s">
        <v>107</v>
      </c>
      <c r="E37" s="56" t="s">
        <v>134</v>
      </c>
      <c r="F37" s="17"/>
      <c r="G37" s="17"/>
      <c r="H37" s="17"/>
      <c r="I37" s="17"/>
      <c r="J37" s="17"/>
      <c r="K37" s="17"/>
    </row>
    <row r="38" spans="1:11" x14ac:dyDescent="0.2">
      <c r="A38" s="10">
        <v>63</v>
      </c>
      <c r="B38" s="9" t="s">
        <v>524</v>
      </c>
      <c r="C38" s="22" t="s">
        <v>491</v>
      </c>
      <c r="D38" s="17" t="s">
        <v>102</v>
      </c>
      <c r="E38" s="31" t="s">
        <v>101</v>
      </c>
      <c r="F38" s="17"/>
      <c r="G38" s="17"/>
      <c r="H38" s="17"/>
      <c r="I38" s="17"/>
      <c r="J38" s="17"/>
      <c r="K38" s="17"/>
    </row>
    <row r="39" spans="1:11" ht="30" x14ac:dyDescent="0.2">
      <c r="A39" s="12">
        <v>67</v>
      </c>
      <c r="B39" s="9" t="s">
        <v>523</v>
      </c>
      <c r="C39" s="18" t="s">
        <v>492</v>
      </c>
      <c r="D39" s="18" t="s">
        <v>158</v>
      </c>
      <c r="E39" s="31" t="s">
        <v>101</v>
      </c>
      <c r="F39" s="18"/>
      <c r="G39" s="18"/>
      <c r="H39" s="18"/>
      <c r="I39" s="18"/>
      <c r="J39" s="36" t="s">
        <v>141</v>
      </c>
      <c r="K39" s="36"/>
    </row>
    <row r="40" spans="1:11" x14ac:dyDescent="0.2">
      <c r="A40" s="10">
        <v>72</v>
      </c>
      <c r="B40" s="9" t="s">
        <v>524</v>
      </c>
      <c r="C40" s="17" t="s">
        <v>424</v>
      </c>
      <c r="D40" s="17" t="s">
        <v>169</v>
      </c>
      <c r="E40" s="31" t="s">
        <v>101</v>
      </c>
      <c r="F40" s="41" t="s">
        <v>140</v>
      </c>
      <c r="G40" s="17"/>
      <c r="H40" s="17"/>
      <c r="I40" s="17"/>
      <c r="J40" s="17"/>
      <c r="K40" s="17"/>
    </row>
    <row r="41" spans="1:11" ht="60.75" x14ac:dyDescent="0.25">
      <c r="A41" s="12">
        <v>73</v>
      </c>
      <c r="B41" s="9" t="s">
        <v>523</v>
      </c>
      <c r="C41" s="18" t="s">
        <v>407</v>
      </c>
      <c r="D41" s="18" t="s">
        <v>156</v>
      </c>
      <c r="E41" s="31" t="s">
        <v>157</v>
      </c>
      <c r="F41" s="35" t="s">
        <v>134</v>
      </c>
      <c r="G41" s="18"/>
      <c r="H41" s="47" t="s">
        <v>142</v>
      </c>
      <c r="I41" s="18"/>
      <c r="J41" s="36" t="s">
        <v>141</v>
      </c>
      <c r="K41" s="36"/>
    </row>
    <row r="42" spans="1:11" ht="195" x14ac:dyDescent="0.2">
      <c r="A42" s="10">
        <v>75</v>
      </c>
      <c r="B42" s="9" t="s">
        <v>524</v>
      </c>
      <c r="C42" s="17" t="s">
        <v>425</v>
      </c>
      <c r="D42" s="17" t="s">
        <v>103</v>
      </c>
      <c r="E42" s="57" t="s">
        <v>135</v>
      </c>
      <c r="F42" s="17"/>
      <c r="G42" s="17"/>
      <c r="H42" s="17"/>
      <c r="I42" s="17"/>
      <c r="J42" s="52" t="s">
        <v>145</v>
      </c>
      <c r="K42" s="17"/>
    </row>
    <row r="43" spans="1:11" ht="30" x14ac:dyDescent="0.2">
      <c r="A43" s="10">
        <v>76</v>
      </c>
      <c r="B43" s="9" t="s">
        <v>523</v>
      </c>
      <c r="C43" s="22" t="s">
        <v>451</v>
      </c>
      <c r="D43" s="17" t="s">
        <v>172</v>
      </c>
      <c r="E43" s="55" t="s">
        <v>101</v>
      </c>
      <c r="F43" s="59" t="s">
        <v>135</v>
      </c>
      <c r="G43" s="17"/>
      <c r="H43" s="17"/>
      <c r="I43" s="17"/>
      <c r="J43" s="17"/>
      <c r="K43" s="17"/>
    </row>
    <row r="44" spans="1:11" ht="45" x14ac:dyDescent="0.2">
      <c r="A44" s="10">
        <v>80</v>
      </c>
      <c r="B44" s="9" t="s">
        <v>524</v>
      </c>
      <c r="C44" s="17" t="s">
        <v>426</v>
      </c>
      <c r="D44" s="17" t="s">
        <v>90</v>
      </c>
      <c r="E44" s="17" t="s">
        <v>144</v>
      </c>
      <c r="F44" s="17"/>
      <c r="G44" s="17"/>
      <c r="H44" s="17"/>
      <c r="I44" s="17"/>
      <c r="J44" s="58" t="s">
        <v>146</v>
      </c>
      <c r="K44" s="17"/>
    </row>
    <row r="45" spans="1:11" ht="31.5" customHeight="1" x14ac:dyDescent="0.2">
      <c r="A45" s="10">
        <v>83</v>
      </c>
      <c r="B45" s="9" t="s">
        <v>523</v>
      </c>
      <c r="C45" s="17" t="s">
        <v>452</v>
      </c>
      <c r="D45" s="17" t="s">
        <v>100</v>
      </c>
      <c r="E45" s="31" t="s">
        <v>157</v>
      </c>
      <c r="F45" s="56" t="s">
        <v>134</v>
      </c>
      <c r="G45" s="17"/>
      <c r="H45" s="17"/>
      <c r="I45" s="17"/>
      <c r="J45" s="17"/>
      <c r="K45" s="17"/>
    </row>
    <row r="46" spans="1:11" ht="15" customHeight="1" x14ac:dyDescent="0.2">
      <c r="A46" s="10">
        <v>84</v>
      </c>
      <c r="B46" s="9" t="s">
        <v>524</v>
      </c>
      <c r="C46" s="22" t="s">
        <v>427</v>
      </c>
      <c r="D46" s="17" t="s">
        <v>101</v>
      </c>
      <c r="E46" s="31" t="s">
        <v>101</v>
      </c>
      <c r="F46" s="17"/>
      <c r="G46" s="17"/>
      <c r="H46" s="17"/>
      <c r="I46" s="17"/>
      <c r="J46" s="17"/>
      <c r="K46" s="17"/>
    </row>
    <row r="47" spans="1:11" ht="15.75" x14ac:dyDescent="0.25">
      <c r="A47" s="10">
        <v>91</v>
      </c>
      <c r="B47" s="9" t="s">
        <v>524</v>
      </c>
      <c r="C47" s="17" t="s">
        <v>428</v>
      </c>
      <c r="D47" s="17" t="s">
        <v>101</v>
      </c>
      <c r="E47" s="31" t="s">
        <v>101</v>
      </c>
      <c r="F47" s="17"/>
      <c r="G47" s="17"/>
      <c r="H47" s="17"/>
      <c r="I47" s="17"/>
      <c r="J47" s="17"/>
      <c r="K47" s="17"/>
    </row>
    <row r="48" spans="1:11" ht="30" x14ac:dyDescent="0.2">
      <c r="A48" s="12">
        <v>93</v>
      </c>
      <c r="B48" s="9" t="s">
        <v>524</v>
      </c>
      <c r="C48" s="18" t="s">
        <v>420</v>
      </c>
      <c r="D48" s="18" t="s">
        <v>99</v>
      </c>
      <c r="E48" s="18" t="s">
        <v>144</v>
      </c>
      <c r="F48" s="18"/>
      <c r="G48" s="18"/>
      <c r="H48" s="49" t="s">
        <v>143</v>
      </c>
      <c r="I48" s="18"/>
      <c r="J48" s="18"/>
      <c r="K48" s="18"/>
    </row>
    <row r="49" spans="1:11" ht="60.75" x14ac:dyDescent="0.25">
      <c r="A49" s="10">
        <v>95</v>
      </c>
      <c r="B49" s="9" t="s">
        <v>524</v>
      </c>
      <c r="C49" s="17" t="s">
        <v>430</v>
      </c>
      <c r="D49" s="17" t="s">
        <v>95</v>
      </c>
      <c r="E49" s="31" t="s">
        <v>101</v>
      </c>
      <c r="F49" s="56" t="s">
        <v>134</v>
      </c>
      <c r="G49" s="17"/>
      <c r="H49" s="17"/>
      <c r="I49" s="17"/>
      <c r="J49" s="17"/>
      <c r="K49" s="17"/>
    </row>
    <row r="50" spans="1:11" x14ac:dyDescent="0.2">
      <c r="A50" s="10">
        <v>97</v>
      </c>
      <c r="B50" s="9" t="s">
        <v>524</v>
      </c>
      <c r="C50" s="17" t="s">
        <v>429</v>
      </c>
      <c r="D50" s="17" t="s">
        <v>90</v>
      </c>
      <c r="E50" s="17" t="s">
        <v>144</v>
      </c>
      <c r="F50" s="17"/>
      <c r="G50" s="17"/>
      <c r="H50" s="17"/>
      <c r="I50" s="17"/>
      <c r="J50" s="17"/>
      <c r="K50" s="17"/>
    </row>
    <row r="51" spans="1:11" x14ac:dyDescent="0.2">
      <c r="A51" s="10">
        <v>98</v>
      </c>
      <c r="B51" s="9" t="s">
        <v>524</v>
      </c>
      <c r="C51" s="17" t="s">
        <v>431</v>
      </c>
      <c r="D51" s="17" t="s">
        <v>90</v>
      </c>
      <c r="E51" s="17" t="s">
        <v>144</v>
      </c>
      <c r="F51" s="17"/>
      <c r="G51" s="17"/>
      <c r="H51" s="17"/>
      <c r="I51" s="17"/>
      <c r="J51" s="17"/>
      <c r="K51" s="17"/>
    </row>
    <row r="52" spans="1:11" ht="63" x14ac:dyDescent="0.25">
      <c r="A52" s="10">
        <v>99</v>
      </c>
      <c r="B52" s="9" t="s">
        <v>524</v>
      </c>
      <c r="C52" s="17" t="s">
        <v>432</v>
      </c>
      <c r="D52" s="19" t="s">
        <v>433</v>
      </c>
      <c r="E52" s="19"/>
      <c r="F52" s="17"/>
      <c r="G52" s="17"/>
      <c r="H52" s="17"/>
      <c r="I52" s="17"/>
      <c r="J52" s="17" t="s">
        <v>144</v>
      </c>
      <c r="K52" s="17"/>
    </row>
    <row r="53" spans="1:11" ht="30" x14ac:dyDescent="0.2">
      <c r="A53" s="10">
        <v>100</v>
      </c>
      <c r="B53" s="9" t="s">
        <v>524</v>
      </c>
      <c r="C53" s="17" t="s">
        <v>434</v>
      </c>
      <c r="D53" s="17" t="s">
        <v>170</v>
      </c>
      <c r="E53" s="31" t="s">
        <v>101</v>
      </c>
      <c r="F53" s="17"/>
      <c r="G53" s="17"/>
      <c r="H53" s="17"/>
      <c r="I53" s="17"/>
      <c r="J53" s="52" t="s">
        <v>145</v>
      </c>
      <c r="K53" s="17"/>
    </row>
    <row r="54" spans="1:11" ht="75" x14ac:dyDescent="0.2">
      <c r="A54" s="10">
        <v>102</v>
      </c>
      <c r="B54" s="9" t="s">
        <v>524</v>
      </c>
      <c r="C54" s="22" t="s">
        <v>435</v>
      </c>
      <c r="D54" s="17" t="s">
        <v>105</v>
      </c>
      <c r="E54" s="31" t="s">
        <v>101</v>
      </c>
      <c r="G54" s="17"/>
      <c r="H54" s="17"/>
      <c r="I54" s="17"/>
      <c r="J54" s="17"/>
      <c r="K54" s="17"/>
    </row>
    <row r="55" spans="1:11" x14ac:dyDescent="0.2">
      <c r="A55" s="10">
        <v>105</v>
      </c>
      <c r="B55" s="9" t="s">
        <v>524</v>
      </c>
      <c r="C55" s="22" t="s">
        <v>436</v>
      </c>
      <c r="D55" s="17" t="s">
        <v>101</v>
      </c>
      <c r="E55" s="31" t="s">
        <v>101</v>
      </c>
      <c r="F55" s="17"/>
      <c r="G55" s="17"/>
      <c r="H55" s="17"/>
      <c r="I55" s="17"/>
      <c r="J55" s="17"/>
      <c r="K55" s="17"/>
    </row>
    <row r="56" spans="1:11" ht="60" x14ac:dyDescent="0.2">
      <c r="A56" s="10">
        <v>106</v>
      </c>
      <c r="B56" s="9" t="s">
        <v>524</v>
      </c>
      <c r="C56" s="17" t="s">
        <v>437</v>
      </c>
      <c r="D56" s="17" t="s">
        <v>95</v>
      </c>
      <c r="E56" s="31" t="s">
        <v>101</v>
      </c>
      <c r="F56" s="56" t="s">
        <v>134</v>
      </c>
      <c r="G56" s="17"/>
      <c r="H56" s="49" t="s">
        <v>143</v>
      </c>
      <c r="I56" s="60" t="s">
        <v>133</v>
      </c>
      <c r="J56" s="17"/>
      <c r="K56" s="17"/>
    </row>
    <row r="57" spans="1:11" ht="150" x14ac:dyDescent="0.2">
      <c r="A57" s="10">
        <v>109</v>
      </c>
      <c r="B57" s="9" t="s">
        <v>523</v>
      </c>
      <c r="C57" s="17" t="s">
        <v>453</v>
      </c>
      <c r="D57" s="17" t="s">
        <v>116</v>
      </c>
      <c r="E57" s="31" t="s">
        <v>157</v>
      </c>
      <c r="F57" s="59" t="s">
        <v>135</v>
      </c>
      <c r="G57" s="56" t="s">
        <v>134</v>
      </c>
      <c r="H57" s="17"/>
      <c r="I57" s="17"/>
      <c r="J57" s="17"/>
      <c r="K57" s="17"/>
    </row>
    <row r="58" spans="1:11" ht="15.75" x14ac:dyDescent="0.25">
      <c r="A58" s="9">
        <v>112</v>
      </c>
      <c r="B58" s="9" t="s">
        <v>524</v>
      </c>
      <c r="C58" s="9" t="s">
        <v>465</v>
      </c>
      <c r="E58" s="65" t="s">
        <v>101</v>
      </c>
      <c r="H58" s="63" t="s">
        <v>173</v>
      </c>
      <c r="I58" s="64" t="s">
        <v>180</v>
      </c>
    </row>
    <row r="59" spans="1:11" ht="30" x14ac:dyDescent="0.2">
      <c r="A59" s="12">
        <v>114</v>
      </c>
      <c r="B59" s="9" t="s">
        <v>524</v>
      </c>
      <c r="C59" s="18" t="s">
        <v>421</v>
      </c>
      <c r="D59" s="18" t="s">
        <v>165</v>
      </c>
      <c r="E59" s="31" t="s">
        <v>101</v>
      </c>
      <c r="F59" s="18"/>
      <c r="G59" s="18"/>
      <c r="H59" s="18"/>
      <c r="I59" s="18"/>
      <c r="J59" s="36" t="s">
        <v>141</v>
      </c>
      <c r="K59" s="36"/>
    </row>
    <row r="60" spans="1:11" ht="90" x14ac:dyDescent="0.2">
      <c r="A60" s="12">
        <v>121</v>
      </c>
      <c r="B60" s="9" t="s">
        <v>523</v>
      </c>
      <c r="C60" s="18" t="s">
        <v>408</v>
      </c>
      <c r="D60" s="18" t="s">
        <v>159</v>
      </c>
      <c r="E60" s="31" t="s">
        <v>101</v>
      </c>
      <c r="F60" s="35" t="s">
        <v>134</v>
      </c>
      <c r="G60" s="18"/>
      <c r="H60" s="18"/>
      <c r="I60" s="18"/>
      <c r="J60" s="18"/>
      <c r="K60" s="18"/>
    </row>
    <row r="61" spans="1:11" ht="30" x14ac:dyDescent="0.2">
      <c r="A61" s="10">
        <v>125</v>
      </c>
      <c r="B61" s="9" t="s">
        <v>524</v>
      </c>
      <c r="C61" s="22" t="s">
        <v>438</v>
      </c>
      <c r="D61" s="17" t="s">
        <v>104</v>
      </c>
      <c r="E61" s="31" t="s">
        <v>157</v>
      </c>
      <c r="F61" s="17"/>
      <c r="G61" s="17"/>
      <c r="H61" s="17"/>
      <c r="I61" s="17"/>
      <c r="J61" s="17"/>
      <c r="K61" s="17"/>
    </row>
    <row r="62" spans="1:11" ht="45" x14ac:dyDescent="0.2">
      <c r="A62" s="10">
        <v>126</v>
      </c>
      <c r="B62" s="9" t="s">
        <v>523</v>
      </c>
      <c r="C62" s="61" t="s">
        <v>493</v>
      </c>
      <c r="D62" s="17" t="s">
        <v>107</v>
      </c>
      <c r="E62" s="62" t="s">
        <v>134</v>
      </c>
      <c r="F62" s="17"/>
      <c r="G62" s="17"/>
      <c r="H62" s="17"/>
      <c r="I62" s="17"/>
      <c r="J62" s="17"/>
      <c r="K62" s="17"/>
    </row>
    <row r="63" spans="1:11" ht="45" x14ac:dyDescent="0.2">
      <c r="A63" s="10">
        <v>128</v>
      </c>
      <c r="B63" s="9" t="s">
        <v>523</v>
      </c>
      <c r="C63" s="61" t="s">
        <v>494</v>
      </c>
      <c r="D63" s="17" t="s">
        <v>107</v>
      </c>
      <c r="E63" s="62" t="s">
        <v>134</v>
      </c>
      <c r="F63" s="17"/>
      <c r="G63" s="17"/>
      <c r="H63" s="17"/>
      <c r="I63" s="17"/>
      <c r="J63" s="17"/>
      <c r="K63" s="17"/>
    </row>
    <row r="64" spans="1:11" ht="45" x14ac:dyDescent="0.2">
      <c r="A64" s="12">
        <v>130</v>
      </c>
      <c r="B64" s="9" t="s">
        <v>524</v>
      </c>
      <c r="C64" s="18" t="s">
        <v>422</v>
      </c>
      <c r="D64" s="18" t="s">
        <v>107</v>
      </c>
      <c r="E64" s="34" t="s">
        <v>134</v>
      </c>
      <c r="F64" s="18"/>
      <c r="G64" s="18"/>
      <c r="H64" s="18"/>
      <c r="I64" s="18"/>
      <c r="J64" s="18"/>
      <c r="K64" s="18"/>
    </row>
    <row r="65" spans="1:11" ht="60" x14ac:dyDescent="0.2">
      <c r="A65" s="10">
        <v>131</v>
      </c>
      <c r="B65" s="9" t="s">
        <v>523</v>
      </c>
      <c r="C65" s="17" t="s">
        <v>454</v>
      </c>
      <c r="D65" s="17" t="s">
        <v>117</v>
      </c>
      <c r="E65" s="31" t="s">
        <v>157</v>
      </c>
      <c r="F65" s="17"/>
      <c r="G65" s="17"/>
      <c r="H65" s="63" t="s">
        <v>173</v>
      </c>
      <c r="I65" s="17"/>
      <c r="J65" s="36" t="s">
        <v>141</v>
      </c>
      <c r="K65" s="17"/>
    </row>
    <row r="66" spans="1:11" ht="60" x14ac:dyDescent="0.2">
      <c r="A66" s="10">
        <v>132</v>
      </c>
      <c r="B66" s="9" t="s">
        <v>523</v>
      </c>
      <c r="C66" s="17" t="s">
        <v>455</v>
      </c>
      <c r="D66" s="17" t="s">
        <v>95</v>
      </c>
      <c r="E66" s="55" t="s">
        <v>101</v>
      </c>
      <c r="F66" s="17"/>
      <c r="G66" s="17"/>
      <c r="H66" s="17"/>
      <c r="I66" s="17"/>
      <c r="J66" s="17"/>
      <c r="K66" s="17"/>
    </row>
    <row r="67" spans="1:11" ht="75" x14ac:dyDescent="0.2">
      <c r="A67" s="12">
        <v>134</v>
      </c>
      <c r="B67" s="9" t="s">
        <v>523</v>
      </c>
      <c r="C67" s="18" t="s">
        <v>410</v>
      </c>
      <c r="D67" s="18" t="s">
        <v>94</v>
      </c>
      <c r="E67" s="31" t="s">
        <v>101</v>
      </c>
      <c r="F67" s="35" t="s">
        <v>134</v>
      </c>
      <c r="G67" s="18"/>
      <c r="H67" s="49" t="s">
        <v>143</v>
      </c>
      <c r="I67" s="18"/>
      <c r="J67" s="18"/>
      <c r="K67" s="18"/>
    </row>
    <row r="68" spans="1:11" ht="75" x14ac:dyDescent="0.2">
      <c r="A68" s="10">
        <v>136</v>
      </c>
      <c r="B68" s="9" t="s">
        <v>523</v>
      </c>
      <c r="C68" s="17" t="s">
        <v>456</v>
      </c>
      <c r="D68" s="17" t="s">
        <v>174</v>
      </c>
      <c r="E68" s="53" t="s">
        <v>135</v>
      </c>
      <c r="F68" s="17"/>
      <c r="G68" s="17"/>
      <c r="H68" s="17"/>
      <c r="I68" s="17"/>
      <c r="J68" s="17"/>
      <c r="K68" s="17"/>
    </row>
    <row r="69" spans="1:11" ht="75" x14ac:dyDescent="0.2">
      <c r="A69" s="10">
        <v>138</v>
      </c>
      <c r="B69" s="9" t="s">
        <v>523</v>
      </c>
      <c r="C69" s="17" t="s">
        <v>457</v>
      </c>
      <c r="D69" s="17" t="s">
        <v>114</v>
      </c>
      <c r="E69" s="55" t="s">
        <v>101</v>
      </c>
      <c r="F69" s="56" t="s">
        <v>134</v>
      </c>
      <c r="G69" s="17"/>
      <c r="H69" s="17"/>
      <c r="I69" s="17"/>
      <c r="J69" s="17"/>
      <c r="K69" s="17"/>
    </row>
    <row r="70" spans="1:11" ht="60" x14ac:dyDescent="0.2">
      <c r="A70" s="12">
        <v>141</v>
      </c>
      <c r="B70" s="9" t="s">
        <v>523</v>
      </c>
      <c r="C70" s="18" t="s">
        <v>411</v>
      </c>
      <c r="D70" s="18" t="s">
        <v>160</v>
      </c>
      <c r="E70" s="31" t="s">
        <v>157</v>
      </c>
      <c r="F70" s="35" t="s">
        <v>134</v>
      </c>
      <c r="G70" s="18"/>
      <c r="H70" s="18"/>
      <c r="I70" s="18"/>
      <c r="J70" s="18"/>
      <c r="K70" s="18"/>
    </row>
    <row r="71" spans="1:11" ht="105" x14ac:dyDescent="0.2">
      <c r="A71" s="10">
        <v>142</v>
      </c>
      <c r="B71" s="9" t="s">
        <v>524</v>
      </c>
      <c r="C71" s="142" t="s">
        <v>439</v>
      </c>
      <c r="D71" s="17" t="s">
        <v>106</v>
      </c>
      <c r="E71" s="17" t="s">
        <v>144</v>
      </c>
      <c r="F71" s="17"/>
      <c r="G71" s="17"/>
      <c r="H71" s="17"/>
      <c r="I71" s="17"/>
      <c r="J71" s="58" t="s">
        <v>146</v>
      </c>
      <c r="K71" s="17"/>
    </row>
    <row r="72" spans="1:11" ht="90" x14ac:dyDescent="0.2">
      <c r="A72" s="10">
        <v>143</v>
      </c>
      <c r="B72" s="9" t="s">
        <v>523</v>
      </c>
      <c r="C72" s="17" t="s">
        <v>458</v>
      </c>
      <c r="D72" s="17" t="s">
        <v>118</v>
      </c>
      <c r="E72" s="55" t="s">
        <v>101</v>
      </c>
      <c r="F72" s="17"/>
      <c r="G72" s="17"/>
      <c r="H72" s="66" t="s">
        <v>142</v>
      </c>
      <c r="I72" s="17"/>
      <c r="J72" s="52" t="s">
        <v>145</v>
      </c>
      <c r="K72" s="17"/>
    </row>
    <row r="73" spans="1:11" ht="165" x14ac:dyDescent="0.2">
      <c r="A73" s="10">
        <v>146</v>
      </c>
      <c r="B73" s="9" t="s">
        <v>523</v>
      </c>
      <c r="C73" s="17" t="s">
        <v>459</v>
      </c>
      <c r="D73" s="17" t="s">
        <v>119</v>
      </c>
      <c r="E73" s="31" t="s">
        <v>157</v>
      </c>
      <c r="F73" s="56" t="s">
        <v>134</v>
      </c>
      <c r="G73" s="17"/>
      <c r="H73" s="17"/>
      <c r="I73" s="17"/>
      <c r="J73" s="36" t="s">
        <v>141</v>
      </c>
      <c r="K73" s="17"/>
    </row>
    <row r="74" spans="1:11" x14ac:dyDescent="0.2">
      <c r="A74" s="12">
        <v>155</v>
      </c>
      <c r="B74" s="9" t="s">
        <v>523</v>
      </c>
      <c r="C74" s="18" t="s">
        <v>162</v>
      </c>
      <c r="D74" s="18" t="s">
        <v>161</v>
      </c>
      <c r="E74" s="31" t="s">
        <v>157</v>
      </c>
      <c r="F74" s="18"/>
      <c r="G74" s="18"/>
      <c r="H74" s="18"/>
      <c r="I74" s="18"/>
      <c r="J74" s="18"/>
      <c r="K74" s="18"/>
    </row>
    <row r="75" spans="1:11" ht="90" x14ac:dyDescent="0.2">
      <c r="A75" s="10">
        <v>156</v>
      </c>
      <c r="B75" s="9" t="s">
        <v>523</v>
      </c>
      <c r="C75" s="17" t="s">
        <v>9</v>
      </c>
      <c r="D75" s="17" t="s">
        <v>120</v>
      </c>
      <c r="E75" s="55" t="s">
        <v>101</v>
      </c>
      <c r="F75" s="56" t="s">
        <v>134</v>
      </c>
      <c r="G75" s="17"/>
      <c r="H75" s="17"/>
      <c r="I75" s="17"/>
      <c r="J75" s="36" t="s">
        <v>141</v>
      </c>
      <c r="K75" s="17"/>
    </row>
    <row r="76" spans="1:11" x14ac:dyDescent="0.2">
      <c r="A76" s="10">
        <v>157</v>
      </c>
      <c r="B76" s="9" t="s">
        <v>524</v>
      </c>
      <c r="C76" s="17" t="s">
        <v>440</v>
      </c>
      <c r="D76" s="17" t="s">
        <v>90</v>
      </c>
      <c r="E76" s="17" t="s">
        <v>144</v>
      </c>
      <c r="F76" s="17"/>
      <c r="G76" s="17"/>
      <c r="H76" s="17"/>
      <c r="I76" s="17"/>
      <c r="J76" s="17"/>
      <c r="K76" s="17"/>
    </row>
    <row r="77" spans="1:11" ht="30" x14ac:dyDescent="0.2">
      <c r="A77" s="10">
        <v>158</v>
      </c>
      <c r="B77" s="9" t="s">
        <v>523</v>
      </c>
      <c r="C77" s="17" t="s">
        <v>10</v>
      </c>
      <c r="D77" s="17" t="s">
        <v>104</v>
      </c>
      <c r="E77" s="31" t="s">
        <v>157</v>
      </c>
      <c r="F77" s="17"/>
      <c r="G77" s="17"/>
      <c r="H77" s="17"/>
      <c r="I77" s="17"/>
      <c r="J77" s="17"/>
      <c r="K77" s="17"/>
    </row>
    <row r="78" spans="1:11" ht="60" x14ac:dyDescent="0.2">
      <c r="A78" s="10">
        <v>159</v>
      </c>
      <c r="B78" s="9" t="s">
        <v>523</v>
      </c>
      <c r="C78" s="17" t="s">
        <v>177</v>
      </c>
      <c r="D78" s="17" t="s">
        <v>95</v>
      </c>
      <c r="E78" s="55" t="s">
        <v>101</v>
      </c>
      <c r="F78" s="56" t="s">
        <v>134</v>
      </c>
      <c r="G78" s="17"/>
      <c r="H78" s="17"/>
      <c r="I78" s="17"/>
      <c r="J78" s="36" t="s">
        <v>141</v>
      </c>
      <c r="K78" s="17"/>
    </row>
    <row r="79" spans="1:11" x14ac:dyDescent="0.2">
      <c r="A79" s="12">
        <v>162</v>
      </c>
      <c r="B79" s="9" t="s">
        <v>523</v>
      </c>
      <c r="C79" s="18" t="s">
        <v>412</v>
      </c>
      <c r="D79" s="18" t="s">
        <v>111</v>
      </c>
      <c r="E79" s="31" t="s">
        <v>157</v>
      </c>
      <c r="F79" s="18"/>
      <c r="G79" s="18"/>
      <c r="H79" s="49" t="s">
        <v>143</v>
      </c>
      <c r="I79" s="18"/>
      <c r="J79" s="18"/>
      <c r="K79" s="18"/>
    </row>
    <row r="80" spans="1:11" ht="60" x14ac:dyDescent="0.2">
      <c r="A80" s="12">
        <v>163</v>
      </c>
      <c r="B80" s="9" t="s">
        <v>523</v>
      </c>
      <c r="C80" s="18" t="s">
        <v>413</v>
      </c>
      <c r="D80" s="18" t="s">
        <v>163</v>
      </c>
      <c r="E80" s="34" t="s">
        <v>134</v>
      </c>
      <c r="F80" s="48"/>
      <c r="G80" s="18"/>
      <c r="H80" s="18"/>
      <c r="I80" s="18"/>
      <c r="J80" s="18"/>
      <c r="K80" s="18"/>
    </row>
    <row r="81" spans="1:11" x14ac:dyDescent="0.2">
      <c r="A81" s="10">
        <v>164</v>
      </c>
      <c r="B81" s="9" t="s">
        <v>523</v>
      </c>
      <c r="C81" s="22" t="s">
        <v>460</v>
      </c>
      <c r="D81" s="17" t="s">
        <v>111</v>
      </c>
      <c r="E81" s="31" t="s">
        <v>157</v>
      </c>
      <c r="F81" s="17"/>
      <c r="G81" s="17"/>
      <c r="H81" s="17"/>
      <c r="I81" s="17"/>
      <c r="J81" s="17"/>
      <c r="K81" s="17"/>
    </row>
    <row r="82" spans="1:11" ht="75" x14ac:dyDescent="0.2">
      <c r="A82" s="10">
        <v>165</v>
      </c>
      <c r="B82" s="9" t="s">
        <v>523</v>
      </c>
      <c r="C82" s="17" t="s">
        <v>461</v>
      </c>
      <c r="D82" s="17" t="s">
        <v>121</v>
      </c>
      <c r="E82" s="31" t="s">
        <v>157</v>
      </c>
      <c r="F82" s="17"/>
      <c r="G82" s="17"/>
      <c r="H82" s="17"/>
      <c r="I82" s="17"/>
      <c r="J82" s="17"/>
      <c r="K82" s="17"/>
    </row>
    <row r="83" spans="1:11" x14ac:dyDescent="0.2">
      <c r="A83" s="12">
        <v>166</v>
      </c>
      <c r="B83" s="9" t="s">
        <v>523</v>
      </c>
      <c r="C83" s="140" t="s">
        <v>414</v>
      </c>
      <c r="D83" s="18" t="s">
        <v>102</v>
      </c>
      <c r="E83" s="30" t="s">
        <v>101</v>
      </c>
      <c r="F83" s="18"/>
      <c r="G83" s="18"/>
      <c r="H83" s="18"/>
      <c r="I83" s="18"/>
      <c r="J83" s="18"/>
      <c r="K83" s="18"/>
    </row>
    <row r="84" spans="1:11" x14ac:dyDescent="0.2">
      <c r="A84" s="198">
        <v>167</v>
      </c>
      <c r="B84" s="9" t="s">
        <v>523</v>
      </c>
      <c r="C84" s="51" t="s">
        <v>89</v>
      </c>
      <c r="D84" s="18" t="s">
        <v>96</v>
      </c>
      <c r="E84" s="41" t="s">
        <v>140</v>
      </c>
      <c r="F84" s="18"/>
      <c r="G84" s="18"/>
      <c r="H84" s="18"/>
      <c r="I84" s="18"/>
      <c r="J84" s="18"/>
      <c r="K84" s="18"/>
    </row>
    <row r="85" spans="1:11" ht="45" x14ac:dyDescent="0.2">
      <c r="A85" s="10">
        <v>168</v>
      </c>
      <c r="B85" s="9" t="s">
        <v>524</v>
      </c>
      <c r="C85" s="61" t="s">
        <v>401</v>
      </c>
      <c r="D85" s="17" t="s">
        <v>107</v>
      </c>
      <c r="E85" s="56" t="s">
        <v>134</v>
      </c>
      <c r="F85" s="17"/>
      <c r="G85" s="17"/>
      <c r="H85" s="17"/>
      <c r="I85" s="17"/>
      <c r="J85" s="17"/>
      <c r="K85" s="17"/>
    </row>
    <row r="86" spans="1:11" ht="63" x14ac:dyDescent="0.25">
      <c r="A86" s="10">
        <v>169</v>
      </c>
      <c r="B86" s="9" t="s">
        <v>523</v>
      </c>
      <c r="C86" s="17" t="s">
        <v>462</v>
      </c>
      <c r="D86" s="19" t="s">
        <v>433</v>
      </c>
      <c r="E86" s="17" t="s">
        <v>144</v>
      </c>
      <c r="F86" s="17"/>
      <c r="G86" s="17"/>
      <c r="H86" s="17"/>
      <c r="I86" s="17"/>
      <c r="J86" s="17" t="s">
        <v>144</v>
      </c>
      <c r="K86" s="17"/>
    </row>
    <row r="87" spans="1:11" ht="90" x14ac:dyDescent="0.2">
      <c r="A87" s="12">
        <v>170</v>
      </c>
      <c r="B87" s="9" t="s">
        <v>523</v>
      </c>
      <c r="C87" s="18" t="s">
        <v>415</v>
      </c>
      <c r="D87" s="18" t="s">
        <v>164</v>
      </c>
      <c r="E87" s="34" t="s">
        <v>134</v>
      </c>
      <c r="F87" s="18"/>
      <c r="G87" s="18"/>
      <c r="H87" s="18"/>
      <c r="I87" s="18"/>
      <c r="J87" s="36" t="s">
        <v>141</v>
      </c>
      <c r="K87" s="52" t="s">
        <v>145</v>
      </c>
    </row>
    <row r="88" spans="1:11" ht="47.25" x14ac:dyDescent="0.25">
      <c r="A88" s="10">
        <v>174</v>
      </c>
      <c r="B88" s="9" t="s">
        <v>523</v>
      </c>
      <c r="C88" s="17" t="s">
        <v>463</v>
      </c>
      <c r="D88" s="19" t="s">
        <v>122</v>
      </c>
      <c r="E88" s="17" t="s">
        <v>144</v>
      </c>
      <c r="F88" s="17"/>
      <c r="G88" s="17"/>
      <c r="H88" s="17"/>
      <c r="I88" s="17"/>
      <c r="J88" s="58" t="s">
        <v>146</v>
      </c>
      <c r="K88" s="17"/>
    </row>
    <row r="89" spans="1:11" x14ac:dyDescent="0.2">
      <c r="A89" s="9">
        <v>154</v>
      </c>
      <c r="B89" s="9" t="s">
        <v>523</v>
      </c>
    </row>
    <row r="90" spans="1:11" x14ac:dyDescent="0.2">
      <c r="A90" s="9">
        <v>107</v>
      </c>
      <c r="B90" s="9" t="s">
        <v>524</v>
      </c>
    </row>
  </sheetData>
  <autoFilter ref="A1:K90" xr:uid="{195EBECD-23F5-4CAC-BEED-39EF5204FE6F}">
    <filterColumn colId="7" showButton="0"/>
    <filterColumn colId="9" showButton="0"/>
  </autoFilter>
  <mergeCells count="2">
    <mergeCell ref="H1:I1"/>
    <mergeCell ref="J1:K1"/>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F9EC2-5383-4DFB-8A3D-12C2EF288722}">
  <sheetPr codeName="Tabelle5"/>
  <dimension ref="A1:P31"/>
  <sheetViews>
    <sheetView topLeftCell="B1" zoomScale="84" zoomScaleNormal="84" workbookViewId="0">
      <selection activeCell="D6" sqref="D6:I6"/>
    </sheetView>
  </sheetViews>
  <sheetFormatPr baseColWidth="10" defaultRowHeight="12.75" x14ac:dyDescent="0.2"/>
  <cols>
    <col min="1" max="1" width="13.5703125" bestFit="1" customWidth="1"/>
    <col min="2" max="2" width="17.7109375" customWidth="1"/>
    <col min="9" max="9" width="102.85546875" customWidth="1"/>
    <col min="11" max="11" width="12.7109375" bestFit="1" customWidth="1"/>
    <col min="12" max="12" width="15.85546875" bestFit="1" customWidth="1"/>
    <col min="13" max="13" width="19.28515625" bestFit="1" customWidth="1"/>
    <col min="14" max="14" width="23" bestFit="1" customWidth="1"/>
    <col min="15" max="15" width="19.42578125" bestFit="1" customWidth="1"/>
    <col min="16" max="16" width="23.5703125" bestFit="1" customWidth="1"/>
  </cols>
  <sheetData>
    <row r="1" spans="1:16" ht="16.5" thickBot="1" x14ac:dyDescent="0.25">
      <c r="A1" s="246" t="s">
        <v>139</v>
      </c>
      <c r="B1" s="249" t="s">
        <v>124</v>
      </c>
      <c r="C1" s="244" t="s">
        <v>147</v>
      </c>
      <c r="D1" s="245"/>
      <c r="E1" s="245"/>
      <c r="F1" s="245"/>
      <c r="G1" s="245"/>
      <c r="H1" s="245"/>
      <c r="I1" s="245"/>
      <c r="J1" s="23" t="s">
        <v>125</v>
      </c>
      <c r="K1" t="s">
        <v>470</v>
      </c>
      <c r="L1" t="s">
        <v>471</v>
      </c>
      <c r="M1" s="161" t="s">
        <v>470</v>
      </c>
      <c r="N1" s="192" t="s">
        <v>471</v>
      </c>
      <c r="O1" s="194" t="s">
        <v>482</v>
      </c>
      <c r="P1" s="194" t="s">
        <v>483</v>
      </c>
    </row>
    <row r="2" spans="1:16" ht="85.5" customHeight="1" thickBot="1" x14ac:dyDescent="0.25">
      <c r="A2" s="247"/>
      <c r="B2" s="250"/>
      <c r="C2" s="27" t="s">
        <v>126</v>
      </c>
      <c r="D2" s="238" t="s">
        <v>547</v>
      </c>
      <c r="E2" s="239"/>
      <c r="F2" s="239"/>
      <c r="G2" s="239"/>
      <c r="H2" s="239"/>
      <c r="I2" s="240"/>
      <c r="J2" s="24">
        <v>36</v>
      </c>
      <c r="K2" s="197">
        <v>28</v>
      </c>
      <c r="L2" s="197">
        <v>8</v>
      </c>
      <c r="M2" s="193">
        <f>K2/$O$2</f>
        <v>0.3783783783783784</v>
      </c>
      <c r="N2" s="193">
        <f>L2/$P$2</f>
        <v>0.27586206896551724</v>
      </c>
      <c r="O2">
        <f>K2+K4+K6</f>
        <v>74</v>
      </c>
      <c r="P2">
        <f>L2+L4+L6</f>
        <v>29</v>
      </c>
    </row>
    <row r="3" spans="1:16" ht="29.25" customHeight="1" thickBot="1" x14ac:dyDescent="0.25">
      <c r="A3" s="247"/>
      <c r="B3" s="250"/>
      <c r="C3" s="241" t="s">
        <v>545</v>
      </c>
      <c r="D3" s="241"/>
      <c r="E3" s="241"/>
      <c r="F3" s="241"/>
      <c r="G3" s="241"/>
      <c r="H3" s="241"/>
      <c r="I3" s="241"/>
      <c r="J3" s="23" t="s">
        <v>127</v>
      </c>
    </row>
    <row r="4" spans="1:16" ht="90" customHeight="1" thickBot="1" x14ac:dyDescent="0.25">
      <c r="A4" s="247"/>
      <c r="B4" s="250"/>
      <c r="C4" s="28" t="s">
        <v>126</v>
      </c>
      <c r="D4" s="242" t="s">
        <v>546</v>
      </c>
      <c r="E4" s="242"/>
      <c r="F4" s="242"/>
      <c r="G4" s="242"/>
      <c r="H4" s="242"/>
      <c r="I4" s="243"/>
      <c r="J4" s="26">
        <v>55</v>
      </c>
      <c r="K4" s="195">
        <v>39</v>
      </c>
      <c r="L4" s="195">
        <v>16</v>
      </c>
      <c r="M4" s="193">
        <f>K4/$O$2</f>
        <v>0.52702702702702697</v>
      </c>
      <c r="N4" s="193">
        <f>L4/$P$2</f>
        <v>0.55172413793103448</v>
      </c>
    </row>
    <row r="5" spans="1:16" ht="16.5" thickBot="1" x14ac:dyDescent="0.25">
      <c r="A5" s="247"/>
      <c r="B5" s="250"/>
      <c r="C5" s="245" t="s">
        <v>548</v>
      </c>
      <c r="D5" s="245"/>
      <c r="E5" s="245"/>
      <c r="F5" s="245"/>
      <c r="G5" s="245"/>
      <c r="H5" s="245"/>
      <c r="I5" s="245"/>
      <c r="J5" s="23" t="s">
        <v>125</v>
      </c>
    </row>
    <row r="6" spans="1:16" ht="52.5" customHeight="1" thickBot="1" x14ac:dyDescent="0.25">
      <c r="A6" s="247"/>
      <c r="B6" s="250"/>
      <c r="C6" s="29" t="s">
        <v>126</v>
      </c>
      <c r="D6" s="238" t="s">
        <v>175</v>
      </c>
      <c r="E6" s="239"/>
      <c r="F6" s="239"/>
      <c r="G6" s="239"/>
      <c r="H6" s="239"/>
      <c r="I6" s="240"/>
      <c r="J6" s="25">
        <v>12</v>
      </c>
      <c r="K6" s="195">
        <v>7</v>
      </c>
      <c r="L6" s="195">
        <v>5</v>
      </c>
      <c r="M6" s="193">
        <f>K6/$O$2</f>
        <v>9.45945945945946E-2</v>
      </c>
      <c r="N6" s="193">
        <f>L6/$P$2</f>
        <v>0.17241379310344829</v>
      </c>
    </row>
    <row r="7" spans="1:16" ht="16.5" customHeight="1" thickBot="1" x14ac:dyDescent="0.25">
      <c r="A7" s="248"/>
      <c r="B7" s="251"/>
      <c r="C7" s="37"/>
      <c r="D7" s="37"/>
      <c r="E7" s="37"/>
      <c r="F7" s="37"/>
      <c r="G7" s="37"/>
      <c r="H7" s="37"/>
      <c r="I7" s="37"/>
      <c r="J7" s="37"/>
    </row>
    <row r="10" spans="1:16" s="7" customFormat="1" ht="13.5" thickBot="1" x14ac:dyDescent="0.25"/>
    <row r="11" spans="1:16" ht="17.25" customHeight="1" thickBot="1" x14ac:dyDescent="0.25">
      <c r="A11" s="246" t="s">
        <v>128</v>
      </c>
      <c r="B11" s="249" t="s">
        <v>124</v>
      </c>
      <c r="C11" s="252" t="s">
        <v>138</v>
      </c>
      <c r="D11" s="245"/>
      <c r="E11" s="245"/>
      <c r="F11" s="245"/>
      <c r="G11" s="245"/>
      <c r="H11" s="245"/>
      <c r="I11" s="245"/>
      <c r="J11" s="23"/>
      <c r="K11" s="7"/>
    </row>
    <row r="12" spans="1:16" s="7" customFormat="1" ht="17.25" customHeight="1" thickBot="1" x14ac:dyDescent="0.25">
      <c r="A12" s="247"/>
      <c r="B12" s="250"/>
      <c r="C12" s="244" t="s">
        <v>149</v>
      </c>
      <c r="D12" s="245"/>
      <c r="E12" s="245"/>
      <c r="F12" s="245"/>
      <c r="G12" s="245"/>
      <c r="H12" s="245"/>
      <c r="I12" s="245"/>
      <c r="J12" s="23" t="s">
        <v>125</v>
      </c>
    </row>
    <row r="13" spans="1:16" ht="51.75" customHeight="1" thickBot="1" x14ac:dyDescent="0.25">
      <c r="A13" s="247"/>
      <c r="B13" s="250"/>
      <c r="C13" s="39" t="s">
        <v>126</v>
      </c>
      <c r="D13" s="238" t="s">
        <v>176</v>
      </c>
      <c r="E13" s="239"/>
      <c r="F13" s="239"/>
      <c r="G13" s="239"/>
      <c r="H13" s="239"/>
      <c r="I13" s="240"/>
      <c r="J13" s="24">
        <v>4</v>
      </c>
      <c r="K13" s="7"/>
      <c r="M13" s="193"/>
    </row>
    <row r="14" spans="1:16" ht="16.5" customHeight="1" thickBot="1" x14ac:dyDescent="0.25">
      <c r="A14" s="247"/>
      <c r="B14" s="250"/>
      <c r="C14" s="241" t="s">
        <v>148</v>
      </c>
      <c r="D14" s="241"/>
      <c r="E14" s="241"/>
      <c r="F14" s="241"/>
      <c r="G14" s="241"/>
      <c r="H14" s="241"/>
      <c r="I14" s="241"/>
      <c r="J14" s="23" t="s">
        <v>127</v>
      </c>
      <c r="K14" s="7"/>
    </row>
    <row r="15" spans="1:16" ht="49.5" customHeight="1" thickBot="1" x14ac:dyDescent="0.25">
      <c r="A15" s="247"/>
      <c r="B15" s="250"/>
      <c r="C15" s="38" t="s">
        <v>126</v>
      </c>
      <c r="D15" s="242" t="s">
        <v>178</v>
      </c>
      <c r="E15" s="242"/>
      <c r="F15" s="242"/>
      <c r="G15" s="242"/>
      <c r="H15" s="242"/>
      <c r="I15" s="243"/>
      <c r="J15" s="26">
        <v>12</v>
      </c>
      <c r="K15" s="7"/>
      <c r="M15" s="193"/>
    </row>
    <row r="16" spans="1:16" ht="16.5" thickBot="1" x14ac:dyDescent="0.25">
      <c r="A16" s="247"/>
      <c r="B16" s="250"/>
      <c r="C16" s="245" t="s">
        <v>150</v>
      </c>
      <c r="D16" s="245"/>
      <c r="E16" s="245"/>
      <c r="F16" s="245"/>
      <c r="G16" s="245"/>
      <c r="H16" s="245"/>
      <c r="I16" s="245"/>
      <c r="J16" s="23" t="s">
        <v>125</v>
      </c>
      <c r="K16" s="7"/>
    </row>
    <row r="17" spans="1:13" s="7" customFormat="1" ht="66" customHeight="1" thickBot="1" x14ac:dyDescent="0.25">
      <c r="A17" s="247"/>
      <c r="B17" s="250"/>
      <c r="C17" s="40" t="s">
        <v>126</v>
      </c>
      <c r="D17" s="238" t="s">
        <v>179</v>
      </c>
      <c r="E17" s="239"/>
      <c r="F17" s="239"/>
      <c r="G17" s="239"/>
      <c r="H17" s="239"/>
      <c r="I17" s="240"/>
      <c r="J17" s="25">
        <v>4</v>
      </c>
      <c r="M17" s="193"/>
    </row>
    <row r="18" spans="1:13" s="7" customFormat="1" ht="13.5" thickBot="1" x14ac:dyDescent="0.25">
      <c r="A18" s="248"/>
      <c r="B18" s="251"/>
      <c r="C18" s="37"/>
      <c r="D18" s="37"/>
      <c r="E18" s="37"/>
      <c r="F18" s="37"/>
      <c r="G18" s="37"/>
      <c r="H18" s="37"/>
      <c r="I18" s="37"/>
      <c r="J18" s="37"/>
    </row>
    <row r="19" spans="1:13" x14ac:dyDescent="0.2">
      <c r="A19" s="7"/>
      <c r="B19" s="7"/>
      <c r="C19" s="7"/>
      <c r="D19" s="7"/>
      <c r="E19" s="7"/>
      <c r="F19" s="7"/>
      <c r="G19" s="7"/>
      <c r="H19" s="7"/>
      <c r="I19" s="7"/>
      <c r="J19" s="7"/>
      <c r="K19" s="7"/>
    </row>
    <row r="20" spans="1:13" ht="13.5" thickBot="1" x14ac:dyDescent="0.25">
      <c r="K20" s="7"/>
    </row>
    <row r="21" spans="1:13" ht="16.5" thickBot="1" x14ac:dyDescent="0.25">
      <c r="A21" s="246" t="s">
        <v>129</v>
      </c>
      <c r="B21" s="249" t="s">
        <v>124</v>
      </c>
      <c r="C21" s="252" t="s">
        <v>532</v>
      </c>
      <c r="D21" s="245"/>
      <c r="E21" s="245"/>
      <c r="F21" s="245"/>
      <c r="G21" s="245"/>
      <c r="H21" s="245"/>
      <c r="I21" s="245"/>
      <c r="J21" s="23"/>
      <c r="K21" s="7"/>
    </row>
    <row r="22" spans="1:13" s="7" customFormat="1" ht="16.5" thickBot="1" x14ac:dyDescent="0.25">
      <c r="A22" s="247"/>
      <c r="B22" s="250"/>
      <c r="C22" s="244" t="s">
        <v>151</v>
      </c>
      <c r="D22" s="245"/>
      <c r="E22" s="245"/>
      <c r="F22" s="245"/>
      <c r="G22" s="245"/>
      <c r="H22" s="245"/>
      <c r="I22" s="245"/>
      <c r="J22" s="23" t="s">
        <v>125</v>
      </c>
    </row>
    <row r="23" spans="1:13" ht="26.25" thickBot="1" x14ac:dyDescent="0.25">
      <c r="A23" s="247"/>
      <c r="B23" s="250"/>
      <c r="C23" s="44" t="s">
        <v>126</v>
      </c>
      <c r="D23" s="238"/>
      <c r="E23" s="239"/>
      <c r="F23" s="239"/>
      <c r="G23" s="239"/>
      <c r="H23" s="239"/>
      <c r="I23" s="240"/>
      <c r="J23" s="24">
        <v>2</v>
      </c>
      <c r="K23" s="7"/>
    </row>
    <row r="24" spans="1:13" ht="16.5" thickBot="1" x14ac:dyDescent="0.25">
      <c r="A24" s="247"/>
      <c r="B24" s="250"/>
      <c r="C24" s="241" t="s">
        <v>152</v>
      </c>
      <c r="D24" s="241"/>
      <c r="E24" s="241"/>
      <c r="F24" s="241"/>
      <c r="G24" s="241"/>
      <c r="H24" s="241"/>
      <c r="I24" s="241"/>
      <c r="J24" s="23" t="s">
        <v>127</v>
      </c>
      <c r="K24" s="7"/>
    </row>
    <row r="25" spans="1:13" ht="26.25" thickBot="1" x14ac:dyDescent="0.25">
      <c r="A25" s="247"/>
      <c r="B25" s="250"/>
      <c r="C25" s="42" t="s">
        <v>126</v>
      </c>
      <c r="D25" s="242" t="s">
        <v>167</v>
      </c>
      <c r="E25" s="242"/>
      <c r="F25" s="242"/>
      <c r="G25" s="242"/>
      <c r="H25" s="242"/>
      <c r="I25" s="243"/>
      <c r="J25" s="26">
        <v>5</v>
      </c>
    </row>
    <row r="26" spans="1:13" ht="16.5" thickBot="1" x14ac:dyDescent="0.25">
      <c r="A26" s="247"/>
      <c r="B26" s="250"/>
      <c r="C26" s="244" t="s">
        <v>181</v>
      </c>
      <c r="D26" s="245"/>
      <c r="E26" s="245"/>
      <c r="F26" s="245"/>
      <c r="G26" s="245"/>
      <c r="H26" s="245"/>
      <c r="I26" s="245"/>
      <c r="J26" s="23" t="s">
        <v>125</v>
      </c>
    </row>
    <row r="27" spans="1:13" ht="26.25" thickBot="1" x14ac:dyDescent="0.25">
      <c r="A27" s="247"/>
      <c r="B27" s="250"/>
      <c r="C27" s="43" t="s">
        <v>126</v>
      </c>
      <c r="D27" s="238" t="s">
        <v>182</v>
      </c>
      <c r="E27" s="239"/>
      <c r="F27" s="239"/>
      <c r="G27" s="239"/>
      <c r="H27" s="239"/>
      <c r="I27" s="240"/>
      <c r="J27" s="25">
        <v>7</v>
      </c>
    </row>
    <row r="28" spans="1:13" ht="13.5" thickBot="1" x14ac:dyDescent="0.25">
      <c r="A28" s="248"/>
      <c r="B28" s="251"/>
      <c r="C28" s="37"/>
      <c r="D28" s="37"/>
      <c r="E28" s="37"/>
      <c r="F28" s="37"/>
      <c r="G28" s="37"/>
      <c r="H28" s="37"/>
      <c r="I28" s="37"/>
      <c r="J28" s="37"/>
    </row>
    <row r="29" spans="1:13" x14ac:dyDescent="0.2">
      <c r="A29" s="7"/>
      <c r="B29" s="7"/>
      <c r="C29" s="7"/>
      <c r="D29" s="7"/>
      <c r="E29" s="7"/>
      <c r="F29" s="7"/>
      <c r="G29" s="7"/>
      <c r="H29" s="7"/>
      <c r="I29" s="7"/>
      <c r="J29" s="7"/>
    </row>
    <row r="30" spans="1:13" x14ac:dyDescent="0.2">
      <c r="A30" s="7"/>
      <c r="B30" s="7"/>
      <c r="C30" s="7"/>
      <c r="D30" s="7"/>
      <c r="E30" s="7"/>
      <c r="F30" s="7"/>
      <c r="G30" s="7"/>
      <c r="H30" s="7"/>
      <c r="I30" s="7"/>
      <c r="J30" s="7"/>
    </row>
    <row r="31" spans="1:13" x14ac:dyDescent="0.2">
      <c r="A31" s="7"/>
      <c r="B31" s="7"/>
      <c r="C31" s="7"/>
      <c r="D31" s="7"/>
      <c r="E31" s="7"/>
      <c r="F31" s="7"/>
      <c r="G31" s="7"/>
      <c r="H31" s="7"/>
      <c r="I31" s="7"/>
      <c r="J31" s="7"/>
    </row>
  </sheetData>
  <mergeCells count="26">
    <mergeCell ref="A21:A28"/>
    <mergeCell ref="B21:B28"/>
    <mergeCell ref="A1:A7"/>
    <mergeCell ref="B1:B7"/>
    <mergeCell ref="C1:I1"/>
    <mergeCell ref="D2:I2"/>
    <mergeCell ref="C3:I3"/>
    <mergeCell ref="D4:I4"/>
    <mergeCell ref="C5:I5"/>
    <mergeCell ref="D6:I6"/>
    <mergeCell ref="D27:I27"/>
    <mergeCell ref="A11:A18"/>
    <mergeCell ref="B11:B18"/>
    <mergeCell ref="C11:I11"/>
    <mergeCell ref="D13:I13"/>
    <mergeCell ref="C21:I21"/>
    <mergeCell ref="D23:I23"/>
    <mergeCell ref="C24:I24"/>
    <mergeCell ref="D25:I25"/>
    <mergeCell ref="C26:I26"/>
    <mergeCell ref="C12:I12"/>
    <mergeCell ref="C22:I22"/>
    <mergeCell ref="C14:I14"/>
    <mergeCell ref="D15:I15"/>
    <mergeCell ref="C16:I16"/>
    <mergeCell ref="D17:I17"/>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399F2-0554-4242-B8AC-87AF3B92FEC0}">
  <sheetPr codeName="Tabelle6" filterMode="1"/>
  <dimension ref="A1:T58"/>
  <sheetViews>
    <sheetView topLeftCell="J1" zoomScale="86" zoomScaleNormal="86" workbookViewId="0">
      <selection activeCell="O69" sqref="O69"/>
    </sheetView>
  </sheetViews>
  <sheetFormatPr baseColWidth="10" defaultRowHeight="12.75" x14ac:dyDescent="0.2"/>
  <cols>
    <col min="1" max="1" width="9.28515625" bestFit="1" customWidth="1"/>
    <col min="2" max="2" width="15" customWidth="1"/>
    <col min="3" max="3" width="80.7109375" customWidth="1"/>
    <col min="4" max="4" width="22" style="127" customWidth="1"/>
    <col min="5" max="5" width="24" style="127" customWidth="1"/>
    <col min="6" max="6" width="21" style="7" bestFit="1" customWidth="1"/>
    <col min="7" max="7" width="21.42578125" style="7" bestFit="1" customWidth="1"/>
    <col min="8" max="8" width="20.85546875" style="2" customWidth="1"/>
    <col min="9" max="9" width="90.85546875" customWidth="1"/>
    <col min="10" max="10" width="21" style="131" bestFit="1" customWidth="1"/>
    <col min="11" max="11" width="20" style="131" bestFit="1" customWidth="1"/>
    <col min="12" max="12" width="16.28515625" style="7" customWidth="1"/>
    <col min="13" max="13" width="25.42578125" style="7" customWidth="1"/>
    <col min="14" max="14" width="39.28515625" style="2" customWidth="1"/>
    <col min="15" max="15" width="81.85546875" customWidth="1"/>
    <col min="16" max="16" width="21.42578125" style="7" customWidth="1"/>
    <col min="17" max="17" width="21.7109375" style="7" customWidth="1"/>
    <col min="18" max="18" width="21.5703125" style="7" customWidth="1"/>
    <col min="19" max="19" width="21.28515625" style="7" customWidth="1"/>
    <col min="20" max="20" width="42.28515625" bestFit="1" customWidth="1"/>
  </cols>
  <sheetData>
    <row r="1" spans="1:20" ht="38.25" x14ac:dyDescent="0.2">
      <c r="A1" s="67" t="s">
        <v>0</v>
      </c>
      <c r="B1" s="68" t="s">
        <v>2</v>
      </c>
      <c r="C1" s="70" t="s">
        <v>534</v>
      </c>
      <c r="D1" s="122" t="s">
        <v>130</v>
      </c>
      <c r="E1" s="122"/>
      <c r="F1" s="123" t="s">
        <v>131</v>
      </c>
      <c r="G1" s="123"/>
      <c r="H1" s="68" t="s">
        <v>515</v>
      </c>
      <c r="I1" s="70" t="s">
        <v>535</v>
      </c>
      <c r="J1" s="123" t="s">
        <v>130</v>
      </c>
      <c r="K1" s="123"/>
      <c r="L1" s="70" t="s">
        <v>131</v>
      </c>
      <c r="M1" s="70"/>
      <c r="N1" s="68" t="s">
        <v>515</v>
      </c>
      <c r="O1" s="70" t="s">
        <v>536</v>
      </c>
      <c r="P1" s="70" t="s">
        <v>130</v>
      </c>
      <c r="Q1" s="70"/>
      <c r="R1" s="70" t="s">
        <v>131</v>
      </c>
      <c r="S1" s="70"/>
      <c r="T1" s="68" t="s">
        <v>515</v>
      </c>
    </row>
    <row r="2" spans="1:20" ht="38.25" x14ac:dyDescent="0.2">
      <c r="A2" s="8">
        <v>8</v>
      </c>
      <c r="B2" t="s">
        <v>523</v>
      </c>
      <c r="C2" s="80" t="s">
        <v>194</v>
      </c>
      <c r="D2" s="116" t="s">
        <v>25</v>
      </c>
      <c r="E2" s="116" t="s">
        <v>283</v>
      </c>
      <c r="F2" s="79"/>
      <c r="G2" s="79"/>
      <c r="H2" s="2" t="s">
        <v>327</v>
      </c>
      <c r="I2" s="79" t="s">
        <v>222</v>
      </c>
      <c r="J2" s="125" t="s">
        <v>362</v>
      </c>
      <c r="K2" s="125" t="s">
        <v>368</v>
      </c>
      <c r="L2" s="8"/>
      <c r="M2" s="8"/>
      <c r="N2" s="2" t="s">
        <v>303</v>
      </c>
      <c r="O2" s="129" t="s">
        <v>255</v>
      </c>
      <c r="P2" s="87" t="s">
        <v>24</v>
      </c>
      <c r="Q2" s="89" t="s">
        <v>343</v>
      </c>
      <c r="R2" s="8"/>
      <c r="S2" s="8"/>
      <c r="T2" t="s">
        <v>320</v>
      </c>
    </row>
    <row r="3" spans="1:20" ht="15.75" customHeight="1" x14ac:dyDescent="0.2">
      <c r="A3" s="8">
        <v>15</v>
      </c>
      <c r="B3" t="s">
        <v>523</v>
      </c>
      <c r="C3" s="82" t="s">
        <v>286</v>
      </c>
      <c r="D3" s="118" t="s">
        <v>469</v>
      </c>
      <c r="E3" s="118" t="s">
        <v>395</v>
      </c>
      <c r="F3" s="80"/>
      <c r="G3" s="80"/>
      <c r="H3" s="2" t="s">
        <v>287</v>
      </c>
      <c r="I3" s="85" t="s">
        <v>505</v>
      </c>
      <c r="J3" s="116" t="s">
        <v>25</v>
      </c>
      <c r="K3" s="116" t="s">
        <v>283</v>
      </c>
      <c r="L3" s="8"/>
      <c r="M3" s="8"/>
      <c r="N3" s="2" t="s">
        <v>293</v>
      </c>
      <c r="O3" s="82" t="s">
        <v>508</v>
      </c>
      <c r="P3" s="118" t="s">
        <v>469</v>
      </c>
      <c r="Q3" s="118" t="s">
        <v>480</v>
      </c>
      <c r="R3" s="8"/>
      <c r="S3" s="8"/>
      <c r="T3" t="s">
        <v>475</v>
      </c>
    </row>
    <row r="4" spans="1:20" ht="12" customHeight="1" x14ac:dyDescent="0.2">
      <c r="A4" s="8">
        <v>17</v>
      </c>
      <c r="B4" t="s">
        <v>523</v>
      </c>
      <c r="C4" s="80" t="s">
        <v>195</v>
      </c>
      <c r="D4" s="116" t="s">
        <v>25</v>
      </c>
      <c r="E4" s="116" t="s">
        <v>283</v>
      </c>
      <c r="F4" s="79"/>
      <c r="G4" s="79"/>
      <c r="H4" s="2" t="s">
        <v>293</v>
      </c>
      <c r="I4" s="80" t="s">
        <v>223</v>
      </c>
      <c r="J4" s="116" t="s">
        <v>25</v>
      </c>
      <c r="K4" s="116" t="s">
        <v>522</v>
      </c>
      <c r="L4" s="8"/>
      <c r="M4" s="8"/>
      <c r="N4" s="2" t="s">
        <v>304</v>
      </c>
      <c r="O4" s="8" t="s">
        <v>370</v>
      </c>
      <c r="P4" s="118" t="s">
        <v>469</v>
      </c>
      <c r="Q4" s="117" t="s">
        <v>360</v>
      </c>
      <c r="R4" s="132"/>
      <c r="S4" s="133"/>
      <c r="T4" s="7" t="s">
        <v>321</v>
      </c>
    </row>
    <row r="5" spans="1:20" ht="25.5" x14ac:dyDescent="0.2">
      <c r="A5" s="7">
        <v>19</v>
      </c>
      <c r="B5" t="s">
        <v>524</v>
      </c>
      <c r="C5" s="134" t="s">
        <v>213</v>
      </c>
      <c r="D5" s="89" t="s">
        <v>24</v>
      </c>
      <c r="E5" s="89" t="s">
        <v>343</v>
      </c>
      <c r="H5" s="2" t="s">
        <v>281</v>
      </c>
      <c r="I5" s="134" t="s">
        <v>242</v>
      </c>
      <c r="J5" s="87" t="s">
        <v>24</v>
      </c>
      <c r="K5" s="89" t="s">
        <v>352</v>
      </c>
      <c r="L5" s="132"/>
      <c r="M5" s="132"/>
      <c r="N5" s="2" t="s">
        <v>317</v>
      </c>
      <c r="O5" s="7" t="s">
        <v>276</v>
      </c>
      <c r="P5" s="118" t="s">
        <v>469</v>
      </c>
      <c r="Q5" s="118" t="s">
        <v>395</v>
      </c>
      <c r="T5" s="3" t="s">
        <v>475</v>
      </c>
    </row>
    <row r="6" spans="1:20" ht="14.25" customHeight="1" x14ac:dyDescent="0.2">
      <c r="A6" s="8">
        <v>20</v>
      </c>
      <c r="B6" t="s">
        <v>523</v>
      </c>
      <c r="C6" s="80" t="s">
        <v>196</v>
      </c>
      <c r="D6" s="116" t="s">
        <v>25</v>
      </c>
      <c r="E6" s="116" t="s">
        <v>283</v>
      </c>
      <c r="F6" s="80"/>
      <c r="G6" s="80"/>
      <c r="H6" s="2" t="s">
        <v>327</v>
      </c>
      <c r="I6" s="130" t="s">
        <v>506</v>
      </c>
      <c r="J6" s="87" t="s">
        <v>24</v>
      </c>
      <c r="K6" s="89" t="s">
        <v>352</v>
      </c>
      <c r="L6" s="8"/>
      <c r="M6" s="8"/>
      <c r="N6" s="2" t="s">
        <v>281</v>
      </c>
      <c r="O6" s="82" t="s">
        <v>256</v>
      </c>
      <c r="P6" s="118" t="s">
        <v>469</v>
      </c>
      <c r="Q6" s="118" t="s">
        <v>395</v>
      </c>
      <c r="R6" s="8"/>
      <c r="S6" s="8"/>
      <c r="T6" t="s">
        <v>475</v>
      </c>
    </row>
    <row r="7" spans="1:20" ht="13.5" customHeight="1" x14ac:dyDescent="0.2">
      <c r="A7" s="85">
        <v>25</v>
      </c>
      <c r="B7" t="s">
        <v>523</v>
      </c>
      <c r="C7" s="82" t="s">
        <v>495</v>
      </c>
      <c r="D7" s="118" t="s">
        <v>469</v>
      </c>
      <c r="E7" s="118" t="s">
        <v>480</v>
      </c>
      <c r="F7" s="81"/>
      <c r="G7" s="81"/>
      <c r="H7" s="2" t="s">
        <v>326</v>
      </c>
      <c r="I7" s="82" t="s">
        <v>244</v>
      </c>
      <c r="J7" s="118" t="s">
        <v>469</v>
      </c>
      <c r="K7" s="117" t="s">
        <v>360</v>
      </c>
      <c r="L7" s="8"/>
      <c r="M7" s="8"/>
      <c r="N7" s="2" t="s">
        <v>292</v>
      </c>
      <c r="O7" s="80" t="s">
        <v>190</v>
      </c>
      <c r="P7" s="116" t="s">
        <v>25</v>
      </c>
      <c r="Q7" s="116" t="s">
        <v>283</v>
      </c>
      <c r="R7" s="8"/>
      <c r="S7" s="8"/>
      <c r="T7" t="s">
        <v>299</v>
      </c>
    </row>
    <row r="8" spans="1:20" ht="38.25" x14ac:dyDescent="0.2">
      <c r="A8" s="4">
        <v>29</v>
      </c>
      <c r="B8" t="s">
        <v>523</v>
      </c>
      <c r="C8" s="71" t="s">
        <v>361</v>
      </c>
      <c r="D8" s="116" t="s">
        <v>25</v>
      </c>
      <c r="E8" s="116" t="s">
        <v>522</v>
      </c>
      <c r="F8" s="117" t="s">
        <v>469</v>
      </c>
      <c r="G8" s="117" t="s">
        <v>360</v>
      </c>
      <c r="H8" s="2" t="s">
        <v>280</v>
      </c>
      <c r="I8" s="76" t="s">
        <v>507</v>
      </c>
      <c r="J8" s="116" t="s">
        <v>25</v>
      </c>
      <c r="K8" s="116" t="s">
        <v>283</v>
      </c>
      <c r="L8" s="4"/>
      <c r="M8" s="4"/>
      <c r="N8" s="2" t="s">
        <v>305</v>
      </c>
      <c r="O8" s="77" t="s">
        <v>512</v>
      </c>
      <c r="P8" s="125" t="s">
        <v>362</v>
      </c>
      <c r="Q8" s="125" t="s">
        <v>368</v>
      </c>
      <c r="R8" s="4"/>
      <c r="S8" s="4"/>
      <c r="T8" t="s">
        <v>318</v>
      </c>
    </row>
    <row r="9" spans="1:20" ht="16.5" customHeight="1" x14ac:dyDescent="0.2">
      <c r="A9" s="8">
        <v>30</v>
      </c>
      <c r="B9" t="s">
        <v>523</v>
      </c>
      <c r="C9" s="82" t="s">
        <v>363</v>
      </c>
      <c r="D9" s="116" t="s">
        <v>25</v>
      </c>
      <c r="E9" s="116" t="s">
        <v>283</v>
      </c>
      <c r="F9" s="125" t="s">
        <v>362</v>
      </c>
      <c r="G9" s="125" t="s">
        <v>368</v>
      </c>
      <c r="H9" s="2" t="s">
        <v>318</v>
      </c>
      <c r="I9" s="79" t="s">
        <v>365</v>
      </c>
      <c r="J9" s="125" t="s">
        <v>362</v>
      </c>
      <c r="K9" s="125" t="s">
        <v>288</v>
      </c>
      <c r="L9" s="8"/>
      <c r="M9" s="8"/>
      <c r="N9" s="2" t="s">
        <v>288</v>
      </c>
      <c r="O9" s="79" t="s">
        <v>257</v>
      </c>
      <c r="P9" s="125" t="s">
        <v>362</v>
      </c>
      <c r="Q9" s="125" t="s">
        <v>288</v>
      </c>
      <c r="R9" s="8"/>
      <c r="S9" s="8"/>
      <c r="T9" t="s">
        <v>288</v>
      </c>
    </row>
    <row r="10" spans="1:20" ht="14.25" customHeight="1" x14ac:dyDescent="0.2">
      <c r="A10" s="4">
        <v>31</v>
      </c>
      <c r="B10" t="s">
        <v>524</v>
      </c>
      <c r="C10" s="72" t="s">
        <v>189</v>
      </c>
      <c r="D10" s="116" t="s">
        <v>25</v>
      </c>
      <c r="E10" s="116" t="s">
        <v>283</v>
      </c>
      <c r="F10" s="73"/>
      <c r="G10" s="73"/>
      <c r="H10" s="2" t="s">
        <v>297</v>
      </c>
      <c r="I10" s="76" t="s">
        <v>189</v>
      </c>
      <c r="J10" s="116" t="s">
        <v>25</v>
      </c>
      <c r="K10" s="93" t="s">
        <v>519</v>
      </c>
      <c r="L10" s="4"/>
      <c r="M10" s="4"/>
      <c r="N10" s="2" t="s">
        <v>297</v>
      </c>
      <c r="O10" s="76" t="s">
        <v>251</v>
      </c>
      <c r="P10" s="116" t="s">
        <v>25</v>
      </c>
      <c r="Q10" s="116" t="s">
        <v>283</v>
      </c>
      <c r="R10" s="4"/>
      <c r="S10" s="4"/>
      <c r="T10" s="7" t="s">
        <v>299</v>
      </c>
    </row>
    <row r="11" spans="1:20" ht="15" customHeight="1" x14ac:dyDescent="0.2">
      <c r="A11" s="4">
        <v>33</v>
      </c>
      <c r="B11" t="s">
        <v>523</v>
      </c>
      <c r="C11" s="4" t="s">
        <v>353</v>
      </c>
      <c r="D11" s="89" t="s">
        <v>24</v>
      </c>
      <c r="E11" s="89" t="s">
        <v>343</v>
      </c>
      <c r="F11" s="4"/>
      <c r="G11" s="4"/>
      <c r="H11" s="2" t="s">
        <v>281</v>
      </c>
      <c r="I11" s="77" t="s">
        <v>214</v>
      </c>
      <c r="J11" s="125" t="s">
        <v>362</v>
      </c>
      <c r="K11" s="125" t="s">
        <v>288</v>
      </c>
      <c r="L11" s="4"/>
      <c r="M11" s="4"/>
      <c r="N11" s="2" t="s">
        <v>288</v>
      </c>
      <c r="O11" s="71" t="s">
        <v>369</v>
      </c>
      <c r="P11" s="125" t="s">
        <v>362</v>
      </c>
      <c r="Q11" s="125" t="s">
        <v>368</v>
      </c>
      <c r="R11" s="4"/>
      <c r="S11" s="4"/>
      <c r="T11" s="2" t="s">
        <v>318</v>
      </c>
    </row>
    <row r="12" spans="1:20" ht="15.75" customHeight="1" x14ac:dyDescent="0.2">
      <c r="A12" s="8">
        <v>34</v>
      </c>
      <c r="B12" t="s">
        <v>523</v>
      </c>
      <c r="C12" s="80" t="s">
        <v>197</v>
      </c>
      <c r="D12" s="116" t="s">
        <v>25</v>
      </c>
      <c r="E12" s="116" t="s">
        <v>283</v>
      </c>
      <c r="F12" s="79"/>
      <c r="G12" s="79"/>
      <c r="H12" s="2" t="s">
        <v>329</v>
      </c>
      <c r="I12" s="130" t="s">
        <v>224</v>
      </c>
      <c r="J12" s="87" t="s">
        <v>24</v>
      </c>
      <c r="K12" s="89" t="s">
        <v>352</v>
      </c>
      <c r="L12" s="8"/>
      <c r="M12" s="8"/>
      <c r="N12" s="2" t="s">
        <v>279</v>
      </c>
      <c r="O12" s="82" t="s">
        <v>518</v>
      </c>
      <c r="P12" s="118" t="s">
        <v>469</v>
      </c>
      <c r="Q12" s="118" t="s">
        <v>395</v>
      </c>
      <c r="R12" s="87" t="s">
        <v>24</v>
      </c>
      <c r="S12" s="89" t="s">
        <v>352</v>
      </c>
      <c r="T12" t="s">
        <v>290</v>
      </c>
    </row>
    <row r="13" spans="1:20" ht="15.75" customHeight="1" x14ac:dyDescent="0.2">
      <c r="A13" s="8">
        <v>38</v>
      </c>
      <c r="B13" t="s">
        <v>523</v>
      </c>
      <c r="C13" s="80" t="s">
        <v>190</v>
      </c>
      <c r="D13" s="116" t="s">
        <v>25</v>
      </c>
      <c r="E13" s="116" t="s">
        <v>283</v>
      </c>
      <c r="F13" s="79"/>
      <c r="G13" s="79"/>
      <c r="H13" s="2" t="s">
        <v>330</v>
      </c>
      <c r="I13" s="82" t="s">
        <v>508</v>
      </c>
      <c r="J13" s="118" t="s">
        <v>469</v>
      </c>
      <c r="K13" s="118" t="s">
        <v>480</v>
      </c>
      <c r="L13" s="8"/>
      <c r="M13" s="8"/>
      <c r="N13" s="2" t="s">
        <v>475</v>
      </c>
      <c r="O13" s="130" t="s">
        <v>513</v>
      </c>
      <c r="P13" s="87" t="s">
        <v>24</v>
      </c>
      <c r="Q13" s="89" t="s">
        <v>352</v>
      </c>
      <c r="R13" s="8"/>
      <c r="S13" s="8"/>
      <c r="T13" t="s">
        <v>307</v>
      </c>
    </row>
    <row r="14" spans="1:20" x14ac:dyDescent="0.2">
      <c r="A14" s="4">
        <v>43</v>
      </c>
      <c r="B14" t="s">
        <v>524</v>
      </c>
      <c r="C14" s="72" t="s">
        <v>190</v>
      </c>
      <c r="D14" s="116" t="s">
        <v>25</v>
      </c>
      <c r="E14" s="116" t="s">
        <v>283</v>
      </c>
      <c r="F14" s="77"/>
      <c r="G14" s="77"/>
      <c r="H14" s="2" t="s">
        <v>297</v>
      </c>
      <c r="I14" s="76" t="s">
        <v>216</v>
      </c>
      <c r="J14" s="116" t="s">
        <v>25</v>
      </c>
      <c r="K14" s="128" t="s">
        <v>342</v>
      </c>
      <c r="L14" s="4"/>
      <c r="M14" s="4"/>
      <c r="N14" s="2" t="s">
        <v>301</v>
      </c>
      <c r="O14" s="78" t="s">
        <v>250</v>
      </c>
      <c r="P14" s="87" t="s">
        <v>24</v>
      </c>
      <c r="Q14" s="89" t="s">
        <v>352</v>
      </c>
      <c r="R14" s="4"/>
      <c r="S14" s="4"/>
      <c r="T14" t="s">
        <v>307</v>
      </c>
    </row>
    <row r="15" spans="1:20" ht="25.5" x14ac:dyDescent="0.2">
      <c r="A15" s="4">
        <v>44</v>
      </c>
      <c r="B15" t="s">
        <v>523</v>
      </c>
      <c r="C15" s="74" t="s">
        <v>496</v>
      </c>
      <c r="D15" s="118" t="s">
        <v>469</v>
      </c>
      <c r="E15" s="118" t="s">
        <v>395</v>
      </c>
      <c r="F15" s="75"/>
      <c r="G15" s="75"/>
      <c r="H15" s="2" t="s">
        <v>396</v>
      </c>
      <c r="I15" s="76" t="s">
        <v>215</v>
      </c>
      <c r="J15" s="116" t="s">
        <v>25</v>
      </c>
      <c r="K15" s="128" t="s">
        <v>342</v>
      </c>
      <c r="L15" s="4"/>
      <c r="M15" s="4"/>
      <c r="N15" s="2" t="s">
        <v>279</v>
      </c>
      <c r="O15" s="76" t="s">
        <v>243</v>
      </c>
      <c r="P15" s="116" t="s">
        <v>25</v>
      </c>
      <c r="Q15" s="116" t="s">
        <v>283</v>
      </c>
      <c r="R15" s="4"/>
      <c r="S15" s="4"/>
      <c r="T15" s="7" t="s">
        <v>299</v>
      </c>
    </row>
    <row r="16" spans="1:20" ht="25.5" x14ac:dyDescent="0.2">
      <c r="A16" s="8">
        <v>45</v>
      </c>
      <c r="B16" t="s">
        <v>524</v>
      </c>
      <c r="C16" s="80" t="s">
        <v>497</v>
      </c>
      <c r="D16" s="116" t="s">
        <v>25</v>
      </c>
      <c r="E16" s="116" t="s">
        <v>283</v>
      </c>
      <c r="F16" s="8"/>
      <c r="G16" s="8"/>
      <c r="H16" s="2" t="s">
        <v>296</v>
      </c>
      <c r="I16" s="80" t="s">
        <v>235</v>
      </c>
      <c r="J16" s="116" t="s">
        <v>25</v>
      </c>
      <c r="K16" s="128" t="s">
        <v>342</v>
      </c>
      <c r="L16" s="8"/>
      <c r="M16" s="8"/>
      <c r="N16" s="84" t="s">
        <v>336</v>
      </c>
      <c r="O16" s="80" t="s">
        <v>553</v>
      </c>
      <c r="P16" s="116" t="s">
        <v>25</v>
      </c>
      <c r="Q16" s="116" t="s">
        <v>283</v>
      </c>
      <c r="R16" s="8"/>
      <c r="S16" s="8"/>
      <c r="T16" s="3" t="s">
        <v>324</v>
      </c>
    </row>
    <row r="17" spans="1:20" x14ac:dyDescent="0.2">
      <c r="A17" s="4">
        <v>49</v>
      </c>
      <c r="B17" t="s">
        <v>524</v>
      </c>
      <c r="C17" s="72" t="s">
        <v>18</v>
      </c>
      <c r="D17" s="116" t="s">
        <v>25</v>
      </c>
      <c r="E17" s="116" t="s">
        <v>283</v>
      </c>
      <c r="F17" s="77"/>
      <c r="G17" s="77"/>
      <c r="H17" s="2" t="s">
        <v>297</v>
      </c>
      <c r="I17" s="77" t="s">
        <v>13</v>
      </c>
      <c r="J17" s="125" t="s">
        <v>144</v>
      </c>
      <c r="K17" s="93" t="s">
        <v>144</v>
      </c>
      <c r="L17" s="4"/>
      <c r="M17" s="4"/>
      <c r="N17" s="2" t="s">
        <v>302</v>
      </c>
      <c r="O17" s="76" t="s">
        <v>252</v>
      </c>
      <c r="P17" s="116" t="s">
        <v>25</v>
      </c>
      <c r="Q17" s="116" t="s">
        <v>283</v>
      </c>
      <c r="R17" s="4"/>
      <c r="S17" s="4"/>
      <c r="T17" t="s">
        <v>319</v>
      </c>
    </row>
    <row r="18" spans="1:20" x14ac:dyDescent="0.2">
      <c r="A18" s="4">
        <v>51</v>
      </c>
      <c r="B18" t="s">
        <v>523</v>
      </c>
      <c r="C18" s="71" t="s">
        <v>277</v>
      </c>
      <c r="D18" s="90" t="s">
        <v>247</v>
      </c>
      <c r="E18" s="90"/>
      <c r="F18" s="71"/>
      <c r="G18" s="71"/>
      <c r="H18" s="2" t="s">
        <v>282</v>
      </c>
      <c r="I18" s="121" t="s">
        <v>508</v>
      </c>
      <c r="J18" s="118" t="s">
        <v>469</v>
      </c>
      <c r="K18" s="118" t="s">
        <v>395</v>
      </c>
      <c r="L18" s="4"/>
      <c r="M18" s="4"/>
      <c r="N18" s="2" t="s">
        <v>475</v>
      </c>
      <c r="O18" s="4" t="s">
        <v>244</v>
      </c>
      <c r="P18" s="118" t="s">
        <v>469</v>
      </c>
      <c r="Q18" s="117" t="s">
        <v>360</v>
      </c>
      <c r="R18" s="4"/>
      <c r="S18" s="4"/>
      <c r="T18" s="7" t="s">
        <v>292</v>
      </c>
    </row>
    <row r="19" spans="1:20" ht="25.5" x14ac:dyDescent="0.2">
      <c r="A19" s="8">
        <v>58</v>
      </c>
      <c r="B19" t="s">
        <v>523</v>
      </c>
      <c r="C19" s="80" t="s">
        <v>16</v>
      </c>
      <c r="D19" s="116" t="s">
        <v>25</v>
      </c>
      <c r="E19" s="128" t="s">
        <v>342</v>
      </c>
      <c r="F19" s="8"/>
      <c r="G19" s="8"/>
      <c r="H19" s="2" t="s">
        <v>331</v>
      </c>
      <c r="I19" s="82" t="s">
        <v>19</v>
      </c>
      <c r="J19" s="118" t="s">
        <v>469</v>
      </c>
      <c r="K19" s="118" t="s">
        <v>395</v>
      </c>
      <c r="L19" s="8"/>
      <c r="M19" s="8"/>
      <c r="N19" s="84" t="s">
        <v>306</v>
      </c>
      <c r="O19" s="8" t="s">
        <v>371</v>
      </c>
      <c r="P19" s="87" t="s">
        <v>24</v>
      </c>
      <c r="Q19" s="89" t="s">
        <v>351</v>
      </c>
      <c r="R19" s="8"/>
      <c r="S19" s="8"/>
      <c r="T19" s="3" t="s">
        <v>340</v>
      </c>
    </row>
    <row r="20" spans="1:20" ht="16.5" customHeight="1" x14ac:dyDescent="0.2">
      <c r="A20" s="5">
        <v>60</v>
      </c>
      <c r="B20" t="s">
        <v>523</v>
      </c>
      <c r="C20" s="79" t="s">
        <v>198</v>
      </c>
      <c r="D20" s="125" t="s">
        <v>362</v>
      </c>
      <c r="E20" s="125" t="s">
        <v>288</v>
      </c>
      <c r="F20" s="8"/>
      <c r="G20" s="8"/>
      <c r="H20" s="2" t="s">
        <v>288</v>
      </c>
      <c r="I20" s="130" t="s">
        <v>225</v>
      </c>
      <c r="J20" s="87" t="s">
        <v>24</v>
      </c>
      <c r="K20" s="89" t="s">
        <v>352</v>
      </c>
      <c r="L20" s="87" t="s">
        <v>24</v>
      </c>
      <c r="M20" s="92" t="s">
        <v>354</v>
      </c>
      <c r="N20" s="84" t="s">
        <v>307</v>
      </c>
      <c r="O20" s="82" t="s">
        <v>258</v>
      </c>
      <c r="P20" s="118" t="s">
        <v>469</v>
      </c>
      <c r="Q20" s="118" t="s">
        <v>480</v>
      </c>
      <c r="R20" s="8"/>
      <c r="S20" s="8"/>
      <c r="T20" s="3" t="s">
        <v>478</v>
      </c>
    </row>
    <row r="21" spans="1:20" ht="38.25" x14ac:dyDescent="0.2">
      <c r="A21" s="8">
        <v>63</v>
      </c>
      <c r="B21" t="s">
        <v>524</v>
      </c>
      <c r="C21" s="82" t="s">
        <v>185</v>
      </c>
      <c r="D21" s="118" t="s">
        <v>469</v>
      </c>
      <c r="E21" s="118" t="s">
        <v>480</v>
      </c>
      <c r="F21" s="8"/>
      <c r="G21" s="8"/>
      <c r="H21" s="2" t="s">
        <v>475</v>
      </c>
      <c r="I21" s="210" t="s">
        <v>13</v>
      </c>
      <c r="J21" s="133" t="s">
        <v>144</v>
      </c>
      <c r="K21" s="133" t="s">
        <v>144</v>
      </c>
      <c r="L21" s="8"/>
      <c r="M21" s="8"/>
      <c r="N21" s="84" t="s">
        <v>278</v>
      </c>
      <c r="O21" s="130" t="s">
        <v>32</v>
      </c>
      <c r="P21" s="87" t="s">
        <v>24</v>
      </c>
      <c r="Q21" s="89" t="s">
        <v>520</v>
      </c>
      <c r="R21" s="8"/>
      <c r="S21" s="8"/>
      <c r="T21" s="3" t="s">
        <v>325</v>
      </c>
    </row>
    <row r="22" spans="1:20" x14ac:dyDescent="0.2">
      <c r="A22" s="4">
        <v>67</v>
      </c>
      <c r="B22" t="s">
        <v>523</v>
      </c>
      <c r="C22" s="69" t="s">
        <v>17</v>
      </c>
      <c r="D22" s="90" t="s">
        <v>247</v>
      </c>
      <c r="E22" s="124"/>
      <c r="F22" s="69"/>
      <c r="G22" s="69"/>
      <c r="H22" s="2" t="s">
        <v>282</v>
      </c>
      <c r="I22" s="76" t="s">
        <v>216</v>
      </c>
      <c r="J22" s="116" t="s">
        <v>25</v>
      </c>
      <c r="K22" s="128" t="s">
        <v>342</v>
      </c>
      <c r="L22" s="4"/>
      <c r="M22" s="4"/>
      <c r="N22" s="2" t="s">
        <v>300</v>
      </c>
      <c r="O22" s="78" t="s">
        <v>245</v>
      </c>
      <c r="P22" s="87" t="s">
        <v>24</v>
      </c>
      <c r="Q22" s="89" t="s">
        <v>354</v>
      </c>
      <c r="R22" s="4"/>
      <c r="S22" s="4"/>
      <c r="T22" s="7" t="s">
        <v>309</v>
      </c>
    </row>
    <row r="23" spans="1:20" ht="25.5" x14ac:dyDescent="0.2">
      <c r="A23" s="4">
        <v>73</v>
      </c>
      <c r="B23" t="s">
        <v>523</v>
      </c>
      <c r="C23" s="72" t="s">
        <v>184</v>
      </c>
      <c r="D23" s="116" t="s">
        <v>25</v>
      </c>
      <c r="E23" s="128" t="s">
        <v>342</v>
      </c>
      <c r="F23" s="73"/>
      <c r="G23" s="73"/>
      <c r="H23" s="2" t="s">
        <v>284</v>
      </c>
      <c r="I23" s="76" t="s">
        <v>217</v>
      </c>
      <c r="J23" s="116" t="s">
        <v>25</v>
      </c>
      <c r="K23" s="116" t="s">
        <v>283</v>
      </c>
      <c r="L23" s="4"/>
      <c r="M23" s="4"/>
      <c r="N23" s="2" t="s">
        <v>299</v>
      </c>
      <c r="O23" s="78" t="s">
        <v>246</v>
      </c>
      <c r="P23" s="87" t="s">
        <v>24</v>
      </c>
      <c r="Q23" s="89" t="s">
        <v>352</v>
      </c>
      <c r="R23" s="4"/>
      <c r="S23" s="4"/>
      <c r="T23" s="7" t="s">
        <v>307</v>
      </c>
    </row>
    <row r="24" spans="1:20" x14ac:dyDescent="0.2">
      <c r="A24" s="5">
        <v>75</v>
      </c>
      <c r="B24" t="s">
        <v>524</v>
      </c>
      <c r="C24" s="130" t="s">
        <v>206</v>
      </c>
      <c r="D24" s="89" t="s">
        <v>24</v>
      </c>
      <c r="E24" s="89" t="s">
        <v>352</v>
      </c>
      <c r="F24" s="8"/>
      <c r="G24" s="8"/>
      <c r="H24" s="2" t="s">
        <v>279</v>
      </c>
      <c r="I24" s="82" t="s">
        <v>236</v>
      </c>
      <c r="J24" s="118" t="s">
        <v>469</v>
      </c>
      <c r="K24" s="118" t="s">
        <v>395</v>
      </c>
      <c r="L24" s="8"/>
      <c r="M24" s="8"/>
      <c r="N24" s="84" t="s">
        <v>475</v>
      </c>
      <c r="O24" s="130" t="s">
        <v>265</v>
      </c>
      <c r="P24" s="87" t="s">
        <v>24</v>
      </c>
      <c r="Q24" s="89" t="s">
        <v>352</v>
      </c>
      <c r="R24" s="8"/>
      <c r="S24" s="8"/>
      <c r="T24" s="3" t="s">
        <v>317</v>
      </c>
    </row>
    <row r="25" spans="1:20" ht="25.5" x14ac:dyDescent="0.2">
      <c r="A25" s="5">
        <v>80</v>
      </c>
      <c r="B25" t="s">
        <v>524</v>
      </c>
      <c r="C25" s="130" t="s">
        <v>207</v>
      </c>
      <c r="D25" s="89" t="s">
        <v>24</v>
      </c>
      <c r="E25" s="89" t="s">
        <v>354</v>
      </c>
      <c r="F25" s="8"/>
      <c r="G25" s="8"/>
      <c r="H25" s="2" t="s">
        <v>335</v>
      </c>
      <c r="I25" s="82" t="s">
        <v>376</v>
      </c>
      <c r="J25" s="118" t="s">
        <v>469</v>
      </c>
      <c r="K25" s="118" t="s">
        <v>395</v>
      </c>
      <c r="L25" s="89" t="s">
        <v>24</v>
      </c>
      <c r="M25" s="89" t="s">
        <v>354</v>
      </c>
      <c r="N25" s="84" t="s">
        <v>475</v>
      </c>
      <c r="O25" s="80" t="s">
        <v>521</v>
      </c>
      <c r="P25" s="116" t="s">
        <v>25</v>
      </c>
      <c r="Q25" s="116" t="s">
        <v>519</v>
      </c>
      <c r="R25" s="8"/>
      <c r="S25" s="8"/>
      <c r="T25" s="3" t="s">
        <v>317</v>
      </c>
    </row>
    <row r="26" spans="1:20" x14ac:dyDescent="0.2">
      <c r="A26" s="4">
        <v>93</v>
      </c>
      <c r="B26" t="s">
        <v>524</v>
      </c>
      <c r="C26" s="78" t="s">
        <v>191</v>
      </c>
      <c r="D26" s="89" t="s">
        <v>24</v>
      </c>
      <c r="E26" s="89" t="s">
        <v>351</v>
      </c>
      <c r="F26" s="78"/>
      <c r="G26" s="78"/>
      <c r="H26" s="2" t="s">
        <v>278</v>
      </c>
      <c r="I26" s="4" t="s">
        <v>15</v>
      </c>
      <c r="J26" s="93" t="s">
        <v>144</v>
      </c>
      <c r="K26" s="93" t="s">
        <v>144</v>
      </c>
      <c r="L26" s="4"/>
      <c r="M26" s="4"/>
      <c r="N26" s="2" t="s">
        <v>290</v>
      </c>
      <c r="O26" s="78" t="s">
        <v>253</v>
      </c>
      <c r="P26" s="87" t="s">
        <v>24</v>
      </c>
      <c r="Q26" s="89" t="s">
        <v>354</v>
      </c>
      <c r="R26" s="4"/>
      <c r="S26" s="4"/>
      <c r="T26" s="7" t="s">
        <v>339</v>
      </c>
    </row>
    <row r="27" spans="1:20" ht="25.5" x14ac:dyDescent="0.2">
      <c r="A27" s="5">
        <v>95</v>
      </c>
      <c r="B27" t="s">
        <v>524</v>
      </c>
      <c r="C27" s="80" t="s">
        <v>193</v>
      </c>
      <c r="D27" s="116" t="s">
        <v>25</v>
      </c>
      <c r="E27" s="116" t="s">
        <v>283</v>
      </c>
      <c r="F27" s="8"/>
      <c r="G27" s="8"/>
      <c r="H27" s="2" t="s">
        <v>297</v>
      </c>
      <c r="I27" s="82" t="s">
        <v>508</v>
      </c>
      <c r="J27" s="118" t="s">
        <v>469</v>
      </c>
      <c r="K27" s="118" t="s">
        <v>395</v>
      </c>
      <c r="L27" s="8"/>
      <c r="M27" s="8"/>
      <c r="N27" s="84" t="s">
        <v>476</v>
      </c>
      <c r="O27" s="82" t="s">
        <v>266</v>
      </c>
      <c r="P27" s="118" t="s">
        <v>469</v>
      </c>
      <c r="Q27" s="118" t="s">
        <v>395</v>
      </c>
      <c r="R27" s="8"/>
      <c r="S27" s="8"/>
      <c r="T27" s="3" t="s">
        <v>475</v>
      </c>
    </row>
    <row r="28" spans="1:20" ht="25.5" x14ac:dyDescent="0.2">
      <c r="A28" s="5">
        <v>98</v>
      </c>
      <c r="B28" t="s">
        <v>524</v>
      </c>
      <c r="C28" s="130" t="s">
        <v>498</v>
      </c>
      <c r="D28" s="89" t="s">
        <v>24</v>
      </c>
      <c r="E28" s="120" t="s">
        <v>337</v>
      </c>
      <c r="F28" s="8"/>
      <c r="G28" s="8"/>
      <c r="H28" s="2" t="s">
        <v>328</v>
      </c>
      <c r="I28" s="130" t="s">
        <v>237</v>
      </c>
      <c r="J28" s="87" t="s">
        <v>24</v>
      </c>
      <c r="K28" s="89" t="s">
        <v>351</v>
      </c>
      <c r="L28" s="8"/>
      <c r="M28" s="8"/>
      <c r="N28" s="84" t="s">
        <v>278</v>
      </c>
      <c r="O28" s="130" t="s">
        <v>267</v>
      </c>
      <c r="P28" s="87" t="s">
        <v>24</v>
      </c>
      <c r="Q28" s="89" t="s">
        <v>343</v>
      </c>
      <c r="R28" s="8"/>
      <c r="S28" s="8"/>
      <c r="T28" s="3" t="s">
        <v>290</v>
      </c>
    </row>
    <row r="29" spans="1:20" ht="25.5" x14ac:dyDescent="0.2">
      <c r="A29" s="5">
        <v>99</v>
      </c>
      <c r="B29" t="s">
        <v>524</v>
      </c>
      <c r="C29" s="130" t="s">
        <v>499</v>
      </c>
      <c r="D29" s="89" t="s">
        <v>24</v>
      </c>
      <c r="E29" s="120" t="s">
        <v>337</v>
      </c>
      <c r="F29" s="8"/>
      <c r="G29" s="8"/>
      <c r="H29" s="2" t="s">
        <v>328</v>
      </c>
      <c r="I29" s="80" t="s">
        <v>238</v>
      </c>
      <c r="J29" s="116" t="s">
        <v>25</v>
      </c>
      <c r="K29" s="116" t="s">
        <v>342</v>
      </c>
      <c r="L29" s="8"/>
      <c r="M29" s="8"/>
      <c r="N29" s="84" t="s">
        <v>312</v>
      </c>
      <c r="O29" s="80" t="s">
        <v>268</v>
      </c>
      <c r="P29" s="116" t="s">
        <v>25</v>
      </c>
      <c r="Q29" s="116" t="s">
        <v>522</v>
      </c>
      <c r="R29" s="8"/>
      <c r="S29" s="8"/>
      <c r="T29" s="3" t="s">
        <v>321</v>
      </c>
    </row>
    <row r="30" spans="1:20" ht="25.5" x14ac:dyDescent="0.2">
      <c r="A30" s="5">
        <v>100</v>
      </c>
      <c r="B30" t="s">
        <v>524</v>
      </c>
      <c r="C30" s="80" t="s">
        <v>208</v>
      </c>
      <c r="D30" s="116" t="s">
        <v>25</v>
      </c>
      <c r="E30" s="116" t="s">
        <v>283</v>
      </c>
      <c r="F30" s="8"/>
      <c r="G30" s="8"/>
      <c r="H30" s="2" t="s">
        <v>293</v>
      </c>
      <c r="I30" s="8" t="s">
        <v>517</v>
      </c>
      <c r="J30" s="116" t="s">
        <v>25</v>
      </c>
      <c r="K30" s="116" t="s">
        <v>283</v>
      </c>
      <c r="L30" s="8"/>
      <c r="M30" s="8"/>
      <c r="N30" s="84" t="s">
        <v>313</v>
      </c>
      <c r="O30" s="80" t="s">
        <v>269</v>
      </c>
      <c r="P30" s="116" t="s">
        <v>25</v>
      </c>
      <c r="Q30" s="116" t="s">
        <v>283</v>
      </c>
      <c r="R30" s="8"/>
      <c r="S30" s="8"/>
      <c r="T30" s="3" t="s">
        <v>341</v>
      </c>
    </row>
    <row r="31" spans="1:20" x14ac:dyDescent="0.2">
      <c r="A31" s="5">
        <v>102</v>
      </c>
      <c r="B31" t="s">
        <v>524</v>
      </c>
      <c r="C31" s="130" t="s">
        <v>500</v>
      </c>
      <c r="D31" s="89" t="s">
        <v>24</v>
      </c>
      <c r="E31" s="89" t="s">
        <v>352</v>
      </c>
      <c r="F31" s="8"/>
      <c r="G31" s="8"/>
      <c r="H31" s="2" t="s">
        <v>279</v>
      </c>
      <c r="I31" s="82" t="s">
        <v>314</v>
      </c>
      <c r="J31" s="118" t="s">
        <v>469</v>
      </c>
      <c r="K31" s="118" t="s">
        <v>395</v>
      </c>
      <c r="L31" s="8"/>
      <c r="M31" s="8"/>
      <c r="N31" s="2" t="s">
        <v>315</v>
      </c>
      <c r="O31" s="130" t="s">
        <v>270</v>
      </c>
      <c r="P31" s="87" t="s">
        <v>24</v>
      </c>
      <c r="Q31" s="87" t="s">
        <v>351</v>
      </c>
      <c r="R31" s="8"/>
      <c r="S31" s="8"/>
      <c r="T31" s="3" t="s">
        <v>278</v>
      </c>
    </row>
    <row r="32" spans="1:20" ht="51" x14ac:dyDescent="0.2">
      <c r="A32" s="5">
        <v>105</v>
      </c>
      <c r="B32" t="s">
        <v>524</v>
      </c>
      <c r="C32" s="82" t="s">
        <v>501</v>
      </c>
      <c r="D32" s="118" t="s">
        <v>469</v>
      </c>
      <c r="E32" s="118" t="s">
        <v>480</v>
      </c>
      <c r="F32" s="8"/>
      <c r="G32" s="8"/>
      <c r="H32" s="2" t="s">
        <v>476</v>
      </c>
      <c r="I32" s="82" t="s">
        <v>239</v>
      </c>
      <c r="J32" s="118" t="s">
        <v>469</v>
      </c>
      <c r="K32" s="118" t="s">
        <v>395</v>
      </c>
      <c r="L32" s="8"/>
      <c r="M32" s="8"/>
      <c r="N32" s="2" t="s">
        <v>476</v>
      </c>
      <c r="O32" s="130" t="s">
        <v>271</v>
      </c>
      <c r="P32" s="87" t="s">
        <v>24</v>
      </c>
      <c r="Q32" s="87" t="s">
        <v>351</v>
      </c>
      <c r="R32" s="8"/>
      <c r="S32" s="8"/>
      <c r="T32" s="3" t="s">
        <v>278</v>
      </c>
    </row>
    <row r="33" spans="1:20" ht="25.5" x14ac:dyDescent="0.2">
      <c r="A33" s="5">
        <v>106</v>
      </c>
      <c r="B33" t="s">
        <v>524</v>
      </c>
      <c r="C33" s="80" t="s">
        <v>209</v>
      </c>
      <c r="D33" s="116" t="s">
        <v>25</v>
      </c>
      <c r="E33" s="116" t="s">
        <v>283</v>
      </c>
      <c r="F33" s="8"/>
      <c r="G33" s="8"/>
      <c r="H33" s="2" t="s">
        <v>299</v>
      </c>
      <c r="I33" s="80" t="s">
        <v>240</v>
      </c>
      <c r="J33" s="116" t="s">
        <v>25</v>
      </c>
      <c r="K33" s="116" t="s">
        <v>522</v>
      </c>
      <c r="L33" s="8"/>
      <c r="M33" s="8"/>
      <c r="N33" s="2" t="s">
        <v>316</v>
      </c>
      <c r="O33" s="82" t="s">
        <v>272</v>
      </c>
      <c r="P33" s="118" t="s">
        <v>469</v>
      </c>
      <c r="Q33" s="118" t="s">
        <v>395</v>
      </c>
      <c r="R33" s="8"/>
      <c r="S33" s="8"/>
      <c r="T33" s="3" t="s">
        <v>475</v>
      </c>
    </row>
    <row r="34" spans="1:20" ht="51" x14ac:dyDescent="0.2">
      <c r="A34" s="5">
        <v>109</v>
      </c>
      <c r="B34" t="s">
        <v>523</v>
      </c>
      <c r="C34" s="129" t="s">
        <v>364</v>
      </c>
      <c r="D34" s="89" t="s">
        <v>24</v>
      </c>
      <c r="E34" s="89" t="s">
        <v>352</v>
      </c>
      <c r="F34" s="116" t="s">
        <v>25</v>
      </c>
      <c r="G34" s="116" t="s">
        <v>283</v>
      </c>
      <c r="H34" s="2" t="s">
        <v>294</v>
      </c>
      <c r="I34" s="82" t="s">
        <v>551</v>
      </c>
      <c r="J34" s="118" t="s">
        <v>469</v>
      </c>
      <c r="K34" s="118" t="s">
        <v>480</v>
      </c>
      <c r="L34" s="8"/>
      <c r="M34" s="8"/>
      <c r="N34" s="84" t="s">
        <v>475</v>
      </c>
      <c r="O34" s="8" t="s">
        <v>259</v>
      </c>
      <c r="P34" s="118" t="s">
        <v>469</v>
      </c>
      <c r="Q34" s="118" t="s">
        <v>395</v>
      </c>
      <c r="T34" s="3" t="s">
        <v>322</v>
      </c>
    </row>
    <row r="35" spans="1:20" x14ac:dyDescent="0.2">
      <c r="A35" s="8">
        <v>111</v>
      </c>
      <c r="B35" t="s">
        <v>524</v>
      </c>
      <c r="C35" s="130" t="s">
        <v>210</v>
      </c>
      <c r="D35" s="89" t="s">
        <v>24</v>
      </c>
      <c r="E35" s="89" t="s">
        <v>352</v>
      </c>
      <c r="F35" s="8"/>
      <c r="G35" s="8"/>
      <c r="H35" s="2" t="s">
        <v>279</v>
      </c>
      <c r="I35" s="130" t="s">
        <v>509</v>
      </c>
      <c r="J35" s="87" t="s">
        <v>24</v>
      </c>
      <c r="K35" s="89" t="s">
        <v>354</v>
      </c>
      <c r="L35" s="8"/>
      <c r="M35" s="8"/>
      <c r="N35" s="2" t="s">
        <v>309</v>
      </c>
      <c r="O35" s="8" t="s">
        <v>273</v>
      </c>
      <c r="P35" s="116" t="s">
        <v>25</v>
      </c>
      <c r="Q35" s="116" t="s">
        <v>522</v>
      </c>
      <c r="R35" s="118" t="s">
        <v>469</v>
      </c>
      <c r="S35" s="117" t="s">
        <v>360</v>
      </c>
      <c r="T35" s="3" t="s">
        <v>321</v>
      </c>
    </row>
    <row r="36" spans="1:20" ht="21.75" customHeight="1" x14ac:dyDescent="0.2">
      <c r="A36" s="8">
        <v>113</v>
      </c>
      <c r="B36" t="s">
        <v>524</v>
      </c>
      <c r="C36" s="80" t="s">
        <v>211</v>
      </c>
      <c r="D36" s="116" t="s">
        <v>25</v>
      </c>
      <c r="E36" s="128" t="s">
        <v>342</v>
      </c>
      <c r="F36" s="89" t="s">
        <v>24</v>
      </c>
      <c r="G36" s="89" t="s">
        <v>352</v>
      </c>
      <c r="H36" s="2" t="s">
        <v>298</v>
      </c>
      <c r="I36" s="82" t="s">
        <v>239</v>
      </c>
      <c r="J36" s="118" t="s">
        <v>469</v>
      </c>
      <c r="K36" s="118" t="s">
        <v>395</v>
      </c>
      <c r="L36" s="8"/>
      <c r="M36" s="8"/>
      <c r="N36" s="2" t="s">
        <v>476</v>
      </c>
      <c r="O36" s="8" t="s">
        <v>274</v>
      </c>
      <c r="P36" s="118" t="s">
        <v>469</v>
      </c>
      <c r="Q36" s="118" t="s">
        <v>395</v>
      </c>
      <c r="R36" s="8"/>
      <c r="S36" s="8"/>
      <c r="T36" s="3" t="s">
        <v>322</v>
      </c>
    </row>
    <row r="37" spans="1:20" ht="25.5" x14ac:dyDescent="0.2">
      <c r="A37" s="4">
        <v>114</v>
      </c>
      <c r="B37" t="s">
        <v>524</v>
      </c>
      <c r="C37" s="91" t="s">
        <v>192</v>
      </c>
      <c r="D37" s="89" t="s">
        <v>24</v>
      </c>
      <c r="E37" s="89" t="s">
        <v>337</v>
      </c>
      <c r="F37" s="4"/>
      <c r="G37" s="4"/>
      <c r="H37" s="2" t="s">
        <v>328</v>
      </c>
      <c r="I37" s="77" t="s">
        <v>221</v>
      </c>
      <c r="J37" s="125" t="s">
        <v>362</v>
      </c>
      <c r="K37" s="125" t="s">
        <v>288</v>
      </c>
      <c r="L37" s="4"/>
      <c r="M37" s="4"/>
      <c r="N37" s="83" t="s">
        <v>288</v>
      </c>
      <c r="O37" s="77" t="s">
        <v>254</v>
      </c>
      <c r="P37" s="125" t="s">
        <v>362</v>
      </c>
      <c r="Q37" s="125" t="s">
        <v>288</v>
      </c>
      <c r="R37" s="4"/>
      <c r="S37" s="4"/>
      <c r="T37" s="7" t="s">
        <v>288</v>
      </c>
    </row>
    <row r="38" spans="1:20" x14ac:dyDescent="0.2">
      <c r="A38" s="5">
        <v>125</v>
      </c>
      <c r="B38" t="s">
        <v>524</v>
      </c>
      <c r="C38" s="130" t="s">
        <v>502</v>
      </c>
      <c r="D38" s="89" t="s">
        <v>24</v>
      </c>
      <c r="E38" s="89" t="s">
        <v>351</v>
      </c>
      <c r="F38" s="8"/>
      <c r="G38" s="8"/>
      <c r="H38" s="2" t="s">
        <v>278</v>
      </c>
      <c r="I38" s="80" t="s">
        <v>216</v>
      </c>
      <c r="J38" s="116" t="s">
        <v>25</v>
      </c>
      <c r="K38" s="128" t="s">
        <v>342</v>
      </c>
      <c r="L38" s="8"/>
      <c r="M38" s="8"/>
      <c r="N38" s="2" t="s">
        <v>301</v>
      </c>
      <c r="O38" s="8" t="s">
        <v>275</v>
      </c>
      <c r="P38" s="118" t="s">
        <v>469</v>
      </c>
      <c r="Q38" s="118" t="s">
        <v>480</v>
      </c>
      <c r="R38" s="8"/>
      <c r="S38" s="8"/>
      <c r="T38" s="3" t="s">
        <v>322</v>
      </c>
    </row>
    <row r="39" spans="1:20" ht="16.5" customHeight="1" x14ac:dyDescent="0.2">
      <c r="A39" s="8">
        <v>128</v>
      </c>
      <c r="B39" t="s">
        <v>523</v>
      </c>
      <c r="C39" s="80" t="s">
        <v>199</v>
      </c>
      <c r="D39" s="116" t="s">
        <v>25</v>
      </c>
      <c r="E39" s="128" t="s">
        <v>342</v>
      </c>
      <c r="F39" s="8"/>
      <c r="G39" s="8"/>
      <c r="H39" s="2" t="s">
        <v>289</v>
      </c>
      <c r="I39" s="82" t="s">
        <v>226</v>
      </c>
      <c r="J39" s="118" t="s">
        <v>469</v>
      </c>
      <c r="K39" s="117" t="s">
        <v>360</v>
      </c>
      <c r="L39" s="8"/>
      <c r="M39" s="8"/>
      <c r="N39" s="84" t="s">
        <v>308</v>
      </c>
      <c r="O39" s="134" t="s">
        <v>555</v>
      </c>
      <c r="P39" s="87" t="s">
        <v>24</v>
      </c>
      <c r="Q39" s="87" t="s">
        <v>351</v>
      </c>
      <c r="R39" s="8" t="s">
        <v>144</v>
      </c>
      <c r="S39" s="8" t="s">
        <v>144</v>
      </c>
      <c r="T39" s="3" t="s">
        <v>144</v>
      </c>
    </row>
    <row r="40" spans="1:20" ht="51" x14ac:dyDescent="0.2">
      <c r="A40" s="6">
        <v>131</v>
      </c>
      <c r="B40" t="s">
        <v>523</v>
      </c>
      <c r="C40" s="129" t="s">
        <v>503</v>
      </c>
      <c r="D40" s="89" t="s">
        <v>24</v>
      </c>
      <c r="E40" s="89" t="s">
        <v>352</v>
      </c>
      <c r="F40" s="8"/>
      <c r="G40" s="8"/>
      <c r="H40" s="2" t="s">
        <v>479</v>
      </c>
      <c r="I40" s="130" t="s">
        <v>227</v>
      </c>
      <c r="J40" s="89" t="s">
        <v>24</v>
      </c>
      <c r="K40" s="89" t="s">
        <v>354</v>
      </c>
      <c r="L40" s="132"/>
      <c r="M40" s="133"/>
      <c r="N40" s="84" t="s">
        <v>281</v>
      </c>
      <c r="O40" s="80" t="s">
        <v>260</v>
      </c>
      <c r="P40" s="116" t="s">
        <v>25</v>
      </c>
      <c r="Q40" s="116" t="s">
        <v>522</v>
      </c>
      <c r="R40" s="116" t="s">
        <v>25</v>
      </c>
      <c r="S40" s="128" t="s">
        <v>342</v>
      </c>
      <c r="T40" s="3" t="s">
        <v>321</v>
      </c>
    </row>
    <row r="41" spans="1:20" ht="51" x14ac:dyDescent="0.2">
      <c r="A41" s="8">
        <v>132</v>
      </c>
      <c r="B41" t="s">
        <v>523</v>
      </c>
      <c r="C41" s="80" t="s">
        <v>183</v>
      </c>
      <c r="D41" s="116" t="s">
        <v>25</v>
      </c>
      <c r="E41" s="116" t="s">
        <v>283</v>
      </c>
      <c r="F41" s="8"/>
      <c r="G41" s="8"/>
      <c r="H41" s="2" t="s">
        <v>332</v>
      </c>
      <c r="I41" s="79" t="s">
        <v>228</v>
      </c>
      <c r="J41" s="125" t="s">
        <v>362</v>
      </c>
      <c r="K41" s="125" t="s">
        <v>368</v>
      </c>
      <c r="L41" s="8"/>
      <c r="M41" s="8"/>
      <c r="N41" s="84" t="s">
        <v>303</v>
      </c>
      <c r="O41" s="85" t="s">
        <v>247</v>
      </c>
      <c r="P41" s="119" t="s">
        <v>247</v>
      </c>
      <c r="Q41" s="8"/>
      <c r="R41" s="8"/>
      <c r="S41" s="8"/>
      <c r="T41" s="3" t="s">
        <v>282</v>
      </c>
    </row>
    <row r="42" spans="1:20" ht="25.5" x14ac:dyDescent="0.2">
      <c r="A42" s="4">
        <v>134</v>
      </c>
      <c r="B42" t="s">
        <v>523</v>
      </c>
      <c r="C42" s="69" t="s">
        <v>17</v>
      </c>
      <c r="D42" s="119" t="s">
        <v>247</v>
      </c>
      <c r="E42" s="124"/>
      <c r="F42" s="69"/>
      <c r="G42" s="69"/>
      <c r="H42" s="2" t="s">
        <v>282</v>
      </c>
      <c r="I42" s="121" t="s">
        <v>218</v>
      </c>
      <c r="J42" s="118" t="s">
        <v>469</v>
      </c>
      <c r="K42" s="118" t="s">
        <v>480</v>
      </c>
      <c r="L42" s="4"/>
      <c r="M42" s="4"/>
      <c r="N42" s="2" t="s">
        <v>476</v>
      </c>
      <c r="O42" s="121" t="s">
        <v>185</v>
      </c>
      <c r="P42" s="118" t="s">
        <v>469</v>
      </c>
      <c r="Q42" s="118" t="s">
        <v>480</v>
      </c>
      <c r="R42" s="4"/>
      <c r="S42" s="4"/>
      <c r="T42" s="7" t="s">
        <v>477</v>
      </c>
    </row>
    <row r="43" spans="1:20" x14ac:dyDescent="0.2">
      <c r="A43" s="6">
        <v>136</v>
      </c>
      <c r="B43" t="s">
        <v>523</v>
      </c>
      <c r="C43" s="129" t="s">
        <v>200</v>
      </c>
      <c r="D43" s="89" t="s">
        <v>24</v>
      </c>
      <c r="E43" s="89" t="s">
        <v>352</v>
      </c>
      <c r="F43" s="8"/>
      <c r="G43" s="8"/>
      <c r="H43" s="2" t="s">
        <v>279</v>
      </c>
      <c r="I43" s="130" t="s">
        <v>229</v>
      </c>
      <c r="J43" s="89" t="s">
        <v>24</v>
      </c>
      <c r="K43" s="89" t="s">
        <v>354</v>
      </c>
      <c r="L43" s="8"/>
      <c r="M43" s="8"/>
      <c r="N43" s="84" t="s">
        <v>309</v>
      </c>
      <c r="O43" s="85" t="s">
        <v>261</v>
      </c>
      <c r="P43" s="119" t="s">
        <v>247</v>
      </c>
      <c r="Q43" s="8"/>
      <c r="R43" s="8"/>
      <c r="S43" s="8"/>
      <c r="T43" s="3" t="s">
        <v>282</v>
      </c>
    </row>
    <row r="44" spans="1:20" ht="15.75" customHeight="1" x14ac:dyDescent="0.2">
      <c r="A44" s="8">
        <v>138</v>
      </c>
      <c r="B44" t="s">
        <v>523</v>
      </c>
      <c r="C44" s="80" t="s">
        <v>184</v>
      </c>
      <c r="D44" s="116" t="s">
        <v>25</v>
      </c>
      <c r="E44" s="128" t="s">
        <v>342</v>
      </c>
      <c r="F44" s="8"/>
      <c r="G44" s="8"/>
      <c r="H44" s="2" t="s">
        <v>291</v>
      </c>
      <c r="I44" s="8" t="s">
        <v>366</v>
      </c>
      <c r="J44" s="118" t="s">
        <v>469</v>
      </c>
      <c r="K44" s="118" t="s">
        <v>480</v>
      </c>
      <c r="L44" s="8"/>
      <c r="M44" s="8"/>
      <c r="N44" s="84" t="s">
        <v>475</v>
      </c>
      <c r="O44" s="8" t="s">
        <v>372</v>
      </c>
      <c r="P44" s="116" t="s">
        <v>25</v>
      </c>
      <c r="Q44" s="116" t="s">
        <v>283</v>
      </c>
      <c r="R44" s="8"/>
      <c r="S44" s="8"/>
      <c r="T44" s="3" t="s">
        <v>323</v>
      </c>
    </row>
    <row r="45" spans="1:20" ht="38.25" x14ac:dyDescent="0.2">
      <c r="A45" s="6">
        <v>143</v>
      </c>
      <c r="B45" t="s">
        <v>523</v>
      </c>
      <c r="C45" s="82" t="s">
        <v>201</v>
      </c>
      <c r="D45" s="118" t="s">
        <v>469</v>
      </c>
      <c r="E45" s="118" t="s">
        <v>395</v>
      </c>
      <c r="F45" s="118" t="s">
        <v>469</v>
      </c>
      <c r="G45" s="118" t="s">
        <v>480</v>
      </c>
      <c r="H45" s="2" t="s">
        <v>475</v>
      </c>
      <c r="I45" s="130" t="s">
        <v>230</v>
      </c>
      <c r="J45" s="87" t="s">
        <v>24</v>
      </c>
      <c r="K45" s="89" t="s">
        <v>352</v>
      </c>
      <c r="L45" s="8"/>
      <c r="M45" s="8"/>
      <c r="N45" s="84" t="s">
        <v>279</v>
      </c>
      <c r="O45" s="80" t="s">
        <v>262</v>
      </c>
      <c r="P45" s="116" t="s">
        <v>25</v>
      </c>
      <c r="Q45" s="116" t="s">
        <v>522</v>
      </c>
      <c r="R45" s="8"/>
      <c r="S45" s="8"/>
      <c r="T45" s="3" t="s">
        <v>321</v>
      </c>
    </row>
    <row r="46" spans="1:20" ht="12.75" customHeight="1" x14ac:dyDescent="0.2">
      <c r="A46" s="6">
        <v>146</v>
      </c>
      <c r="B46" t="s">
        <v>523</v>
      </c>
      <c r="C46" s="82" t="s">
        <v>202</v>
      </c>
      <c r="D46" s="118" t="s">
        <v>469</v>
      </c>
      <c r="E46" s="118" t="s">
        <v>395</v>
      </c>
      <c r="F46" s="8"/>
      <c r="G46" s="8"/>
      <c r="H46" s="2" t="s">
        <v>333</v>
      </c>
      <c r="I46" s="80" t="s">
        <v>231</v>
      </c>
      <c r="J46" s="116" t="s">
        <v>25</v>
      </c>
      <c r="K46" s="116" t="s">
        <v>522</v>
      </c>
      <c r="L46" s="118" t="s">
        <v>469</v>
      </c>
      <c r="M46" s="117" t="s">
        <v>360</v>
      </c>
      <c r="N46" s="84" t="s">
        <v>308</v>
      </c>
      <c r="O46" s="80" t="s">
        <v>189</v>
      </c>
      <c r="P46" s="116" t="s">
        <v>25</v>
      </c>
      <c r="Q46" s="126" t="s">
        <v>519</v>
      </c>
      <c r="R46" s="8"/>
      <c r="S46" s="8"/>
      <c r="T46" s="3" t="s">
        <v>299</v>
      </c>
    </row>
    <row r="47" spans="1:20" ht="15" customHeight="1" x14ac:dyDescent="0.2">
      <c r="A47" s="4">
        <v>155</v>
      </c>
      <c r="B47" t="s">
        <v>523</v>
      </c>
      <c r="C47" s="74" t="s">
        <v>11</v>
      </c>
      <c r="D47" s="118" t="s">
        <v>469</v>
      </c>
      <c r="E47" s="118" t="s">
        <v>395</v>
      </c>
      <c r="F47" s="132"/>
      <c r="G47" s="75"/>
      <c r="H47" s="2" t="s">
        <v>396</v>
      </c>
      <c r="I47" s="121" t="s">
        <v>12</v>
      </c>
      <c r="J47" s="118" t="s">
        <v>469</v>
      </c>
      <c r="K47" s="117" t="s">
        <v>360</v>
      </c>
      <c r="L47" s="4"/>
      <c r="M47" s="4"/>
      <c r="N47" s="2" t="s">
        <v>292</v>
      </c>
      <c r="O47" s="121" t="s">
        <v>14</v>
      </c>
      <c r="P47" s="118" t="s">
        <v>469</v>
      </c>
      <c r="Q47" s="117" t="s">
        <v>360</v>
      </c>
      <c r="R47" s="4"/>
      <c r="S47" s="4"/>
      <c r="T47" s="7" t="s">
        <v>292</v>
      </c>
    </row>
    <row r="48" spans="1:20" x14ac:dyDescent="0.2">
      <c r="A48" s="6">
        <v>156</v>
      </c>
      <c r="B48" t="s">
        <v>523</v>
      </c>
      <c r="C48" s="85" t="s">
        <v>17</v>
      </c>
      <c r="D48" s="119" t="s">
        <v>277</v>
      </c>
      <c r="E48" s="126"/>
      <c r="F48" s="8"/>
      <c r="G48" s="8"/>
      <c r="H48" s="2" t="s">
        <v>282</v>
      </c>
      <c r="I48" s="80" t="s">
        <v>20</v>
      </c>
      <c r="J48" s="116" t="s">
        <v>25</v>
      </c>
      <c r="K48" s="116" t="s">
        <v>283</v>
      </c>
      <c r="L48" s="8" t="s">
        <v>367</v>
      </c>
      <c r="M48" s="8"/>
      <c r="N48" s="84" t="s">
        <v>310</v>
      </c>
      <c r="O48" s="80" t="s">
        <v>21</v>
      </c>
      <c r="P48" s="116" t="s">
        <v>25</v>
      </c>
      <c r="Q48" s="116" t="s">
        <v>283</v>
      </c>
      <c r="R48" s="8"/>
      <c r="S48" s="8"/>
      <c r="T48" s="3" t="s">
        <v>323</v>
      </c>
    </row>
    <row r="49" spans="1:20" ht="13.5" customHeight="1" x14ac:dyDescent="0.2">
      <c r="A49" s="8">
        <v>159</v>
      </c>
      <c r="B49" t="s">
        <v>523</v>
      </c>
      <c r="C49" s="80" t="s">
        <v>504</v>
      </c>
      <c r="D49" s="116" t="s">
        <v>25</v>
      </c>
      <c r="E49" s="116" t="s">
        <v>283</v>
      </c>
      <c r="F49" s="8"/>
      <c r="G49" s="8"/>
      <c r="H49" s="2" t="s">
        <v>285</v>
      </c>
      <c r="I49" s="201" t="s">
        <v>510</v>
      </c>
      <c r="J49" s="116" t="s">
        <v>25</v>
      </c>
      <c r="K49" s="116" t="s">
        <v>283</v>
      </c>
      <c r="L49" s="8"/>
      <c r="M49" s="8"/>
      <c r="N49" s="84" t="s">
        <v>311</v>
      </c>
      <c r="O49" s="130" t="s">
        <v>514</v>
      </c>
      <c r="P49" s="87" t="s">
        <v>24</v>
      </c>
      <c r="Q49" s="89" t="s">
        <v>343</v>
      </c>
      <c r="R49" s="8"/>
      <c r="S49" s="8"/>
      <c r="T49" s="3"/>
    </row>
    <row r="50" spans="1:20" ht="25.5" x14ac:dyDescent="0.2">
      <c r="A50" s="4">
        <v>162</v>
      </c>
      <c r="B50" t="s">
        <v>523</v>
      </c>
      <c r="C50" s="74" t="s">
        <v>186</v>
      </c>
      <c r="D50" s="118" t="s">
        <v>469</v>
      </c>
      <c r="E50" s="118" t="s">
        <v>480</v>
      </c>
      <c r="F50" s="75"/>
      <c r="G50" s="75"/>
      <c r="H50" s="2" t="s">
        <v>396</v>
      </c>
      <c r="I50" s="121" t="s">
        <v>219</v>
      </c>
      <c r="J50" s="118" t="s">
        <v>469</v>
      </c>
      <c r="K50" s="118" t="s">
        <v>395</v>
      </c>
      <c r="L50" s="4"/>
      <c r="M50" s="4"/>
      <c r="N50" s="2" t="s">
        <v>475</v>
      </c>
      <c r="O50" s="69" t="s">
        <v>247</v>
      </c>
      <c r="P50" s="119" t="s">
        <v>247</v>
      </c>
      <c r="Q50" s="4"/>
      <c r="R50" s="4"/>
      <c r="S50" s="4"/>
      <c r="T50" s="7" t="s">
        <v>282</v>
      </c>
    </row>
    <row r="51" spans="1:20" x14ac:dyDescent="0.2">
      <c r="A51" s="4">
        <v>163</v>
      </c>
      <c r="B51" t="s">
        <v>523</v>
      </c>
      <c r="C51" s="88" t="s">
        <v>187</v>
      </c>
      <c r="D51" s="87" t="s">
        <v>24</v>
      </c>
      <c r="E51" s="89" t="s">
        <v>354</v>
      </c>
      <c r="F51" s="72"/>
      <c r="G51" s="72"/>
      <c r="H51" s="2" t="s">
        <v>279</v>
      </c>
      <c r="I51" s="78" t="s">
        <v>511</v>
      </c>
      <c r="J51" s="87" t="s">
        <v>24</v>
      </c>
      <c r="K51" s="89" t="s">
        <v>352</v>
      </c>
      <c r="L51" s="4"/>
      <c r="M51" s="4"/>
      <c r="N51" s="2" t="s">
        <v>279</v>
      </c>
      <c r="O51" s="78" t="s">
        <v>248</v>
      </c>
      <c r="P51" s="117" t="s">
        <v>469</v>
      </c>
      <c r="Q51" s="118" t="s">
        <v>395</v>
      </c>
      <c r="R51" s="4"/>
      <c r="S51" s="4"/>
      <c r="T51" s="7" t="s">
        <v>338</v>
      </c>
    </row>
    <row r="52" spans="1:20" ht="38.25" x14ac:dyDescent="0.2">
      <c r="A52" s="6">
        <v>164</v>
      </c>
      <c r="B52" t="s">
        <v>523</v>
      </c>
      <c r="C52" s="80" t="s">
        <v>203</v>
      </c>
      <c r="D52" s="116" t="s">
        <v>25</v>
      </c>
      <c r="E52" s="116" t="s">
        <v>283</v>
      </c>
      <c r="F52" s="116" t="s">
        <v>25</v>
      </c>
      <c r="G52" s="116" t="s">
        <v>522</v>
      </c>
      <c r="H52" s="2" t="s">
        <v>334</v>
      </c>
      <c r="I52" s="82" t="s">
        <v>232</v>
      </c>
      <c r="J52" s="118" t="s">
        <v>469</v>
      </c>
      <c r="K52" s="118" t="s">
        <v>395</v>
      </c>
      <c r="L52" s="8"/>
      <c r="M52" s="8"/>
      <c r="N52" s="84" t="s">
        <v>475</v>
      </c>
      <c r="O52" s="82" t="s">
        <v>263</v>
      </c>
      <c r="P52" s="118" t="s">
        <v>469</v>
      </c>
      <c r="Q52" s="118" t="s">
        <v>395</v>
      </c>
      <c r="R52" s="8"/>
      <c r="S52" s="8"/>
      <c r="T52" s="3" t="s">
        <v>475</v>
      </c>
    </row>
    <row r="53" spans="1:20" x14ac:dyDescent="0.2">
      <c r="A53" s="4">
        <v>166</v>
      </c>
      <c r="B53" t="s">
        <v>523</v>
      </c>
      <c r="C53" s="88" t="s">
        <v>188</v>
      </c>
      <c r="D53" s="89" t="s">
        <v>24</v>
      </c>
      <c r="E53" s="89" t="s">
        <v>352</v>
      </c>
      <c r="F53" s="72"/>
      <c r="G53" s="72"/>
      <c r="H53" s="2" t="s">
        <v>279</v>
      </c>
      <c r="I53" s="78" t="s">
        <v>220</v>
      </c>
      <c r="J53" s="87" t="s">
        <v>24</v>
      </c>
      <c r="K53" s="87" t="s">
        <v>351</v>
      </c>
      <c r="L53" s="4"/>
      <c r="M53" s="4"/>
      <c r="N53" s="2" t="s">
        <v>278</v>
      </c>
      <c r="O53" s="78" t="s">
        <v>249</v>
      </c>
      <c r="P53" s="87" t="s">
        <v>24</v>
      </c>
      <c r="Q53" s="89" t="s">
        <v>352</v>
      </c>
      <c r="R53" s="87" t="s">
        <v>24</v>
      </c>
      <c r="S53" s="89" t="s">
        <v>343</v>
      </c>
      <c r="T53" s="7" t="s">
        <v>281</v>
      </c>
    </row>
    <row r="54" spans="1:20" x14ac:dyDescent="0.2">
      <c r="A54" s="8">
        <v>168</v>
      </c>
      <c r="B54" t="s">
        <v>524</v>
      </c>
      <c r="C54" s="130" t="s">
        <v>212</v>
      </c>
      <c r="D54" s="89" t="s">
        <v>24</v>
      </c>
      <c r="E54" s="89" t="s">
        <v>343</v>
      </c>
      <c r="F54" s="8"/>
      <c r="G54" s="8"/>
      <c r="H54" s="2" t="s">
        <v>290</v>
      </c>
      <c r="I54" s="130" t="s">
        <v>241</v>
      </c>
      <c r="J54" s="87" t="s">
        <v>24</v>
      </c>
      <c r="K54" s="92" t="s">
        <v>337</v>
      </c>
      <c r="L54" s="8"/>
      <c r="M54" s="8"/>
      <c r="N54" s="2" t="s">
        <v>337</v>
      </c>
      <c r="O54" s="129" t="s">
        <v>556</v>
      </c>
      <c r="P54" s="87" t="s">
        <v>24</v>
      </c>
      <c r="Q54" s="89" t="s">
        <v>352</v>
      </c>
      <c r="R54" s="8"/>
      <c r="S54" s="8"/>
      <c r="T54" s="3" t="s">
        <v>307</v>
      </c>
    </row>
    <row r="55" spans="1:20" ht="25.5" x14ac:dyDescent="0.2">
      <c r="A55" s="8">
        <v>169</v>
      </c>
      <c r="B55" t="s">
        <v>523</v>
      </c>
      <c r="C55" s="130" t="s">
        <v>204</v>
      </c>
      <c r="D55" s="89" t="s">
        <v>24</v>
      </c>
      <c r="E55" s="89" t="s">
        <v>343</v>
      </c>
      <c r="F55" s="8"/>
      <c r="G55" s="8"/>
      <c r="H55" s="2" t="s">
        <v>295</v>
      </c>
      <c r="I55" s="82" t="s">
        <v>233</v>
      </c>
      <c r="J55" s="118" t="s">
        <v>469</v>
      </c>
      <c r="K55" s="118" t="s">
        <v>395</v>
      </c>
      <c r="L55" s="8"/>
      <c r="M55" s="8"/>
      <c r="N55" s="84" t="s">
        <v>475</v>
      </c>
      <c r="O55" s="130" t="s">
        <v>264</v>
      </c>
      <c r="P55" s="89" t="s">
        <v>24</v>
      </c>
      <c r="Q55" s="89" t="s">
        <v>354</v>
      </c>
      <c r="R55" s="8"/>
      <c r="S55" s="8"/>
      <c r="T55" s="3" t="s">
        <v>309</v>
      </c>
    </row>
    <row r="56" spans="1:20" ht="51" x14ac:dyDescent="0.2">
      <c r="A56" s="8">
        <v>174</v>
      </c>
      <c r="B56" s="7" t="s">
        <v>523</v>
      </c>
      <c r="C56" s="80" t="s">
        <v>205</v>
      </c>
      <c r="D56" s="116" t="s">
        <v>25</v>
      </c>
      <c r="E56" s="116" t="s">
        <v>283</v>
      </c>
      <c r="F56" s="8"/>
      <c r="G56" s="8"/>
      <c r="H56" s="2" t="s">
        <v>481</v>
      </c>
      <c r="I56" s="130" t="s">
        <v>234</v>
      </c>
      <c r="J56" s="87" t="s">
        <v>24</v>
      </c>
      <c r="K56" s="89" t="s">
        <v>354</v>
      </c>
      <c r="L56" s="8"/>
      <c r="M56" s="8"/>
      <c r="N56" s="84" t="s">
        <v>309</v>
      </c>
      <c r="O56" s="8" t="s">
        <v>373</v>
      </c>
      <c r="P56" s="87" t="s">
        <v>24</v>
      </c>
      <c r="Q56" s="89" t="s">
        <v>351</v>
      </c>
      <c r="R56" s="8"/>
      <c r="S56" s="8"/>
      <c r="T56" s="3" t="s">
        <v>278</v>
      </c>
    </row>
    <row r="58" spans="1:20" ht="17.25" x14ac:dyDescent="0.3">
      <c r="E58" s="171"/>
    </row>
  </sheetData>
  <autoFilter ref="A1:T56" xr:uid="{750F231A-EFC8-4145-8B24-A7BD7FE9D9C2}">
    <filterColumn colId="15">
      <filters>
        <filter val="Auditability / Verifiability"/>
        <filter val="Informativeness"/>
        <filter val="Relationship"/>
        <filter val="Transparency"/>
        <filter val="Usability"/>
      </filters>
    </filterColumn>
    <sortState ref="A2:T56">
      <sortCondition ref="A1:A56"/>
    </sortState>
  </autoFilter>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68D34-7DB8-400A-AFEF-35989A923CD6}">
  <sheetPr codeName="Tabelle7"/>
  <dimension ref="A1:BO80"/>
  <sheetViews>
    <sheetView topLeftCell="C1" zoomScale="77" zoomScaleNormal="77" workbookViewId="0">
      <selection activeCell="P28" sqref="P28"/>
    </sheetView>
  </sheetViews>
  <sheetFormatPr baseColWidth="10" defaultRowHeight="12.75" x14ac:dyDescent="0.2"/>
  <cols>
    <col min="1" max="1" width="22" customWidth="1"/>
    <col min="2" max="2" width="16.85546875" bestFit="1" customWidth="1"/>
    <col min="3" max="3" width="30.42578125" customWidth="1"/>
    <col min="4" max="4" width="37.85546875" bestFit="1" customWidth="1"/>
    <col min="5" max="5" width="58.28515625" style="2" bestFit="1" customWidth="1"/>
    <col min="6" max="6" width="54.5703125" bestFit="1" customWidth="1"/>
    <col min="7" max="7" width="60.5703125" customWidth="1"/>
    <col min="8" max="8" width="33.85546875" customWidth="1"/>
    <col min="9" max="9" width="28.85546875" customWidth="1"/>
    <col min="10" max="10" width="21.28515625" bestFit="1" customWidth="1"/>
    <col min="11" max="11" width="14.5703125" bestFit="1" customWidth="1"/>
    <col min="12" max="12" width="18.42578125" bestFit="1" customWidth="1"/>
    <col min="13" max="13" width="18.42578125" style="214" customWidth="1"/>
    <col min="14" max="14" width="14.5703125" bestFit="1" customWidth="1"/>
    <col min="15" max="15" width="18.42578125" bestFit="1" customWidth="1"/>
    <col min="16" max="16" width="33.85546875" bestFit="1" customWidth="1"/>
    <col min="17" max="17" width="37.42578125" bestFit="1" customWidth="1"/>
  </cols>
  <sheetData>
    <row r="1" spans="1:67" s="7" customFormat="1" ht="16.5" thickBot="1" x14ac:dyDescent="0.25">
      <c r="A1" s="253" t="s">
        <v>344</v>
      </c>
      <c r="B1" s="254" t="s">
        <v>124</v>
      </c>
      <c r="C1" s="244" t="s">
        <v>345</v>
      </c>
      <c r="D1" s="245"/>
      <c r="E1" s="245"/>
      <c r="F1" s="245"/>
      <c r="G1" s="245"/>
      <c r="H1" s="245"/>
      <c r="I1" s="170" t="s">
        <v>125</v>
      </c>
      <c r="J1" s="161" t="s">
        <v>470</v>
      </c>
      <c r="K1" s="192" t="s">
        <v>471</v>
      </c>
      <c r="L1" s="211" t="s">
        <v>558</v>
      </c>
      <c r="M1" s="161" t="s">
        <v>470</v>
      </c>
      <c r="N1" s="192" t="s">
        <v>471</v>
      </c>
      <c r="O1" s="194" t="s">
        <v>484</v>
      </c>
      <c r="P1" s="194" t="s">
        <v>485</v>
      </c>
      <c r="Q1" s="194" t="s">
        <v>557</v>
      </c>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row>
    <row r="2" spans="1:67" s="7" customFormat="1" ht="26.25" thickBot="1" x14ac:dyDescent="0.4">
      <c r="A2" s="253"/>
      <c r="B2" s="254"/>
      <c r="C2" s="155"/>
      <c r="D2" s="157"/>
      <c r="E2" s="157"/>
      <c r="F2" s="157"/>
      <c r="G2" s="157"/>
      <c r="H2" s="157"/>
      <c r="I2" s="175">
        <f>COUNTIF('Advantages - Data'!D2:D56,"Usability") + COUNTIF('Advantages - Data'!J2:J56,"Usability") + COUNTIF('Advantages - Data'!P2:P56,"Usability") + COUNTIF('Advantages - Data'!F2:F56,"Usability") + COUNTIF('Advantages - Data'!L2:L56,"Usability") + COUNTIF('Advantages - Data'!R2:R56,"Usability")</f>
        <v>54</v>
      </c>
      <c r="J2" s="191">
        <f>COUNTIFS('Advantages - Data'!D2:D56,"Usability",'Advantages - Data'!B2:B56,"DN") +  COUNTIFS('Advantages - Data'!J2:J56,"Usability",'Advantages - Data'!B2:B56,"DN") +  COUNTIFS('Advantages - Data'!P2:P56,"Usability",'Advantages - Data'!B2:B56,"DN") + COUNTIFS('Advantages - Data'!F2:F56,"Usability",'Advantages - Data'!B2:B56,"DN")  + COUNTIFS('Advantages - Data'!L2:L56,"Usability",'Advantages - Data'!B2:B56,"DN") +  + COUNTIFS('Advantages - Data'!R2:R56,"Usability",'Advantages - Data'!B2:B56,"DN")</f>
        <v>29</v>
      </c>
      <c r="K2" s="190">
        <f>COUNTIFS('Advantages - Data'!D2:D56,"Usability",'Advantages - Data'!B2:B56,"DI") +  COUNTIFS('Advantages - Data'!J2:J56,"Usability",'Advantages - Data'!B2:B56,"DI") +  COUNTIFS('Advantages - Data'!P2:P56,"Usability",'Advantages - Data'!B2:B56,"DI") + COUNTIFS('Advantages - Data'!F2:F56,"Usability",'Advantages - Data'!B2:B56,"DI")  + COUNTIFS('Advantages - Data'!L2:L56,"Usability",'Advantages - Data'!B2:B56,"DI") +  + COUNTIFS('Advantages - Data'!R2:R56,"Usability",'Advantages - Data'!B2:B56,"DI")</f>
        <v>25</v>
      </c>
      <c r="L2" s="212">
        <f>I2/$Q$2</f>
        <v>0.31034482758620691</v>
      </c>
      <c r="M2" s="193">
        <f>J2/$O$2</f>
        <v>0.25663716814159293</v>
      </c>
      <c r="N2" s="193">
        <f>K2/$P$2</f>
        <v>0.390625</v>
      </c>
      <c r="O2" s="173">
        <f>J2+J11+J18+J23+J28</f>
        <v>113</v>
      </c>
      <c r="P2" s="173">
        <f>K2+K11+K18+K23+K28</f>
        <v>64</v>
      </c>
      <c r="Q2" s="114">
        <f>I2+I11+I18+I23+I28</f>
        <v>174</v>
      </c>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row>
    <row r="3" spans="1:67" ht="81" customHeight="1" thickBot="1" x14ac:dyDescent="0.4">
      <c r="A3" s="253"/>
      <c r="B3" s="254"/>
      <c r="C3" s="135" t="s">
        <v>349</v>
      </c>
      <c r="D3" s="238" t="s">
        <v>560</v>
      </c>
      <c r="E3" s="239"/>
      <c r="F3" s="239"/>
      <c r="G3" s="239"/>
      <c r="H3" s="239"/>
      <c r="I3" s="24">
        <f>COUNTIF('Advantages - Data'!E2:E56,"user-friendliness") + COUNTIF('Advantages - Data'!K2:K56,"user-friendliness") + COUNTIF('Advantages - Data'!Q2:Q56,"user-friendliness") + COUNTIF('Advantages - Data'!G2:G56,"user-friendliness") + COUNTIF('Advantages - Data'!M2:M56,"user-friendliness") + COUNTIF('Advantages - Data'!S2:S56,"user-friendliness")</f>
        <v>21</v>
      </c>
      <c r="J3" s="181">
        <f>COUNTIFS('Advantages - Data'!E2:E56,"user-friendliness",'Advantages - Data'!B2:B56,"DN") +  COUNTIFS('Advantages - Data'!K2:K56,"user-friendliness",'Advantages - Data'!B2:B56,"DN") +  COUNTIFS('Advantages - Data'!Q2:Q56,"user-friendliness",'Advantages - Data'!B2:B56,"DN") + COUNTIFS('Advantages - Data'!G2:G56,"user-friendliness",'Advantages - Data'!B2:B56,"DN")  + COUNTIFS('Advantages - Data'!M2:M56,"user-friendliness",'Advantages - Data'!B2:B56,"DN") +  + COUNTIFS('Advantages - Data'!S2:S56,"user-friendliness",'Advantages - Data'!B2:B56,"DN")</f>
        <v>13</v>
      </c>
      <c r="K3" s="188">
        <f>COUNTIFS('Advantages - Data'!E2:E56,"user-friendliness",'Advantages - Data'!B2:B56,"DI") +  COUNTIFS('Advantages - Data'!K2:K56,"user-friendliness",'Advantages - Data'!B2:B56,"DI") +  COUNTIFS('Advantages - Data'!Q2:Q56,"user-friendliness",'Advantages - Data'!B2:B56,"DI") + COUNTIFS('Advantages - Data'!G2:G56,"user-friendliness",'Advantages - Data'!B2:B56,"DI")  + COUNTIFS('Advantages - Data'!M2:M56,"user-friendliness",'Advantages - Data'!B2:B56,"DI") +  + COUNTIFS('Advantages - Data'!S2:S56,"user-friendliness",'Advantages - Data'!B2:B56,"DI")</f>
        <v>8</v>
      </c>
      <c r="L3" s="212">
        <f t="shared" ref="L3:L8" si="0">I3/$Q$2</f>
        <v>0.1206896551724138</v>
      </c>
      <c r="M3" s="193">
        <f>J3/$O$2</f>
        <v>0.11504424778761062</v>
      </c>
      <c r="N3" s="193">
        <f>K3/$P$2</f>
        <v>0.125</v>
      </c>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row>
    <row r="4" spans="1:67" s="7" customFormat="1" ht="37.5" customHeight="1" thickBot="1" x14ac:dyDescent="0.4">
      <c r="A4" s="253"/>
      <c r="B4" s="254"/>
      <c r="C4" s="136" t="s">
        <v>346</v>
      </c>
      <c r="D4" s="242" t="s">
        <v>539</v>
      </c>
      <c r="E4" s="242"/>
      <c r="F4" s="242"/>
      <c r="G4" s="242"/>
      <c r="H4" s="242"/>
      <c r="I4" s="24">
        <f>COUNTIF('Advantages - Data'!E2:E56,"guides the use") + COUNTIF('Advantages - Data'!K2:K56,"guides the use") + COUNTIF('Advantages - Data'!Q2:Q56,"guides the use") + COUNTIF('Advantages - Data'!G2:G56,"guides the use") + COUNTIF('Advantages - Data'!M2:M56,"guides the use") + COUNTIF('Advantages - Data'!S2:S56,"guides the use")</f>
        <v>8</v>
      </c>
      <c r="J4" s="181">
        <f>COUNTIFS('Advantages - Data'!E2:E56,"guides the use",'Advantages - Data'!B2:B56,"DN") +  COUNTIFS('Advantages - Data'!K2:K56,"guides the use",'Advantages - Data'!B2:B56,"DN") +  COUNTIFS('Advantages - Data'!Q2:Q56,"guides the use",'Advantages - Data'!B2:B56,"DN") + COUNTIFS('Advantages - Data'!G2:G56,"guides the use",'Advantages - Data'!B2:B56,"DN")  + COUNTIFS('Advantages - Data'!M2:M56,"guides the use",'Advantages - Data'!B2:B56,"DN") +  + COUNTIFS('Advantages - Data'!S2:S56,"guides the use",'Advantages - Data'!B2:B56,"DN")</f>
        <v>5</v>
      </c>
      <c r="K4" s="182">
        <f>COUNTIFS('Advantages - Data'!E2:E56,"guides the use",'Advantages - Data'!B2:B56,"DI") +  COUNTIFS('Advantages - Data'!K2:K56,"guides the use",'Advantages - Data'!B2:B56,"DI") +  COUNTIFS('Advantages - Data'!Q2:Q56,"guides the use",'Advantages - Data'!B2:B56,"DI") + COUNTIFS('Advantages - Data'!G2:G56,"guides the use",'Advantages - Data'!B2:B56,"DI")  + COUNTIFS('Advantages - Data'!M2:M56,"guides the use",'Advantages - Data'!B2:B56,"DI") +  + COUNTIFS('Advantages - Data'!S2:S56,"guides the use",'Advantages - Data'!B2:B56,"DI")</f>
        <v>3</v>
      </c>
      <c r="L4" s="212">
        <f t="shared" si="0"/>
        <v>4.5977011494252873E-2</v>
      </c>
      <c r="M4" s="193">
        <f t="shared" ref="M4:M7" si="1">J4/$O$2</f>
        <v>4.4247787610619468E-2</v>
      </c>
      <c r="N4" s="193">
        <f t="shared" ref="N4:N7" si="2">K4/$P$2</f>
        <v>4.6875E-2</v>
      </c>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row>
    <row r="5" spans="1:67" s="7" customFormat="1" ht="32.25" thickBot="1" x14ac:dyDescent="0.4">
      <c r="A5" s="253"/>
      <c r="B5" s="254"/>
      <c r="C5" s="86" t="s">
        <v>350</v>
      </c>
      <c r="D5" s="242" t="s">
        <v>550</v>
      </c>
      <c r="E5" s="242"/>
      <c r="F5" s="242"/>
      <c r="G5" s="242"/>
      <c r="H5" s="242"/>
      <c r="I5" s="24">
        <f>COUNTIF('Advantages - Data'!E2:E56,"proficiency in use") + COUNTIF('Advantages - Data'!K2:K56,"proficiency in use") + COUNTIF('Advantages - Data'!Q2:Q56,"proficiency in use") + COUNTIF('Advantages - Data'!G2:G56,"proficiency in use") + COUNTIF('Advantages - Data'!M2:M56,"proficiency in use") + COUNTIF('Advantages - Data'!S2:S56,"proficiency in use")</f>
        <v>11</v>
      </c>
      <c r="J5" s="181">
        <f>COUNTIFS('Advantages - Data'!E2:E56,"proficiency in use",'Advantages - Data'!B2:B56,"DN") +  COUNTIFS('Advantages - Data'!K2:K56,"proficiency in use",'Advantages - Data'!B2:B56,"DN") +  COUNTIFS('Advantages - Data'!Q2:Q56,"proficiency in use",'Advantages - Data'!B2:B56,"DN") + COUNTIFS('Advantages - Data'!G2:G56,"proficiency in use",'Advantages - Data'!B2:B56,"DN")  + COUNTIFS('Advantages - Data'!M2:M56,"proficiency in use",'Advantages - Data'!B2:B56,"DN") +  + COUNTIFS('Advantages - Data'!S2:S56,"proficiency in use",'Advantages - Data'!B2:B56,"DN")</f>
        <v>7</v>
      </c>
      <c r="K5" s="182">
        <f>COUNTIFS('Advantages - Data'!E2:E56,"proficiency in use",'Advantages - Data'!B2:B56,"DI") +  COUNTIFS('Advantages - Data'!K2:K56,"proficiency in use",'Advantages - Data'!B2:B56,"DI") +  COUNTIFS('Advantages - Data'!Q2:Q56,"proficiency in use",'Advantages - Data'!B2:B56,"DI") + COUNTIFS('Advantages - Data'!G2:G56,"proficiency in use",'Advantages - Data'!B2:B56,"DI")  + COUNTIFS('Advantages - Data'!M2:M56,"proficiency in use",'Advantages - Data'!B2:B56,"DI") +  + COUNTIFS('Advantages - Data'!S2:S56,"proficiency in use",'Advantages - Data'!B2:B56,"DI")</f>
        <v>4</v>
      </c>
      <c r="L5" s="212">
        <f t="shared" si="0"/>
        <v>6.3218390804597707E-2</v>
      </c>
      <c r="M5" s="193">
        <f t="shared" si="1"/>
        <v>6.1946902654867256E-2</v>
      </c>
      <c r="N5" s="193">
        <f t="shared" si="2"/>
        <v>6.25E-2</v>
      </c>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row>
    <row r="6" spans="1:67" s="7" customFormat="1" ht="28.5" customHeight="1" thickBot="1" x14ac:dyDescent="0.4">
      <c r="A6" s="253"/>
      <c r="B6" s="254"/>
      <c r="C6" s="136" t="s">
        <v>347</v>
      </c>
      <c r="D6" s="242" t="s">
        <v>375</v>
      </c>
      <c r="E6" s="242"/>
      <c r="F6" s="242"/>
      <c r="G6" s="242"/>
      <c r="H6" s="242"/>
      <c r="I6" s="24">
        <f>COUNTIF('Advantages - Data'!E2:E56,"improves use of time") + COUNTIF('Advantages - Data'!K2:K56,"improves use of time") + COUNTIF('Advantages - Data'!Q2:Q56,"improves use of time") + COUNTIF('Advantages - Data'!G2:G56,"improves use of time") + COUNTIF('Advantages - Data'!M2:M56,"improves use of time") + COUNTIF('Advantages - Data'!S2:S56,"improves use of time")</f>
        <v>9</v>
      </c>
      <c r="J6" s="181">
        <f>COUNTIFS('Advantages - Data'!E2:E56,"improves use of time",'Advantages - Data'!B2:B56,"DN") +  COUNTIFS('Advantages - Data'!K2:K56,"improves use of time",'Advantages - Data'!B2:B56,"DN") +  COUNTIFS('Advantages - Data'!Q2:Q56,"improves use of time",'Advantages - Data'!B2:B56,"DN") + COUNTIFS('Advantages - Data'!G2:G56,"improves use of time",'Advantages - Data'!B2:B56,"DN")  + COUNTIFS('Advantages - Data'!M2:M56,"improves use of time",'Advantages - Data'!B2:B56,"DN") +  + COUNTIFS('Advantages - Data'!S2:S56,"improves use of time",'Advantages - Data'!B2:B56,"DN")</f>
        <v>4</v>
      </c>
      <c r="K6" s="182">
        <f>COUNTIFS('Advantages - Data'!E2:E56,"improves use of time",'Advantages - Data'!B2:B56,"DI") +  COUNTIFS('Advantages - Data'!K2:K56,"improves use of time",'Advantages - Data'!B2:B56,"DI") +  COUNTIFS('Advantages - Data'!Q2:Q56,"improves use of time",'Advantages - Data'!B2:B56,"DI") + COUNTIFS('Advantages - Data'!G2:G56,"improves use of time",'Advantages - Data'!B2:B56,"DI")  + COUNTIFS('Advantages - Data'!M2:M56,"improves use of time",'Advantages - Data'!B2:B56,"DI") +  + COUNTIFS('Advantages - Data'!S2:S56,"improves use of time",'Advantages - Data'!B2:B56,"DI")</f>
        <v>5</v>
      </c>
      <c r="L6" s="212">
        <f t="shared" si="0"/>
        <v>5.1724137931034482E-2</v>
      </c>
      <c r="M6" s="193">
        <f t="shared" si="1"/>
        <v>3.5398230088495575E-2</v>
      </c>
      <c r="N6" s="193">
        <f t="shared" si="2"/>
        <v>7.8125E-2</v>
      </c>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row>
    <row r="7" spans="1:67" s="7" customFormat="1" ht="28.5" customHeight="1" thickBot="1" x14ac:dyDescent="0.4">
      <c r="A7" s="253"/>
      <c r="B7" s="254"/>
      <c r="C7" s="136" t="s">
        <v>348</v>
      </c>
      <c r="D7" s="258" t="s">
        <v>542</v>
      </c>
      <c r="E7" s="258"/>
      <c r="F7" s="258"/>
      <c r="G7" s="258"/>
      <c r="H7" s="258"/>
      <c r="I7" s="24">
        <f>COUNTIF('Advantages - Data'!E2:E56,"avoid mistakes") + COUNTIF('Advantages - Data'!K2:K56,"avoid mistakes") + COUNTIF('Advantages - Data'!Q2:Q56,"avoid mistakes") + COUNTIF('Advantages - Data'!G2:G56,"avoid mistakes") + COUNTIF('Advantages - Data'!M2:M56,"avoid mistakes") + COUNTIF('Advantages - Data'!S2:S56,"avoid mistakes")</f>
        <v>4</v>
      </c>
      <c r="J7" s="181">
        <f>COUNTIFS('Advantages - Data'!E2:E56,"avoid mistakes",'Advantages - Data'!B2:B56,"DN") +  COUNTIFS('Advantages - Data'!K2:K56,"avoid mistakes",'Advantages - Data'!B2:B56,"DN") +  COUNTIFS('Advantages - Data'!Q2:Q56,"avoid mistakes",'Advantages - Data'!B2:B56,"DN") + COUNTIFS('Advantages - Data'!G2:G56,"avoid mistakes",'Advantages - Data'!B2:B56,"DN")  + COUNTIFS('Advantages - Data'!M2:M56,"avoid mistakes",'Advantages - Data'!B2:B56,"DN") +  + COUNTIFS('Advantages - Data'!S2:S56,"avoid mistakes",'Advantages - Data'!B2:B56,"DN")</f>
        <v>0</v>
      </c>
      <c r="K7" s="182">
        <f>COUNTIFS('Advantages - Data'!E2:E56,"avoid mistakes",'Advantages - Data'!B2:B56,"DI") +  COUNTIFS('Advantages - Data'!K2:K56,"avoid mistakes",'Advantages - Data'!B2:B56,"DI") +  COUNTIFS('Advantages - Data'!Q2:Q56,"avoid mistakes",'Advantages - Data'!B2:B56,"DI") + COUNTIFS('Advantages - Data'!G2:G56,"avoid mistakes",'Advantages - Data'!B2:B56,"DI")  + COUNTIFS('Advantages - Data'!M2:M56,"avoid mistakes",'Advantages - Data'!B2:B56,"DI") +  + COUNTIFS('Advantages - Data'!S2:S56,"avoid mistakes",'Advantages - Data'!B2:B56,"DI")</f>
        <v>4</v>
      </c>
      <c r="L7" s="212">
        <f t="shared" si="0"/>
        <v>2.2988505747126436E-2</v>
      </c>
      <c r="M7" s="193">
        <f t="shared" si="1"/>
        <v>0</v>
      </c>
      <c r="N7" s="193">
        <f t="shared" si="2"/>
        <v>6.25E-2</v>
      </c>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row>
    <row r="8" spans="1:67" s="7" customFormat="1" ht="28.5" customHeight="1" x14ac:dyDescent="0.35">
      <c r="A8" s="253"/>
      <c r="B8" s="254"/>
      <c r="C8" s="204" t="s">
        <v>516</v>
      </c>
      <c r="D8" s="259" t="s">
        <v>528</v>
      </c>
      <c r="E8" s="259"/>
      <c r="F8" s="259"/>
      <c r="G8" s="259"/>
      <c r="H8" s="203"/>
      <c r="I8" s="196">
        <f>COUNTIF('Advantages - Data'!E2:E56,"Uother") + COUNTIF('Advantages - Data'!K2:K56,"Uother") + COUNTIF('Advantages - Data'!Q2:Q56,"Uother") + COUNTIF('Advantages - Data'!G2:G56,"Uother") + COUNTIF('Advantages - Data'!M2:M56,"Uother") + COUNTIF('Advantages - Data'!S2:S56,"Uother")</f>
        <v>1</v>
      </c>
      <c r="J8" s="174"/>
      <c r="K8" s="174"/>
      <c r="L8" s="212">
        <f t="shared" si="0"/>
        <v>5.7471264367816091E-3</v>
      </c>
      <c r="M8" s="193"/>
      <c r="N8" s="193"/>
      <c r="O8" s="114"/>
      <c r="P8" s="114"/>
      <c r="Q8" s="114"/>
      <c r="R8" s="114"/>
      <c r="S8" s="114"/>
      <c r="T8" s="114"/>
      <c r="U8" s="114"/>
      <c r="V8" s="114"/>
      <c r="W8" s="114"/>
      <c r="X8" s="114"/>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c r="BK8" s="114"/>
      <c r="BL8" s="114"/>
      <c r="BM8" s="114"/>
      <c r="BN8" s="114"/>
      <c r="BO8" s="114"/>
    </row>
    <row r="9" spans="1:67" s="101" customFormat="1" ht="15" customHeight="1" thickBot="1" x14ac:dyDescent="0.25">
      <c r="A9" s="253"/>
      <c r="B9" s="254"/>
      <c r="C9" s="98"/>
      <c r="D9" s="99"/>
      <c r="E9" s="99"/>
      <c r="F9" s="99"/>
      <c r="G9" s="99"/>
      <c r="H9" s="99"/>
      <c r="I9" s="100"/>
      <c r="J9" s="114"/>
      <c r="K9" s="114"/>
      <c r="L9" s="193"/>
      <c r="M9" s="114"/>
      <c r="N9" s="114"/>
      <c r="O9" s="114"/>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row>
    <row r="10" spans="1:67" ht="16.5" thickBot="1" x14ac:dyDescent="0.25">
      <c r="A10" s="253"/>
      <c r="B10" s="254"/>
      <c r="C10" s="255" t="s">
        <v>561</v>
      </c>
      <c r="D10" s="256"/>
      <c r="E10" s="256"/>
      <c r="F10" s="256"/>
      <c r="G10" s="256"/>
      <c r="H10" s="256"/>
      <c r="I10" s="170" t="s">
        <v>125</v>
      </c>
      <c r="J10" s="184" t="s">
        <v>470</v>
      </c>
      <c r="K10" s="161" t="s">
        <v>471</v>
      </c>
      <c r="L10" s="213"/>
      <c r="M10" s="114"/>
      <c r="N10" s="193"/>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row>
    <row r="11" spans="1:67" s="7" customFormat="1" ht="33.75" customHeight="1" thickBot="1" x14ac:dyDescent="0.4">
      <c r="A11" s="253"/>
      <c r="B11" s="254"/>
      <c r="C11" s="156"/>
      <c r="D11" s="157"/>
      <c r="E11" s="157"/>
      <c r="F11" s="157"/>
      <c r="G11" s="157"/>
      <c r="H11" s="157"/>
      <c r="I11" s="205">
        <f>COUNTIF('Advantages - Data'!D2:D56,"Informativeness") + COUNTIF('Advantages - Data'!J2:J56,"Informativeness") + COUNTIF('Advantages - Data'!P2:P56,"Informativeness") + COUNTIF('Advantages - Data'!F2:F56,"Informativeness") + COUNTIF('Advantages - Data'!L2:L56,"Informativeness") + COUNTIF('Advantages - Data'!R2:R56,"Informativeness")</f>
        <v>56</v>
      </c>
      <c r="J11" s="206">
        <f>COUNTIFS('Advantages - Data'!D2:D56,"Informativeness",'Advantages - Data'!B2:B56,"DN") +  COUNTIFS('Advantages - Data'!J2:J56,"Informativeness",'Advantages - Data'!B2:B56,"DN") +  COUNTIFS('Advantages - Data'!P2:P56,"Informativeness",'Advantages - Data'!B2:B56,"DN") + COUNTIFS('Advantages - Data'!F2:F56,"Informativeness",'Advantages - Data'!B2:B56,"DN")  + COUNTIFS('Advantages - Data'!L2:L56,"Informativeness",'Advantages - Data'!B2:B56,"DN") +  + COUNTIFS('Advantages - Data'!R2:R56,"Informativeness",'Advantages - Data'!B2:B56,"DN")</f>
        <v>34</v>
      </c>
      <c r="K11" s="189">
        <f>COUNTIFS('Advantages - Data'!D2:D56,"Informativeness",'Advantages - Data'!B2:B56,"DI") +  COUNTIFS('Advantages - Data'!J2:J56,"Informativeness",'Advantages - Data'!B2:B56,"DI") +  COUNTIFS('Advantages - Data'!P2:P56,"Informativeness",'Advantages - Data'!B2:B56,"DI") + COUNTIFS('Advantages - Data'!F2:F56,"Informativeness",'Advantages - Data'!B2:B56,"DI")  + COUNTIFS('Advantages - Data'!L2:L56,"Informativeness",'Advantages - Data'!B2:B56,"DI") +  + COUNTIFS('Advantages - Data'!R2:R56,"Informativeness",'Advantages - Data'!B2:B56,"DI")</f>
        <v>22</v>
      </c>
      <c r="L11" s="212">
        <f>I11/$Q$2</f>
        <v>0.32183908045977011</v>
      </c>
      <c r="M11" s="193">
        <f>J12/$O$2</f>
        <v>0.17699115044247787</v>
      </c>
      <c r="N11" s="193">
        <f>K11/$P$2</f>
        <v>0.34375</v>
      </c>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row>
    <row r="12" spans="1:67" ht="59.25" customHeight="1" thickBot="1" x14ac:dyDescent="0.4">
      <c r="A12" s="253"/>
      <c r="B12" s="254"/>
      <c r="C12" s="113" t="s">
        <v>565</v>
      </c>
      <c r="D12" s="242" t="s">
        <v>554</v>
      </c>
      <c r="E12" s="242"/>
      <c r="F12" s="242"/>
      <c r="G12" s="242"/>
      <c r="H12" s="242"/>
      <c r="I12" s="26">
        <f>COUNTIF('Advantages - Data'!E2:E56,"understanding") + COUNTIF('Advantages - Data'!K2:K56,"understanding") + COUNTIF('Advantages - Data'!Q2:Q56,"understanding") + COUNTIF('Advantages - Data'!G2:G56,"understanding") + COUNTIF('Advantages - Data'!M2:M56,"understanding") + COUNTIF('Advantages - Data'!S2:S56,"understanding")</f>
        <v>32</v>
      </c>
      <c r="J12" s="180">
        <f>COUNTIFS('Advantages - Data'!E2:E56,"understanding",'Advantages - Data'!B2:B56,"DN") +  COUNTIFS('Advantages - Data'!K2:K56,"understanding",'Advantages - Data'!B2:B56,"DN") +  COUNTIFS('Advantages - Data'!Q2:Q56,"understanding",'Advantages - Data'!B2:B56,"DN") + COUNTIFS('Advantages - Data'!G2:G56,"understanding",'Advantages - Data'!B2:B56,"DN")  + COUNTIFS('Advantages - Data'!M2:M56,"understanding",'Advantages - Data'!B2:B56,"DN") +  + COUNTIFS('Advantages - Data'!S2:S56,"understanding",'Advantages - Data'!B2:B56,"DN")</f>
        <v>20</v>
      </c>
      <c r="K12" s="188">
        <f>COUNTIFS('Advantages - Data'!E2:E56,"understanding",'Advantages - Data'!B2:B56,"DI") +  COUNTIFS('Advantages - Data'!K2:K56,"understanding",'Advantages - Data'!B2:B56,"DI") +  COUNTIFS('Advantages - Data'!Q2:Q56,"understanding",'Advantages - Data'!B2:B56,"DI") + COUNTIFS('Advantages - Data'!G2:G56,"understanding",'Advantages - Data'!B2:B56,"DI")  + COUNTIFS('Advantages - Data'!M2:M56,"understanding",'Advantages - Data'!B2:B56,"DI") +  + COUNTIFS('Advantages - Data'!S2:S56,"understanding",'Advantages - Data'!B2:B56,"DI")</f>
        <v>12</v>
      </c>
      <c r="L12" s="212">
        <f t="shared" ref="L12:L15" si="3">I12/$Q$2</f>
        <v>0.18390804597701149</v>
      </c>
      <c r="M12" s="193">
        <f>J11/$O$2</f>
        <v>0.30088495575221241</v>
      </c>
      <c r="N12" s="193">
        <f t="shared" ref="N12:N14" si="4">K12/$P$2</f>
        <v>0.1875</v>
      </c>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row>
    <row r="13" spans="1:67" s="7" customFormat="1" ht="40.5" customHeight="1" thickBot="1" x14ac:dyDescent="0.4">
      <c r="A13" s="253"/>
      <c r="B13" s="254"/>
      <c r="C13" s="96" t="s">
        <v>563</v>
      </c>
      <c r="D13" s="242" t="s">
        <v>393</v>
      </c>
      <c r="E13" s="242"/>
      <c r="F13" s="242"/>
      <c r="G13" s="242"/>
      <c r="H13" s="242"/>
      <c r="I13" s="26">
        <f>COUNTIF('Advantages - Data'!E2:E56,"clears obscurity") + COUNTIF('Advantages - Data'!K2:K56,"clears obscurity") + COUNTIF('Advantages - Data'!Q2:Q56,"clears obscurity") + COUNTIF('Advantages - Data'!G2:G56,"clears obscurity") + COUNTIF('Advantages - Data'!M2:M56,"clears obscurity") + COUNTIF('Advantages - Data'!S2:S56,"clears obscurity")</f>
        <v>12</v>
      </c>
      <c r="J13" s="181">
        <f>COUNTIFS('Advantages - Data'!E2:E56,"clears obscurity",'Advantages - Data'!B2:B56,"DN") +  COUNTIFS('Advantages - Data'!K2:K56,"clears obscurity",'Advantages - Data'!B2:B56,"DN") +  COUNTIFS('Advantages - Data'!Q2:Q56,"clears obscurity",'Advantages - Data'!B2:B56,"DN") + COUNTIFS('Advantages - Data'!G2:G56,"clears obscurity",'Advantages - Data'!B2:B56,"DN")  + COUNTIFS('Advantages - Data'!M2:M56,"clears obscurity",'Advantages - Data'!B2:B56,"DN") +  + COUNTIFS('Advantages - Data'!S2:S56,"clears obscurity",'Advantages - Data'!B2:B56,"DN")</f>
        <v>7</v>
      </c>
      <c r="K13" s="188">
        <f>COUNTIFS('Advantages - Data'!E2:E56,"clears obscurity",'Advantages - Data'!B2:B56,"DI") +  COUNTIFS('Advantages - Data'!K2:K56,"clears obscurity",'Advantages - Data'!B2:B56,"DI") +  COUNTIFS('Advantages - Data'!Q2:Q56,"clears obscurity",'Advantages - Data'!B2:B56,"DI") + COUNTIFS('Advantages - Data'!G2:G56,"clears obscurity",'Advantages - Data'!B2:B56,"DI")  + COUNTIFS('Advantages - Data'!M2:M56,"clears obscurity",'Advantages - Data'!B2:B56,"DI") +  + COUNTIFS('Advantages - Data'!S2:S56,"clears obscurity",'Advantages - Data'!B2:B56,"DI")</f>
        <v>5</v>
      </c>
      <c r="L13" s="212">
        <f t="shared" si="3"/>
        <v>6.8965517241379309E-2</v>
      </c>
      <c r="M13" s="193">
        <f t="shared" ref="M13:M14" si="5">J13/$O$2</f>
        <v>6.1946902654867256E-2</v>
      </c>
      <c r="N13" s="193">
        <f t="shared" si="4"/>
        <v>7.8125E-2</v>
      </c>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row>
    <row r="14" spans="1:67" s="102" customFormat="1" ht="30.75" customHeight="1" thickBot="1" x14ac:dyDescent="0.4">
      <c r="A14" s="253"/>
      <c r="B14" s="254"/>
      <c r="C14" s="96" t="s">
        <v>564</v>
      </c>
      <c r="D14" s="242" t="s">
        <v>377</v>
      </c>
      <c r="E14" s="242"/>
      <c r="F14" s="242"/>
      <c r="G14" s="242"/>
      <c r="H14" s="242"/>
      <c r="I14" s="26">
        <f>COUNTIF('Advantages - Data'!E2:E56,"supports decision") + COUNTIF('Advantages - Data'!K2:K56,"supports decision") + COUNTIF('Advantages - Data'!Q2:Q56,"supports decision") + COUNTIF('Advantages - Data'!G2:G56,"supports decision") + COUNTIF('Advantages - Data'!M2:M56,"supports decision") + COUNTIF('Advantages - Data'!S2:S56,"supports decision")</f>
        <v>9</v>
      </c>
      <c r="J14" s="183">
        <f>COUNTIFS('Advantages - Data'!E2:E56,"supports decision",'Advantages - Data'!B2:B56,"DN") +  COUNTIFS('Advantages - Data'!K2:K56,"supports decision",'Advantages - Data'!B2:B56,"DN") +  COUNTIFS('Advantages - Data'!Q2:Q56,"supports decision",'Advantages - Data'!B2:B56,"DN") + COUNTIFS('Advantages - Data'!G2:G56,"supports decision",'Advantages - Data'!B2:B56,"DN")  + COUNTIFS('Advantages - Data'!M2:M56,"supports decision",'Advantages - Data'!B2:B56,"DN") +  + COUNTIFS('Advantages - Data'!S2:S56,"supports decision",'Advantages - Data'!B2:B56,"DN")</f>
        <v>6</v>
      </c>
      <c r="K14" s="182">
        <f>COUNTIFS('Advantages - Data'!E2:E56,"supports decision",'Advantages - Data'!B2:B56,"DI") +  COUNTIFS('Advantages - Data'!K2:K56,"supports decision",'Advantages - Data'!B2:B56,"DI") +  COUNTIFS('Advantages - Data'!Q2:Q56,"supports decision",'Advantages - Data'!B2:B56,"DI") + COUNTIFS('Advantages - Data'!G2:G56,"supports decision",'Advantages - Data'!B2:B56,"DI")  + COUNTIFS('Advantages - Data'!M2:M56,"supports decision",'Advantages - Data'!B2:B56,"DI") +  + COUNTIFS('Advantages - Data'!S2:S56,"supports decision",'Advantages - Data'!B2:B56,"DI")</f>
        <v>3</v>
      </c>
      <c r="L14" s="212">
        <f t="shared" si="3"/>
        <v>5.1724137931034482E-2</v>
      </c>
      <c r="M14" s="193">
        <f t="shared" si="5"/>
        <v>5.3097345132743362E-2</v>
      </c>
      <c r="N14" s="193">
        <f t="shared" si="4"/>
        <v>4.6875E-2</v>
      </c>
      <c r="O14" s="114"/>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row>
    <row r="15" spans="1:67" s="139" customFormat="1" ht="30.75" customHeight="1" thickBot="1" x14ac:dyDescent="0.4">
      <c r="A15" s="253"/>
      <c r="B15" s="254"/>
      <c r="C15" s="202" t="s">
        <v>516</v>
      </c>
      <c r="D15" s="259" t="s">
        <v>527</v>
      </c>
      <c r="E15" s="259"/>
      <c r="F15" s="259"/>
      <c r="G15" s="259"/>
      <c r="H15" s="259"/>
      <c r="I15" s="26">
        <f>COUNTIF('Advantages - Data'!E2:E56,"Iother") + COUNTIF('Advantages - Data'!K2:K56,"Iother") + COUNTIF('Advantages - Data'!Q2:Q56,"Iother") + COUNTIF('Advantages - Data'!G2:G56,"Iother") + COUNTIF('Advantages - Data'!M2:M56,"Iother") + COUNTIF('Advantages - Data'!S2:S56,"Iother")</f>
        <v>3</v>
      </c>
      <c r="J15" s="174"/>
      <c r="K15" s="174"/>
      <c r="L15" s="212">
        <f t="shared" si="3"/>
        <v>1.7241379310344827E-2</v>
      </c>
      <c r="M15" s="193"/>
      <c r="N15" s="193"/>
      <c r="O15" s="114"/>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row>
    <row r="16" spans="1:67" s="101" customFormat="1" ht="18" customHeight="1" thickBot="1" x14ac:dyDescent="0.25">
      <c r="A16" s="253"/>
      <c r="B16" s="254"/>
      <c r="C16" s="98"/>
      <c r="D16" s="99"/>
      <c r="E16" s="99"/>
      <c r="F16" s="99"/>
      <c r="G16" s="99"/>
      <c r="H16" s="99"/>
      <c r="I16" s="100"/>
      <c r="J16" s="114"/>
      <c r="K16" s="114"/>
      <c r="L16" s="193"/>
      <c r="M16" s="114"/>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c r="BM16" s="114"/>
      <c r="BN16" s="114"/>
      <c r="BO16" s="114"/>
    </row>
    <row r="17" spans="1:67" ht="16.5" thickBot="1" x14ac:dyDescent="0.25">
      <c r="A17" s="253"/>
      <c r="B17" s="254"/>
      <c r="C17" s="257" t="s">
        <v>359</v>
      </c>
      <c r="D17" s="256"/>
      <c r="E17" s="256"/>
      <c r="F17" s="256"/>
      <c r="G17" s="256"/>
      <c r="H17" s="256"/>
      <c r="I17" s="170" t="s">
        <v>125</v>
      </c>
      <c r="J17" s="186" t="s">
        <v>470</v>
      </c>
      <c r="K17" s="185" t="s">
        <v>471</v>
      </c>
      <c r="L17" s="213"/>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114"/>
      <c r="AM17" s="114"/>
      <c r="AN17" s="114"/>
      <c r="AO17" s="114"/>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4"/>
      <c r="BM17" s="114"/>
      <c r="BN17" s="114"/>
      <c r="BO17" s="114"/>
    </row>
    <row r="18" spans="1:67" s="7" customFormat="1" ht="39" customHeight="1" thickBot="1" x14ac:dyDescent="0.4">
      <c r="A18" s="253"/>
      <c r="B18" s="254"/>
      <c r="C18" s="158"/>
      <c r="D18" s="157"/>
      <c r="E18" s="157"/>
      <c r="F18" s="157"/>
      <c r="G18" s="157"/>
      <c r="H18" s="157"/>
      <c r="I18" s="172">
        <f>COUNTIF('Advantages - Data'!D2:D56,"Auditability / Verifiability") + COUNTIF('Advantages - Data'!J2:J56,"Auditability / Verifiability") + COUNTIF('Advantages - Data'!P2:P56,"Auditability / Verifiability") + COUNTIF('Advantages - Data'!F2:F56,"Auditability / Verifiability") + COUNTIF('Advantages - Data'!L2:L56,"Auditability / Verifiability") + COUNTIF('Advantages - Data'!R2:R56,"Auditability / Verifiability")</f>
        <v>11</v>
      </c>
      <c r="J18" s="180">
        <f>COUNTIFS('Advantages - Data'!D2:D56,"Auditability / Verifiability",'Advantages - Data'!B2:B56,"DN") +  COUNTIFS('Advantages - Data'!J2:J56,"Auditability / Verifiability",'Advantages - Data'!B2:B56,"DN") +  COUNTIFS('Advantages - Data'!P2:P56,"Auditability / Verifiability",'Advantages - Data'!B2:B56,"DN") + COUNTIFS('Advantages - Data'!F2:F56,"Auditability / Verifiability",'Advantages - Data'!B2:B56,"DN")  + COUNTIFS('Advantages - Data'!L2:L56,"Auditability / Verifiability",'Advantages - Data'!B2:B56,"DN") +  + COUNTIFS('Advantages - Data'!R2:R56,"Auditability / Verifiability",'Advantages - Data'!B2:B56,"DN")</f>
        <v>9</v>
      </c>
      <c r="K18" s="187">
        <f>COUNTIFS('Advantages - Data'!D2:D56,"Auditability / Verifiability",'Advantages - Data'!B2:B56,"DI") +  COUNTIFS('Advantages - Data'!J2:J56,"Auditability / Verifiability",'Advantages - Data'!B2:B56,"DI") +  COUNTIFS('Advantages - Data'!P2:P56,"Auditability / Verifiability",'Advantages - Data'!B2:B56,"DI") + COUNTIFS('Advantages - Data'!F2:F56,"Auditability / Verifiability",'Advantages - Data'!B2:B56,"DI")  + COUNTIFS('Advantages - Data'!L2:L56,"Auditability / Verifiability",'Advantages - Data'!B2:B56,"DI") +  + COUNTIFS('Advantages - Data'!R2:R56,"Auditability / Verifiability",'Advantages - Data'!B2:B56,"DI")</f>
        <v>2</v>
      </c>
      <c r="L18" s="212">
        <f>I18/$Q$2</f>
        <v>6.3218390804597707E-2</v>
      </c>
      <c r="M18" s="193">
        <f>J18/$O$2</f>
        <v>7.9646017699115043E-2</v>
      </c>
      <c r="N18" s="193">
        <f>K18/$P$2</f>
        <v>3.125E-2</v>
      </c>
      <c r="O18" s="114"/>
      <c r="P18" s="114"/>
      <c r="Q18" s="114"/>
      <c r="R18" s="114"/>
      <c r="S18" s="114"/>
      <c r="T18" s="114"/>
      <c r="U18" s="114"/>
      <c r="V18" s="114"/>
      <c r="W18" s="114"/>
      <c r="X18" s="114"/>
      <c r="Y18" s="114"/>
      <c r="Z18" s="114"/>
      <c r="AA18" s="114"/>
      <c r="AB18" s="114"/>
      <c r="AC18" s="114"/>
      <c r="AD18" s="114"/>
      <c r="AE18" s="114"/>
      <c r="AF18" s="114"/>
      <c r="AG18" s="114"/>
      <c r="AH18" s="114"/>
      <c r="AI18" s="114"/>
      <c r="AJ18" s="114"/>
      <c r="AK18" s="114"/>
      <c r="AL18" s="114"/>
      <c r="AM18" s="114"/>
      <c r="AN18" s="114"/>
      <c r="AO18" s="114"/>
      <c r="AP18" s="114"/>
      <c r="AQ18" s="114"/>
      <c r="AR18" s="114"/>
      <c r="AS18" s="114"/>
      <c r="AT18" s="114"/>
      <c r="AU18" s="114"/>
      <c r="AV18" s="114"/>
      <c r="AW18" s="114"/>
      <c r="AX18" s="114"/>
      <c r="AY18" s="114"/>
      <c r="AZ18" s="114"/>
      <c r="BA18" s="114"/>
      <c r="BB18" s="114"/>
      <c r="BC18" s="114"/>
      <c r="BD18" s="114"/>
      <c r="BE18" s="114"/>
      <c r="BF18" s="114"/>
      <c r="BG18" s="114"/>
      <c r="BH18" s="114"/>
      <c r="BI18" s="114"/>
      <c r="BJ18" s="114"/>
      <c r="BK18" s="114"/>
      <c r="BL18" s="114"/>
      <c r="BM18" s="114"/>
      <c r="BN18" s="114"/>
      <c r="BO18" s="114"/>
    </row>
    <row r="19" spans="1:67" s="7" customFormat="1" ht="34.5" customHeight="1" thickBot="1" x14ac:dyDescent="0.4">
      <c r="A19" s="253"/>
      <c r="B19" s="254"/>
      <c r="C19" s="106" t="s">
        <v>374</v>
      </c>
      <c r="D19" s="242" t="s">
        <v>394</v>
      </c>
      <c r="E19" s="242"/>
      <c r="F19" s="242"/>
      <c r="G19" s="242"/>
      <c r="H19" s="242"/>
      <c r="I19" s="25">
        <f>COUNTIF('Advantages - Data'!E2:E56,"of technical aspects") + COUNTIF('Advantages - Data'!K2:K56,"of technical aspects") + COUNTIF('Advantages - Data'!Q2:Q56,"of technical aspects") + COUNTIF('Advantages - Data'!G2:G56,"of technical aspects") + COUNTIF('Advantages - Data'!M2:M56,"of technical aspects") + COUNTIF('Advantages - Data'!S2:S56,"of technical aspects")</f>
        <v>5</v>
      </c>
      <c r="J19" s="25">
        <f>COUNTIFS('Advantages - Data'!E2:E56,"of technical aspects",'Advantages - Data'!B2:B56,"DN") +  COUNTIFS('Advantages - Data'!K2:K56,"of technical aspects",'Advantages - Data'!B2:B56,"DN") +  COUNTIFS('Advantages - Data'!Q2:Q56,"of technical aspects",'Advantages - Data'!B2:B56,"DN") + COUNTIFS('Advantages - Data'!G2:G56,"of technical aspects",'Advantages - Data'!B2:B56,"DN")  + COUNTIFS('Advantages - Data'!M2:M56,"of technical aspects",'Advantages - Data'!B2:B56,"DN") +  + COUNTIFS('Advantages - Data'!S2:S56,"of technical aspects",'Advantages - Data'!B2:B56,"DN")</f>
        <v>5</v>
      </c>
      <c r="K19" s="188">
        <f>COUNTIFS('Advantages - Data'!E2:E56,"of technical aspects",'Advantages - Data'!B2:B56,"DI") +  COUNTIFS('Advantages - Data'!K2:K56,"of technical aspects",'Advantages - Data'!B2:B56,"DI") +  COUNTIFS('Advantages - Data'!Q2:Q56,"of technical aspects",'Advantages - Data'!B2:B56,"DI") + COUNTIFS('Advantages - Data'!G2:G56,"of technical aspects",'Advantages - Data'!B2:B56,"DI")  + COUNTIFS('Advantages - Data'!M2:M56,"of technical aspects",'Advantages - Data'!B2:B56,"DI") +  + COUNTIFS('Advantages - Data'!S2:S56,"of technical aspects",'Advantages - Data'!B2:B56,"DI")</f>
        <v>0</v>
      </c>
      <c r="L19" s="212">
        <f t="shared" ref="L19:L20" si="6">I19/$Q$2</f>
        <v>2.8735632183908046E-2</v>
      </c>
      <c r="M19" s="193">
        <f t="shared" ref="M19:M20" si="7">J19/$O$2</f>
        <v>4.4247787610619468E-2</v>
      </c>
      <c r="N19" s="193">
        <f t="shared" ref="N19:N20" si="8">K19/$P$2</f>
        <v>0</v>
      </c>
      <c r="O19" s="114"/>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row>
    <row r="20" spans="1:67" s="7" customFormat="1" ht="34.5" customHeight="1" thickBot="1" x14ac:dyDescent="0.4">
      <c r="A20" s="253"/>
      <c r="B20" s="254"/>
      <c r="C20" s="105" t="s">
        <v>355</v>
      </c>
      <c r="D20" s="242" t="s">
        <v>378</v>
      </c>
      <c r="E20" s="242"/>
      <c r="F20" s="242"/>
      <c r="G20" s="242"/>
      <c r="H20" s="242"/>
      <c r="I20" s="25">
        <f>COUNTIF('Advantages - Data'!E2:E56,"data transparency") + COUNTIF('Advantages - Data'!K2:K56,"data transparency") + COUNTIF('Advantages - Data'!Q2:Q56,"data transparency") +  COUNTIF('Advantages - Data'!G2:G56,"data transparency") + COUNTIF('Advantages - Data'!M2:M56,"data transparency") + COUNTIF('Advantages - Data'!S2:S56,"data transparency")</f>
        <v>6</v>
      </c>
      <c r="J20" s="183">
        <f>COUNTIFS('Advantages - Data'!E2:E56,"data transparency",'Advantages - Data'!B2:B56,"DN") +  COUNTIFS('Advantages - Data'!K2:K56,"data transparency",'Advantages - Data'!B2:B56,"DN") +  COUNTIFS('Advantages - Data'!Q2:Q56,"data transparency",'Advantages - Data'!B2:B56,"DN") + COUNTIFS('Advantages - Data'!G2:G56,"data transparency",'Advantages - Data'!B2:B56,"DN")  + COUNTIFS('Advantages - Data'!M2:M56,"data transparency",'Advantages - Data'!B2:B56,"DN") +  + COUNTIFS('Advantages - Data'!S2:S56,"data transparency",'Advantages - Data'!B2:B56,"DN")</f>
        <v>4</v>
      </c>
      <c r="K20" s="182">
        <f>COUNTIFS('Advantages - Data'!E2:E56,"data transparency",'Advantages - Data'!B2:B56,"DI") +  COUNTIFS('Advantages - Data'!K2:K56,"data transparency",'Advantages - Data'!B2:B56,"DI") +  COUNTIFS('Advantages - Data'!Q2:Q56,"data transparency",'Advantages - Data'!B2:B56,"DI") + COUNTIFS('Advantages - Data'!G2:G56,"data transparency",'Advantages - Data'!B2:B56,"DI")  + COUNTIFS('Advantages - Data'!M2:M56,"data transparency",'Advantages - Data'!B2:B56,"DI") +  + COUNTIFS('Advantages - Data'!S2:S56,"data transparency",'Advantages - Data'!B2:B56,"DI")</f>
        <v>2</v>
      </c>
      <c r="L20" s="212">
        <f t="shared" si="6"/>
        <v>3.4482758620689655E-2</v>
      </c>
      <c r="M20" s="193">
        <f t="shared" si="7"/>
        <v>3.5398230088495575E-2</v>
      </c>
      <c r="N20" s="193">
        <f t="shared" si="8"/>
        <v>3.125E-2</v>
      </c>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row>
    <row r="21" spans="1:67" s="37" customFormat="1" ht="21" customHeight="1" thickBot="1" x14ac:dyDescent="0.25">
      <c r="A21" s="253"/>
      <c r="B21" s="254"/>
      <c r="C21" s="98"/>
      <c r="D21" s="99"/>
      <c r="E21" s="99"/>
      <c r="F21" s="99"/>
      <c r="G21" s="99"/>
      <c r="H21" s="99"/>
      <c r="I21" s="100"/>
      <c r="J21" s="114"/>
      <c r="K21" s="114"/>
      <c r="L21" s="193"/>
      <c r="M21" s="11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row>
    <row r="22" spans="1:67" s="7" customFormat="1" ht="16.5" thickBot="1" x14ac:dyDescent="0.25">
      <c r="A22" s="253"/>
      <c r="B22" s="254"/>
      <c r="C22" s="255" t="s">
        <v>356</v>
      </c>
      <c r="D22" s="256"/>
      <c r="E22" s="256"/>
      <c r="F22" s="256"/>
      <c r="G22" s="256"/>
      <c r="H22" s="256"/>
      <c r="I22" s="170" t="s">
        <v>125</v>
      </c>
      <c r="J22" s="178" t="s">
        <v>470</v>
      </c>
      <c r="K22" s="179" t="s">
        <v>471</v>
      </c>
      <c r="L22" s="213"/>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row>
    <row r="23" spans="1:67" s="7" customFormat="1" ht="36.75" customHeight="1" thickBot="1" x14ac:dyDescent="0.4">
      <c r="A23" s="253"/>
      <c r="B23" s="254"/>
      <c r="C23" s="156"/>
      <c r="D23" s="157"/>
      <c r="E23" s="157"/>
      <c r="F23" s="157"/>
      <c r="G23" s="157"/>
      <c r="H23" s="157"/>
      <c r="I23" s="175">
        <f>COUNTIF('Advantages - Data'!D2:D56,"Relationship") + COUNTIF('Advantages - Data'!J2:J56,"Relationship") + COUNTIF('Advantages - Data'!P2:P56,"Relationship") + COUNTIF('Advantages - Data'!F2:F56,"Relationship") + COUNTIF('Advantages - Data'!L2:L56,"Relationship") + COUNTIF('Advantages - Data'!R2:R56,"Relationship")</f>
        <v>47</v>
      </c>
      <c r="J23" s="176">
        <f>COUNTIFS('Advantages - Data'!D2:D56,"Relationship",'Advantages - Data'!B2:B56,"DN") +  COUNTIFS('Advantages - Data'!J2:J56,"Relationship",'Advantages - Data'!B2:B56,"DN") +  COUNTIFS('Advantages - Data'!P2:P56,"Relationship",'Advantages - Data'!B2:B56,"DN") + COUNTIFS('Advantages - Data'!F2:F56,"Relationship",'Advantages - Data'!B2:B56,"DN")  + COUNTIFS('Advantages - Data'!L2:L56,"Relationship",'Advantages - Data'!B2:B56,"DN") +  + COUNTIFS('Advantages - Data'!R2:R56,"Relationship",'Advantages - Data'!B2:B56,"DN")</f>
        <v>33</v>
      </c>
      <c r="K23" s="180">
        <f>COUNTIFS('Advantages - Data'!D2:D56,"Relationship",'Advantages - Data'!B2:B56,"DI") +  COUNTIFS('Advantages - Data'!J2:J56,"Relationship",'Advantages - Data'!B2:B56,"DI") +  COUNTIFS('Advantages - Data'!P2:P56,"Relationship",'Advantages - Data'!B2:B56,"DI") + COUNTIFS('Advantages - Data'!F2:F56,"Relationship",'Advantages - Data'!B2:B56,"DI")  + COUNTIFS('Advantages - Data'!L2:L56,"Relationship",'Advantages - Data'!B2:B56,"DI") +  + COUNTIFS('Advantages - Data'!R2:R56,"Relationship",'Advantages - Data'!B2:B56,"DI")</f>
        <v>14</v>
      </c>
      <c r="L23" s="212">
        <f>I23/$Q$2</f>
        <v>0.27011494252873564</v>
      </c>
      <c r="M23" s="193">
        <f>J23/$O$2</f>
        <v>0.29203539823008851</v>
      </c>
      <c r="N23" s="193">
        <f>K23/$P$2</f>
        <v>0.21875</v>
      </c>
      <c r="O23" s="114"/>
      <c r="P23" s="114"/>
      <c r="Q23" s="114"/>
      <c r="R23" s="114"/>
      <c r="S23" s="114"/>
      <c r="T23" s="114"/>
      <c r="U23" s="114"/>
      <c r="V23" s="114"/>
      <c r="W23" s="114"/>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c r="BM23" s="114"/>
      <c r="BN23" s="114"/>
      <c r="BO23" s="114"/>
    </row>
    <row r="24" spans="1:67" s="7" customFormat="1" ht="62.25" customHeight="1" thickBot="1" x14ac:dyDescent="0.4">
      <c r="A24" s="253"/>
      <c r="B24" s="254"/>
      <c r="C24" s="111" t="s">
        <v>540</v>
      </c>
      <c r="D24" s="242" t="s">
        <v>552</v>
      </c>
      <c r="E24" s="242"/>
      <c r="F24" s="242"/>
      <c r="G24" s="242"/>
      <c r="H24" s="242"/>
      <c r="I24" s="26">
        <f>COUNTIF('Advantages - Data'!E2:E56,"positive impact") + COUNTIF('Advantages - Data'!K2:K56,"positive impact") + COUNTIF('Advantages - Data'!Q2:Q56,"positive impact") + COUNTIF('Advantages - Data'!G2:G56,"positive impact") + COUNTIF('Advantages - Data'!M2:M56,"positive impact") + COUNTIF('Advantages - Data'!S2:S56,"positive impact")</f>
        <v>25</v>
      </c>
      <c r="J24" s="177">
        <f>COUNTIFS('Advantages - Data'!E2:E56,"positive impact",'Advantages - Data'!B2:B56,"DN") +  COUNTIFS('Advantages - Data'!K2:K56,"positive impact",'Advantages - Data'!B2:B56,"DN") +  COUNTIFS('Advantages - Data'!Q2:Q56,"positive impact",'Advantages - Data'!B2:B56,"DN") + COUNTIFS('Advantages - Data'!G2:G56,"positive impact",'Advantages - Data'!B2:B56,"DN")  + COUNTIFS('Advantages - Data'!M2:M56,"positive impact",'Advantages - Data'!B2:B56,"DN") +  + COUNTIFS('Advantages - Data'!S2:S56,"positive impact",'Advantages - Data'!B2:B56,"DN")</f>
        <v>15</v>
      </c>
      <c r="K24" s="181">
        <f>COUNTIFS('Advantages - Data'!E2:E56,"positive impact",'Advantages - Data'!B2:B56,"DI") +  COUNTIFS('Advantages - Data'!K2:K56,"positive impact",'Advantages - Data'!B2:B56,"DI") +  COUNTIFS('Advantages - Data'!Q2:Q56,"positive impact",'Advantages - Data'!B2:B56,"DI") + COUNTIFS('Advantages - Data'!G2:G56,"positive impact",'Advantages - Data'!B2:B56,"DI")  + COUNTIFS('Advantages - Data'!M2:M56,"positive impact",'Advantages - Data'!B2:B56,"DI") +  + COUNTIFS('Advantages - Data'!S2:S56,"positive impact",'Advantages - Data'!B2:B56,"DI")</f>
        <v>10</v>
      </c>
      <c r="L24" s="212">
        <f t="shared" ref="L24:L28" si="9">I24/$Q$2</f>
        <v>0.14367816091954022</v>
      </c>
      <c r="M24" s="193">
        <f t="shared" ref="M24:M28" si="10">J24/$O$2</f>
        <v>0.13274336283185842</v>
      </c>
      <c r="N24" s="193">
        <f t="shared" ref="N24:N28" si="11">K24/$P$2</f>
        <v>0.15625</v>
      </c>
      <c r="O24" s="114"/>
      <c r="P24" s="114"/>
      <c r="Q24" s="114"/>
      <c r="R24" s="114"/>
      <c r="S24" s="114"/>
      <c r="T24" s="114"/>
      <c r="U24" s="114"/>
      <c r="V24" s="114"/>
      <c r="W24" s="114"/>
      <c r="X24" s="114"/>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4"/>
      <c r="BD24" s="114"/>
      <c r="BE24" s="114"/>
      <c r="BF24" s="114"/>
      <c r="BG24" s="114"/>
      <c r="BH24" s="114"/>
      <c r="BI24" s="114"/>
      <c r="BJ24" s="114"/>
      <c r="BK24" s="114"/>
      <c r="BL24" s="114"/>
      <c r="BM24" s="114"/>
      <c r="BN24" s="114"/>
      <c r="BO24" s="114"/>
    </row>
    <row r="25" spans="1:67" s="7" customFormat="1" ht="39" customHeight="1" thickBot="1" x14ac:dyDescent="0.4">
      <c r="A25" s="253"/>
      <c r="B25" s="254"/>
      <c r="C25" s="112" t="s">
        <v>357</v>
      </c>
      <c r="D25" s="242" t="s">
        <v>379</v>
      </c>
      <c r="E25" s="242"/>
      <c r="F25" s="242"/>
      <c r="G25" s="242"/>
      <c r="H25" s="242"/>
      <c r="I25" s="26">
        <f>COUNTIF('Advantages - Data'!E2:E56,"builds trust") + COUNTIF('Advantages - Data'!K2:K56,"builds trust") + COUNTIF('Advantages - Data'!Q2:Q56,"builds trust") + COUNTIF('Advantages - Data'!G2:G56,"builds trust") + COUNTIF('Advantages - Data'!M2:M56,"builds trust") + COUNTIF('Advantages - Data'!S2:S56,"builds trust")</f>
        <v>13</v>
      </c>
      <c r="J25" s="174">
        <f>COUNTIFS('Advantages - Data'!E2:E56,"builds trust",'Advantages - Data'!B2:B56,"DN") +  COUNTIFS('Advantages - Data'!K2:K56,"builds trust",'Advantages - Data'!B2:B56,"DN") +  COUNTIFS('Advantages - Data'!Q2:Q56,"builds trust",'Advantages - Data'!B2:B56,"DN") + COUNTIFS('Advantages - Data'!G2:G56,"builds trust",'Advantages - Data'!B2:B56,"DN")  + COUNTIFS('Advantages - Data'!M2:M56,"builds trust",'Advantages - Data'!B2:B56,"DN") +  + COUNTIFS('Advantages - Data'!S2:S56,"builds trust",'Advantages - Data'!B2:B56,"DN")</f>
        <v>10</v>
      </c>
      <c r="K25" s="183">
        <f>COUNTIFS('Advantages - Data'!E2:E56,"builds trust",'Advantages - Data'!B2:B56,"DI") +  COUNTIFS('Advantages - Data'!K2:K56,"builds trust",'Advantages - Data'!B2:B56,"DI") +  COUNTIFS('Advantages - Data'!Q2:Q56,"builds trust",'Advantages - Data'!B2:B56,"DI") + COUNTIFS('Advantages - Data'!G2:G56,"builds trust",'Advantages - Data'!B2:B56,"DI")  + COUNTIFS('Advantages - Data'!M2:M56,"builds trust",'Advantages - Data'!B2:B56,"DI") +  + COUNTIFS('Advantages - Data'!S2:S56,"builds trust",'Advantages - Data'!B2:B56,"DI")</f>
        <v>3</v>
      </c>
      <c r="L25" s="212">
        <f t="shared" si="9"/>
        <v>7.4712643678160925E-2</v>
      </c>
      <c r="M25" s="193">
        <f t="shared" si="10"/>
        <v>8.8495575221238937E-2</v>
      </c>
      <c r="N25" s="193">
        <f t="shared" si="11"/>
        <v>4.6875E-2</v>
      </c>
      <c r="O25" s="114"/>
      <c r="P25" s="114"/>
      <c r="Q25" s="114"/>
      <c r="R25" s="114"/>
      <c r="S25" s="114"/>
      <c r="T25" s="114"/>
      <c r="U25" s="114"/>
      <c r="V25" s="114"/>
      <c r="W25" s="114"/>
      <c r="X25" s="114"/>
      <c r="Y25" s="114"/>
      <c r="Z25" s="114"/>
      <c r="AA25" s="114"/>
      <c r="AB25" s="114"/>
      <c r="AC25" s="114"/>
      <c r="AD25" s="114"/>
      <c r="AE25" s="114"/>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c r="BE25" s="114"/>
      <c r="BF25" s="114"/>
      <c r="BG25" s="114"/>
      <c r="BH25" s="114"/>
      <c r="BI25" s="114"/>
      <c r="BJ25" s="114"/>
      <c r="BK25" s="114"/>
      <c r="BL25" s="114"/>
      <c r="BM25" s="114"/>
      <c r="BN25" s="114"/>
      <c r="BO25" s="114"/>
    </row>
    <row r="26" spans="1:67" s="102" customFormat="1" ht="46.5" customHeight="1" thickBot="1" x14ac:dyDescent="0.4">
      <c r="A26" s="253"/>
      <c r="B26" s="254"/>
      <c r="C26" s="38" t="s">
        <v>358</v>
      </c>
      <c r="D26" s="242" t="s">
        <v>380</v>
      </c>
      <c r="E26" s="242"/>
      <c r="F26" s="242"/>
      <c r="G26" s="242"/>
      <c r="H26" s="242"/>
      <c r="I26" s="26">
        <f>COUNTIF('Advantages - Data'!E2:E56,"user in control") + COUNTIF('Advantages - Data'!K2:K56,"user in control") + COUNTIF('Advantages - Data'!Q2:Q56,"user in control") + COUNTIF('Advantages - Data'!G2:G56,"user in control") + COUNTIF('Advantages - Data'!M2:M56,"user in control") + COUNTIF('Advantages - Data'!S2:S56,"user in control")</f>
        <v>9</v>
      </c>
      <c r="J26" s="181">
        <f>COUNTIFS('Advantages - Data'!E2:E56,"user in control",'Advantages - Data'!B2:B56,"DN") +  COUNTIFS('Advantages - Data'!K2:K56,"user in control",'Advantages - Data'!B2:B56,"DN") +  COUNTIFS('Advantages - Data'!Q2:Q56,"user in control",'Advantages - Data'!B2:B56,"DN") + COUNTIFS('Advantages - Data'!G2:G56,"user in control",'Advantages - Data'!B2:B56,"DN")  + COUNTIFS('Advantages - Data'!M2:M56,"user in control",'Advantages - Data'!B2:B56,"DN") +  + COUNTIFS('Advantages - Data'!S2:S56,"user in control",'Advantages - Data'!B2:B56,"DN")</f>
        <v>8</v>
      </c>
      <c r="K26" s="182">
        <f>COUNTIFS('Advantages - Data'!E2:E56,"user in control",'Advantages - Data'!B2:B56,"DI") +  COUNTIFS('Advantages - Data'!K2:K56,"user in control",'Advantages - Data'!B2:B56,"DI") +  COUNTIFS('Advantages - Data'!Q2:Q56,"user in control",'Advantages - Data'!B2:B56,"DI") + COUNTIFS('Advantages - Data'!G2:G56,"user in control",'Advantages - Data'!B2:B56,"DI")  + COUNTIFS('Advantages - Data'!M2:M56,"user in control",'Advantages - Data'!B2:B56,"DI") +  + COUNTIFS('Advantages - Data'!S2:S56,"user in control",'Advantages - Data'!B2:B56,"DI")</f>
        <v>1</v>
      </c>
      <c r="L26" s="212">
        <f t="shared" si="9"/>
        <v>5.1724137931034482E-2</v>
      </c>
      <c r="M26" s="193">
        <f t="shared" si="10"/>
        <v>7.0796460176991149E-2</v>
      </c>
      <c r="N26" s="193">
        <f t="shared" si="11"/>
        <v>1.5625E-2</v>
      </c>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c r="BE26" s="114"/>
      <c r="BF26" s="114"/>
      <c r="BG26" s="114"/>
      <c r="BH26" s="114"/>
      <c r="BI26" s="114"/>
      <c r="BJ26" s="114"/>
      <c r="BK26" s="114"/>
      <c r="BL26" s="114"/>
      <c r="BM26" s="114"/>
      <c r="BN26" s="114"/>
      <c r="BO26" s="114"/>
    </row>
    <row r="27" spans="1:67" s="101" customFormat="1" ht="18" customHeight="1" thickBot="1" x14ac:dyDescent="0.25">
      <c r="A27" s="107"/>
      <c r="B27" s="108"/>
      <c r="C27" s="98"/>
      <c r="D27" s="99"/>
      <c r="E27" s="99"/>
      <c r="F27" s="99"/>
      <c r="G27" s="99"/>
      <c r="H27" s="99"/>
      <c r="I27" s="100"/>
      <c r="J27" s="114"/>
      <c r="K27" s="114"/>
      <c r="L27" s="193"/>
      <c r="M27" s="114"/>
      <c r="N27" s="114"/>
      <c r="O27" s="114"/>
      <c r="P27" s="114"/>
      <c r="Q27" s="114"/>
      <c r="R27" s="114"/>
      <c r="S27" s="114"/>
      <c r="T27" s="114"/>
      <c r="U27" s="114"/>
      <c r="V27" s="114"/>
      <c r="W27" s="114"/>
      <c r="X27" s="114"/>
      <c r="Y27" s="114"/>
      <c r="Z27" s="114"/>
      <c r="AA27" s="114"/>
      <c r="AB27" s="114"/>
      <c r="AC27" s="114"/>
      <c r="AD27" s="114"/>
      <c r="AE27" s="114"/>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c r="BE27" s="114"/>
      <c r="BF27" s="114"/>
      <c r="BG27" s="114"/>
      <c r="BH27" s="114"/>
      <c r="BI27" s="114"/>
      <c r="BJ27" s="114"/>
      <c r="BK27" s="114"/>
      <c r="BL27" s="114"/>
      <c r="BM27" s="114"/>
      <c r="BN27" s="114"/>
      <c r="BO27" s="114"/>
    </row>
    <row r="28" spans="1:67" s="101" customFormat="1" ht="71.25" customHeight="1" x14ac:dyDescent="0.35">
      <c r="A28" s="208"/>
      <c r="B28" s="209"/>
      <c r="C28" s="216" t="s">
        <v>392</v>
      </c>
      <c r="D28" s="219" t="s">
        <v>247</v>
      </c>
      <c r="E28" s="219"/>
      <c r="F28" s="219"/>
      <c r="G28" s="219"/>
      <c r="H28" s="219"/>
      <c r="I28" s="222">
        <f>COUNTIF('Advantages - Data'!D2:D56,"Transparency") + COUNTIF('Advantages - Data'!J2:J56,"Transparency") + COUNTIF('Advantages - Data'!P2:P56,"Transparency") + COUNTIF('Advantages - Data'!F2:F56,"Transparency") + COUNTIF('Advantages - Data'!L2:L56,"Transparency") + COUNTIF('Advantages - Data'!R2:R56,"Transparency")</f>
        <v>6</v>
      </c>
      <c r="J28" s="225">
        <v>8</v>
      </c>
      <c r="K28" s="228">
        <v>1</v>
      </c>
      <c r="L28" s="212">
        <f t="shared" si="9"/>
        <v>3.4482758620689655E-2</v>
      </c>
      <c r="M28" s="193">
        <f t="shared" si="10"/>
        <v>7.0796460176991149E-2</v>
      </c>
      <c r="N28" s="193">
        <f t="shared" si="11"/>
        <v>1.5625E-2</v>
      </c>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c r="BE28" s="114"/>
      <c r="BF28" s="114"/>
      <c r="BG28" s="114"/>
      <c r="BH28" s="114"/>
      <c r="BI28" s="114"/>
      <c r="BJ28" s="114"/>
      <c r="BK28" s="114"/>
      <c r="BL28" s="114"/>
      <c r="BM28" s="114"/>
      <c r="BN28" s="114"/>
      <c r="BO28" s="114"/>
    </row>
    <row r="29" spans="1:67" s="101" customFormat="1" ht="18" customHeight="1" x14ac:dyDescent="0.2">
      <c r="A29" s="208"/>
      <c r="B29" s="209"/>
      <c r="C29" s="217"/>
      <c r="D29" s="220"/>
      <c r="E29" s="220"/>
      <c r="F29" s="220"/>
      <c r="G29" s="220"/>
      <c r="H29" s="220"/>
      <c r="I29" s="223"/>
      <c r="J29" s="226"/>
      <c r="K29" s="229"/>
      <c r="L29" s="215"/>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c r="BE29" s="114"/>
      <c r="BF29" s="114"/>
      <c r="BG29" s="114"/>
      <c r="BH29" s="114"/>
      <c r="BI29" s="114"/>
      <c r="BJ29" s="114"/>
      <c r="BK29" s="114"/>
      <c r="BL29" s="114"/>
      <c r="BM29" s="114"/>
      <c r="BN29" s="114"/>
      <c r="BO29" s="114"/>
    </row>
    <row r="30" spans="1:67" s="7" customFormat="1" ht="27" customHeight="1" thickBot="1" x14ac:dyDescent="0.25">
      <c r="C30" s="218"/>
      <c r="D30" s="221"/>
      <c r="E30" s="221"/>
      <c r="F30" s="221"/>
      <c r="G30" s="221"/>
      <c r="H30" s="221"/>
      <c r="I30" s="224"/>
      <c r="J30" s="227"/>
      <c r="K30" s="230"/>
      <c r="L30" s="215"/>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row>
    <row r="31" spans="1:67" x14ac:dyDescent="0.2">
      <c r="J31" s="114"/>
      <c r="K31" s="114"/>
      <c r="L31" s="193"/>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c r="BM31" s="114"/>
      <c r="BN31" s="114"/>
      <c r="BO31" s="114"/>
    </row>
    <row r="32" spans="1:67" x14ac:dyDescent="0.2">
      <c r="J32" s="114"/>
      <c r="K32" s="114"/>
      <c r="L32" s="193">
        <f>L2+L11+L18+L23+L28</f>
        <v>0.99999999999999989</v>
      </c>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c r="BM32" s="114"/>
      <c r="BN32" s="114"/>
      <c r="BO32" s="114"/>
    </row>
    <row r="33" spans="2:67" x14ac:dyDescent="0.2">
      <c r="B33" s="68"/>
      <c r="J33" s="114"/>
      <c r="K33" s="114"/>
      <c r="L33" s="193"/>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row>
    <row r="34" spans="2:67" x14ac:dyDescent="0.2">
      <c r="B34" s="68"/>
      <c r="C34" s="7"/>
      <c r="D34" s="8"/>
      <c r="E34" s="79"/>
      <c r="J34" s="114"/>
      <c r="K34" s="114"/>
      <c r="L34" s="193"/>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row>
    <row r="35" spans="2:67" x14ac:dyDescent="0.2">
      <c r="J35" s="114"/>
      <c r="K35" s="114"/>
      <c r="L35" s="193"/>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row>
    <row r="36" spans="2:67" x14ac:dyDescent="0.2">
      <c r="J36" s="114"/>
      <c r="K36" s="114"/>
      <c r="L36" s="193"/>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row>
    <row r="37" spans="2:67" x14ac:dyDescent="0.2">
      <c r="B37" s="7"/>
      <c r="L37" s="214"/>
      <c r="M37"/>
    </row>
    <row r="38" spans="2:67" x14ac:dyDescent="0.2">
      <c r="L38" s="214"/>
      <c r="M38"/>
    </row>
    <row r="39" spans="2:67" x14ac:dyDescent="0.2">
      <c r="L39" s="214"/>
      <c r="M39"/>
    </row>
    <row r="40" spans="2:67" x14ac:dyDescent="0.2">
      <c r="L40" s="214"/>
      <c r="M40"/>
    </row>
    <row r="41" spans="2:67" x14ac:dyDescent="0.2">
      <c r="B41" s="7"/>
      <c r="L41" s="214"/>
      <c r="M41"/>
    </row>
    <row r="42" spans="2:67" x14ac:dyDescent="0.2">
      <c r="B42" s="72"/>
      <c r="L42" s="214"/>
      <c r="M42"/>
    </row>
    <row r="43" spans="2:67" x14ac:dyDescent="0.2">
      <c r="B43" s="80"/>
      <c r="L43" s="214"/>
      <c r="M43"/>
    </row>
    <row r="44" spans="2:67" x14ac:dyDescent="0.2">
      <c r="B44" s="80"/>
      <c r="L44" s="214"/>
      <c r="M44"/>
    </row>
    <row r="45" spans="2:67" x14ac:dyDescent="0.2">
      <c r="B45" s="80"/>
      <c r="L45" s="214"/>
      <c r="M45"/>
    </row>
    <row r="46" spans="2:67" x14ac:dyDescent="0.2">
      <c r="L46" s="214"/>
      <c r="M46"/>
    </row>
    <row r="47" spans="2:67" x14ac:dyDescent="0.2">
      <c r="L47" s="214"/>
      <c r="M47"/>
    </row>
    <row r="48" spans="2:67" x14ac:dyDescent="0.2">
      <c r="L48" s="214"/>
      <c r="M48"/>
    </row>
    <row r="49" spans="5:13" x14ac:dyDescent="0.2">
      <c r="L49" s="214"/>
      <c r="M49"/>
    </row>
    <row r="50" spans="5:13" x14ac:dyDescent="0.2">
      <c r="L50" s="214"/>
      <c r="M50"/>
    </row>
    <row r="51" spans="5:13" x14ac:dyDescent="0.2">
      <c r="L51" s="214"/>
      <c r="M51"/>
    </row>
    <row r="52" spans="5:13" x14ac:dyDescent="0.2">
      <c r="L52" s="214"/>
      <c r="M52"/>
    </row>
    <row r="53" spans="5:13" x14ac:dyDescent="0.2">
      <c r="L53" s="214"/>
      <c r="M53"/>
    </row>
    <row r="54" spans="5:13" x14ac:dyDescent="0.2">
      <c r="L54" s="214"/>
      <c r="M54"/>
    </row>
    <row r="55" spans="5:13" x14ac:dyDescent="0.2">
      <c r="L55" s="214"/>
      <c r="M55"/>
    </row>
    <row r="56" spans="5:13" x14ac:dyDescent="0.2">
      <c r="L56" s="214"/>
      <c r="M56"/>
    </row>
    <row r="57" spans="5:13" x14ac:dyDescent="0.2">
      <c r="L57" s="214"/>
      <c r="M57"/>
    </row>
    <row r="58" spans="5:13" x14ac:dyDescent="0.2">
      <c r="L58" s="214"/>
      <c r="M58"/>
    </row>
    <row r="59" spans="5:13" x14ac:dyDescent="0.2">
      <c r="L59" s="214"/>
      <c r="M59"/>
    </row>
    <row r="60" spans="5:13" x14ac:dyDescent="0.2">
      <c r="L60" s="214"/>
      <c r="M60"/>
    </row>
    <row r="61" spans="5:13" x14ac:dyDescent="0.2">
      <c r="E61" s="95"/>
      <c r="F61" s="94"/>
      <c r="G61" s="104"/>
      <c r="H61" s="103"/>
      <c r="L61" s="214"/>
      <c r="M61"/>
    </row>
    <row r="62" spans="5:13" x14ac:dyDescent="0.2">
      <c r="E62" s="7"/>
      <c r="F62" s="7"/>
      <c r="G62" s="2"/>
      <c r="H62" s="7"/>
      <c r="L62" s="214"/>
      <c r="M62"/>
    </row>
    <row r="63" spans="5:13" x14ac:dyDescent="0.2">
      <c r="E63"/>
      <c r="G63" s="2"/>
      <c r="L63" s="214"/>
      <c r="M63"/>
    </row>
    <row r="64" spans="5:13" x14ac:dyDescent="0.2">
      <c r="E64"/>
      <c r="L64" s="214"/>
      <c r="M64"/>
    </row>
    <row r="65" spans="5:13" x14ac:dyDescent="0.2">
      <c r="E65"/>
      <c r="G65" s="2"/>
      <c r="L65" s="214"/>
      <c r="M65"/>
    </row>
    <row r="66" spans="5:13" x14ac:dyDescent="0.2">
      <c r="E66"/>
      <c r="L66" s="214"/>
      <c r="M66"/>
    </row>
    <row r="67" spans="5:13" x14ac:dyDescent="0.2">
      <c r="E67"/>
      <c r="H67" s="7"/>
      <c r="L67" s="214"/>
      <c r="M67"/>
    </row>
    <row r="68" spans="5:13" x14ac:dyDescent="0.2">
      <c r="E68"/>
      <c r="H68" s="7"/>
      <c r="L68" s="214"/>
      <c r="M68"/>
    </row>
    <row r="69" spans="5:13" x14ac:dyDescent="0.2">
      <c r="E69"/>
      <c r="L69" s="214"/>
      <c r="M69"/>
    </row>
    <row r="70" spans="5:13" x14ac:dyDescent="0.2">
      <c r="L70" s="214"/>
      <c r="M70"/>
    </row>
    <row r="71" spans="5:13" x14ac:dyDescent="0.2">
      <c r="L71" s="214"/>
      <c r="M71"/>
    </row>
    <row r="72" spans="5:13" x14ac:dyDescent="0.2">
      <c r="L72" s="214"/>
      <c r="M72"/>
    </row>
    <row r="73" spans="5:13" x14ac:dyDescent="0.2">
      <c r="F73" s="68"/>
      <c r="L73" s="214"/>
      <c r="M73"/>
    </row>
    <row r="74" spans="5:13" x14ac:dyDescent="0.2">
      <c r="L74" s="214"/>
      <c r="M74"/>
    </row>
    <row r="75" spans="5:13" x14ac:dyDescent="0.2">
      <c r="L75" s="214"/>
      <c r="M75"/>
    </row>
    <row r="76" spans="5:13" x14ac:dyDescent="0.2">
      <c r="E76"/>
      <c r="L76" s="214"/>
      <c r="M76"/>
    </row>
    <row r="77" spans="5:13" x14ac:dyDescent="0.2">
      <c r="E77"/>
      <c r="G77" s="2"/>
      <c r="L77" s="214"/>
      <c r="M77"/>
    </row>
    <row r="78" spans="5:13" x14ac:dyDescent="0.2">
      <c r="L78" s="214"/>
      <c r="M78"/>
    </row>
    <row r="79" spans="5:13" x14ac:dyDescent="0.2">
      <c r="G79" s="2"/>
      <c r="L79" s="214"/>
      <c r="M79"/>
    </row>
    <row r="80" spans="5:13" x14ac:dyDescent="0.2">
      <c r="G80" s="2"/>
      <c r="L80" s="214"/>
      <c r="M80"/>
    </row>
  </sheetData>
  <mergeCells count="21">
    <mergeCell ref="D26:H26"/>
    <mergeCell ref="C22:H22"/>
    <mergeCell ref="D24:H24"/>
    <mergeCell ref="D8:G8"/>
    <mergeCell ref="D13:H13"/>
    <mergeCell ref="A1:A26"/>
    <mergeCell ref="B1:B26"/>
    <mergeCell ref="C1:H1"/>
    <mergeCell ref="D3:H3"/>
    <mergeCell ref="C10:H10"/>
    <mergeCell ref="D12:H12"/>
    <mergeCell ref="C17:H17"/>
    <mergeCell ref="D14:H14"/>
    <mergeCell ref="D6:H6"/>
    <mergeCell ref="D4:H4"/>
    <mergeCell ref="D5:H5"/>
    <mergeCell ref="D7:H7"/>
    <mergeCell ref="D15:H15"/>
    <mergeCell ref="D19:H19"/>
    <mergeCell ref="D20:H20"/>
    <mergeCell ref="D25:H25"/>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E5D69-799A-4B7A-A50D-85CD783D75A8}">
  <sheetPr codeName="Tabelle8"/>
  <dimension ref="D1:S1"/>
  <sheetViews>
    <sheetView zoomScale="86" zoomScaleNormal="86" workbookViewId="0">
      <selection activeCell="C26" sqref="C26"/>
    </sheetView>
  </sheetViews>
  <sheetFormatPr baseColWidth="10" defaultRowHeight="12.75" x14ac:dyDescent="0.2"/>
  <cols>
    <col min="2" max="2" width="18" bestFit="1" customWidth="1"/>
    <col min="3" max="3" width="113.5703125" bestFit="1" customWidth="1"/>
    <col min="4" max="4" width="23.28515625" style="131" customWidth="1"/>
    <col min="5" max="5" width="41.7109375" style="131" customWidth="1"/>
    <col min="6" max="6" width="22.85546875" style="131" customWidth="1"/>
    <col min="7" max="7" width="42.5703125" style="131" customWidth="1"/>
    <col min="8" max="8" width="41.7109375" hidden="1" customWidth="1"/>
    <col min="9" max="9" width="98.140625" bestFit="1" customWidth="1"/>
    <col min="10" max="10" width="36.140625" style="7" customWidth="1"/>
    <col min="11" max="11" width="40.28515625" style="7" customWidth="1"/>
    <col min="12" max="13" width="36.140625" style="7" customWidth="1"/>
    <col min="14" max="14" width="28" customWidth="1"/>
    <col min="15" max="15" width="98.140625" bestFit="1" customWidth="1"/>
    <col min="16" max="19" width="39" style="131" customWidth="1"/>
    <col min="20" max="20" width="39.85546875" bestFit="1" customWidth="1"/>
  </cols>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1379E-84A1-407D-9415-9A0AE373D611}">
  <sheetPr codeName="Tabelle9"/>
  <dimension ref="A1:BP22"/>
  <sheetViews>
    <sheetView tabSelected="1" topLeftCell="A7" zoomScale="69" zoomScaleNormal="69" workbookViewId="0">
      <selection activeCell="U27" sqref="U27"/>
    </sheetView>
  </sheetViews>
  <sheetFormatPr baseColWidth="10" defaultRowHeight="12.75" x14ac:dyDescent="0.2"/>
  <cols>
    <col min="1" max="1" width="19.140625" customWidth="1"/>
    <col min="2" max="2" width="36.28515625" customWidth="1"/>
    <col min="3" max="3" width="57.140625" customWidth="1"/>
    <col min="9" max="9" width="61.28515625" customWidth="1"/>
    <col min="10" max="10" width="17" customWidth="1"/>
    <col min="11" max="11" width="16.5703125" customWidth="1"/>
    <col min="12" max="12" width="21" customWidth="1"/>
    <col min="13" max="13" width="21" style="214" customWidth="1"/>
    <col min="14" max="14" width="17.140625" bestFit="1" customWidth="1"/>
    <col min="15" max="15" width="20.85546875" bestFit="1" customWidth="1"/>
    <col min="16" max="16" width="36.140625" bestFit="1" customWidth="1"/>
    <col min="17" max="17" width="39.85546875" bestFit="1" customWidth="1"/>
  </cols>
  <sheetData>
    <row r="1" spans="1:68" s="7" customFormat="1" ht="13.5" thickBot="1" x14ac:dyDescent="0.25">
      <c r="A1" s="253" t="s">
        <v>381</v>
      </c>
      <c r="B1" s="254" t="s">
        <v>124</v>
      </c>
      <c r="C1" s="37"/>
      <c r="D1" s="37"/>
      <c r="E1" s="37"/>
      <c r="F1" s="37"/>
      <c r="G1" s="37"/>
      <c r="H1" s="37"/>
      <c r="I1" s="37"/>
      <c r="J1" s="170" t="s">
        <v>125</v>
      </c>
      <c r="K1" s="162" t="s">
        <v>470</v>
      </c>
      <c r="L1" s="162" t="s">
        <v>471</v>
      </c>
      <c r="M1" s="231" t="s">
        <v>558</v>
      </c>
      <c r="N1" s="161" t="s">
        <v>470</v>
      </c>
      <c r="O1" s="192" t="s">
        <v>471</v>
      </c>
      <c r="P1" s="194" t="s">
        <v>484</v>
      </c>
      <c r="Q1" s="194" t="s">
        <v>485</v>
      </c>
      <c r="R1" s="194" t="s">
        <v>558</v>
      </c>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row>
    <row r="2" spans="1:68" s="7" customFormat="1" ht="26.25" thickBot="1" x14ac:dyDescent="0.25">
      <c r="A2" s="253"/>
      <c r="B2" s="254"/>
      <c r="C2" s="261" t="s">
        <v>345</v>
      </c>
      <c r="D2" s="257"/>
      <c r="E2" s="257"/>
      <c r="F2" s="257"/>
      <c r="G2" s="257"/>
      <c r="H2" s="257"/>
      <c r="I2" s="257"/>
      <c r="J2" s="168">
        <f>COUNTIF('Disadvantages - Data'!D1:D5,"Usability") + COUNTIF('Disadvantages - Data'!J1:J5,"Usability") + COUNTIF('Disadvantages - Data'!P1:P5,"Usability") + COUNTIF('Disadvantages - Data'!F1:F5,"Usability") + COUNTIF('Disadvantages - Data'!L1:L5,"Usability") + COUNTIF('Disadvantages - Data'!R1:R5,"Usability")</f>
        <v>0</v>
      </c>
      <c r="K2" s="164">
        <f>COUNTIFS('Disadvantages - Data'!D1:D5,"Usability",'Disadvantages - Data'!B1:B5,"DN") +  COUNTIFS('Disadvantages - Data'!J1:J5,"Usability",'Disadvantages - Data'!B1:B5,"DN") +  COUNTIFS('Disadvantages - Data'!P1:P5,"Usability",'Disadvantages - Data'!B1:B5,"DN") + COUNTIFS('Disadvantages - Data'!F1:F5,"Usability",'Disadvantages - Data'!B1:B5,"DN")  + COUNTIFS('Disadvantages - Data'!L1:L5,"Usability",'Disadvantages - Data'!B1:B5,"DN") +  + COUNTIFS('Disadvantages - Data'!R1:R5,"Usability",'Disadvantages - Data'!B1:B5,"DN")</f>
        <v>0</v>
      </c>
      <c r="L2" s="164">
        <f>COUNTIFS('Disadvantages - Data'!D1:D5,"Usability",'Disadvantages - Data'!B1:B5,"DI") +  COUNTIFS('Disadvantages - Data'!J1:J5,"Usability",'Disadvantages - Data'!B1:B5,"DI") +  COUNTIFS('Disadvantages - Data'!P1:P5,"Usability",'Disadvantages - Data'!B1:B5,"DI") + COUNTIFS('Disadvantages - Data'!F1:F5,"Usability",'Disadvantages - Data'!B1:B5,"DI")  + COUNTIFS('Disadvantages - Data'!L1:L5,"Usability",'Disadvantages - Data'!B1:B5,"DI") +  + COUNTIFS('Disadvantages - Data'!R1:R5,"Usability",'Disadvantages - Data'!B1:B5,"DI")</f>
        <v>0</v>
      </c>
      <c r="M2" s="232" t="e">
        <f>J2/$R$2</f>
        <v>#DIV/0!</v>
      </c>
      <c r="N2" s="193" t="e">
        <f>K2/$P$2</f>
        <v>#DIV/0!</v>
      </c>
      <c r="O2" s="193" t="e">
        <f>L2/$Q$2</f>
        <v>#DIV/0!</v>
      </c>
      <c r="P2" s="173">
        <f>K2+K8+K13+K19</f>
        <v>0</v>
      </c>
      <c r="Q2" s="173">
        <f>L2+L8+L13+L19</f>
        <v>0</v>
      </c>
      <c r="R2" s="114">
        <f>J2+J8+J13+J19</f>
        <v>0</v>
      </c>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row>
    <row r="3" spans="1:68" s="7" customFormat="1" ht="190.5" customHeight="1" thickBot="1" x14ac:dyDescent="0.25">
      <c r="A3" s="253"/>
      <c r="B3" s="254"/>
      <c r="C3" s="135" t="s">
        <v>383</v>
      </c>
      <c r="D3" s="238" t="s">
        <v>472</v>
      </c>
      <c r="E3" s="239"/>
      <c r="F3" s="239"/>
      <c r="G3" s="239"/>
      <c r="H3" s="239"/>
      <c r="I3" s="262"/>
      <c r="J3" s="168">
        <f>COUNTIF('Disadvantages - Data'!E1:E5,"impairs the use") + COUNTIF('Disadvantages - Data'!K1:K5,"impairs the use") + COUNTIF('Disadvantages - Data'!Q1:Q5,"impairs the use") + COUNTIF('Disadvantages - Data'!G1:G5,"impairs the use") + COUNTIF('Disadvantages - Data'!M1:M5,"impairs the use") + COUNTIF('Disadvantages - Data'!S1:S5,"impairs the use")</f>
        <v>0</v>
      </c>
      <c r="K3" s="169">
        <f>COUNTIFS('Disadvantages - Data'!E1:E5,"impairs the use",'Disadvantages - Data'!B1:B5,"DN") +  COUNTIFS('Disadvantages - Data'!K1:K5,"impairs the use",'Disadvantages - Data'!B1:B5,"DN") +  COUNTIFS('Disadvantages - Data'!Q1:Q5,"impairs the use",'Disadvantages - Data'!B1:B5,"DN") + COUNTIFS('Disadvantages - Data'!G1:G5,"impairs the use",'Disadvantages - Data'!B1:B5,"DN")  + COUNTIFS('Disadvantages - Data'!M1:M5,"impairs the use",'Disadvantages - Data'!B1:B5,"DN") +  + COUNTIFS('Disadvantages - Data'!S1:S5,"impairs the use",'Disadvantages - Data'!B1:B5,"DN")</f>
        <v>0</v>
      </c>
      <c r="L3" s="169">
        <f>COUNTIFS('Disadvantages - Data'!E1:E5,"impairs the use",'Disadvantages - Data'!B1:B5,"DI") +  COUNTIFS('Disadvantages - Data'!K1:K5,"impairs the use",'Disadvantages - Data'!B1:B5,"DI") +  COUNTIFS('Disadvantages - Data'!Q1:Q5,"impairs the use",'Disadvantages - Data'!B1:B5,"DI") + COUNTIFS('Disadvantages - Data'!G1:G5,"impairs the use",'Disadvantages - Data'!B1:B5,"DI")  + COUNTIFS('Disadvantages - Data'!M1:M5,"impairs the use",'Disadvantages - Data'!B1:B5,"DI") +  + COUNTIFS('Disadvantages - Data'!S1:S5,"impairs the use",'Disadvantages - Data'!B1:B5,"DI")</f>
        <v>0</v>
      </c>
      <c r="M3" s="232" t="e">
        <f t="shared" ref="M3:M5" si="0">J3/$R$2</f>
        <v>#DIV/0!</v>
      </c>
      <c r="N3" s="193" t="e">
        <f t="shared" ref="N3:N5" si="1">K3/$P$2</f>
        <v>#DIV/0!</v>
      </c>
      <c r="O3" s="193" t="e">
        <f t="shared" ref="O3:O5" si="2">L3/$Q$2</f>
        <v>#DIV/0!</v>
      </c>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row>
    <row r="4" spans="1:68" s="7" customFormat="1" ht="37.5" customHeight="1" thickBot="1" x14ac:dyDescent="0.25">
      <c r="A4" s="253"/>
      <c r="B4" s="254"/>
      <c r="C4" s="86" t="s">
        <v>385</v>
      </c>
      <c r="D4" s="242" t="s">
        <v>390</v>
      </c>
      <c r="E4" s="242"/>
      <c r="F4" s="242"/>
      <c r="G4" s="242"/>
      <c r="H4" s="242"/>
      <c r="I4" s="242"/>
      <c r="J4" s="168">
        <f>COUNTIF('Disadvantages - Data'!E1:E5,"use of computational resources") + COUNTIF('Disadvantages - Data'!K1:K5,"use of computational resources") + COUNTIF('Disadvantages - Data'!Q1:Q5,"use of computational resources") + COUNTIF('Disadvantages - Data'!G1:G5,"use of computational resources") + COUNTIF('Disadvantages - Data'!M1:M5,"use of computational resources") + COUNTIF('Disadvantages - Data'!S1:S5,"use of computational resources")</f>
        <v>0</v>
      </c>
      <c r="K4" s="169">
        <f>COUNTIFS('Disadvantages - Data'!E1:E5,"use of computational resources",'Disadvantages - Data'!B1:B5,"DN") +  COUNTIFS('Disadvantages - Data'!K1:K5,"use of computational resources",'Disadvantages - Data'!B1:B5,"DN") +  COUNTIFS('Disadvantages - Data'!Q1:Q5,"use of computational resources",'Disadvantages - Data'!B1:B5,"DN") + COUNTIFS('Disadvantages - Data'!G1:G5,"use of computational resources",'Disadvantages - Data'!B1:B5,"DN")  + COUNTIFS('Disadvantages - Data'!M1:M5,"use of computational resources",'Disadvantages - Data'!B1:B5,"DN") +  + COUNTIFS('Disadvantages - Data'!S1:S5,"use of computational resources",'Disadvantages - Data'!B1:B5,"DN")</f>
        <v>0</v>
      </c>
      <c r="L4" s="169">
        <f>COUNTIFS('Disadvantages - Data'!E1:E5,"use of computational resources",'Disadvantages - Data'!B1:B5,"DI") +  COUNTIFS('Disadvantages - Data'!K1:K5,"use of computational resources",'Disadvantages - Data'!B1:B5,"DI") +  COUNTIFS('Disadvantages - Data'!Q1:Q5,"use of computational resources",'Disadvantages - Data'!B1:B5,"DI") + COUNTIFS('Disadvantages - Data'!G1:G5,"use of computational resources",'Disadvantages - Data'!B1:B5,"DI")  + COUNTIFS('Disadvantages - Data'!M1:M5,"use of computational resources",'Disadvantages - Data'!B1:B5,"DI") +  + COUNTIFS('Disadvantages - Data'!S1:S5,"use of computational resources",'Disadvantages - Data'!B1:B5,"DI")</f>
        <v>0</v>
      </c>
      <c r="M4" s="232" t="e">
        <f t="shared" si="0"/>
        <v>#DIV/0!</v>
      </c>
      <c r="N4" s="193" t="e">
        <f t="shared" si="1"/>
        <v>#DIV/0!</v>
      </c>
      <c r="O4" s="193" t="e">
        <f t="shared" si="2"/>
        <v>#DIV/0!</v>
      </c>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row>
    <row r="5" spans="1:68" s="7" customFormat="1" ht="51.75" customHeight="1" thickBot="1" x14ac:dyDescent="0.25">
      <c r="A5" s="253"/>
      <c r="B5" s="254"/>
      <c r="C5" s="136" t="s">
        <v>382</v>
      </c>
      <c r="D5" s="242" t="s">
        <v>389</v>
      </c>
      <c r="E5" s="242"/>
      <c r="F5" s="242"/>
      <c r="G5" s="242"/>
      <c r="H5" s="242"/>
      <c r="I5" s="259"/>
      <c r="J5" s="163">
        <f>COUNTIF('Disadvantages - Data'!E1:E5,"time consuming") + COUNTIF('Disadvantages - Data'!K1:K5,"time consuming") + COUNTIF('Disadvantages - Data'!Q1:Q5,"time consuming") + COUNTIF('Disadvantages - Data'!G1:G5,"time consuming") + COUNTIF('Disadvantages - Data'!M1:M5,"time consuming") + COUNTIF('Disadvantages - Data'!S1:S5,"time consuming")</f>
        <v>0</v>
      </c>
      <c r="K5" s="164">
        <f>COUNTIFS('Disadvantages - Data'!E1:E5,"time consuming",'Disadvantages - Data'!B1:B5,"DN") +  COUNTIFS('Disadvantages - Data'!K1:K5,"time consuming",'Disadvantages - Data'!B1:B5,"DN") +  COUNTIFS('Disadvantages - Data'!Q1:Q5,"time consuming",'Disadvantages - Data'!B1:B5,"DN") + COUNTIFS('Disadvantages - Data'!G1:G5,"time consuming",'Disadvantages - Data'!B1:B5,"DN")  + COUNTIFS('Disadvantages - Data'!M1:M5,"time consuming",'Disadvantages - Data'!B1:B5,"DN") +  + COUNTIFS('Disadvantages - Data'!S1:S5,"time consuming",'Disadvantages - Data'!B1:B5,"DN")</f>
        <v>0</v>
      </c>
      <c r="L5" s="164">
        <f>COUNTIFS('Disadvantages - Data'!E1:E5,"time consuming",'Disadvantages - Data'!B1:B5,"DI") +  COUNTIFS('Disadvantages - Data'!K1:K5,"time consuming",'Disadvantages - Data'!B1:B5,"DI") +  COUNTIFS('Disadvantages - Data'!Q1:Q5,"time consuming",'Disadvantages - Data'!B1:B5,"DI") + COUNTIFS('Disadvantages - Data'!G1:G5,"time consuming",'Disadvantages - Data'!B1:B5,"DI")  + COUNTIFS('Disadvantages - Data'!M1:M5,"time consuming",'Disadvantages - Data'!B1:B5,"DI") +  + COUNTIFS('Disadvantages - Data'!S1:S5,"time consuming",'Disadvantages - Data'!B1:B5,"DI")</f>
        <v>0</v>
      </c>
      <c r="M5" s="232" t="e">
        <f t="shared" si="0"/>
        <v>#DIV/0!</v>
      </c>
      <c r="N5" s="193" t="e">
        <f t="shared" si="1"/>
        <v>#DIV/0!</v>
      </c>
      <c r="O5" s="193" t="e">
        <f t="shared" si="2"/>
        <v>#DIV/0!</v>
      </c>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row>
    <row r="6" spans="1:68" s="101" customFormat="1" ht="15" customHeight="1" thickBot="1" x14ac:dyDescent="0.25">
      <c r="A6" s="253"/>
      <c r="B6" s="254"/>
      <c r="C6" s="98"/>
      <c r="D6" s="99"/>
      <c r="E6" s="99"/>
      <c r="F6" s="99"/>
      <c r="G6" s="99"/>
      <c r="H6" s="99"/>
      <c r="I6" s="99"/>
      <c r="J6" s="100"/>
      <c r="K6" s="115"/>
      <c r="L6" s="115"/>
      <c r="M6" s="233"/>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row>
    <row r="7" spans="1:68" s="7" customFormat="1" ht="16.5" thickBot="1" x14ac:dyDescent="0.25">
      <c r="A7" s="253"/>
      <c r="B7" s="254"/>
      <c r="C7" s="255" t="s">
        <v>561</v>
      </c>
      <c r="D7" s="256"/>
      <c r="E7" s="256"/>
      <c r="F7" s="256"/>
      <c r="G7" s="256"/>
      <c r="H7" s="256"/>
      <c r="I7" s="256"/>
      <c r="J7" s="160" t="s">
        <v>125</v>
      </c>
      <c r="K7" s="162" t="s">
        <v>470</v>
      </c>
      <c r="L7" s="162" t="s">
        <v>471</v>
      </c>
      <c r="M7" s="231"/>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row>
    <row r="8" spans="1:68" s="7" customFormat="1" ht="26.25" thickBot="1" x14ac:dyDescent="0.25">
      <c r="A8" s="253"/>
      <c r="B8" s="254"/>
      <c r="C8" s="156"/>
      <c r="D8" s="157"/>
      <c r="E8" s="157"/>
      <c r="F8" s="157"/>
      <c r="G8" s="157"/>
      <c r="H8" s="157"/>
      <c r="I8" s="157"/>
      <c r="J8" s="164">
        <f>COUNTIF('Disadvantages - Data'!D1:D5,"Informativeness") + COUNTIF('Disadvantages - Data'!J1:J5,"Informativeness") + COUNTIF('Disadvantages - Data'!P1:P5,"Informativeness") + COUNTIF('Disadvantages - Data'!F1:F5,"Informativeness") + COUNTIF('Disadvantages - Data'!L1:L5,"Informativeness") + COUNTIF('Disadvantages - Data'!R1:R5,"Informativeness")</f>
        <v>0</v>
      </c>
      <c r="K8" s="164">
        <f>COUNTIFS('Disadvantages - Data'!D1:D5,"Informativeness",'Disadvantages - Data'!B1:B5,"DN") +  COUNTIFS('Disadvantages - Data'!J1:J5,"Informativeness",'Disadvantages - Data'!B1:B5,"DN") +  COUNTIFS('Disadvantages - Data'!P1:P5,"Informativeness",'Disadvantages - Data'!B1:B5,"DN") + COUNTIFS('Disadvantages - Data'!F1:F5,"Informativeness",'Disadvantages - Data'!B1:B5,"DN")  + COUNTIFS('Disadvantages - Data'!L1:L5,"Informativeness",'Disadvantages - Data'!B1:B5,"DN") +  + COUNTIFS('Disadvantages - Data'!R1:R5,"Informativeness",'Disadvantages - Data'!B1:B5,"DN")</f>
        <v>0</v>
      </c>
      <c r="L8" s="164">
        <f>COUNTIFS('Disadvantages - Data'!D1:D5,"Informativeness",'Disadvantages - Data'!B1:B5,"DI") +  COUNTIFS('Disadvantages - Data'!J1:J5,"Informativeness",'Disadvantages - Data'!B1:B5,"DI") +  COUNTIFS('Disadvantages - Data'!P1:P5,"Informativeness",'Disadvantages - Data'!B1:B5,"DI") + COUNTIFS('Disadvantages - Data'!F1:F5,"Informativeness",'Disadvantages - Data'!B1:B5,"DI")  + COUNTIFS('Disadvantages - Data'!L1:L5,"Informativeness",'Disadvantages - Data'!B1:B5,"DI") +  + COUNTIFS('Disadvantages - Data'!R1:R5,"Informativeness",'Disadvantages - Data'!B1:B5,"DI")</f>
        <v>0</v>
      </c>
      <c r="M8" s="232" t="e">
        <f>J8/$R$2</f>
        <v>#DIV/0!</v>
      </c>
      <c r="N8" s="193" t="e">
        <f t="shared" ref="N8:N15" si="3">K8/$P$2</f>
        <v>#DIV/0!</v>
      </c>
      <c r="O8" s="193" t="e">
        <f t="shared" ref="O8:O15" si="4">L8/$Q$2</f>
        <v>#DIV/0!</v>
      </c>
      <c r="P8" s="114"/>
      <c r="Q8" s="114"/>
      <c r="R8" s="114"/>
      <c r="S8" s="114"/>
      <c r="T8" s="114"/>
      <c r="U8" s="114"/>
      <c r="V8" s="114"/>
      <c r="W8" s="114"/>
      <c r="X8" s="114"/>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c r="BK8" s="114"/>
      <c r="BL8" s="114"/>
      <c r="BM8" s="114"/>
      <c r="BN8" s="114"/>
      <c r="BO8" s="114"/>
      <c r="BP8" s="114"/>
    </row>
    <row r="9" spans="1:68" s="7" customFormat="1" ht="142.5" customHeight="1" thickBot="1" x14ac:dyDescent="0.25">
      <c r="A9" s="253"/>
      <c r="B9" s="254"/>
      <c r="C9" s="113" t="s">
        <v>525</v>
      </c>
      <c r="D9" s="242" t="s">
        <v>473</v>
      </c>
      <c r="E9" s="242"/>
      <c r="F9" s="242"/>
      <c r="G9" s="242"/>
      <c r="H9" s="242"/>
      <c r="I9" s="243"/>
      <c r="J9" s="164">
        <f>COUNTIF('Disadvantages - Data'!E1:E5,"hinders understanding") + COUNTIF('Disadvantages - Data'!K1:K5,"hinders understanding") + COUNTIF('Disadvantages - Data'!Q1:Q5,"hinders understanding") + COUNTIF('Disadvantages - Data'!G1:G5,"hinders understanding") + COUNTIF('Disadvantages - Data'!M1:M5,"hinders understanding") + COUNTIF('Disadvantages - Data'!S1:S5,"hinders understanding")</f>
        <v>0</v>
      </c>
      <c r="K9" s="164">
        <f>COUNTIFS('Disadvantages - Data'!E1:E5,"hinders understanding",'Disadvantages - Data'!B1:B5,"DN") +  COUNTIFS('Disadvantages - Data'!K1:K5,"hinders understanding",'Disadvantages - Data'!B1:B5,"DN") +  COUNTIFS('Disadvantages - Data'!Q1:Q5,"hinders understanding",'Disadvantages - Data'!B1:B5,"DN") + COUNTIFS('Disadvantages - Data'!G1:G5,"hinders understanding",'Disadvantages - Data'!B1:B5,"DN")  + COUNTIFS('Disadvantages - Data'!M1:M5,"hinders understanding",'Disadvantages - Data'!B1:B5,"DN") +  + COUNTIFS('Disadvantages - Data'!S1:S5,"hinders understanding",'Disadvantages - Data'!B1:B5,"DN")</f>
        <v>0</v>
      </c>
      <c r="L9" s="164">
        <f>COUNTIFS('Disadvantages - Data'!E1:E5,"hinders understanding",'Disadvantages - Data'!B1:B5,"DI") +  COUNTIFS('Disadvantages - Data'!K1:K5,"hinders understanding",'Disadvantages - Data'!B1:B5,"DI") +  COUNTIFS('Disadvantages - Data'!Q1:Q5,"hinders understanding",'Disadvantages - Data'!B1:B5,"DI") + COUNTIFS('Disadvantages - Data'!G1:G5,"hinders understanding",'Disadvantages - Data'!B1:B5,"DI")  + COUNTIFS('Disadvantages - Data'!M1:M5,"hinders understanding",'Disadvantages - Data'!B1:B5,"DI") +  + COUNTIFS('Disadvantages - Data'!S1:S5,"hinders understanding",'Disadvantages - Data'!B1:B5,"DI")</f>
        <v>0</v>
      </c>
      <c r="M9" s="232" t="e">
        <f t="shared" ref="M9:M15" si="5">J9/$R$2</f>
        <v>#DIV/0!</v>
      </c>
      <c r="N9" s="193" t="e">
        <f t="shared" si="3"/>
        <v>#DIV/0!</v>
      </c>
      <c r="O9" s="193" t="e">
        <f t="shared" si="4"/>
        <v>#DIV/0!</v>
      </c>
      <c r="P9" s="114"/>
      <c r="Q9" s="114"/>
      <c r="R9" s="114"/>
      <c r="S9" s="114"/>
      <c r="T9" s="114"/>
      <c r="U9" s="114"/>
      <c r="V9" s="114"/>
      <c r="W9" s="114"/>
      <c r="X9" s="114"/>
      <c r="Y9" s="114"/>
      <c r="Z9" s="114"/>
      <c r="AA9" s="114"/>
      <c r="AB9" s="114"/>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14"/>
      <c r="BB9" s="114"/>
      <c r="BC9" s="114"/>
      <c r="BD9" s="114"/>
      <c r="BE9" s="114"/>
      <c r="BF9" s="114"/>
      <c r="BG9" s="114"/>
      <c r="BH9" s="114"/>
      <c r="BI9" s="114"/>
      <c r="BJ9" s="114"/>
      <c r="BK9" s="114"/>
      <c r="BL9" s="114"/>
      <c r="BM9" s="114"/>
      <c r="BN9" s="114"/>
      <c r="BO9" s="114"/>
      <c r="BP9" s="114"/>
    </row>
    <row r="10" spans="1:68" s="7" customFormat="1" ht="84.75" customHeight="1" thickBot="1" x14ac:dyDescent="0.25">
      <c r="A10" s="253"/>
      <c r="B10" s="254"/>
      <c r="C10" s="97" t="s">
        <v>388</v>
      </c>
      <c r="D10" s="242" t="s">
        <v>559</v>
      </c>
      <c r="E10" s="242"/>
      <c r="F10" s="242"/>
      <c r="G10" s="242"/>
      <c r="H10" s="242"/>
      <c r="I10" s="243"/>
      <c r="J10" s="165">
        <f>COUNTIF('Disadvantages - Data'!E1:E5,"adds obscurity") + COUNTIF('Disadvantages - Data'!K1:K5,"adds obscurity") + COUNTIF('Disadvantages - Data'!Q1:Q5,"adds obscurity") + COUNTIF('Disadvantages - Data'!G1:G5,"adds obscurity") + COUNTIF('Disadvantages - Data'!M1:M5,"adds obscurity") + COUNTIF('Disadvantages - Data'!S1:S5,"adds obscurity")</f>
        <v>0</v>
      </c>
      <c r="K10" s="165">
        <f>COUNTIFS('Disadvantages - Data'!E1:E5,"adds obscurity",'Disadvantages - Data'!B1:B5,"DN") +  COUNTIFS('Disadvantages - Data'!K1:K5,"adds obscurity",'Disadvantages - Data'!B1:B5,"DN") +  COUNTIFS('Disadvantages - Data'!Q1:Q5,"adds obscurity",'Disadvantages - Data'!B1:B5,"DN") + COUNTIFS('Disadvantages - Data'!G1:G5,"adds obscurity",'Disadvantages - Data'!B1:B5,"DN")  + COUNTIFS('Disadvantages - Data'!M1:M5,"adds obscurity",'Disadvantages - Data'!B1:B5,"DN") +  + COUNTIFS('Disadvantages - Data'!S1:S5,"adds obscurity",'Disadvantages - Data'!B1:B5,"DN")</f>
        <v>0</v>
      </c>
      <c r="L10" s="165">
        <f>COUNTIFS('Disadvantages - Data'!E1:E5,"adds obscurity",'Disadvantages - Data'!B1:B5,"DI") +  COUNTIFS('Disadvantages - Data'!K1:K5,"adds obscurity",'Disadvantages - Data'!B1:B5,"DI") +  COUNTIFS('Disadvantages - Data'!Q1:Q5,"adds obscurity",'Disadvantages - Data'!B1:B5,"DI") + COUNTIFS('Disadvantages - Data'!G1:G5,"adds obscurity",'Disadvantages - Data'!B1:B5,"DI")  + COUNTIFS('Disadvantages - Data'!M1:M5,"adds obscurity",'Disadvantages - Data'!B1:B5,"DI") +  + COUNTIFS('Disadvantages - Data'!S1:S5,"adds obscurity",'Disadvantages - Data'!B1:B5,"DI")</f>
        <v>0</v>
      </c>
      <c r="M10" s="232" t="e">
        <f t="shared" si="5"/>
        <v>#DIV/0!</v>
      </c>
      <c r="N10" s="193" t="e">
        <f t="shared" si="3"/>
        <v>#DIV/0!</v>
      </c>
      <c r="O10" s="193" t="e">
        <f t="shared" si="4"/>
        <v>#DIV/0!</v>
      </c>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c r="BP10" s="114"/>
    </row>
    <row r="11" spans="1:68" s="7" customFormat="1" ht="204" customHeight="1" thickBot="1" x14ac:dyDescent="0.25">
      <c r="A11" s="253"/>
      <c r="B11" s="254"/>
      <c r="C11" s="97" t="s">
        <v>387</v>
      </c>
      <c r="D11" s="242" t="s">
        <v>474</v>
      </c>
      <c r="E11" s="242"/>
      <c r="F11" s="242"/>
      <c r="G11" s="242"/>
      <c r="H11" s="242"/>
      <c r="I11" s="243"/>
      <c r="J11" s="166">
        <f>COUNTIF('Disadvantages - Data'!E1:E5,"unnecessary information") + COUNTIF('Disadvantages - Data'!K1:K5,"unnecessary information") + COUNTIF('Disadvantages - Data'!Q1:Q5,"unnecessary information") + COUNTIF('Disadvantages - Data'!G1:G5,"unnecessary information") + COUNTIF('Disadvantages - Data'!M1:M5,"unnecessary information") + COUNTIF('Disadvantages - Data'!S1:S5,"unnecessary information")</f>
        <v>0</v>
      </c>
      <c r="K11" s="166">
        <f>COUNTIFS('Disadvantages - Data'!E1:E5,"unnecessary information",'Disadvantages - Data'!B1:B5,"DN") +  COUNTIFS('Disadvantages - Data'!K1:K5,"unnecessary information",'Disadvantages - Data'!B1:B5,"DN") +  COUNTIFS('Disadvantages - Data'!Q1:Q5,"unnecessary information",'Disadvantages - Data'!B1:B5,"DN") + COUNTIFS('Disadvantages - Data'!G1:G5,"unnecessary information",'Disadvantages - Data'!B1:B5,"DN")  + COUNTIFS('Disadvantages - Data'!M1:M5,"unnecessary information",'Disadvantages - Data'!B1:B5,"DN") +  + COUNTIFS('Disadvantages - Data'!S1:S5,"unnecessary information",'Disadvantages - Data'!B1:B5,"DN")</f>
        <v>0</v>
      </c>
      <c r="L11" s="166">
        <f>COUNTIFS('Disadvantages - Data'!E1:E5,"unnecessary information",'Disadvantages - Data'!B1:B5,"DI") +  COUNTIFS('Disadvantages - Data'!K1:K5,"unnecessary information",'Disadvantages - Data'!B1:B5,"DI") +  COUNTIFS('Disadvantages - Data'!Q1:Q5,"unnecessary information",'Disadvantages - Data'!B1:B5,"DI") + COUNTIFS('Disadvantages - Data'!G1:G5,"unnecessary information",'Disadvantages - Data'!B1:B5,"DI")  + COUNTIFS('Disadvantages - Data'!M1:M5,"unnecessary information",'Disadvantages - Data'!B1:B5,"DI") +  + COUNTIFS('Disadvantages - Data'!S1:S5,"unnecessary information",'Disadvantages - Data'!B1:B5,"DI")</f>
        <v>0</v>
      </c>
      <c r="M11" s="232" t="e">
        <f t="shared" si="5"/>
        <v>#DIV/0!</v>
      </c>
      <c r="N11" s="193" t="e">
        <f t="shared" si="3"/>
        <v>#DIV/0!</v>
      </c>
      <c r="O11" s="193" t="e">
        <f t="shared" si="4"/>
        <v>#DIV/0!</v>
      </c>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row>
    <row r="12" spans="1:68" s="7" customFormat="1" ht="16.5" thickBot="1" x14ac:dyDescent="0.25">
      <c r="A12" s="253"/>
      <c r="B12" s="254"/>
      <c r="C12" s="255" t="s">
        <v>386</v>
      </c>
      <c r="D12" s="256"/>
      <c r="E12" s="256"/>
      <c r="F12" s="256"/>
      <c r="G12" s="256"/>
      <c r="H12" s="256"/>
      <c r="I12" s="256"/>
      <c r="J12" s="160" t="s">
        <v>125</v>
      </c>
      <c r="K12" s="162" t="s">
        <v>470</v>
      </c>
      <c r="L12" s="162" t="s">
        <v>471</v>
      </c>
      <c r="M12" s="231"/>
      <c r="N12" s="114"/>
      <c r="O12" s="114"/>
      <c r="P12" s="114"/>
      <c r="Q12" s="114"/>
      <c r="R12" s="114"/>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row>
    <row r="13" spans="1:68" s="7" customFormat="1" ht="26.25" thickBot="1" x14ac:dyDescent="0.25">
      <c r="A13" s="253"/>
      <c r="B13" s="254"/>
      <c r="C13" s="156"/>
      <c r="D13" s="157"/>
      <c r="E13" s="157"/>
      <c r="F13" s="157"/>
      <c r="G13" s="157"/>
      <c r="H13" s="157"/>
      <c r="I13" s="157"/>
      <c r="J13" s="164">
        <f>COUNTIF('Disadvantages - Data'!D1:D5,"Relationship") + COUNTIF('Disadvantages - Data'!J1:J5,"Relationship") + COUNTIF('Disadvantages - Data'!P1:P5,"Relationship") + COUNTIF('Disadvantages - Data'!F1:F5,"Relationship") + COUNTIF('Disadvantages - Data'!L1:L5,"Relationship") + COUNTIF('Disadvantages - Data'!R1:R5,"Relationship")</f>
        <v>0</v>
      </c>
      <c r="K13" s="164">
        <f>COUNTIFS('Disadvantages - Data'!D1:D5,"Relationship",'Disadvantages - Data'!B1:B5,"DN") +  COUNTIFS('Disadvantages - Data'!J1:J5,"Relationship",'Disadvantages - Data'!B1:B5,"DN") +  COUNTIFS('Disadvantages - Data'!P1:P5,"Relationship",'Disadvantages - Data'!B1:B5,"DN") + COUNTIFS('Disadvantages - Data'!F1:F5,"Relationship",'Disadvantages - Data'!B1:B5,"DN")  + COUNTIFS('Disadvantages - Data'!L1:L5,"Relationship",'Disadvantages - Data'!B1:B5,"DN") +  + COUNTIFS('Disadvantages - Data'!R1:R5,"Relationship",'Disadvantages - Data'!B1:B5,"DN")</f>
        <v>0</v>
      </c>
      <c r="L13" s="164">
        <f>COUNTIFS('Disadvantages - Data'!D1:D5,"Relationship",'Disadvantages - Data'!B1:B5,"DI") +  COUNTIFS('Disadvantages - Data'!J1:J5,"Relationship",'Disadvantages - Data'!B1:B5,"DI") +  COUNTIFS('Disadvantages - Data'!P1:P5,"Relationship",'Disadvantages - Data'!B1:B5,"DI") + COUNTIFS('Disadvantages - Data'!F1:F5,"Relationship",'Disadvantages - Data'!B1:B5,"DI")  + COUNTIFS('Disadvantages - Data'!L1:L5,"Relationship",'Disadvantages - Data'!B1:B5,"DI") +  + COUNTIFS('Disadvantages - Data'!R1:R5,"Relationship",'Disadvantages - Data'!B1:B5,"DI")</f>
        <v>0</v>
      </c>
      <c r="M13" s="232" t="e">
        <f t="shared" si="5"/>
        <v>#DIV/0!</v>
      </c>
      <c r="N13" s="193" t="e">
        <f t="shared" si="3"/>
        <v>#DIV/0!</v>
      </c>
      <c r="O13" s="193" t="e">
        <f t="shared" si="4"/>
        <v>#DIV/0!</v>
      </c>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row>
    <row r="14" spans="1:68" s="7" customFormat="1" ht="200.25" customHeight="1" thickBot="1" x14ac:dyDescent="0.25">
      <c r="A14" s="253"/>
      <c r="B14" s="254"/>
      <c r="C14" s="111" t="s">
        <v>541</v>
      </c>
      <c r="D14" s="242" t="s">
        <v>526</v>
      </c>
      <c r="E14" s="242"/>
      <c r="F14" s="242"/>
      <c r="G14" s="242"/>
      <c r="H14" s="242"/>
      <c r="I14" s="243"/>
      <c r="J14" s="164">
        <f>COUNTIF('Disadvantages - Data'!E1:E5,"negative impact") + COUNTIF('Disadvantages - Data'!K1:K5,"negative impact") + COUNTIF('Disadvantages - Data'!Q1:Q5,"negative impact") + COUNTIF('Disadvantages - Data'!G1:G5,"negative impact") + COUNTIF('Disadvantages - Data'!M1:M5,"negative impact") + COUNTIF('Disadvantages - Data'!S1:S5,"negative impact")</f>
        <v>0</v>
      </c>
      <c r="K14" s="164">
        <f>COUNTIFS('Disadvantages - Data'!E1:E5,"negative impact",'Disadvantages - Data'!B1:B5,"DN") +  COUNTIFS('Disadvantages - Data'!K1:K5,"negative impact",'Disadvantages - Data'!B1:B5,"DN") +  COUNTIFS('Disadvantages - Data'!Q1:Q5,"negative impact",'Disadvantages - Data'!B1:B5,"DN") + COUNTIFS('Disadvantages - Data'!G1:G5,"negative impact",'Disadvantages - Data'!B1:B5,"DN")  + COUNTIFS('Disadvantages - Data'!M1:M5,"negative impact",'Disadvantages - Data'!B1:B5,"DN") +  + COUNTIFS('Disadvantages - Data'!S1:S5,"negative impact",'Disadvantages - Data'!B1:B5,"DN")</f>
        <v>0</v>
      </c>
      <c r="L14" s="164">
        <f>COUNTIFS('Disadvantages - Data'!E1:E5,"negative impact",'Disadvantages - Data'!B1:B5,"DI") +  COUNTIFS('Disadvantages - Data'!K1:K5,"negative impact",'Disadvantages - Data'!B1:B5,"DI") +  COUNTIFS('Disadvantages - Data'!Q1:Q5,"negative impact",'Disadvantages - Data'!B1:B5,"DI") + COUNTIFS('Disadvantages - Data'!G1:G5,"negative impact",'Disadvantages - Data'!B1:B5,"DI")  + COUNTIFS('Disadvantages - Data'!M1:M5,"negative impact",'Disadvantages - Data'!B1:B5,"DI") +  + COUNTIFS('Disadvantages - Data'!S1:S5,"negative impact",'Disadvantages - Data'!B1:B5,"DI")</f>
        <v>0</v>
      </c>
      <c r="M14" s="232" t="e">
        <f t="shared" si="5"/>
        <v>#DIV/0!</v>
      </c>
      <c r="N14" s="193" t="e">
        <f t="shared" si="3"/>
        <v>#DIV/0!</v>
      </c>
      <c r="O14" s="193" t="e">
        <f t="shared" si="4"/>
        <v>#DIV/0!</v>
      </c>
      <c r="P14" s="114"/>
      <c r="Q14" s="114"/>
      <c r="R14" s="114"/>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c r="BP14" s="114"/>
    </row>
    <row r="15" spans="1:68" s="7" customFormat="1" ht="119.25" customHeight="1" thickBot="1" x14ac:dyDescent="0.25">
      <c r="A15" s="253"/>
      <c r="B15" s="254"/>
      <c r="C15" s="112" t="s">
        <v>384</v>
      </c>
      <c r="D15" s="242" t="s">
        <v>391</v>
      </c>
      <c r="E15" s="242"/>
      <c r="F15" s="242"/>
      <c r="G15" s="242"/>
      <c r="H15" s="242"/>
      <c r="I15" s="243"/>
      <c r="J15" s="166">
        <f>COUNTIF('Disadvantages - Data'!E1:E5,"loss of control") + COUNTIF('Disadvantages - Data'!K1:K5,"loss of control") + COUNTIF('Disadvantages - Data'!Q1:Q5,"loss of control") + COUNTIF('Disadvantages - Data'!G1:G5,"loss of control") + COUNTIF('Disadvantages - Data'!M1:M5,"loss of control") + COUNTIF('Disadvantages - Data'!S1:S5,"loss of control")</f>
        <v>0</v>
      </c>
      <c r="K15" s="167">
        <f>COUNTIFS('Disadvantages - Data'!E1:E5,"loss of control",'Disadvantages - Data'!B1:B5,"DN") +  COUNTIFS('Disadvantages - Data'!K1:K5,"loss of control",'Disadvantages - Data'!B1:B5,"DN") +  COUNTIFS('Disadvantages - Data'!Q1:Q5,"loss of control",'Disadvantages - Data'!B1:B5,"DN") + COUNTIFS('Disadvantages - Data'!G1:G5,"loss of control",'Disadvantages - Data'!B1:B5,"DN")  + COUNTIFS('Disadvantages - Data'!M1:M5,"loss of control",'Disadvantages - Data'!B1:B5,"DN") +  + COUNTIFS('Disadvantages - Data'!S1:S5,"loss of control",'Disadvantages - Data'!B1:B5,"DN")</f>
        <v>0</v>
      </c>
      <c r="L15" s="167">
        <f>COUNTIFS('Disadvantages - Data'!E1:E5,"loss of control",'Disadvantages - Data'!B1:B5,"DI") +  COUNTIFS('Disadvantages - Data'!K1:K5,"loss of control",'Disadvantages - Data'!B1:B5,"DI") +  COUNTIFS('Disadvantages - Data'!Q1:Q5,"loss of control",'Disadvantages - Data'!B1:B5,"DI") + COUNTIFS('Disadvantages - Data'!G1:G5,"loss of control",'Disadvantages - Data'!B1:B5,"DI")  + COUNTIFS('Disadvantages - Data'!M1:M5,"loss of control",'Disadvantages - Data'!B1:B5,"DI") +  + COUNTIFS('Disadvantages - Data'!S1:S5,"loss of control",'Disadvantages - Data'!B1:B5,"DI")</f>
        <v>0</v>
      </c>
      <c r="M15" s="232" t="e">
        <f t="shared" si="5"/>
        <v>#DIV/0!</v>
      </c>
      <c r="N15" s="193" t="e">
        <f t="shared" si="3"/>
        <v>#DIV/0!</v>
      </c>
      <c r="O15" s="193" t="e">
        <f t="shared" si="4"/>
        <v>#DIV/0!</v>
      </c>
      <c r="P15" s="114"/>
      <c r="Q15" s="114"/>
      <c r="R15" s="114"/>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c r="AP15" s="114"/>
      <c r="AQ15" s="114"/>
      <c r="AR15" s="114"/>
      <c r="AS15" s="114"/>
      <c r="AT15" s="114"/>
      <c r="AU15" s="114"/>
      <c r="AV15" s="114"/>
      <c r="AW15" s="114"/>
      <c r="AX15" s="114"/>
      <c r="AY15" s="114"/>
      <c r="AZ15" s="114"/>
      <c r="BA15" s="114"/>
      <c r="BB15" s="114"/>
      <c r="BC15" s="114"/>
      <c r="BD15" s="114"/>
      <c r="BE15" s="114"/>
      <c r="BF15" s="114"/>
      <c r="BG15" s="114"/>
      <c r="BH15" s="114"/>
      <c r="BI15" s="114"/>
      <c r="BJ15" s="114"/>
      <c r="BK15" s="114"/>
      <c r="BL15" s="114"/>
      <c r="BM15" s="114"/>
      <c r="BN15" s="114"/>
      <c r="BO15" s="114"/>
      <c r="BP15" s="114"/>
    </row>
    <row r="16" spans="1:68" s="101" customFormat="1" ht="21.75" customHeight="1" x14ac:dyDescent="0.2">
      <c r="A16" s="110"/>
      <c r="B16" s="109"/>
      <c r="C16" s="98"/>
      <c r="D16" s="99"/>
      <c r="E16" s="99"/>
      <c r="F16" s="99"/>
      <c r="G16" s="99"/>
      <c r="H16" s="99"/>
      <c r="I16" s="99"/>
      <c r="J16" s="100"/>
      <c r="K16" s="114"/>
      <c r="L16" s="114"/>
      <c r="M16" s="193"/>
      <c r="N16" s="114"/>
      <c r="O16" s="114"/>
      <c r="P16" s="114"/>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14"/>
      <c r="AT16" s="114"/>
      <c r="AU16" s="114"/>
      <c r="AV16" s="114"/>
      <c r="AW16" s="114"/>
      <c r="AX16" s="114"/>
      <c r="AY16" s="114"/>
      <c r="AZ16" s="114"/>
      <c r="BA16" s="114"/>
      <c r="BB16" s="114"/>
      <c r="BC16" s="114"/>
      <c r="BD16" s="114"/>
      <c r="BE16" s="114"/>
      <c r="BF16" s="114"/>
      <c r="BG16" s="114"/>
      <c r="BH16" s="114"/>
      <c r="BI16" s="114"/>
      <c r="BJ16" s="114"/>
      <c r="BK16" s="114"/>
      <c r="BL16" s="114"/>
      <c r="BM16" s="114"/>
      <c r="BN16" s="114"/>
      <c r="BO16" s="114"/>
      <c r="BP16" s="114"/>
    </row>
    <row r="17" spans="1:68" s="101" customFormat="1" ht="19.5" customHeight="1" x14ac:dyDescent="0.2">
      <c r="A17" s="137"/>
      <c r="B17" s="138"/>
      <c r="C17" s="98"/>
      <c r="D17" s="99"/>
      <c r="E17" s="99"/>
      <c r="F17" s="99"/>
      <c r="G17" s="99"/>
      <c r="H17" s="99"/>
      <c r="I17" s="99"/>
      <c r="J17" s="100"/>
      <c r="K17" s="114"/>
      <c r="L17" s="114"/>
      <c r="M17" s="193"/>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114"/>
      <c r="AM17" s="114"/>
      <c r="AN17" s="114"/>
      <c r="AO17" s="114"/>
      <c r="AP17" s="114"/>
      <c r="AQ17" s="114"/>
      <c r="AR17" s="114"/>
      <c r="AS17" s="114"/>
      <c r="AT17" s="114"/>
      <c r="AU17" s="114"/>
      <c r="AV17" s="114"/>
      <c r="AW17" s="114"/>
      <c r="AX17" s="114"/>
      <c r="AY17" s="114"/>
      <c r="AZ17" s="114"/>
      <c r="BA17" s="114"/>
      <c r="BB17" s="114"/>
      <c r="BC17" s="114"/>
      <c r="BD17" s="114"/>
      <c r="BE17" s="114"/>
      <c r="BF17" s="114"/>
      <c r="BG17" s="114"/>
      <c r="BH17" s="114"/>
      <c r="BI17" s="114"/>
      <c r="BJ17" s="114"/>
      <c r="BK17" s="114"/>
      <c r="BL17" s="114"/>
      <c r="BM17" s="114"/>
      <c r="BN17" s="114"/>
      <c r="BO17" s="114"/>
      <c r="BP17" s="114"/>
    </row>
    <row r="18" spans="1:68" ht="14.25" customHeight="1" thickBot="1" x14ac:dyDescent="0.25">
      <c r="K18" s="139"/>
    </row>
    <row r="19" spans="1:68" s="101" customFormat="1" ht="45.75" customHeight="1" x14ac:dyDescent="0.2">
      <c r="A19" s="137"/>
      <c r="B19" s="138"/>
      <c r="C19" s="216" t="s">
        <v>543</v>
      </c>
      <c r="D19" s="260" t="s">
        <v>544</v>
      </c>
      <c r="E19" s="260"/>
      <c r="F19" s="260"/>
      <c r="G19" s="260"/>
      <c r="H19" s="260"/>
      <c r="I19" s="260"/>
      <c r="J19" s="222">
        <f>COUNTIF('Disadvantages - Data'!D1:D5,"Other") + COUNTIF('Disadvantages - Data'!J1:J5,"Other") + COUNTIF('Disadvantages - Data'!P1:P5,"Other") + COUNTIF('Disadvantages - Data'!F1:F5,"Other") + COUNTIF('Disadvantages - Data'!L1:L5,"Other") + COUNTIF('Disadvantages - Data'!R1:R5,"Other")</f>
        <v>0</v>
      </c>
      <c r="K19" s="235">
        <f>COUNTIFS('Disadvantages - Data'!D1:D5,"Other",'Disadvantages - Data'!B1:B5,"DN") +  COUNTIFS('Disadvantages - Data'!J1:J5,"Other",'Disadvantages - Data'!B1:B5,"DN") +  COUNTIFS('Disadvantages - Data'!P1:P5,"Other",'Disadvantages - Data'!B1:B5,"DN") + COUNTIFS('Disadvantages - Data'!F1:F5,"Other",'Disadvantages - Data'!B1:B5,"DN")  + COUNTIFS('Disadvantages - Data'!L1:L5,"Other",'Disadvantages - Data'!B1:B5,"DN") +  + COUNTIFS('Disadvantages - Data'!R1:R5,"Other",'Disadvantages - Data'!B1:B5,"DN")</f>
        <v>0</v>
      </c>
      <c r="L19" s="236">
        <f>COUNTIFS('Disadvantages - Data'!D1:D5,"Other",'Disadvantages - Data'!B1:B5,"DI") +  COUNTIFS('Disadvantages - Data'!J1:J5,"Other",'Disadvantages - Data'!B1:B5,"DI") +  COUNTIFS('Disadvantages - Data'!P1:P5,"Other",'Disadvantages - Data'!B1:B5,"DI") + COUNTIFS('Disadvantages - Data'!F1:F5,"Other",'Disadvantages - Data'!B1:B5,"DI")  + COUNTIFS('Disadvantages - Data'!L1:L5,"Other",'Disadvantages - Data'!B1:B5,"DI") +  + COUNTIFS('Disadvantages - Data'!R1:R5,"Other",'Disadvantages - Data'!B1:B5,"DI")</f>
        <v>0</v>
      </c>
      <c r="M19" s="232" t="e">
        <f t="shared" ref="M19" si="6">J19/$R$2</f>
        <v>#DIV/0!</v>
      </c>
      <c r="N19" s="193" t="e">
        <f t="shared" ref="N19" si="7">K19/$P$2</f>
        <v>#DIV/0!</v>
      </c>
      <c r="O19" s="193" t="e">
        <f t="shared" ref="O19" si="8">L19/$Q$2</f>
        <v>#DIV/0!</v>
      </c>
      <c r="P19" s="114"/>
      <c r="Q19" s="114"/>
      <c r="R19" s="114"/>
      <c r="S19" s="114"/>
      <c r="T19" s="114"/>
      <c r="U19" s="114"/>
      <c r="V19" s="114"/>
      <c r="W19" s="114"/>
      <c r="X19" s="114"/>
      <c r="Y19" s="114"/>
      <c r="Z19" s="114"/>
      <c r="AA19" s="114"/>
      <c r="AB19" s="114"/>
      <c r="AC19" s="114"/>
      <c r="AD19" s="114"/>
      <c r="AE19" s="114"/>
      <c r="AF19" s="114"/>
      <c r="AG19" s="114"/>
      <c r="AH19" s="114"/>
      <c r="AI19" s="114"/>
      <c r="AJ19" s="114"/>
      <c r="AK19" s="114"/>
      <c r="AL19" s="114"/>
      <c r="AM19" s="114"/>
      <c r="AN19" s="114"/>
      <c r="AO19" s="114"/>
      <c r="AP19" s="114"/>
      <c r="AQ19" s="114"/>
      <c r="AR19" s="114"/>
      <c r="AS19" s="114"/>
      <c r="AT19" s="114"/>
      <c r="AU19" s="114"/>
      <c r="AV19" s="114"/>
      <c r="AW19" s="114"/>
      <c r="AX19" s="114"/>
      <c r="AY19" s="114"/>
      <c r="AZ19" s="114"/>
      <c r="BA19" s="114"/>
      <c r="BB19" s="114"/>
      <c r="BC19" s="114"/>
      <c r="BD19" s="114"/>
      <c r="BE19" s="114"/>
      <c r="BF19" s="114"/>
      <c r="BG19" s="114"/>
      <c r="BH19" s="114"/>
      <c r="BI19" s="114"/>
      <c r="BJ19" s="114"/>
      <c r="BK19" s="114"/>
      <c r="BL19" s="114"/>
      <c r="BM19" s="114"/>
      <c r="BN19" s="114"/>
      <c r="BO19" s="114"/>
      <c r="BP19" s="114"/>
    </row>
    <row r="20" spans="1:68" s="101" customFormat="1" ht="19.5" customHeight="1" x14ac:dyDescent="0.2">
      <c r="A20" s="137"/>
      <c r="B20" s="138"/>
      <c r="C20" s="217"/>
      <c r="D20" s="220"/>
      <c r="E20" s="220"/>
      <c r="F20" s="220"/>
      <c r="G20" s="220"/>
      <c r="H20" s="220"/>
      <c r="I20" s="220"/>
      <c r="J20" s="223"/>
      <c r="K20" s="235"/>
      <c r="L20" s="236"/>
      <c r="M20" s="234"/>
      <c r="N20" s="114"/>
      <c r="O20" s="114"/>
      <c r="P20" s="114"/>
      <c r="Q20" s="114"/>
      <c r="R20" s="114"/>
      <c r="S20" s="114"/>
      <c r="T20" s="114"/>
      <c r="U20" s="114"/>
      <c r="V20" s="114"/>
      <c r="W20" s="114"/>
      <c r="X20" s="114"/>
      <c r="Y20" s="114"/>
      <c r="Z20" s="114"/>
      <c r="AA20" s="114"/>
      <c r="AB20" s="114"/>
      <c r="AC20" s="114"/>
      <c r="AD20" s="114"/>
      <c r="AE20" s="114"/>
      <c r="AF20" s="114"/>
      <c r="AG20" s="114"/>
      <c r="AH20" s="114"/>
      <c r="AI20" s="114"/>
      <c r="AJ20" s="114"/>
      <c r="AK20" s="114"/>
      <c r="AL20" s="114"/>
      <c r="AM20" s="114"/>
      <c r="AN20" s="114"/>
      <c r="AO20" s="114"/>
      <c r="AP20" s="114"/>
      <c r="AQ20" s="114"/>
      <c r="AR20" s="114"/>
      <c r="AS20" s="114"/>
      <c r="AT20" s="114"/>
      <c r="AU20" s="114"/>
      <c r="AV20" s="114"/>
      <c r="AW20" s="114"/>
      <c r="AX20" s="114"/>
      <c r="AY20" s="114"/>
      <c r="AZ20" s="114"/>
      <c r="BA20" s="114"/>
      <c r="BB20" s="114"/>
      <c r="BC20" s="114"/>
      <c r="BD20" s="114"/>
      <c r="BE20" s="114"/>
      <c r="BF20" s="114"/>
      <c r="BG20" s="114"/>
      <c r="BH20" s="114"/>
      <c r="BI20" s="114"/>
      <c r="BJ20" s="114"/>
      <c r="BK20" s="114"/>
      <c r="BL20" s="114"/>
      <c r="BM20" s="114"/>
      <c r="BN20" s="114"/>
      <c r="BO20" s="114"/>
      <c r="BP20" s="114"/>
    </row>
    <row r="21" spans="1:68" s="101" customFormat="1" ht="19.5" customHeight="1" thickBot="1" x14ac:dyDescent="0.25">
      <c r="A21" s="137"/>
      <c r="B21" s="138"/>
      <c r="C21" s="218"/>
      <c r="D21" s="221"/>
      <c r="E21" s="221"/>
      <c r="F21" s="221"/>
      <c r="G21" s="221"/>
      <c r="H21" s="221"/>
      <c r="I21" s="221"/>
      <c r="J21" s="224"/>
      <c r="K21" s="235"/>
      <c r="L21" s="236"/>
      <c r="M21" s="234"/>
      <c r="N21" s="114"/>
      <c r="O21" s="114"/>
      <c r="P21" s="114"/>
      <c r="Q21" s="114"/>
      <c r="R21" s="114"/>
      <c r="S21" s="114"/>
      <c r="T21" s="114"/>
      <c r="U21" s="114"/>
      <c r="V21" s="114"/>
      <c r="W21" s="114"/>
      <c r="X21" s="114"/>
      <c r="Y21" s="114"/>
      <c r="Z21" s="114"/>
      <c r="AA21" s="114"/>
      <c r="AB21" s="114"/>
      <c r="AC21" s="114"/>
      <c r="AD21" s="114"/>
      <c r="AE21" s="114"/>
      <c r="AF21" s="114"/>
      <c r="AG21" s="114"/>
      <c r="AH21" s="114"/>
      <c r="AI21" s="114"/>
      <c r="AJ21" s="114"/>
      <c r="AK21" s="114"/>
      <c r="AL21" s="114"/>
      <c r="AM21" s="114"/>
      <c r="AN21" s="114"/>
      <c r="AO21" s="114"/>
      <c r="AP21" s="114"/>
      <c r="AQ21" s="114"/>
      <c r="AR21" s="114"/>
      <c r="AS21" s="114"/>
      <c r="AT21" s="114"/>
      <c r="AU21" s="114"/>
      <c r="AV21" s="114"/>
      <c r="AW21" s="114"/>
      <c r="AX21" s="114"/>
      <c r="AY21" s="114"/>
      <c r="AZ21" s="114"/>
      <c r="BA21" s="114"/>
      <c r="BB21" s="114"/>
      <c r="BC21" s="114"/>
      <c r="BD21" s="114"/>
      <c r="BE21" s="114"/>
      <c r="BF21" s="114"/>
      <c r="BG21" s="114"/>
      <c r="BH21" s="114"/>
      <c r="BI21" s="114"/>
      <c r="BJ21" s="114"/>
      <c r="BK21" s="114"/>
      <c r="BL21" s="114"/>
      <c r="BM21" s="114"/>
      <c r="BN21" s="114"/>
      <c r="BO21" s="114"/>
      <c r="BP21" s="114"/>
    </row>
    <row r="22" spans="1:68" s="101" customFormat="1" ht="19.5" customHeight="1" x14ac:dyDescent="0.2">
      <c r="A22" s="137"/>
      <c r="B22" s="138"/>
      <c r="C22" s="98"/>
      <c r="D22" s="99"/>
      <c r="E22" s="99"/>
      <c r="F22" s="99"/>
      <c r="G22" s="99"/>
      <c r="H22" s="99"/>
      <c r="I22" s="99"/>
      <c r="J22" s="100"/>
      <c r="K22" s="114"/>
      <c r="L22" s="114"/>
      <c r="M22" s="193"/>
      <c r="N22" s="114"/>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c r="BP22" s="114"/>
    </row>
  </sheetData>
  <mergeCells count="14">
    <mergeCell ref="D19:I19"/>
    <mergeCell ref="A1:A15"/>
    <mergeCell ref="B1:B15"/>
    <mergeCell ref="C2:I2"/>
    <mergeCell ref="D3:I3"/>
    <mergeCell ref="D4:I4"/>
    <mergeCell ref="D5:I5"/>
    <mergeCell ref="C7:I7"/>
    <mergeCell ref="D9:I9"/>
    <mergeCell ref="D10:I10"/>
    <mergeCell ref="D11:I11"/>
    <mergeCell ref="C12:I12"/>
    <mergeCell ref="D14:I14"/>
    <mergeCell ref="D15:I15"/>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Problems - Data</vt:lpstr>
      <vt:lpstr>Problems - Codes</vt:lpstr>
      <vt:lpstr>HelpfulExplanation - Data</vt:lpstr>
      <vt:lpstr>HelpfulExplanation - Codes</vt:lpstr>
      <vt:lpstr>Advantages - Data</vt:lpstr>
      <vt:lpstr>Advantages - Codes</vt:lpstr>
      <vt:lpstr>Disadvantages - Data</vt:lpstr>
      <vt:lpstr>Disadvantages -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2018-02-27T15:04:25Z</dcterms:created>
  <dcterms:modified xsi:type="dcterms:W3CDTF">2019-07-05T14:51:31Z</dcterms:modified>
</cp:coreProperties>
</file>