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autoCompressPictures="0" defaultThemeVersion="166925"/>
  <mc:AlternateContent xmlns:mc="http://schemas.openxmlformats.org/markup-compatibility/2006">
    <mc:Choice Requires="x15">
      <x15ac:absPath xmlns:x15ac="http://schemas.microsoft.com/office/spreadsheetml/2010/11/ac" url="C:\Users\npnis\OneDrive\Desktop\Resonate\Dataset\"/>
    </mc:Choice>
  </mc:AlternateContent>
  <xr:revisionPtr revIDLastSave="0" documentId="13_ncr:1_{2FFFD1BE-ABB0-4779-AE98-93FC5E2AA6CD}" xr6:coauthVersionLast="47" xr6:coauthVersionMax="47" xr10:uidLastSave="{00000000-0000-0000-0000-000000000000}"/>
  <bookViews>
    <workbookView xWindow="-98" yWindow="-98" windowWidth="23236" windowHeight="13875" firstSheet="1" activeTab="4" xr2:uid="{00000000-000D-0000-FFFF-FFFF00000000}"/>
  </bookViews>
  <sheets>
    <sheet name="Follow-up questions" sheetId="2" state="hidden" r:id="rId1"/>
    <sheet name="Dashboard" sheetId="7" r:id="rId2"/>
    <sheet name=" Analysis_Stats_in person" sheetId="5" r:id="rId3"/>
    <sheet name="six months follow-up_in person" sheetId="3" r:id="rId4"/>
    <sheet name="final" sheetId="15" r:id="rId5"/>
    <sheet name="One year follow-up_inperson" sheetId="4" state="hidden" r:id="rId6"/>
    <sheet name="Graphics" sheetId="14" r:id="rId7"/>
    <sheet name="Comparisons" sheetId="13" state="hidden" r:id="rId8"/>
    <sheet name="One year follow-up_Virtual" sheetId="9" state="hidden" r:id="rId9"/>
    <sheet name="Six months follow-up_Virtual" sheetId="8" state="hidden" r:id="rId10"/>
    <sheet name=" Analysis_Stats_Virtual" sheetId="10" state="hidden" r:id="rId11"/>
    <sheet name="Analysis_Charts Virtual" sheetId="11" state="hidden" r:id="rId12"/>
    <sheet name="Analysis_Charts" sheetId="6" state="hidden" r:id="rId13"/>
  </sheets>
  <definedNames>
    <definedName name="_xlnm._FilterDatabase" localSheetId="2" hidden="1">' Analysis_Stats_in person'!$A$30:$AE$39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15" l="1"/>
  <c r="T242" i="15"/>
  <c r="J242" i="15"/>
  <c r="K242" i="15"/>
  <c r="L242" i="15"/>
  <c r="M242" i="15"/>
  <c r="N242" i="15"/>
  <c r="O242" i="15"/>
  <c r="P242" i="15"/>
  <c r="Q242" i="15"/>
  <c r="R242" i="15"/>
  <c r="C242" i="15"/>
  <c r="T241" i="15"/>
  <c r="J241" i="15"/>
  <c r="K241" i="15"/>
  <c r="L241" i="15"/>
  <c r="M241" i="15"/>
  <c r="N241" i="15"/>
  <c r="O241" i="15"/>
  <c r="P241" i="15"/>
  <c r="Q241" i="15"/>
  <c r="R241" i="15"/>
  <c r="C241" i="15"/>
  <c r="T240" i="15"/>
  <c r="J240" i="15"/>
  <c r="K240" i="15"/>
  <c r="L240" i="15"/>
  <c r="M240" i="15"/>
  <c r="N240" i="15"/>
  <c r="O240" i="15"/>
  <c r="P240" i="15"/>
  <c r="Q240" i="15"/>
  <c r="R240" i="15"/>
  <c r="C240" i="15"/>
  <c r="T239" i="15"/>
  <c r="J239" i="15"/>
  <c r="K239" i="15"/>
  <c r="L239" i="15"/>
  <c r="M239" i="15"/>
  <c r="N239" i="15"/>
  <c r="O239" i="15"/>
  <c r="P239" i="15"/>
  <c r="Q239" i="15"/>
  <c r="R239" i="15"/>
  <c r="C239" i="15"/>
  <c r="T238" i="15"/>
  <c r="J238" i="15"/>
  <c r="K238" i="15"/>
  <c r="L238" i="15"/>
  <c r="M238" i="15"/>
  <c r="N238" i="15"/>
  <c r="O238" i="15"/>
  <c r="P238" i="15"/>
  <c r="Q238" i="15"/>
  <c r="R238" i="15"/>
  <c r="C238" i="15"/>
  <c r="T237" i="15"/>
  <c r="J237" i="15"/>
  <c r="K237" i="15"/>
  <c r="L237" i="15"/>
  <c r="M237" i="15"/>
  <c r="N237" i="15"/>
  <c r="O237" i="15"/>
  <c r="P237" i="15"/>
  <c r="Q237" i="15"/>
  <c r="R237" i="15"/>
  <c r="C237" i="15"/>
  <c r="T236" i="15"/>
  <c r="J236" i="15"/>
  <c r="K236" i="15"/>
  <c r="L236" i="15"/>
  <c r="M236" i="15"/>
  <c r="N236" i="15"/>
  <c r="O236" i="15"/>
  <c r="P236" i="15"/>
  <c r="Q236" i="15"/>
  <c r="R236" i="15"/>
  <c r="C236" i="15"/>
  <c r="T235" i="15"/>
  <c r="J235" i="15"/>
  <c r="K235" i="15"/>
  <c r="L235" i="15"/>
  <c r="M235" i="15"/>
  <c r="N235" i="15"/>
  <c r="O235" i="15"/>
  <c r="P235" i="15"/>
  <c r="Q235" i="15"/>
  <c r="R235" i="15"/>
  <c r="C235" i="15"/>
  <c r="T234" i="15"/>
  <c r="J234" i="15"/>
  <c r="K234" i="15"/>
  <c r="L234" i="15"/>
  <c r="M234" i="15"/>
  <c r="N234" i="15"/>
  <c r="O234" i="15"/>
  <c r="P234" i="15"/>
  <c r="Q234" i="15"/>
  <c r="R234" i="15"/>
  <c r="C234" i="15"/>
  <c r="T233" i="15"/>
  <c r="J233" i="15"/>
  <c r="K233" i="15"/>
  <c r="L233" i="15"/>
  <c r="M233" i="15"/>
  <c r="N233" i="15"/>
  <c r="O233" i="15"/>
  <c r="P233" i="15"/>
  <c r="Q233" i="15"/>
  <c r="R233" i="15"/>
  <c r="C233" i="15"/>
  <c r="T232" i="15"/>
  <c r="J232" i="15"/>
  <c r="K232" i="15"/>
  <c r="L232" i="15"/>
  <c r="M232" i="15"/>
  <c r="N232" i="15"/>
  <c r="O232" i="15"/>
  <c r="P232" i="15"/>
  <c r="Q232" i="15"/>
  <c r="R232" i="15"/>
  <c r="C232" i="15"/>
  <c r="T231" i="15"/>
  <c r="J231" i="15"/>
  <c r="K231" i="15"/>
  <c r="L231" i="15"/>
  <c r="M231" i="15"/>
  <c r="N231" i="15"/>
  <c r="O231" i="15"/>
  <c r="P231" i="15"/>
  <c r="Q231" i="15"/>
  <c r="R231" i="15"/>
  <c r="C231" i="15"/>
  <c r="T230" i="15"/>
  <c r="J230" i="15"/>
  <c r="K230" i="15"/>
  <c r="L230" i="15"/>
  <c r="M230" i="15"/>
  <c r="N230" i="15"/>
  <c r="O230" i="15"/>
  <c r="P230" i="15"/>
  <c r="Q230" i="15"/>
  <c r="R230" i="15"/>
  <c r="C230" i="15"/>
  <c r="T229" i="15"/>
  <c r="J229" i="15"/>
  <c r="K229" i="15"/>
  <c r="L229" i="15"/>
  <c r="M229" i="15"/>
  <c r="N229" i="15"/>
  <c r="O229" i="15"/>
  <c r="P229" i="15"/>
  <c r="Q229" i="15"/>
  <c r="R229" i="15"/>
  <c r="C229" i="15"/>
  <c r="T228" i="15"/>
  <c r="J228" i="15"/>
  <c r="K228" i="15"/>
  <c r="L228" i="15"/>
  <c r="M228" i="15"/>
  <c r="N228" i="15"/>
  <c r="O228" i="15"/>
  <c r="P228" i="15"/>
  <c r="Q228" i="15"/>
  <c r="R228" i="15"/>
  <c r="C228" i="15"/>
  <c r="T227" i="15"/>
  <c r="J227" i="15"/>
  <c r="K227" i="15"/>
  <c r="L227" i="15"/>
  <c r="M227" i="15"/>
  <c r="N227" i="15"/>
  <c r="O227" i="15"/>
  <c r="P227" i="15"/>
  <c r="Q227" i="15"/>
  <c r="R227" i="15"/>
  <c r="C227" i="15"/>
  <c r="T226" i="15"/>
  <c r="J226" i="15"/>
  <c r="K226" i="15"/>
  <c r="L226" i="15"/>
  <c r="M226" i="15"/>
  <c r="N226" i="15"/>
  <c r="O226" i="15"/>
  <c r="P226" i="15"/>
  <c r="Q226" i="15"/>
  <c r="R226" i="15"/>
  <c r="C226" i="15"/>
  <c r="T225" i="15"/>
  <c r="J225" i="15"/>
  <c r="K225" i="15"/>
  <c r="L225" i="15"/>
  <c r="M225" i="15"/>
  <c r="N225" i="15"/>
  <c r="O225" i="15"/>
  <c r="P225" i="15"/>
  <c r="Q225" i="15"/>
  <c r="R225" i="15"/>
  <c r="C225" i="15"/>
  <c r="T224" i="15"/>
  <c r="J224" i="15"/>
  <c r="K224" i="15"/>
  <c r="L224" i="15"/>
  <c r="M224" i="15"/>
  <c r="N224" i="15"/>
  <c r="O224" i="15"/>
  <c r="P224" i="15"/>
  <c r="Q224" i="15"/>
  <c r="R224" i="15"/>
  <c r="C224" i="15"/>
  <c r="T223" i="15"/>
  <c r="J223" i="15"/>
  <c r="K223" i="15"/>
  <c r="L223" i="15"/>
  <c r="M223" i="15"/>
  <c r="N223" i="15"/>
  <c r="O223" i="15"/>
  <c r="P223" i="15"/>
  <c r="Q223" i="15"/>
  <c r="R223" i="15"/>
  <c r="C223" i="15"/>
  <c r="T222" i="15"/>
  <c r="J222" i="15"/>
  <c r="K222" i="15"/>
  <c r="L222" i="15"/>
  <c r="M222" i="15"/>
  <c r="N222" i="15"/>
  <c r="O222" i="15"/>
  <c r="P222" i="15"/>
  <c r="Q222" i="15"/>
  <c r="R222" i="15"/>
  <c r="C222" i="15"/>
  <c r="T221" i="15"/>
  <c r="J221" i="15"/>
  <c r="K221" i="15"/>
  <c r="L221" i="15"/>
  <c r="M221" i="15"/>
  <c r="N221" i="15"/>
  <c r="O221" i="15"/>
  <c r="P221" i="15"/>
  <c r="Q221" i="15"/>
  <c r="R221" i="15"/>
  <c r="C221" i="15"/>
  <c r="T220" i="15"/>
  <c r="J220" i="15"/>
  <c r="K220" i="15"/>
  <c r="L220" i="15"/>
  <c r="M220" i="15"/>
  <c r="N220" i="15"/>
  <c r="O220" i="15"/>
  <c r="P220" i="15"/>
  <c r="Q220" i="15"/>
  <c r="R220" i="15"/>
  <c r="C220" i="15"/>
  <c r="T219" i="15"/>
  <c r="J219" i="15"/>
  <c r="K219" i="15"/>
  <c r="L219" i="15"/>
  <c r="M219" i="15"/>
  <c r="N219" i="15"/>
  <c r="O219" i="15"/>
  <c r="P219" i="15"/>
  <c r="Q219" i="15"/>
  <c r="R219" i="15"/>
  <c r="C219" i="15"/>
  <c r="T218" i="15"/>
  <c r="J218" i="15"/>
  <c r="K218" i="15"/>
  <c r="L218" i="15"/>
  <c r="M218" i="15"/>
  <c r="N218" i="15"/>
  <c r="O218" i="15"/>
  <c r="P218" i="15"/>
  <c r="Q218" i="15"/>
  <c r="R218" i="15"/>
  <c r="C218" i="15"/>
  <c r="T217" i="15"/>
  <c r="J217" i="15"/>
  <c r="K217" i="15"/>
  <c r="L217" i="15"/>
  <c r="M217" i="15"/>
  <c r="N217" i="15"/>
  <c r="O217" i="15"/>
  <c r="P217" i="15"/>
  <c r="Q217" i="15"/>
  <c r="R217" i="15"/>
  <c r="C217" i="15"/>
  <c r="T216" i="15"/>
  <c r="J216" i="15"/>
  <c r="K216" i="15"/>
  <c r="L216" i="15"/>
  <c r="M216" i="15"/>
  <c r="N216" i="15"/>
  <c r="O216" i="15"/>
  <c r="P216" i="15"/>
  <c r="Q216" i="15"/>
  <c r="R216" i="15"/>
  <c r="C216" i="15"/>
  <c r="T215" i="15"/>
  <c r="J215" i="15"/>
  <c r="K215" i="15"/>
  <c r="L215" i="15"/>
  <c r="M215" i="15"/>
  <c r="N215" i="15"/>
  <c r="O215" i="15"/>
  <c r="P215" i="15"/>
  <c r="Q215" i="15"/>
  <c r="R215" i="15"/>
  <c r="C215" i="15"/>
  <c r="T214" i="15"/>
  <c r="J214" i="15"/>
  <c r="K214" i="15"/>
  <c r="L214" i="15"/>
  <c r="M214" i="15"/>
  <c r="N214" i="15"/>
  <c r="O214" i="15"/>
  <c r="P214" i="15"/>
  <c r="Q214" i="15"/>
  <c r="R214" i="15"/>
  <c r="C214" i="15"/>
  <c r="T213" i="15"/>
  <c r="J213" i="15"/>
  <c r="K213" i="15"/>
  <c r="L213" i="15"/>
  <c r="M213" i="15"/>
  <c r="N213" i="15"/>
  <c r="O213" i="15"/>
  <c r="P213" i="15"/>
  <c r="Q213" i="15"/>
  <c r="R213" i="15"/>
  <c r="C213" i="15"/>
  <c r="T212" i="15"/>
  <c r="J212" i="15"/>
  <c r="K212" i="15"/>
  <c r="L212" i="15"/>
  <c r="M212" i="15"/>
  <c r="N212" i="15"/>
  <c r="O212" i="15"/>
  <c r="P212" i="15"/>
  <c r="Q212" i="15"/>
  <c r="R212" i="15"/>
  <c r="C212" i="15"/>
  <c r="T211" i="15"/>
  <c r="J211" i="15"/>
  <c r="K211" i="15"/>
  <c r="L211" i="15"/>
  <c r="M211" i="15"/>
  <c r="N211" i="15"/>
  <c r="O211" i="15"/>
  <c r="P211" i="15"/>
  <c r="Q211" i="15"/>
  <c r="R211" i="15"/>
  <c r="C211" i="15"/>
  <c r="T210" i="15"/>
  <c r="J210" i="15"/>
  <c r="K210" i="15"/>
  <c r="L210" i="15"/>
  <c r="M210" i="15"/>
  <c r="N210" i="15"/>
  <c r="O210" i="15"/>
  <c r="P210" i="15"/>
  <c r="Q210" i="15"/>
  <c r="R210" i="15"/>
  <c r="C210" i="15"/>
  <c r="T209" i="15"/>
  <c r="J209" i="15"/>
  <c r="K209" i="15"/>
  <c r="L209" i="15"/>
  <c r="M209" i="15"/>
  <c r="N209" i="15"/>
  <c r="O209" i="15"/>
  <c r="P209" i="15"/>
  <c r="Q209" i="15"/>
  <c r="R209" i="15"/>
  <c r="C209" i="15"/>
  <c r="T208" i="15"/>
  <c r="J208" i="15"/>
  <c r="K208" i="15"/>
  <c r="L208" i="15"/>
  <c r="M208" i="15"/>
  <c r="N208" i="15"/>
  <c r="O208" i="15"/>
  <c r="P208" i="15"/>
  <c r="Q208" i="15"/>
  <c r="R208" i="15"/>
  <c r="C208" i="15"/>
  <c r="T207" i="15"/>
  <c r="J207" i="15"/>
  <c r="K207" i="15"/>
  <c r="L207" i="15"/>
  <c r="M207" i="15"/>
  <c r="N207" i="15"/>
  <c r="O207" i="15"/>
  <c r="P207" i="15"/>
  <c r="Q207" i="15"/>
  <c r="R207" i="15"/>
  <c r="C207" i="15"/>
  <c r="T206" i="15"/>
  <c r="J206" i="15"/>
  <c r="K206" i="15"/>
  <c r="L206" i="15"/>
  <c r="M206" i="15"/>
  <c r="N206" i="15"/>
  <c r="O206" i="15"/>
  <c r="P206" i="15"/>
  <c r="Q206" i="15"/>
  <c r="R206" i="15"/>
  <c r="C206" i="15"/>
  <c r="T205" i="15"/>
  <c r="J205" i="15"/>
  <c r="K205" i="15"/>
  <c r="L205" i="15"/>
  <c r="M205" i="15"/>
  <c r="N205" i="15"/>
  <c r="O205" i="15"/>
  <c r="P205" i="15"/>
  <c r="Q205" i="15"/>
  <c r="R205" i="15"/>
  <c r="C205" i="15"/>
  <c r="T204" i="15"/>
  <c r="J204" i="15"/>
  <c r="K204" i="15"/>
  <c r="L204" i="15"/>
  <c r="M204" i="15"/>
  <c r="N204" i="15"/>
  <c r="O204" i="15"/>
  <c r="P204" i="15"/>
  <c r="Q204" i="15"/>
  <c r="R204" i="15"/>
  <c r="C204" i="15"/>
  <c r="T203" i="15"/>
  <c r="J203" i="15"/>
  <c r="K203" i="15"/>
  <c r="L203" i="15"/>
  <c r="M203" i="15"/>
  <c r="N203" i="15"/>
  <c r="O203" i="15"/>
  <c r="P203" i="15"/>
  <c r="Q203" i="15"/>
  <c r="R203" i="15"/>
  <c r="C203" i="15"/>
  <c r="T202" i="15"/>
  <c r="J202" i="15"/>
  <c r="K202" i="15"/>
  <c r="L202" i="15"/>
  <c r="M202" i="15"/>
  <c r="N202" i="15"/>
  <c r="O202" i="15"/>
  <c r="P202" i="15"/>
  <c r="Q202" i="15"/>
  <c r="R202" i="15"/>
  <c r="C202" i="15"/>
  <c r="T201" i="15"/>
  <c r="J201" i="15"/>
  <c r="K201" i="15"/>
  <c r="L201" i="15"/>
  <c r="M201" i="15"/>
  <c r="N201" i="15"/>
  <c r="O201" i="15"/>
  <c r="P201" i="15"/>
  <c r="Q201" i="15"/>
  <c r="R201" i="15"/>
  <c r="C201" i="15"/>
  <c r="T200" i="15"/>
  <c r="J200" i="15"/>
  <c r="K200" i="15"/>
  <c r="L200" i="15"/>
  <c r="M200" i="15"/>
  <c r="N200" i="15"/>
  <c r="O200" i="15"/>
  <c r="P200" i="15"/>
  <c r="Q200" i="15"/>
  <c r="R200" i="15"/>
  <c r="C200" i="15"/>
  <c r="T199" i="15"/>
  <c r="J199" i="15"/>
  <c r="K199" i="15"/>
  <c r="L199" i="15"/>
  <c r="M199" i="15"/>
  <c r="N199" i="15"/>
  <c r="O199" i="15"/>
  <c r="P199" i="15"/>
  <c r="Q199" i="15"/>
  <c r="R199" i="15"/>
  <c r="C199" i="15"/>
  <c r="T198" i="15"/>
  <c r="J198" i="15"/>
  <c r="K198" i="15"/>
  <c r="L198" i="15"/>
  <c r="M198" i="15"/>
  <c r="N198" i="15"/>
  <c r="O198" i="15"/>
  <c r="P198" i="15"/>
  <c r="Q198" i="15"/>
  <c r="R198" i="15"/>
  <c r="C198" i="15"/>
  <c r="T197" i="15"/>
  <c r="J197" i="15"/>
  <c r="K197" i="15"/>
  <c r="L197" i="15"/>
  <c r="M197" i="15"/>
  <c r="N197" i="15"/>
  <c r="O197" i="15"/>
  <c r="P197" i="15"/>
  <c r="Q197" i="15"/>
  <c r="R197" i="15"/>
  <c r="C197" i="15"/>
  <c r="T196" i="15"/>
  <c r="J196" i="15"/>
  <c r="K196" i="15"/>
  <c r="L196" i="15"/>
  <c r="M196" i="15"/>
  <c r="N196" i="15"/>
  <c r="O196" i="15"/>
  <c r="P196" i="15"/>
  <c r="Q196" i="15"/>
  <c r="R196" i="15"/>
  <c r="C196" i="15"/>
  <c r="T195" i="15"/>
  <c r="J195" i="15"/>
  <c r="K195" i="15"/>
  <c r="L195" i="15"/>
  <c r="M195" i="15"/>
  <c r="N195" i="15"/>
  <c r="O195" i="15"/>
  <c r="P195" i="15"/>
  <c r="Q195" i="15"/>
  <c r="R195" i="15"/>
  <c r="C195" i="15"/>
  <c r="T194" i="15"/>
  <c r="J194" i="15"/>
  <c r="K194" i="15"/>
  <c r="L194" i="15"/>
  <c r="M194" i="15"/>
  <c r="N194" i="15"/>
  <c r="O194" i="15"/>
  <c r="P194" i="15"/>
  <c r="Q194" i="15"/>
  <c r="R194" i="15"/>
  <c r="C194" i="15"/>
  <c r="T193" i="15"/>
  <c r="J193" i="15"/>
  <c r="K193" i="15"/>
  <c r="L193" i="15"/>
  <c r="M193" i="15"/>
  <c r="N193" i="15"/>
  <c r="O193" i="15"/>
  <c r="P193" i="15"/>
  <c r="Q193" i="15"/>
  <c r="R193" i="15"/>
  <c r="C193" i="15"/>
  <c r="T192" i="15"/>
  <c r="J192" i="15"/>
  <c r="K192" i="15"/>
  <c r="L192" i="15"/>
  <c r="M192" i="15"/>
  <c r="N192" i="15"/>
  <c r="O192" i="15"/>
  <c r="P192" i="15"/>
  <c r="Q192" i="15"/>
  <c r="R192" i="15"/>
  <c r="C192" i="15"/>
  <c r="T191" i="15"/>
  <c r="J191" i="15"/>
  <c r="K191" i="15"/>
  <c r="L191" i="15"/>
  <c r="M191" i="15"/>
  <c r="N191" i="15"/>
  <c r="O191" i="15"/>
  <c r="P191" i="15"/>
  <c r="Q191" i="15"/>
  <c r="R191" i="15"/>
  <c r="C191" i="15"/>
  <c r="T190" i="15"/>
  <c r="J190" i="15"/>
  <c r="K190" i="15"/>
  <c r="L190" i="15"/>
  <c r="M190" i="15"/>
  <c r="N190" i="15"/>
  <c r="O190" i="15"/>
  <c r="P190" i="15"/>
  <c r="Q190" i="15"/>
  <c r="R190" i="15"/>
  <c r="C190" i="15"/>
  <c r="T189" i="15"/>
  <c r="J189" i="15"/>
  <c r="K189" i="15"/>
  <c r="L189" i="15"/>
  <c r="M189" i="15"/>
  <c r="N189" i="15"/>
  <c r="O189" i="15"/>
  <c r="P189" i="15"/>
  <c r="Q189" i="15"/>
  <c r="R189" i="15"/>
  <c r="C189" i="15"/>
  <c r="T188" i="15"/>
  <c r="J188" i="15"/>
  <c r="K188" i="15"/>
  <c r="L188" i="15"/>
  <c r="M188" i="15"/>
  <c r="N188" i="15"/>
  <c r="O188" i="15"/>
  <c r="P188" i="15"/>
  <c r="Q188" i="15"/>
  <c r="R188" i="15"/>
  <c r="C188" i="15"/>
  <c r="T187" i="15"/>
  <c r="J187" i="15"/>
  <c r="K187" i="15"/>
  <c r="L187" i="15"/>
  <c r="M187" i="15"/>
  <c r="N187" i="15"/>
  <c r="O187" i="15"/>
  <c r="P187" i="15"/>
  <c r="Q187" i="15"/>
  <c r="R187" i="15"/>
  <c r="C187" i="15"/>
  <c r="T186" i="15"/>
  <c r="J186" i="15"/>
  <c r="K186" i="15"/>
  <c r="L186" i="15"/>
  <c r="M186" i="15"/>
  <c r="N186" i="15"/>
  <c r="O186" i="15"/>
  <c r="P186" i="15"/>
  <c r="Q186" i="15"/>
  <c r="R186" i="15"/>
  <c r="C186" i="15"/>
  <c r="T185" i="15"/>
  <c r="J185" i="15"/>
  <c r="K185" i="15"/>
  <c r="L185" i="15"/>
  <c r="M185" i="15"/>
  <c r="N185" i="15"/>
  <c r="O185" i="15"/>
  <c r="P185" i="15"/>
  <c r="Q185" i="15"/>
  <c r="R185" i="15"/>
  <c r="C185" i="15"/>
  <c r="T184" i="15"/>
  <c r="J184" i="15"/>
  <c r="K184" i="15"/>
  <c r="L184" i="15"/>
  <c r="M184" i="15"/>
  <c r="N184" i="15"/>
  <c r="O184" i="15"/>
  <c r="P184" i="15"/>
  <c r="Q184" i="15"/>
  <c r="R184" i="15"/>
  <c r="C184" i="15"/>
  <c r="T183" i="15"/>
  <c r="J183" i="15"/>
  <c r="K183" i="15"/>
  <c r="L183" i="15"/>
  <c r="M183" i="15"/>
  <c r="N183" i="15"/>
  <c r="O183" i="15"/>
  <c r="P183" i="15"/>
  <c r="Q183" i="15"/>
  <c r="R183" i="15"/>
  <c r="C183" i="15"/>
  <c r="T182" i="15"/>
  <c r="J182" i="15"/>
  <c r="K182" i="15"/>
  <c r="L182" i="15"/>
  <c r="M182" i="15"/>
  <c r="N182" i="15"/>
  <c r="O182" i="15"/>
  <c r="P182" i="15"/>
  <c r="Q182" i="15"/>
  <c r="R182" i="15"/>
  <c r="C182" i="15"/>
  <c r="T181" i="15"/>
  <c r="J181" i="15"/>
  <c r="K181" i="15"/>
  <c r="L181" i="15"/>
  <c r="M181" i="15"/>
  <c r="N181" i="15"/>
  <c r="O181" i="15"/>
  <c r="P181" i="15"/>
  <c r="Q181" i="15"/>
  <c r="R181" i="15"/>
  <c r="C181" i="15"/>
  <c r="T180" i="15"/>
  <c r="J180" i="15"/>
  <c r="K180" i="15"/>
  <c r="L180" i="15"/>
  <c r="M180" i="15"/>
  <c r="N180" i="15"/>
  <c r="O180" i="15"/>
  <c r="P180" i="15"/>
  <c r="Q180" i="15"/>
  <c r="R180" i="15"/>
  <c r="C180" i="15"/>
  <c r="T179" i="15"/>
  <c r="J179" i="15"/>
  <c r="K179" i="15"/>
  <c r="L179" i="15"/>
  <c r="M179" i="15"/>
  <c r="N179" i="15"/>
  <c r="O179" i="15"/>
  <c r="P179" i="15"/>
  <c r="Q179" i="15"/>
  <c r="R179" i="15"/>
  <c r="C179" i="15"/>
  <c r="T178" i="15"/>
  <c r="J178" i="15"/>
  <c r="K178" i="15"/>
  <c r="L178" i="15"/>
  <c r="M178" i="15"/>
  <c r="N178" i="15"/>
  <c r="O178" i="15"/>
  <c r="P178" i="15"/>
  <c r="Q178" i="15"/>
  <c r="R178" i="15"/>
  <c r="C178" i="15"/>
  <c r="T177" i="15"/>
  <c r="J177" i="15"/>
  <c r="K177" i="15"/>
  <c r="L177" i="15"/>
  <c r="M177" i="15"/>
  <c r="N177" i="15"/>
  <c r="O177" i="15"/>
  <c r="P177" i="15"/>
  <c r="Q177" i="15"/>
  <c r="R177" i="15"/>
  <c r="C177" i="15"/>
  <c r="T176" i="15"/>
  <c r="J176" i="15"/>
  <c r="K176" i="15"/>
  <c r="L176" i="15"/>
  <c r="M176" i="15"/>
  <c r="N176" i="15"/>
  <c r="O176" i="15"/>
  <c r="P176" i="15"/>
  <c r="Q176" i="15"/>
  <c r="R176" i="15"/>
  <c r="C176" i="15"/>
  <c r="T175" i="15"/>
  <c r="J175" i="15"/>
  <c r="K175" i="15"/>
  <c r="L175" i="15"/>
  <c r="M175" i="15"/>
  <c r="N175" i="15"/>
  <c r="O175" i="15"/>
  <c r="P175" i="15"/>
  <c r="Q175" i="15"/>
  <c r="R175" i="15"/>
  <c r="C175" i="15"/>
  <c r="T174" i="15"/>
  <c r="J174" i="15"/>
  <c r="K174" i="15"/>
  <c r="L174" i="15"/>
  <c r="M174" i="15"/>
  <c r="N174" i="15"/>
  <c r="O174" i="15"/>
  <c r="P174" i="15"/>
  <c r="Q174" i="15"/>
  <c r="R174" i="15"/>
  <c r="C174" i="15"/>
  <c r="T173" i="15"/>
  <c r="J173" i="15"/>
  <c r="K173" i="15"/>
  <c r="L173" i="15"/>
  <c r="M173" i="15"/>
  <c r="N173" i="15"/>
  <c r="O173" i="15"/>
  <c r="P173" i="15"/>
  <c r="Q173" i="15"/>
  <c r="R173" i="15"/>
  <c r="C173" i="15"/>
  <c r="T172" i="15"/>
  <c r="J172" i="15"/>
  <c r="K172" i="15"/>
  <c r="L172" i="15"/>
  <c r="M172" i="15"/>
  <c r="N172" i="15"/>
  <c r="O172" i="15"/>
  <c r="P172" i="15"/>
  <c r="Q172" i="15"/>
  <c r="R172" i="15"/>
  <c r="C172" i="15"/>
  <c r="T171" i="15"/>
  <c r="J171" i="15"/>
  <c r="K171" i="15"/>
  <c r="L171" i="15"/>
  <c r="M171" i="15"/>
  <c r="N171" i="15"/>
  <c r="O171" i="15"/>
  <c r="P171" i="15"/>
  <c r="Q171" i="15"/>
  <c r="R171" i="15"/>
  <c r="C171" i="15"/>
  <c r="T170" i="15"/>
  <c r="J170" i="15"/>
  <c r="K170" i="15"/>
  <c r="L170" i="15"/>
  <c r="M170" i="15"/>
  <c r="N170" i="15"/>
  <c r="O170" i="15"/>
  <c r="P170" i="15"/>
  <c r="Q170" i="15"/>
  <c r="R170" i="15"/>
  <c r="C170" i="15"/>
  <c r="T169" i="15"/>
  <c r="J169" i="15"/>
  <c r="K169" i="15"/>
  <c r="L169" i="15"/>
  <c r="M169" i="15"/>
  <c r="N169" i="15"/>
  <c r="O169" i="15"/>
  <c r="P169" i="15"/>
  <c r="Q169" i="15"/>
  <c r="R169" i="15"/>
  <c r="C169" i="15"/>
  <c r="T168" i="15"/>
  <c r="J168" i="15"/>
  <c r="K168" i="15"/>
  <c r="L168" i="15"/>
  <c r="M168" i="15"/>
  <c r="N168" i="15"/>
  <c r="O168" i="15"/>
  <c r="P168" i="15"/>
  <c r="Q168" i="15"/>
  <c r="R168" i="15"/>
  <c r="C168" i="15"/>
  <c r="T167" i="15"/>
  <c r="J167" i="15"/>
  <c r="K167" i="15"/>
  <c r="L167" i="15"/>
  <c r="M167" i="15"/>
  <c r="N167" i="15"/>
  <c r="O167" i="15"/>
  <c r="P167" i="15"/>
  <c r="Q167" i="15"/>
  <c r="R167" i="15"/>
  <c r="C167" i="15"/>
  <c r="T166" i="15"/>
  <c r="J166" i="15"/>
  <c r="K166" i="15"/>
  <c r="L166" i="15"/>
  <c r="M166" i="15"/>
  <c r="N166" i="15"/>
  <c r="O166" i="15"/>
  <c r="P166" i="15"/>
  <c r="Q166" i="15"/>
  <c r="R166" i="15"/>
  <c r="C166" i="15"/>
  <c r="T165" i="15"/>
  <c r="J165" i="15"/>
  <c r="K165" i="15"/>
  <c r="L165" i="15"/>
  <c r="M165" i="15"/>
  <c r="N165" i="15"/>
  <c r="O165" i="15"/>
  <c r="P165" i="15"/>
  <c r="Q165" i="15"/>
  <c r="R165" i="15"/>
  <c r="C165" i="15"/>
  <c r="T164" i="15"/>
  <c r="J164" i="15"/>
  <c r="K164" i="15"/>
  <c r="L164" i="15"/>
  <c r="M164" i="15"/>
  <c r="N164" i="15"/>
  <c r="O164" i="15"/>
  <c r="P164" i="15"/>
  <c r="Q164" i="15"/>
  <c r="R164" i="15"/>
  <c r="C164" i="15"/>
  <c r="T163" i="15"/>
  <c r="J163" i="15"/>
  <c r="K163" i="15"/>
  <c r="L163" i="15"/>
  <c r="M163" i="15"/>
  <c r="N163" i="15"/>
  <c r="O163" i="15"/>
  <c r="P163" i="15"/>
  <c r="Q163" i="15"/>
  <c r="R163" i="15"/>
  <c r="C163" i="15"/>
  <c r="T162" i="15"/>
  <c r="J162" i="15"/>
  <c r="K162" i="15"/>
  <c r="L162" i="15"/>
  <c r="M162" i="15"/>
  <c r="N162" i="15"/>
  <c r="O162" i="15"/>
  <c r="P162" i="15"/>
  <c r="Q162" i="15"/>
  <c r="R162" i="15"/>
  <c r="C162" i="15"/>
  <c r="T161" i="15"/>
  <c r="J161" i="15"/>
  <c r="K161" i="15"/>
  <c r="L161" i="15"/>
  <c r="M161" i="15"/>
  <c r="N161" i="15"/>
  <c r="O161" i="15"/>
  <c r="P161" i="15"/>
  <c r="Q161" i="15"/>
  <c r="R161" i="15"/>
  <c r="C161" i="15"/>
  <c r="T160" i="15"/>
  <c r="J160" i="15"/>
  <c r="K160" i="15"/>
  <c r="L160" i="15"/>
  <c r="M160" i="15"/>
  <c r="N160" i="15"/>
  <c r="O160" i="15"/>
  <c r="P160" i="15"/>
  <c r="Q160" i="15"/>
  <c r="R160" i="15"/>
  <c r="C160" i="15"/>
  <c r="T159" i="15"/>
  <c r="J159" i="15"/>
  <c r="K159" i="15"/>
  <c r="L159" i="15"/>
  <c r="M159" i="15"/>
  <c r="N159" i="15"/>
  <c r="O159" i="15"/>
  <c r="P159" i="15"/>
  <c r="Q159" i="15"/>
  <c r="R159" i="15"/>
  <c r="C159" i="15"/>
  <c r="T158" i="15"/>
  <c r="J158" i="15"/>
  <c r="K158" i="15"/>
  <c r="L158" i="15"/>
  <c r="M158" i="15"/>
  <c r="N158" i="15"/>
  <c r="O158" i="15"/>
  <c r="P158" i="15"/>
  <c r="Q158" i="15"/>
  <c r="R158" i="15"/>
  <c r="C158" i="15"/>
  <c r="T157" i="15"/>
  <c r="J157" i="15"/>
  <c r="K157" i="15"/>
  <c r="L157" i="15"/>
  <c r="M157" i="15"/>
  <c r="N157" i="15"/>
  <c r="O157" i="15"/>
  <c r="P157" i="15"/>
  <c r="Q157" i="15"/>
  <c r="R157" i="15"/>
  <c r="C157" i="15"/>
  <c r="T156" i="15"/>
  <c r="J156" i="15"/>
  <c r="K156" i="15"/>
  <c r="L156" i="15"/>
  <c r="M156" i="15"/>
  <c r="N156" i="15"/>
  <c r="O156" i="15"/>
  <c r="P156" i="15"/>
  <c r="Q156" i="15"/>
  <c r="R156" i="15"/>
  <c r="C156" i="15"/>
  <c r="T155" i="15"/>
  <c r="J155" i="15"/>
  <c r="K155" i="15"/>
  <c r="L155" i="15"/>
  <c r="M155" i="15"/>
  <c r="N155" i="15"/>
  <c r="O155" i="15"/>
  <c r="P155" i="15"/>
  <c r="Q155" i="15"/>
  <c r="R155" i="15"/>
  <c r="C155" i="15"/>
  <c r="T154" i="15"/>
  <c r="J154" i="15"/>
  <c r="K154" i="15"/>
  <c r="L154" i="15"/>
  <c r="M154" i="15"/>
  <c r="N154" i="15"/>
  <c r="O154" i="15"/>
  <c r="P154" i="15"/>
  <c r="Q154" i="15"/>
  <c r="R154" i="15"/>
  <c r="C154" i="15"/>
  <c r="T153" i="15"/>
  <c r="J153" i="15"/>
  <c r="K153" i="15"/>
  <c r="L153" i="15"/>
  <c r="M153" i="15"/>
  <c r="N153" i="15"/>
  <c r="O153" i="15"/>
  <c r="P153" i="15"/>
  <c r="Q153" i="15"/>
  <c r="R153" i="15"/>
  <c r="C153" i="15"/>
  <c r="T152" i="15"/>
  <c r="J152" i="15"/>
  <c r="K152" i="15"/>
  <c r="L152" i="15"/>
  <c r="M152" i="15"/>
  <c r="N152" i="15"/>
  <c r="O152" i="15"/>
  <c r="P152" i="15"/>
  <c r="Q152" i="15"/>
  <c r="R152" i="15"/>
  <c r="C152" i="15"/>
  <c r="T151" i="15"/>
  <c r="J151" i="15"/>
  <c r="K151" i="15"/>
  <c r="L151" i="15"/>
  <c r="M151" i="15"/>
  <c r="N151" i="15"/>
  <c r="O151" i="15"/>
  <c r="P151" i="15"/>
  <c r="Q151" i="15"/>
  <c r="R151" i="15"/>
  <c r="C151" i="15"/>
  <c r="T150" i="15"/>
  <c r="J150" i="15"/>
  <c r="K150" i="15"/>
  <c r="L150" i="15"/>
  <c r="M150" i="15"/>
  <c r="N150" i="15"/>
  <c r="O150" i="15"/>
  <c r="P150" i="15"/>
  <c r="Q150" i="15"/>
  <c r="R150" i="15"/>
  <c r="C150" i="15"/>
  <c r="T149" i="15"/>
  <c r="J149" i="15"/>
  <c r="K149" i="15"/>
  <c r="L149" i="15"/>
  <c r="M149" i="15"/>
  <c r="N149" i="15"/>
  <c r="O149" i="15"/>
  <c r="P149" i="15"/>
  <c r="Q149" i="15"/>
  <c r="R149" i="15"/>
  <c r="C149" i="15"/>
  <c r="T148" i="15"/>
  <c r="J148" i="15"/>
  <c r="K148" i="15"/>
  <c r="L148" i="15"/>
  <c r="M148" i="15"/>
  <c r="N148" i="15"/>
  <c r="O148" i="15"/>
  <c r="P148" i="15"/>
  <c r="Q148" i="15"/>
  <c r="R148" i="15"/>
  <c r="C148" i="15"/>
  <c r="T147" i="15"/>
  <c r="J147" i="15"/>
  <c r="K147" i="15"/>
  <c r="L147" i="15"/>
  <c r="M147" i="15"/>
  <c r="N147" i="15"/>
  <c r="O147" i="15"/>
  <c r="P147" i="15"/>
  <c r="Q147" i="15"/>
  <c r="R147" i="15"/>
  <c r="C147" i="15"/>
  <c r="T146" i="15"/>
  <c r="J146" i="15"/>
  <c r="K146" i="15"/>
  <c r="L146" i="15"/>
  <c r="M146" i="15"/>
  <c r="N146" i="15"/>
  <c r="O146" i="15"/>
  <c r="P146" i="15"/>
  <c r="Q146" i="15"/>
  <c r="R146" i="15"/>
  <c r="C146" i="15"/>
  <c r="T145" i="15"/>
  <c r="J145" i="15"/>
  <c r="K145" i="15"/>
  <c r="L145" i="15"/>
  <c r="M145" i="15"/>
  <c r="N145" i="15"/>
  <c r="O145" i="15"/>
  <c r="P145" i="15"/>
  <c r="Q145" i="15"/>
  <c r="R145" i="15"/>
  <c r="C145" i="15"/>
  <c r="T144" i="15"/>
  <c r="J144" i="15"/>
  <c r="K144" i="15"/>
  <c r="L144" i="15"/>
  <c r="M144" i="15"/>
  <c r="N144" i="15"/>
  <c r="O144" i="15"/>
  <c r="P144" i="15"/>
  <c r="Q144" i="15"/>
  <c r="R144" i="15"/>
  <c r="C144" i="15"/>
  <c r="T143" i="15"/>
  <c r="J143" i="15"/>
  <c r="K143" i="15"/>
  <c r="L143" i="15"/>
  <c r="M143" i="15"/>
  <c r="N143" i="15"/>
  <c r="O143" i="15"/>
  <c r="P143" i="15"/>
  <c r="Q143" i="15"/>
  <c r="R143" i="15"/>
  <c r="C143" i="15"/>
  <c r="T142" i="15"/>
  <c r="J142" i="15"/>
  <c r="K142" i="15"/>
  <c r="L142" i="15"/>
  <c r="M142" i="15"/>
  <c r="N142" i="15"/>
  <c r="O142" i="15"/>
  <c r="P142" i="15"/>
  <c r="Q142" i="15"/>
  <c r="R142" i="15"/>
  <c r="C142" i="15"/>
  <c r="T141" i="15"/>
  <c r="J141" i="15"/>
  <c r="K141" i="15"/>
  <c r="L141" i="15"/>
  <c r="M141" i="15"/>
  <c r="N141" i="15"/>
  <c r="O141" i="15"/>
  <c r="P141" i="15"/>
  <c r="Q141" i="15"/>
  <c r="R141" i="15"/>
  <c r="C141" i="15"/>
  <c r="T140" i="15"/>
  <c r="J140" i="15"/>
  <c r="K140" i="15"/>
  <c r="L140" i="15"/>
  <c r="M140" i="15"/>
  <c r="N140" i="15"/>
  <c r="O140" i="15"/>
  <c r="P140" i="15"/>
  <c r="Q140" i="15"/>
  <c r="R140" i="15"/>
  <c r="C140" i="15"/>
  <c r="T139" i="15"/>
  <c r="J139" i="15"/>
  <c r="K139" i="15"/>
  <c r="L139" i="15"/>
  <c r="M139" i="15"/>
  <c r="N139" i="15"/>
  <c r="O139" i="15"/>
  <c r="P139" i="15"/>
  <c r="Q139" i="15"/>
  <c r="R139" i="15"/>
  <c r="C139" i="15"/>
  <c r="T138" i="15"/>
  <c r="J138" i="15"/>
  <c r="K138" i="15"/>
  <c r="L138" i="15"/>
  <c r="M138" i="15"/>
  <c r="N138" i="15"/>
  <c r="O138" i="15"/>
  <c r="P138" i="15"/>
  <c r="Q138" i="15"/>
  <c r="R138" i="15"/>
  <c r="C138" i="15"/>
  <c r="T137" i="15"/>
  <c r="J137" i="15"/>
  <c r="K137" i="15"/>
  <c r="L137" i="15"/>
  <c r="M137" i="15"/>
  <c r="N137" i="15"/>
  <c r="O137" i="15"/>
  <c r="P137" i="15"/>
  <c r="Q137" i="15"/>
  <c r="R137" i="15"/>
  <c r="C137" i="15"/>
  <c r="T136" i="15"/>
  <c r="J136" i="15"/>
  <c r="K136" i="15"/>
  <c r="L136" i="15"/>
  <c r="M136" i="15"/>
  <c r="N136" i="15"/>
  <c r="O136" i="15"/>
  <c r="P136" i="15"/>
  <c r="Q136" i="15"/>
  <c r="R136" i="15"/>
  <c r="C136" i="15"/>
  <c r="T135" i="15"/>
  <c r="J135" i="15"/>
  <c r="K135" i="15"/>
  <c r="L135" i="15"/>
  <c r="M135" i="15"/>
  <c r="N135" i="15"/>
  <c r="O135" i="15"/>
  <c r="P135" i="15"/>
  <c r="Q135" i="15"/>
  <c r="R135" i="15"/>
  <c r="C135" i="15"/>
  <c r="T134" i="15"/>
  <c r="J134" i="15"/>
  <c r="K134" i="15"/>
  <c r="L134" i="15"/>
  <c r="M134" i="15"/>
  <c r="N134" i="15"/>
  <c r="O134" i="15"/>
  <c r="P134" i="15"/>
  <c r="Q134" i="15"/>
  <c r="R134" i="15"/>
  <c r="C134" i="15"/>
  <c r="T133" i="15"/>
  <c r="J133" i="15"/>
  <c r="K133" i="15"/>
  <c r="L133" i="15"/>
  <c r="M133" i="15"/>
  <c r="N133" i="15"/>
  <c r="O133" i="15"/>
  <c r="P133" i="15"/>
  <c r="Q133" i="15"/>
  <c r="R133" i="15"/>
  <c r="C133" i="15"/>
  <c r="T132" i="15"/>
  <c r="J132" i="15"/>
  <c r="K132" i="15"/>
  <c r="L132" i="15"/>
  <c r="M132" i="15"/>
  <c r="N132" i="15"/>
  <c r="O132" i="15"/>
  <c r="P132" i="15"/>
  <c r="Q132" i="15"/>
  <c r="R132" i="15"/>
  <c r="C132" i="15"/>
  <c r="T131" i="15"/>
  <c r="J131" i="15"/>
  <c r="K131" i="15"/>
  <c r="L131" i="15"/>
  <c r="M131" i="15"/>
  <c r="N131" i="15"/>
  <c r="O131" i="15"/>
  <c r="P131" i="15"/>
  <c r="Q131" i="15"/>
  <c r="R131" i="15"/>
  <c r="C131" i="15"/>
  <c r="T130" i="15"/>
  <c r="J130" i="15"/>
  <c r="K130" i="15"/>
  <c r="L130" i="15"/>
  <c r="M130" i="15"/>
  <c r="N130" i="15"/>
  <c r="O130" i="15"/>
  <c r="P130" i="15"/>
  <c r="Q130" i="15"/>
  <c r="R130" i="15"/>
  <c r="C130" i="15"/>
  <c r="T129" i="15"/>
  <c r="J129" i="15"/>
  <c r="K129" i="15"/>
  <c r="L129" i="15"/>
  <c r="M129" i="15"/>
  <c r="N129" i="15"/>
  <c r="O129" i="15"/>
  <c r="P129" i="15"/>
  <c r="Q129" i="15"/>
  <c r="R129" i="15"/>
  <c r="C129" i="15"/>
  <c r="T128" i="15"/>
  <c r="J128" i="15"/>
  <c r="K128" i="15"/>
  <c r="L128" i="15"/>
  <c r="M128" i="15"/>
  <c r="N128" i="15"/>
  <c r="O128" i="15"/>
  <c r="P128" i="15"/>
  <c r="Q128" i="15"/>
  <c r="R128" i="15"/>
  <c r="C128" i="15"/>
  <c r="T127" i="15"/>
  <c r="J127" i="15"/>
  <c r="K127" i="15"/>
  <c r="L127" i="15"/>
  <c r="M127" i="15"/>
  <c r="N127" i="15"/>
  <c r="O127" i="15"/>
  <c r="P127" i="15"/>
  <c r="Q127" i="15"/>
  <c r="R127" i="15"/>
  <c r="C127" i="15"/>
  <c r="T126" i="15"/>
  <c r="J126" i="15"/>
  <c r="K126" i="15"/>
  <c r="L126" i="15"/>
  <c r="M126" i="15"/>
  <c r="N126" i="15"/>
  <c r="O126" i="15"/>
  <c r="P126" i="15"/>
  <c r="Q126" i="15"/>
  <c r="R126" i="15"/>
  <c r="C126" i="15"/>
  <c r="T125" i="15"/>
  <c r="J125" i="15"/>
  <c r="K125" i="15"/>
  <c r="L125" i="15"/>
  <c r="M125" i="15"/>
  <c r="N125" i="15"/>
  <c r="O125" i="15"/>
  <c r="P125" i="15"/>
  <c r="Q125" i="15"/>
  <c r="R125" i="15"/>
  <c r="C125" i="15"/>
  <c r="T124" i="15"/>
  <c r="J124" i="15"/>
  <c r="K124" i="15"/>
  <c r="L124" i="15"/>
  <c r="M124" i="15"/>
  <c r="N124" i="15"/>
  <c r="O124" i="15"/>
  <c r="P124" i="15"/>
  <c r="Q124" i="15"/>
  <c r="R124" i="15"/>
  <c r="C124" i="15"/>
  <c r="T123" i="15"/>
  <c r="J123" i="15"/>
  <c r="K123" i="15"/>
  <c r="L123" i="15"/>
  <c r="M123" i="15"/>
  <c r="N123" i="15"/>
  <c r="O123" i="15"/>
  <c r="P123" i="15"/>
  <c r="Q123" i="15"/>
  <c r="R123" i="15"/>
  <c r="C123" i="15"/>
  <c r="T122" i="15"/>
  <c r="J122" i="15"/>
  <c r="K122" i="15"/>
  <c r="L122" i="15"/>
  <c r="M122" i="15"/>
  <c r="N122" i="15"/>
  <c r="O122" i="15"/>
  <c r="P122" i="15"/>
  <c r="Q122" i="15"/>
  <c r="R122" i="15"/>
  <c r="C122" i="15"/>
  <c r="T121" i="15"/>
  <c r="J121" i="15"/>
  <c r="K121" i="15"/>
  <c r="L121" i="15"/>
  <c r="M121" i="15"/>
  <c r="N121" i="15"/>
  <c r="O121" i="15"/>
  <c r="P121" i="15"/>
  <c r="Q121" i="15"/>
  <c r="R121" i="15"/>
  <c r="C121" i="15"/>
  <c r="T120" i="15"/>
  <c r="J120" i="15"/>
  <c r="K120" i="15"/>
  <c r="L120" i="15"/>
  <c r="M120" i="15"/>
  <c r="N120" i="15"/>
  <c r="O120" i="15"/>
  <c r="P120" i="15"/>
  <c r="Q120" i="15"/>
  <c r="R120" i="15"/>
  <c r="C120" i="15"/>
  <c r="T119" i="15"/>
  <c r="J119" i="15"/>
  <c r="K119" i="15"/>
  <c r="L119" i="15"/>
  <c r="M119" i="15"/>
  <c r="N119" i="15"/>
  <c r="O119" i="15"/>
  <c r="P119" i="15"/>
  <c r="Q119" i="15"/>
  <c r="R119" i="15"/>
  <c r="C119" i="15"/>
  <c r="T118" i="15"/>
  <c r="J118" i="15"/>
  <c r="K118" i="15"/>
  <c r="L118" i="15"/>
  <c r="M118" i="15"/>
  <c r="N118" i="15"/>
  <c r="O118" i="15"/>
  <c r="P118" i="15"/>
  <c r="Q118" i="15"/>
  <c r="R118" i="15"/>
  <c r="C118" i="15"/>
  <c r="T117" i="15"/>
  <c r="J117" i="15"/>
  <c r="K117" i="15"/>
  <c r="L117" i="15"/>
  <c r="M117" i="15"/>
  <c r="N117" i="15"/>
  <c r="O117" i="15"/>
  <c r="P117" i="15"/>
  <c r="Q117" i="15"/>
  <c r="R117" i="15"/>
  <c r="C117" i="15"/>
  <c r="T116" i="15"/>
  <c r="J116" i="15"/>
  <c r="K116" i="15"/>
  <c r="L116" i="15"/>
  <c r="M116" i="15"/>
  <c r="N116" i="15"/>
  <c r="O116" i="15"/>
  <c r="P116" i="15"/>
  <c r="Q116" i="15"/>
  <c r="R116" i="15"/>
  <c r="C116" i="15"/>
  <c r="T115" i="15"/>
  <c r="J115" i="15"/>
  <c r="K115" i="15"/>
  <c r="L115" i="15"/>
  <c r="M115" i="15"/>
  <c r="N115" i="15"/>
  <c r="O115" i="15"/>
  <c r="P115" i="15"/>
  <c r="Q115" i="15"/>
  <c r="R115" i="15"/>
  <c r="C115" i="15"/>
  <c r="T114" i="15"/>
  <c r="J114" i="15"/>
  <c r="K114" i="15"/>
  <c r="L114" i="15"/>
  <c r="M114" i="15"/>
  <c r="N114" i="15"/>
  <c r="O114" i="15"/>
  <c r="P114" i="15"/>
  <c r="Q114" i="15"/>
  <c r="R114" i="15"/>
  <c r="C114" i="15"/>
  <c r="T113" i="15"/>
  <c r="J113" i="15"/>
  <c r="K113" i="15"/>
  <c r="L113" i="15"/>
  <c r="M113" i="15"/>
  <c r="N113" i="15"/>
  <c r="O113" i="15"/>
  <c r="P113" i="15"/>
  <c r="Q113" i="15"/>
  <c r="R113" i="15"/>
  <c r="C113" i="15"/>
  <c r="T112" i="15"/>
  <c r="J112" i="15"/>
  <c r="K112" i="15"/>
  <c r="L112" i="15"/>
  <c r="M112" i="15"/>
  <c r="N112" i="15"/>
  <c r="O112" i="15"/>
  <c r="P112" i="15"/>
  <c r="Q112" i="15"/>
  <c r="R112" i="15"/>
  <c r="C112" i="15"/>
  <c r="T111" i="15"/>
  <c r="J111" i="15"/>
  <c r="K111" i="15"/>
  <c r="L111" i="15"/>
  <c r="M111" i="15"/>
  <c r="N111" i="15"/>
  <c r="O111" i="15"/>
  <c r="P111" i="15"/>
  <c r="Q111" i="15"/>
  <c r="R111" i="15"/>
  <c r="C111" i="15"/>
  <c r="T110" i="15"/>
  <c r="J110" i="15"/>
  <c r="K110" i="15"/>
  <c r="L110" i="15"/>
  <c r="M110" i="15"/>
  <c r="N110" i="15"/>
  <c r="O110" i="15"/>
  <c r="P110" i="15"/>
  <c r="Q110" i="15"/>
  <c r="R110" i="15"/>
  <c r="C110" i="15"/>
  <c r="T109" i="15"/>
  <c r="J109" i="15"/>
  <c r="K109" i="15"/>
  <c r="L109" i="15"/>
  <c r="M109" i="15"/>
  <c r="N109" i="15"/>
  <c r="O109" i="15"/>
  <c r="P109" i="15"/>
  <c r="Q109" i="15"/>
  <c r="R109" i="15"/>
  <c r="C109" i="15"/>
  <c r="T108" i="15"/>
  <c r="J108" i="15"/>
  <c r="K108" i="15"/>
  <c r="L108" i="15"/>
  <c r="M108" i="15"/>
  <c r="N108" i="15"/>
  <c r="O108" i="15"/>
  <c r="P108" i="15"/>
  <c r="Q108" i="15"/>
  <c r="R108" i="15"/>
  <c r="C108" i="15"/>
  <c r="T107" i="15"/>
  <c r="J107" i="15"/>
  <c r="K107" i="15"/>
  <c r="L107" i="15"/>
  <c r="M107" i="15"/>
  <c r="N107" i="15"/>
  <c r="O107" i="15"/>
  <c r="P107" i="15"/>
  <c r="Q107" i="15"/>
  <c r="R107" i="15"/>
  <c r="C107" i="15"/>
  <c r="T106" i="15"/>
  <c r="J106" i="15"/>
  <c r="K106" i="15"/>
  <c r="L106" i="15"/>
  <c r="M106" i="15"/>
  <c r="N106" i="15"/>
  <c r="O106" i="15"/>
  <c r="P106" i="15"/>
  <c r="Q106" i="15"/>
  <c r="R106" i="15"/>
  <c r="C106" i="15"/>
  <c r="T105" i="15"/>
  <c r="J105" i="15"/>
  <c r="K105" i="15"/>
  <c r="L105" i="15"/>
  <c r="M105" i="15"/>
  <c r="N105" i="15"/>
  <c r="O105" i="15"/>
  <c r="P105" i="15"/>
  <c r="Q105" i="15"/>
  <c r="R105" i="15"/>
  <c r="C105" i="15"/>
  <c r="T104" i="15"/>
  <c r="J104" i="15"/>
  <c r="K104" i="15"/>
  <c r="L104" i="15"/>
  <c r="M104" i="15"/>
  <c r="N104" i="15"/>
  <c r="O104" i="15"/>
  <c r="P104" i="15"/>
  <c r="Q104" i="15"/>
  <c r="R104" i="15"/>
  <c r="C104" i="15"/>
  <c r="T103" i="15"/>
  <c r="J103" i="15"/>
  <c r="K103" i="15"/>
  <c r="L103" i="15"/>
  <c r="M103" i="15"/>
  <c r="N103" i="15"/>
  <c r="O103" i="15"/>
  <c r="P103" i="15"/>
  <c r="Q103" i="15"/>
  <c r="R103" i="15"/>
  <c r="C103" i="15"/>
  <c r="T102" i="15"/>
  <c r="J102" i="15"/>
  <c r="K102" i="15"/>
  <c r="L102" i="15"/>
  <c r="M102" i="15"/>
  <c r="N102" i="15"/>
  <c r="O102" i="15"/>
  <c r="P102" i="15"/>
  <c r="Q102" i="15"/>
  <c r="R102" i="15"/>
  <c r="C102" i="15"/>
  <c r="T101" i="15"/>
  <c r="J101" i="15"/>
  <c r="K101" i="15"/>
  <c r="L101" i="15"/>
  <c r="M101" i="15"/>
  <c r="N101" i="15"/>
  <c r="O101" i="15"/>
  <c r="P101" i="15"/>
  <c r="Q101" i="15"/>
  <c r="R101" i="15"/>
  <c r="C101" i="15"/>
  <c r="T100" i="15"/>
  <c r="J100" i="15"/>
  <c r="K100" i="15"/>
  <c r="L100" i="15"/>
  <c r="M100" i="15"/>
  <c r="N100" i="15"/>
  <c r="O100" i="15"/>
  <c r="P100" i="15"/>
  <c r="Q100" i="15"/>
  <c r="R100" i="15"/>
  <c r="C100" i="15"/>
  <c r="T99" i="15"/>
  <c r="J99" i="15"/>
  <c r="K99" i="15"/>
  <c r="L99" i="15"/>
  <c r="M99" i="15"/>
  <c r="N99" i="15"/>
  <c r="O99" i="15"/>
  <c r="P99" i="15"/>
  <c r="Q99" i="15"/>
  <c r="R99" i="15"/>
  <c r="C99" i="15"/>
  <c r="T98" i="15"/>
  <c r="J98" i="15"/>
  <c r="K98" i="15"/>
  <c r="L98" i="15"/>
  <c r="M98" i="15"/>
  <c r="N98" i="15"/>
  <c r="O98" i="15"/>
  <c r="P98" i="15"/>
  <c r="Q98" i="15"/>
  <c r="R98" i="15"/>
  <c r="C98" i="15"/>
  <c r="T97" i="15"/>
  <c r="J97" i="15"/>
  <c r="K97" i="15"/>
  <c r="L97" i="15"/>
  <c r="M97" i="15"/>
  <c r="N97" i="15"/>
  <c r="O97" i="15"/>
  <c r="P97" i="15"/>
  <c r="Q97" i="15"/>
  <c r="R97" i="15"/>
  <c r="C97" i="15"/>
  <c r="T96" i="15"/>
  <c r="J96" i="15"/>
  <c r="K96" i="15"/>
  <c r="L96" i="15"/>
  <c r="M96" i="15"/>
  <c r="N96" i="15"/>
  <c r="O96" i="15"/>
  <c r="P96" i="15"/>
  <c r="Q96" i="15"/>
  <c r="R96" i="15"/>
  <c r="C96" i="15"/>
  <c r="T95" i="15"/>
  <c r="J95" i="15"/>
  <c r="K95" i="15"/>
  <c r="L95" i="15"/>
  <c r="M95" i="15"/>
  <c r="N95" i="15"/>
  <c r="O95" i="15"/>
  <c r="P95" i="15"/>
  <c r="Q95" i="15"/>
  <c r="R95" i="15"/>
  <c r="C95" i="15"/>
  <c r="T94" i="15"/>
  <c r="J94" i="15"/>
  <c r="K94" i="15"/>
  <c r="L94" i="15"/>
  <c r="M94" i="15"/>
  <c r="N94" i="15"/>
  <c r="O94" i="15"/>
  <c r="P94" i="15"/>
  <c r="Q94" i="15"/>
  <c r="R94" i="15"/>
  <c r="C94" i="15"/>
  <c r="T93" i="15"/>
  <c r="J93" i="15"/>
  <c r="K93" i="15"/>
  <c r="L93" i="15"/>
  <c r="M93" i="15"/>
  <c r="N93" i="15"/>
  <c r="O93" i="15"/>
  <c r="P93" i="15"/>
  <c r="Q93" i="15"/>
  <c r="R93" i="15"/>
  <c r="C93" i="15"/>
  <c r="T92" i="15"/>
  <c r="J92" i="15"/>
  <c r="K92" i="15"/>
  <c r="L92" i="15"/>
  <c r="M92" i="15"/>
  <c r="N92" i="15"/>
  <c r="O92" i="15"/>
  <c r="P92" i="15"/>
  <c r="Q92" i="15"/>
  <c r="R92" i="15"/>
  <c r="C92" i="15"/>
  <c r="T91" i="15"/>
  <c r="J91" i="15"/>
  <c r="K91" i="15"/>
  <c r="L91" i="15"/>
  <c r="M91" i="15"/>
  <c r="N91" i="15"/>
  <c r="O91" i="15"/>
  <c r="P91" i="15"/>
  <c r="Q91" i="15"/>
  <c r="R91" i="15"/>
  <c r="C91" i="15"/>
  <c r="T90" i="15"/>
  <c r="J90" i="15"/>
  <c r="K90" i="15"/>
  <c r="L90" i="15"/>
  <c r="M90" i="15"/>
  <c r="N90" i="15"/>
  <c r="O90" i="15"/>
  <c r="P90" i="15"/>
  <c r="Q90" i="15"/>
  <c r="R90" i="15"/>
  <c r="C90" i="15"/>
  <c r="T89" i="15"/>
  <c r="J89" i="15"/>
  <c r="K89" i="15"/>
  <c r="L89" i="15"/>
  <c r="M89" i="15"/>
  <c r="N89" i="15"/>
  <c r="O89" i="15"/>
  <c r="P89" i="15"/>
  <c r="Q89" i="15"/>
  <c r="R89" i="15"/>
  <c r="C89" i="15"/>
  <c r="T88" i="15"/>
  <c r="J88" i="15"/>
  <c r="K88" i="15"/>
  <c r="L88" i="15"/>
  <c r="M88" i="15"/>
  <c r="N88" i="15"/>
  <c r="O88" i="15"/>
  <c r="P88" i="15"/>
  <c r="Q88" i="15"/>
  <c r="R88" i="15"/>
  <c r="C88" i="15"/>
  <c r="T87" i="15"/>
  <c r="J87" i="15"/>
  <c r="K87" i="15"/>
  <c r="L87" i="15"/>
  <c r="M87" i="15"/>
  <c r="N87" i="15"/>
  <c r="O87" i="15"/>
  <c r="P87" i="15"/>
  <c r="Q87" i="15"/>
  <c r="R87" i="15"/>
  <c r="C87" i="15"/>
  <c r="T86" i="15"/>
  <c r="J86" i="15"/>
  <c r="K86" i="15"/>
  <c r="L86" i="15"/>
  <c r="M86" i="15"/>
  <c r="N86" i="15"/>
  <c r="O86" i="15"/>
  <c r="P86" i="15"/>
  <c r="Q86" i="15"/>
  <c r="R86" i="15"/>
  <c r="C86" i="15"/>
  <c r="T85" i="15"/>
  <c r="J85" i="15"/>
  <c r="K85" i="15"/>
  <c r="L85" i="15"/>
  <c r="M85" i="15"/>
  <c r="N85" i="15"/>
  <c r="O85" i="15"/>
  <c r="P85" i="15"/>
  <c r="Q85" i="15"/>
  <c r="R85" i="15"/>
  <c r="C85" i="15"/>
  <c r="T84" i="15"/>
  <c r="J84" i="15"/>
  <c r="K84" i="15"/>
  <c r="L84" i="15"/>
  <c r="M84" i="15"/>
  <c r="N84" i="15"/>
  <c r="O84" i="15"/>
  <c r="P84" i="15"/>
  <c r="Q84" i="15"/>
  <c r="R84" i="15"/>
  <c r="C84" i="15"/>
  <c r="T83" i="15"/>
  <c r="J83" i="15"/>
  <c r="K83" i="15"/>
  <c r="L83" i="15"/>
  <c r="M83" i="15"/>
  <c r="N83" i="15"/>
  <c r="O83" i="15"/>
  <c r="P83" i="15"/>
  <c r="Q83" i="15"/>
  <c r="R83" i="15"/>
  <c r="C83" i="15"/>
  <c r="T82" i="15"/>
  <c r="J82" i="15"/>
  <c r="K82" i="15"/>
  <c r="L82" i="15"/>
  <c r="M82" i="15"/>
  <c r="N82" i="15"/>
  <c r="O82" i="15"/>
  <c r="P82" i="15"/>
  <c r="Q82" i="15"/>
  <c r="R82" i="15"/>
  <c r="C82" i="15"/>
  <c r="T81" i="15"/>
  <c r="J81" i="15"/>
  <c r="K81" i="15"/>
  <c r="L81" i="15"/>
  <c r="M81" i="15"/>
  <c r="N81" i="15"/>
  <c r="O81" i="15"/>
  <c r="P81" i="15"/>
  <c r="Q81" i="15"/>
  <c r="R81" i="15"/>
  <c r="C81" i="15"/>
  <c r="T80" i="15"/>
  <c r="J80" i="15"/>
  <c r="K80" i="15"/>
  <c r="L80" i="15"/>
  <c r="M80" i="15"/>
  <c r="N80" i="15"/>
  <c r="O80" i="15"/>
  <c r="P80" i="15"/>
  <c r="Q80" i="15"/>
  <c r="R80" i="15"/>
  <c r="C80" i="15"/>
  <c r="T79" i="15"/>
  <c r="J79" i="15"/>
  <c r="K79" i="15"/>
  <c r="L79" i="15"/>
  <c r="M79" i="15"/>
  <c r="N79" i="15"/>
  <c r="O79" i="15"/>
  <c r="P79" i="15"/>
  <c r="Q79" i="15"/>
  <c r="R79" i="15"/>
  <c r="C79" i="15"/>
  <c r="T78" i="15"/>
  <c r="J78" i="15"/>
  <c r="K78" i="15"/>
  <c r="L78" i="15"/>
  <c r="M78" i="15"/>
  <c r="N78" i="15"/>
  <c r="O78" i="15"/>
  <c r="P78" i="15"/>
  <c r="Q78" i="15"/>
  <c r="R78" i="15"/>
  <c r="C78" i="15"/>
  <c r="T77" i="15"/>
  <c r="J77" i="15"/>
  <c r="K77" i="15"/>
  <c r="L77" i="15"/>
  <c r="M77" i="15"/>
  <c r="N77" i="15"/>
  <c r="O77" i="15"/>
  <c r="P77" i="15"/>
  <c r="Q77" i="15"/>
  <c r="R77" i="15"/>
  <c r="C77" i="15"/>
  <c r="T76" i="15"/>
  <c r="J76" i="15"/>
  <c r="K76" i="15"/>
  <c r="L76" i="15"/>
  <c r="M76" i="15"/>
  <c r="N76" i="15"/>
  <c r="O76" i="15"/>
  <c r="P76" i="15"/>
  <c r="Q76" i="15"/>
  <c r="R76" i="15"/>
  <c r="C76" i="15"/>
  <c r="T75" i="15"/>
  <c r="J75" i="15"/>
  <c r="K75" i="15"/>
  <c r="L75" i="15"/>
  <c r="M75" i="15"/>
  <c r="N75" i="15"/>
  <c r="O75" i="15"/>
  <c r="P75" i="15"/>
  <c r="Q75" i="15"/>
  <c r="R75" i="15"/>
  <c r="C75" i="15"/>
  <c r="T74" i="15"/>
  <c r="J74" i="15"/>
  <c r="K74" i="15"/>
  <c r="L74" i="15"/>
  <c r="M74" i="15"/>
  <c r="N74" i="15"/>
  <c r="O74" i="15"/>
  <c r="P74" i="15"/>
  <c r="Q74" i="15"/>
  <c r="R74" i="15"/>
  <c r="C74" i="15"/>
  <c r="T73" i="15"/>
  <c r="J73" i="15"/>
  <c r="K73" i="15"/>
  <c r="L73" i="15"/>
  <c r="M73" i="15"/>
  <c r="N73" i="15"/>
  <c r="O73" i="15"/>
  <c r="P73" i="15"/>
  <c r="Q73" i="15"/>
  <c r="R73" i="15"/>
  <c r="C73" i="15"/>
  <c r="T72" i="15"/>
  <c r="J72" i="15"/>
  <c r="K72" i="15"/>
  <c r="L72" i="15"/>
  <c r="M72" i="15"/>
  <c r="N72" i="15"/>
  <c r="O72" i="15"/>
  <c r="P72" i="15"/>
  <c r="Q72" i="15"/>
  <c r="R72" i="15"/>
  <c r="C72" i="15"/>
  <c r="T71" i="15"/>
  <c r="J71" i="15"/>
  <c r="K71" i="15"/>
  <c r="L71" i="15"/>
  <c r="M71" i="15"/>
  <c r="N71" i="15"/>
  <c r="O71" i="15"/>
  <c r="P71" i="15"/>
  <c r="Q71" i="15"/>
  <c r="R71" i="15"/>
  <c r="C71" i="15"/>
  <c r="T70" i="15"/>
  <c r="J70" i="15"/>
  <c r="K70" i="15"/>
  <c r="L70" i="15"/>
  <c r="M70" i="15"/>
  <c r="N70" i="15"/>
  <c r="O70" i="15"/>
  <c r="P70" i="15"/>
  <c r="Q70" i="15"/>
  <c r="R70" i="15"/>
  <c r="C70" i="15"/>
  <c r="T69" i="15"/>
  <c r="J69" i="15"/>
  <c r="K69" i="15"/>
  <c r="L69" i="15"/>
  <c r="M69" i="15"/>
  <c r="N69" i="15"/>
  <c r="O69" i="15"/>
  <c r="P69" i="15"/>
  <c r="Q69" i="15"/>
  <c r="R69" i="15"/>
  <c r="C69" i="15"/>
  <c r="T68" i="15"/>
  <c r="J68" i="15"/>
  <c r="K68" i="15"/>
  <c r="L68" i="15"/>
  <c r="M68" i="15"/>
  <c r="N68" i="15"/>
  <c r="O68" i="15"/>
  <c r="P68" i="15"/>
  <c r="Q68" i="15"/>
  <c r="R68" i="15"/>
  <c r="C68" i="15"/>
  <c r="T67" i="15"/>
  <c r="J67" i="15"/>
  <c r="K67" i="15"/>
  <c r="L67" i="15"/>
  <c r="M67" i="15"/>
  <c r="N67" i="15"/>
  <c r="O67" i="15"/>
  <c r="P67" i="15"/>
  <c r="Q67" i="15"/>
  <c r="R67" i="15"/>
  <c r="C67" i="15"/>
  <c r="T66" i="15"/>
  <c r="J66" i="15"/>
  <c r="K66" i="15"/>
  <c r="L66" i="15"/>
  <c r="M66" i="15"/>
  <c r="N66" i="15"/>
  <c r="O66" i="15"/>
  <c r="P66" i="15"/>
  <c r="Q66" i="15"/>
  <c r="R66" i="15"/>
  <c r="C66" i="15"/>
  <c r="T65" i="15"/>
  <c r="J65" i="15"/>
  <c r="K65" i="15"/>
  <c r="L65" i="15"/>
  <c r="M65" i="15"/>
  <c r="N65" i="15"/>
  <c r="O65" i="15"/>
  <c r="P65" i="15"/>
  <c r="Q65" i="15"/>
  <c r="R65" i="15"/>
  <c r="C65" i="15"/>
  <c r="T64" i="15"/>
  <c r="J64" i="15"/>
  <c r="K64" i="15"/>
  <c r="L64" i="15"/>
  <c r="M64" i="15"/>
  <c r="N64" i="15"/>
  <c r="O64" i="15"/>
  <c r="P64" i="15"/>
  <c r="Q64" i="15"/>
  <c r="R64" i="15"/>
  <c r="C64" i="15"/>
  <c r="T63" i="15"/>
  <c r="J63" i="15"/>
  <c r="K63" i="15"/>
  <c r="L63" i="15"/>
  <c r="M63" i="15"/>
  <c r="N63" i="15"/>
  <c r="O63" i="15"/>
  <c r="P63" i="15"/>
  <c r="Q63" i="15"/>
  <c r="R63" i="15"/>
  <c r="C63" i="15"/>
  <c r="T62" i="15"/>
  <c r="J62" i="15"/>
  <c r="K62" i="15"/>
  <c r="L62" i="15"/>
  <c r="M62" i="15"/>
  <c r="N62" i="15"/>
  <c r="O62" i="15"/>
  <c r="P62" i="15"/>
  <c r="Q62" i="15"/>
  <c r="R62" i="15"/>
  <c r="C62" i="15"/>
  <c r="T61" i="15"/>
  <c r="J61" i="15"/>
  <c r="K61" i="15"/>
  <c r="L61" i="15"/>
  <c r="M61" i="15"/>
  <c r="N61" i="15"/>
  <c r="O61" i="15"/>
  <c r="P61" i="15"/>
  <c r="Q61" i="15"/>
  <c r="R61" i="15"/>
  <c r="C61" i="15"/>
  <c r="T60" i="15"/>
  <c r="J60" i="15"/>
  <c r="K60" i="15"/>
  <c r="L60" i="15"/>
  <c r="M60" i="15"/>
  <c r="N60" i="15"/>
  <c r="O60" i="15"/>
  <c r="P60" i="15"/>
  <c r="Q60" i="15"/>
  <c r="R60" i="15"/>
  <c r="C60" i="15"/>
  <c r="T59" i="15"/>
  <c r="J59" i="15"/>
  <c r="K59" i="15"/>
  <c r="L59" i="15"/>
  <c r="M59" i="15"/>
  <c r="N59" i="15"/>
  <c r="O59" i="15"/>
  <c r="P59" i="15"/>
  <c r="Q59" i="15"/>
  <c r="R59" i="15"/>
  <c r="C59" i="15"/>
  <c r="T58" i="15"/>
  <c r="J58" i="15"/>
  <c r="K58" i="15"/>
  <c r="L58" i="15"/>
  <c r="M58" i="15"/>
  <c r="N58" i="15"/>
  <c r="O58" i="15"/>
  <c r="P58" i="15"/>
  <c r="Q58" i="15"/>
  <c r="R58" i="15"/>
  <c r="C58" i="15"/>
  <c r="T57" i="15"/>
  <c r="J57" i="15"/>
  <c r="K57" i="15"/>
  <c r="L57" i="15"/>
  <c r="M57" i="15"/>
  <c r="N57" i="15"/>
  <c r="O57" i="15"/>
  <c r="P57" i="15"/>
  <c r="Q57" i="15"/>
  <c r="R57" i="15"/>
  <c r="C57" i="15"/>
  <c r="T56" i="15"/>
  <c r="J56" i="15"/>
  <c r="K56" i="15"/>
  <c r="L56" i="15"/>
  <c r="M56" i="15"/>
  <c r="N56" i="15"/>
  <c r="O56" i="15"/>
  <c r="P56" i="15"/>
  <c r="Q56" i="15"/>
  <c r="R56" i="15"/>
  <c r="C56" i="15"/>
  <c r="T55" i="15"/>
  <c r="J55" i="15"/>
  <c r="K55" i="15"/>
  <c r="L55" i="15"/>
  <c r="M55" i="15"/>
  <c r="N55" i="15"/>
  <c r="O55" i="15"/>
  <c r="P55" i="15"/>
  <c r="Q55" i="15"/>
  <c r="R55" i="15"/>
  <c r="C55" i="15"/>
  <c r="T54" i="15"/>
  <c r="J54" i="15"/>
  <c r="K54" i="15"/>
  <c r="L54" i="15"/>
  <c r="M54" i="15"/>
  <c r="N54" i="15"/>
  <c r="O54" i="15"/>
  <c r="P54" i="15"/>
  <c r="Q54" i="15"/>
  <c r="R54" i="15"/>
  <c r="C54" i="15"/>
  <c r="T53" i="15"/>
  <c r="J53" i="15"/>
  <c r="K53" i="15"/>
  <c r="L53" i="15"/>
  <c r="M53" i="15"/>
  <c r="N53" i="15"/>
  <c r="O53" i="15"/>
  <c r="P53" i="15"/>
  <c r="Q53" i="15"/>
  <c r="R53" i="15"/>
  <c r="C53" i="15"/>
  <c r="T52" i="15"/>
  <c r="J52" i="15"/>
  <c r="K52" i="15"/>
  <c r="L52" i="15"/>
  <c r="M52" i="15"/>
  <c r="N52" i="15"/>
  <c r="O52" i="15"/>
  <c r="P52" i="15"/>
  <c r="Q52" i="15"/>
  <c r="R52" i="15"/>
  <c r="C52" i="15"/>
  <c r="T51" i="15"/>
  <c r="J51" i="15"/>
  <c r="K51" i="15"/>
  <c r="L51" i="15"/>
  <c r="M51" i="15"/>
  <c r="N51" i="15"/>
  <c r="O51" i="15"/>
  <c r="P51" i="15"/>
  <c r="Q51" i="15"/>
  <c r="R51" i="15"/>
  <c r="C51" i="15"/>
  <c r="T50" i="15"/>
  <c r="J50" i="15"/>
  <c r="K50" i="15"/>
  <c r="L50" i="15"/>
  <c r="M50" i="15"/>
  <c r="N50" i="15"/>
  <c r="O50" i="15"/>
  <c r="P50" i="15"/>
  <c r="Q50" i="15"/>
  <c r="R50" i="15"/>
  <c r="C50" i="15"/>
  <c r="T49" i="15"/>
  <c r="J49" i="15"/>
  <c r="K49" i="15"/>
  <c r="L49" i="15"/>
  <c r="M49" i="15"/>
  <c r="N49" i="15"/>
  <c r="O49" i="15"/>
  <c r="P49" i="15"/>
  <c r="Q49" i="15"/>
  <c r="R49" i="15"/>
  <c r="C49" i="15"/>
  <c r="T48" i="15"/>
  <c r="J48" i="15"/>
  <c r="K48" i="15"/>
  <c r="L48" i="15"/>
  <c r="M48" i="15"/>
  <c r="N48" i="15"/>
  <c r="O48" i="15"/>
  <c r="P48" i="15"/>
  <c r="Q48" i="15"/>
  <c r="R48" i="15"/>
  <c r="C48" i="15"/>
  <c r="T47" i="15"/>
  <c r="J47" i="15"/>
  <c r="K47" i="15"/>
  <c r="L47" i="15"/>
  <c r="M47" i="15"/>
  <c r="N47" i="15"/>
  <c r="O47" i="15"/>
  <c r="P47" i="15"/>
  <c r="Q47" i="15"/>
  <c r="R47" i="15"/>
  <c r="C47" i="15"/>
  <c r="T46" i="15"/>
  <c r="J46" i="15"/>
  <c r="K46" i="15"/>
  <c r="L46" i="15"/>
  <c r="M46" i="15"/>
  <c r="N46" i="15"/>
  <c r="O46" i="15"/>
  <c r="P46" i="15"/>
  <c r="Q46" i="15"/>
  <c r="R46" i="15"/>
  <c r="C46" i="15"/>
  <c r="T45" i="15"/>
  <c r="J45" i="15"/>
  <c r="K45" i="15"/>
  <c r="L45" i="15"/>
  <c r="M45" i="15"/>
  <c r="N45" i="15"/>
  <c r="O45" i="15"/>
  <c r="P45" i="15"/>
  <c r="Q45" i="15"/>
  <c r="R45" i="15"/>
  <c r="C45" i="15"/>
  <c r="T44" i="15"/>
  <c r="J44" i="15"/>
  <c r="K44" i="15"/>
  <c r="L44" i="15"/>
  <c r="M44" i="15"/>
  <c r="N44" i="15"/>
  <c r="O44" i="15"/>
  <c r="P44" i="15"/>
  <c r="Q44" i="15"/>
  <c r="R44" i="15"/>
  <c r="C44" i="15"/>
  <c r="T43" i="15"/>
  <c r="J43" i="15"/>
  <c r="K43" i="15"/>
  <c r="L43" i="15"/>
  <c r="M43" i="15"/>
  <c r="N43" i="15"/>
  <c r="O43" i="15"/>
  <c r="P43" i="15"/>
  <c r="Q43" i="15"/>
  <c r="R43" i="15"/>
  <c r="C43" i="15"/>
  <c r="T42" i="15"/>
  <c r="J42" i="15"/>
  <c r="K42" i="15"/>
  <c r="L42" i="15"/>
  <c r="M42" i="15"/>
  <c r="N42" i="15"/>
  <c r="O42" i="15"/>
  <c r="P42" i="15"/>
  <c r="Q42" i="15"/>
  <c r="R42" i="15"/>
  <c r="C42" i="15"/>
  <c r="T41" i="15"/>
  <c r="J41" i="15"/>
  <c r="K41" i="15"/>
  <c r="L41" i="15"/>
  <c r="M41" i="15"/>
  <c r="N41" i="15"/>
  <c r="O41" i="15"/>
  <c r="P41" i="15"/>
  <c r="Q41" i="15"/>
  <c r="R41" i="15"/>
  <c r="C41" i="15"/>
  <c r="T40" i="15"/>
  <c r="J40" i="15"/>
  <c r="K40" i="15"/>
  <c r="L40" i="15"/>
  <c r="M40" i="15"/>
  <c r="N40" i="15"/>
  <c r="O40" i="15"/>
  <c r="P40" i="15"/>
  <c r="Q40" i="15"/>
  <c r="R40" i="15"/>
  <c r="C40" i="15"/>
  <c r="T39" i="15"/>
  <c r="J39" i="15"/>
  <c r="K39" i="15"/>
  <c r="L39" i="15"/>
  <c r="M39" i="15"/>
  <c r="N39" i="15"/>
  <c r="O39" i="15"/>
  <c r="P39" i="15"/>
  <c r="Q39" i="15"/>
  <c r="R39" i="15"/>
  <c r="C39" i="15"/>
  <c r="T38" i="15"/>
  <c r="J38" i="15"/>
  <c r="K38" i="15"/>
  <c r="L38" i="15"/>
  <c r="M38" i="15"/>
  <c r="N38" i="15"/>
  <c r="O38" i="15"/>
  <c r="P38" i="15"/>
  <c r="Q38" i="15"/>
  <c r="R38" i="15"/>
  <c r="C38" i="15"/>
  <c r="T37" i="15"/>
  <c r="J37" i="15"/>
  <c r="K37" i="15"/>
  <c r="L37" i="15"/>
  <c r="M37" i="15"/>
  <c r="N37" i="15"/>
  <c r="O37" i="15"/>
  <c r="P37" i="15"/>
  <c r="Q37" i="15"/>
  <c r="R37" i="15"/>
  <c r="C37" i="15"/>
  <c r="T36" i="15"/>
  <c r="J36" i="15"/>
  <c r="K36" i="15"/>
  <c r="L36" i="15"/>
  <c r="M36" i="15"/>
  <c r="N36" i="15"/>
  <c r="O36" i="15"/>
  <c r="P36" i="15"/>
  <c r="Q36" i="15"/>
  <c r="R36" i="15"/>
  <c r="C36" i="15"/>
  <c r="T35" i="15"/>
  <c r="J35" i="15"/>
  <c r="K35" i="15"/>
  <c r="L35" i="15"/>
  <c r="M35" i="15"/>
  <c r="N35" i="15"/>
  <c r="O35" i="15"/>
  <c r="P35" i="15"/>
  <c r="Q35" i="15"/>
  <c r="R35" i="15"/>
  <c r="C35" i="15"/>
  <c r="T34" i="15"/>
  <c r="J34" i="15"/>
  <c r="K34" i="15"/>
  <c r="L34" i="15"/>
  <c r="M34" i="15"/>
  <c r="N34" i="15"/>
  <c r="O34" i="15"/>
  <c r="P34" i="15"/>
  <c r="Q34" i="15"/>
  <c r="R34" i="15"/>
  <c r="C34" i="15"/>
  <c r="T33" i="15"/>
  <c r="J33" i="15"/>
  <c r="K33" i="15"/>
  <c r="L33" i="15"/>
  <c r="M33" i="15"/>
  <c r="N33" i="15"/>
  <c r="O33" i="15"/>
  <c r="P33" i="15"/>
  <c r="Q33" i="15"/>
  <c r="R33" i="15"/>
  <c r="C33" i="15"/>
  <c r="T32" i="15"/>
  <c r="J32" i="15"/>
  <c r="K32" i="15"/>
  <c r="L32" i="15"/>
  <c r="M32" i="15"/>
  <c r="N32" i="15"/>
  <c r="O32" i="15"/>
  <c r="P32" i="15"/>
  <c r="Q32" i="15"/>
  <c r="R32" i="15"/>
  <c r="C32" i="15"/>
  <c r="T31" i="15"/>
  <c r="J31" i="15"/>
  <c r="K31" i="15"/>
  <c r="L31" i="15"/>
  <c r="M31" i="15"/>
  <c r="N31" i="15"/>
  <c r="O31" i="15"/>
  <c r="P31" i="15"/>
  <c r="Q31" i="15"/>
  <c r="R31" i="15"/>
  <c r="C31" i="15"/>
  <c r="T30" i="15"/>
  <c r="J30" i="15"/>
  <c r="K30" i="15"/>
  <c r="L30" i="15"/>
  <c r="M30" i="15"/>
  <c r="N30" i="15"/>
  <c r="O30" i="15"/>
  <c r="P30" i="15"/>
  <c r="Q30" i="15"/>
  <c r="R30" i="15"/>
  <c r="C30" i="15"/>
  <c r="T29" i="15"/>
  <c r="J29" i="15"/>
  <c r="K29" i="15"/>
  <c r="L29" i="15"/>
  <c r="M29" i="15"/>
  <c r="N29" i="15"/>
  <c r="O29" i="15"/>
  <c r="P29" i="15"/>
  <c r="Q29" i="15"/>
  <c r="R29" i="15"/>
  <c r="C29" i="15"/>
  <c r="T28" i="15"/>
  <c r="J28" i="15"/>
  <c r="K28" i="15"/>
  <c r="L28" i="15"/>
  <c r="M28" i="15"/>
  <c r="N28" i="15"/>
  <c r="O28" i="15"/>
  <c r="P28" i="15"/>
  <c r="Q28" i="15"/>
  <c r="R28" i="15"/>
  <c r="C28" i="15"/>
  <c r="T27" i="15"/>
  <c r="J27" i="15"/>
  <c r="K27" i="15"/>
  <c r="L27" i="15"/>
  <c r="M27" i="15"/>
  <c r="N27" i="15"/>
  <c r="O27" i="15"/>
  <c r="P27" i="15"/>
  <c r="Q27" i="15"/>
  <c r="R27" i="15"/>
  <c r="C27" i="15"/>
  <c r="T26" i="15"/>
  <c r="J26" i="15"/>
  <c r="K26" i="15"/>
  <c r="L26" i="15"/>
  <c r="M26" i="15"/>
  <c r="N26" i="15"/>
  <c r="O26" i="15"/>
  <c r="P26" i="15"/>
  <c r="Q26" i="15"/>
  <c r="R26" i="15"/>
  <c r="C26" i="15"/>
  <c r="T25" i="15"/>
  <c r="J25" i="15"/>
  <c r="K25" i="15"/>
  <c r="L25" i="15"/>
  <c r="M25" i="15"/>
  <c r="N25" i="15"/>
  <c r="O25" i="15"/>
  <c r="P25" i="15"/>
  <c r="Q25" i="15"/>
  <c r="R25" i="15"/>
  <c r="C25" i="15"/>
  <c r="T24" i="15"/>
  <c r="J24" i="15"/>
  <c r="K24" i="15"/>
  <c r="L24" i="15"/>
  <c r="M24" i="15"/>
  <c r="N24" i="15"/>
  <c r="O24" i="15"/>
  <c r="P24" i="15"/>
  <c r="Q24" i="15"/>
  <c r="R24" i="15"/>
  <c r="C24" i="15"/>
  <c r="T23" i="15"/>
  <c r="J23" i="15"/>
  <c r="K23" i="15"/>
  <c r="L23" i="15"/>
  <c r="M23" i="15"/>
  <c r="N23" i="15"/>
  <c r="O23" i="15"/>
  <c r="P23" i="15"/>
  <c r="Q23" i="15"/>
  <c r="R23" i="15"/>
  <c r="C23" i="15"/>
  <c r="T22" i="15"/>
  <c r="J22" i="15"/>
  <c r="K22" i="15"/>
  <c r="L22" i="15"/>
  <c r="M22" i="15"/>
  <c r="N22" i="15"/>
  <c r="O22" i="15"/>
  <c r="P22" i="15"/>
  <c r="Q22" i="15"/>
  <c r="R22" i="15"/>
  <c r="C22" i="15"/>
  <c r="T21" i="15"/>
  <c r="J21" i="15"/>
  <c r="K21" i="15"/>
  <c r="L21" i="15"/>
  <c r="M21" i="15"/>
  <c r="N21" i="15"/>
  <c r="O21" i="15"/>
  <c r="P21" i="15"/>
  <c r="Q21" i="15"/>
  <c r="R21" i="15"/>
  <c r="C21" i="15"/>
  <c r="T20" i="15"/>
  <c r="J20" i="15"/>
  <c r="K20" i="15"/>
  <c r="L20" i="15"/>
  <c r="M20" i="15"/>
  <c r="N20" i="15"/>
  <c r="O20" i="15"/>
  <c r="P20" i="15"/>
  <c r="Q20" i="15"/>
  <c r="R20" i="15"/>
  <c r="C20" i="15"/>
  <c r="T19" i="15"/>
  <c r="J19" i="15"/>
  <c r="K19" i="15"/>
  <c r="L19" i="15"/>
  <c r="M19" i="15"/>
  <c r="N19" i="15"/>
  <c r="O19" i="15"/>
  <c r="P19" i="15"/>
  <c r="Q19" i="15"/>
  <c r="R19" i="15"/>
  <c r="C19" i="15"/>
  <c r="T18" i="15"/>
  <c r="J18" i="15"/>
  <c r="K18" i="15"/>
  <c r="L18" i="15"/>
  <c r="M18" i="15"/>
  <c r="N18" i="15"/>
  <c r="O18" i="15"/>
  <c r="P18" i="15"/>
  <c r="Q18" i="15"/>
  <c r="R18" i="15"/>
  <c r="C18" i="15"/>
  <c r="T17" i="15"/>
  <c r="J17" i="15"/>
  <c r="K17" i="15"/>
  <c r="L17" i="15"/>
  <c r="M17" i="15"/>
  <c r="N17" i="15"/>
  <c r="O17" i="15"/>
  <c r="P17" i="15"/>
  <c r="Q17" i="15"/>
  <c r="R17" i="15"/>
  <c r="C17" i="15"/>
  <c r="T16" i="15"/>
  <c r="J16" i="15"/>
  <c r="K16" i="15"/>
  <c r="L16" i="15"/>
  <c r="M16" i="15"/>
  <c r="N16" i="15"/>
  <c r="O16" i="15"/>
  <c r="P16" i="15"/>
  <c r="Q16" i="15"/>
  <c r="R16" i="15"/>
  <c r="C16" i="15"/>
  <c r="T15" i="15"/>
  <c r="J15" i="15"/>
  <c r="K15" i="15"/>
  <c r="L15" i="15"/>
  <c r="M15" i="15"/>
  <c r="N15" i="15"/>
  <c r="O15" i="15"/>
  <c r="P15" i="15"/>
  <c r="Q15" i="15"/>
  <c r="R15" i="15"/>
  <c r="C15" i="15"/>
  <c r="T14" i="15"/>
  <c r="J14" i="15"/>
  <c r="K14" i="15"/>
  <c r="L14" i="15"/>
  <c r="M14" i="15"/>
  <c r="N14" i="15"/>
  <c r="O14" i="15"/>
  <c r="P14" i="15"/>
  <c r="Q14" i="15"/>
  <c r="R14" i="15"/>
  <c r="C14" i="15"/>
  <c r="T13" i="15"/>
  <c r="J13" i="15"/>
  <c r="K13" i="15"/>
  <c r="L13" i="15"/>
  <c r="M13" i="15"/>
  <c r="N13" i="15"/>
  <c r="O13" i="15"/>
  <c r="P13" i="15"/>
  <c r="Q13" i="15"/>
  <c r="R13" i="15"/>
  <c r="C13" i="15"/>
  <c r="T12" i="15"/>
  <c r="J12" i="15"/>
  <c r="K12" i="15"/>
  <c r="L12" i="15"/>
  <c r="M12" i="15"/>
  <c r="N12" i="15"/>
  <c r="O12" i="15"/>
  <c r="P12" i="15"/>
  <c r="Q12" i="15"/>
  <c r="R12" i="15"/>
  <c r="C12" i="15"/>
  <c r="T11" i="15"/>
  <c r="J11" i="15"/>
  <c r="K11" i="15"/>
  <c r="L11" i="15"/>
  <c r="M11" i="15"/>
  <c r="N11" i="15"/>
  <c r="O11" i="15"/>
  <c r="P11" i="15"/>
  <c r="Q11" i="15"/>
  <c r="R11" i="15"/>
  <c r="C11" i="15"/>
  <c r="T10" i="15"/>
  <c r="J10" i="15"/>
  <c r="K10" i="15"/>
  <c r="L10" i="15"/>
  <c r="M10" i="15"/>
  <c r="N10" i="15"/>
  <c r="O10" i="15"/>
  <c r="P10" i="15"/>
  <c r="Q10" i="15"/>
  <c r="R10" i="15"/>
  <c r="C10" i="15"/>
  <c r="T9" i="15"/>
  <c r="J9" i="15"/>
  <c r="K9" i="15"/>
  <c r="L9" i="15"/>
  <c r="M9" i="15"/>
  <c r="N9" i="15"/>
  <c r="O9" i="15"/>
  <c r="P9" i="15"/>
  <c r="Q9" i="15"/>
  <c r="R9" i="15"/>
  <c r="C9" i="15"/>
  <c r="T8" i="15"/>
  <c r="J8" i="15"/>
  <c r="K8" i="15"/>
  <c r="L8" i="15"/>
  <c r="M8" i="15"/>
  <c r="N8" i="15"/>
  <c r="O8" i="15"/>
  <c r="P8" i="15"/>
  <c r="Q8" i="15"/>
  <c r="R8" i="15"/>
  <c r="C8" i="15"/>
  <c r="T7" i="15"/>
  <c r="J7" i="15"/>
  <c r="K7" i="15"/>
  <c r="L7" i="15"/>
  <c r="M7" i="15"/>
  <c r="N7" i="15"/>
  <c r="O7" i="15"/>
  <c r="P7" i="15"/>
  <c r="Q7" i="15"/>
  <c r="R7" i="15"/>
  <c r="C7" i="15"/>
  <c r="T6" i="15"/>
  <c r="J6" i="15"/>
  <c r="K6" i="15"/>
  <c r="L6" i="15"/>
  <c r="M6" i="15"/>
  <c r="N6" i="15"/>
  <c r="O6" i="15"/>
  <c r="P6" i="15"/>
  <c r="Q6" i="15"/>
  <c r="R6" i="15"/>
  <c r="C6" i="15"/>
  <c r="T5" i="15"/>
  <c r="J5" i="15"/>
  <c r="K5" i="15"/>
  <c r="L5" i="15"/>
  <c r="M5" i="15"/>
  <c r="N5" i="15"/>
  <c r="O5" i="15"/>
  <c r="P5" i="15"/>
  <c r="Q5" i="15"/>
  <c r="R5" i="15"/>
  <c r="C5" i="15"/>
  <c r="T4" i="15"/>
  <c r="J4" i="15"/>
  <c r="K4" i="15"/>
  <c r="L4" i="15"/>
  <c r="M4" i="15"/>
  <c r="N4" i="15"/>
  <c r="O4" i="15"/>
  <c r="P4" i="15"/>
  <c r="Q4" i="15"/>
  <c r="R4" i="15"/>
  <c r="C4" i="15"/>
  <c r="T3" i="15"/>
  <c r="J3" i="15"/>
  <c r="K3" i="15"/>
  <c r="L3" i="15"/>
  <c r="M3" i="15"/>
  <c r="N3" i="15"/>
  <c r="O3" i="15"/>
  <c r="P3" i="15"/>
  <c r="Q3" i="15"/>
  <c r="R3" i="15"/>
  <c r="C3" i="15"/>
  <c r="T2" i="15"/>
  <c r="J2" i="15"/>
  <c r="K2" i="15"/>
  <c r="L2" i="15"/>
  <c r="M2" i="15"/>
  <c r="N2" i="15"/>
  <c r="O2" i="15"/>
  <c r="P2" i="15"/>
  <c r="Q2" i="15"/>
  <c r="R2" i="15"/>
  <c r="J33" i="3"/>
  <c r="AM3" i="3"/>
  <c r="AM4" i="3"/>
  <c r="AM5" i="3"/>
  <c r="AM6" i="3"/>
  <c r="AM7" i="3"/>
  <c r="AM8" i="3"/>
  <c r="AM9" i="3"/>
  <c r="AM10" i="3"/>
  <c r="AM11" i="3"/>
  <c r="AM12" i="3"/>
  <c r="AM13" i="3"/>
  <c r="G24" i="3"/>
  <c r="AJ3" i="3"/>
  <c r="AJ4" i="3"/>
  <c r="AJ5" i="3"/>
  <c r="AJ6" i="3"/>
  <c r="AJ7" i="3"/>
  <c r="AJ8" i="3"/>
  <c r="AJ9" i="3"/>
  <c r="AJ10" i="3"/>
  <c r="G23" i="3"/>
  <c r="AG11" i="3"/>
  <c r="AG10" i="3"/>
  <c r="AG9" i="3"/>
  <c r="AG8" i="3"/>
  <c r="AG7" i="3"/>
  <c r="AG6" i="3"/>
  <c r="AG5" i="3"/>
  <c r="AG4" i="3"/>
  <c r="AG3"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81" i="3"/>
  <c r="T69" i="3"/>
  <c r="T70" i="3"/>
  <c r="T71" i="3"/>
  <c r="T72" i="3"/>
  <c r="T73" i="3"/>
  <c r="T74" i="3"/>
  <c r="T75" i="3"/>
  <c r="T76" i="3"/>
  <c r="T77" i="3"/>
  <c r="T78" i="3"/>
  <c r="T79" i="3"/>
  <c r="T80"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K3" i="3"/>
  <c r="E4" i="14"/>
  <c r="E3" i="14"/>
  <c r="E2" i="14"/>
  <c r="J44" i="3"/>
  <c r="K44" i="3"/>
  <c r="L44" i="3"/>
  <c r="M44" i="3"/>
  <c r="N44" i="3"/>
  <c r="O44" i="3"/>
  <c r="P44" i="3"/>
  <c r="Q44" i="3"/>
  <c r="C44" i="3"/>
  <c r="K2" i="3"/>
  <c r="J45" i="3"/>
  <c r="K45" i="3"/>
  <c r="L45" i="3"/>
  <c r="N45" i="3"/>
  <c r="O45" i="3"/>
  <c r="P45" i="3"/>
  <c r="Q45" i="3"/>
  <c r="C45" i="3"/>
  <c r="J49" i="3"/>
  <c r="K49" i="3"/>
  <c r="L49" i="3"/>
  <c r="N49" i="3"/>
  <c r="O49" i="3"/>
  <c r="P49" i="3"/>
  <c r="Q49" i="3"/>
  <c r="C49" i="3"/>
  <c r="K9" i="3"/>
  <c r="K8" i="3"/>
  <c r="K6" i="3"/>
  <c r="K5" i="3"/>
  <c r="K4" i="3"/>
  <c r="J213" i="3"/>
  <c r="K213" i="3"/>
  <c r="L213" i="3"/>
  <c r="N213" i="3"/>
  <c r="O213" i="3"/>
  <c r="P213" i="3"/>
  <c r="Q213" i="3"/>
  <c r="J214" i="3"/>
  <c r="K214" i="3"/>
  <c r="L214" i="3"/>
  <c r="N214" i="3"/>
  <c r="O214" i="3"/>
  <c r="P214" i="3"/>
  <c r="Q214" i="3"/>
  <c r="J215" i="3"/>
  <c r="K215" i="3"/>
  <c r="L215" i="3"/>
  <c r="N215" i="3"/>
  <c r="O215" i="3"/>
  <c r="P215" i="3"/>
  <c r="Q215" i="3"/>
  <c r="J216" i="3"/>
  <c r="K216" i="3"/>
  <c r="L216" i="3"/>
  <c r="N216" i="3"/>
  <c r="O216" i="3"/>
  <c r="P216" i="3"/>
  <c r="Q216" i="3"/>
  <c r="J217" i="3"/>
  <c r="K217" i="3"/>
  <c r="L217" i="3"/>
  <c r="N217" i="3"/>
  <c r="O217" i="3"/>
  <c r="P217" i="3"/>
  <c r="Q217" i="3"/>
  <c r="J218" i="3"/>
  <c r="K218" i="3"/>
  <c r="L218" i="3"/>
  <c r="N218" i="3"/>
  <c r="O218" i="3"/>
  <c r="P218" i="3"/>
  <c r="Q218" i="3"/>
  <c r="J219" i="3"/>
  <c r="K219" i="3"/>
  <c r="L219" i="3"/>
  <c r="N219" i="3"/>
  <c r="O219" i="3"/>
  <c r="P219" i="3"/>
  <c r="Q219" i="3"/>
  <c r="J220" i="3"/>
  <c r="K220" i="3"/>
  <c r="L220" i="3"/>
  <c r="N220" i="3"/>
  <c r="O220" i="3"/>
  <c r="P220" i="3"/>
  <c r="Q220" i="3"/>
  <c r="J221" i="3"/>
  <c r="K221" i="3"/>
  <c r="L221" i="3"/>
  <c r="N221" i="3"/>
  <c r="O221" i="3"/>
  <c r="P221" i="3"/>
  <c r="Q221" i="3"/>
  <c r="J222" i="3"/>
  <c r="K222" i="3"/>
  <c r="L222" i="3"/>
  <c r="N222" i="3"/>
  <c r="O222" i="3"/>
  <c r="P222" i="3"/>
  <c r="Q222" i="3"/>
  <c r="J223" i="3"/>
  <c r="K223" i="3"/>
  <c r="L223" i="3"/>
  <c r="N223" i="3"/>
  <c r="O223" i="3"/>
  <c r="P223" i="3"/>
  <c r="Q223" i="3"/>
  <c r="J224" i="3"/>
  <c r="K224" i="3"/>
  <c r="L224" i="3"/>
  <c r="N224" i="3"/>
  <c r="O224" i="3"/>
  <c r="P224" i="3"/>
  <c r="Q224" i="3"/>
  <c r="J225" i="3"/>
  <c r="K225" i="3"/>
  <c r="L225" i="3"/>
  <c r="N225" i="3"/>
  <c r="O225" i="3"/>
  <c r="P225" i="3"/>
  <c r="Q225" i="3"/>
  <c r="J226" i="3"/>
  <c r="K226" i="3"/>
  <c r="L226" i="3"/>
  <c r="N226" i="3"/>
  <c r="O226" i="3"/>
  <c r="P226" i="3"/>
  <c r="Q226" i="3"/>
  <c r="J227" i="3"/>
  <c r="K227" i="3"/>
  <c r="L227" i="3"/>
  <c r="N227" i="3"/>
  <c r="O227" i="3"/>
  <c r="P227" i="3"/>
  <c r="Q227" i="3"/>
  <c r="J228" i="3"/>
  <c r="K228" i="3"/>
  <c r="L228" i="3"/>
  <c r="N228" i="3"/>
  <c r="O228" i="3"/>
  <c r="P228" i="3"/>
  <c r="Q228" i="3"/>
  <c r="J229" i="3"/>
  <c r="K229" i="3"/>
  <c r="L229" i="3"/>
  <c r="M229" i="3"/>
  <c r="N229" i="3"/>
  <c r="O229" i="3"/>
  <c r="P229" i="3"/>
  <c r="Q229" i="3"/>
  <c r="J230" i="3"/>
  <c r="K230" i="3"/>
  <c r="L230" i="3"/>
  <c r="N230" i="3"/>
  <c r="O230" i="3"/>
  <c r="P230" i="3"/>
  <c r="Q230" i="3"/>
  <c r="J231" i="3"/>
  <c r="K231" i="3"/>
  <c r="L231" i="3"/>
  <c r="N231" i="3"/>
  <c r="O231" i="3"/>
  <c r="P231" i="3"/>
  <c r="Q231" i="3"/>
  <c r="J232" i="3"/>
  <c r="K232" i="3"/>
  <c r="L232" i="3"/>
  <c r="N232" i="3"/>
  <c r="O232" i="3"/>
  <c r="P232" i="3"/>
  <c r="Q232" i="3"/>
  <c r="J233" i="3"/>
  <c r="K233" i="3"/>
  <c r="L233" i="3"/>
  <c r="N233" i="3"/>
  <c r="O233" i="3"/>
  <c r="P233" i="3"/>
  <c r="Q233" i="3"/>
  <c r="J234" i="3"/>
  <c r="K234" i="3"/>
  <c r="L234" i="3"/>
  <c r="N234" i="3"/>
  <c r="O234" i="3"/>
  <c r="P234" i="3"/>
  <c r="Q234" i="3"/>
  <c r="J235" i="3"/>
  <c r="K235" i="3"/>
  <c r="L235" i="3"/>
  <c r="N235" i="3"/>
  <c r="O235" i="3"/>
  <c r="P235" i="3"/>
  <c r="Q235" i="3"/>
  <c r="J236" i="3"/>
  <c r="K236" i="3"/>
  <c r="L236" i="3"/>
  <c r="N236" i="3"/>
  <c r="O236" i="3"/>
  <c r="P236" i="3"/>
  <c r="Q236" i="3"/>
  <c r="J237" i="3"/>
  <c r="K237" i="3"/>
  <c r="L237" i="3"/>
  <c r="M237" i="3"/>
  <c r="N237" i="3"/>
  <c r="O237" i="3"/>
  <c r="P237" i="3"/>
  <c r="Q237" i="3"/>
  <c r="J238" i="3"/>
  <c r="K238" i="3"/>
  <c r="L238" i="3"/>
  <c r="N238" i="3"/>
  <c r="O238" i="3"/>
  <c r="P238" i="3"/>
  <c r="Q238" i="3"/>
  <c r="J239" i="3"/>
  <c r="K239" i="3"/>
  <c r="L239" i="3"/>
  <c r="N239" i="3"/>
  <c r="O239" i="3"/>
  <c r="P239" i="3"/>
  <c r="Q239" i="3"/>
  <c r="J240" i="3"/>
  <c r="K240" i="3"/>
  <c r="L240" i="3"/>
  <c r="N240" i="3"/>
  <c r="O240" i="3"/>
  <c r="P240" i="3"/>
  <c r="Q240" i="3"/>
  <c r="J241" i="3"/>
  <c r="K241" i="3"/>
  <c r="L241" i="3"/>
  <c r="N241" i="3"/>
  <c r="O241" i="3"/>
  <c r="P241" i="3"/>
  <c r="Q241" i="3"/>
  <c r="J242" i="3"/>
  <c r="K242" i="3"/>
  <c r="L242" i="3"/>
  <c r="N242" i="3"/>
  <c r="O242" i="3"/>
  <c r="P242" i="3"/>
  <c r="Q242" i="3"/>
  <c r="J243" i="3"/>
  <c r="K243" i="3"/>
  <c r="L243" i="3"/>
  <c r="N243" i="3"/>
  <c r="O243" i="3"/>
  <c r="P243" i="3"/>
  <c r="Q243" i="3"/>
  <c r="J244" i="3"/>
  <c r="K244" i="3"/>
  <c r="L244" i="3"/>
  <c r="N244" i="3"/>
  <c r="O244" i="3"/>
  <c r="P244" i="3"/>
  <c r="Q244" i="3"/>
  <c r="J245" i="3"/>
  <c r="K245" i="3"/>
  <c r="L245" i="3"/>
  <c r="N245" i="3"/>
  <c r="O245" i="3"/>
  <c r="P245" i="3"/>
  <c r="Q245" i="3"/>
  <c r="J246" i="3"/>
  <c r="K246" i="3"/>
  <c r="L246" i="3"/>
  <c r="N246" i="3"/>
  <c r="O246" i="3"/>
  <c r="P246" i="3"/>
  <c r="Q246" i="3"/>
  <c r="J247" i="3"/>
  <c r="K247" i="3"/>
  <c r="L247" i="3"/>
  <c r="N247" i="3"/>
  <c r="O247" i="3"/>
  <c r="P247" i="3"/>
  <c r="Q247" i="3"/>
  <c r="J248" i="3"/>
  <c r="K248" i="3"/>
  <c r="L248" i="3"/>
  <c r="N248" i="3"/>
  <c r="O248" i="3"/>
  <c r="P248" i="3"/>
  <c r="Q248" i="3"/>
  <c r="J249" i="3"/>
  <c r="K249" i="3"/>
  <c r="L249" i="3"/>
  <c r="N249" i="3"/>
  <c r="O249" i="3"/>
  <c r="P249" i="3"/>
  <c r="Q249" i="3"/>
  <c r="J250" i="3"/>
  <c r="K250" i="3"/>
  <c r="L250" i="3"/>
  <c r="N250" i="3"/>
  <c r="O250" i="3"/>
  <c r="P250" i="3"/>
  <c r="Q250" i="3"/>
  <c r="J251" i="3"/>
  <c r="K251" i="3"/>
  <c r="L251" i="3"/>
  <c r="N251" i="3"/>
  <c r="O251" i="3"/>
  <c r="P251" i="3"/>
  <c r="Q251" i="3"/>
  <c r="J252" i="3"/>
  <c r="K252" i="3"/>
  <c r="L252" i="3"/>
  <c r="N252" i="3"/>
  <c r="O252" i="3"/>
  <c r="P252" i="3"/>
  <c r="Q252" i="3"/>
  <c r="J253" i="3"/>
  <c r="K253" i="3"/>
  <c r="L253" i="3"/>
  <c r="N253" i="3"/>
  <c r="O253" i="3"/>
  <c r="P253" i="3"/>
  <c r="Q253" i="3"/>
  <c r="J254" i="3"/>
  <c r="K254" i="3"/>
  <c r="L254" i="3"/>
  <c r="N254" i="3"/>
  <c r="O254" i="3"/>
  <c r="P254" i="3"/>
  <c r="Q254" i="3"/>
  <c r="J255" i="3"/>
  <c r="K255" i="3"/>
  <c r="L255" i="3"/>
  <c r="N255" i="3"/>
  <c r="O255" i="3"/>
  <c r="P255" i="3"/>
  <c r="Q255" i="3"/>
  <c r="J256" i="3"/>
  <c r="K256" i="3"/>
  <c r="L256" i="3"/>
  <c r="N256" i="3"/>
  <c r="O256" i="3"/>
  <c r="P256" i="3"/>
  <c r="Q256" i="3"/>
  <c r="J257" i="3"/>
  <c r="K257" i="3"/>
  <c r="L257" i="3"/>
  <c r="N257" i="3"/>
  <c r="O257" i="3"/>
  <c r="P257" i="3"/>
  <c r="Q257" i="3"/>
  <c r="J258" i="3"/>
  <c r="K258" i="3"/>
  <c r="L258" i="3"/>
  <c r="N258" i="3"/>
  <c r="O258" i="3"/>
  <c r="P258" i="3"/>
  <c r="Q258" i="3"/>
  <c r="J259" i="3"/>
  <c r="K259" i="3"/>
  <c r="L259" i="3"/>
  <c r="N259" i="3"/>
  <c r="O259" i="3"/>
  <c r="P259" i="3"/>
  <c r="Q259" i="3"/>
  <c r="J260" i="3"/>
  <c r="K260" i="3"/>
  <c r="L260" i="3"/>
  <c r="N260" i="3"/>
  <c r="O260" i="3"/>
  <c r="P260" i="3"/>
  <c r="Q260" i="3"/>
  <c r="J261" i="3"/>
  <c r="K261" i="3"/>
  <c r="L261" i="3"/>
  <c r="N261" i="3"/>
  <c r="O261" i="3"/>
  <c r="P261" i="3"/>
  <c r="Q261" i="3"/>
  <c r="J262" i="3"/>
  <c r="K262" i="3"/>
  <c r="L262" i="3"/>
  <c r="N262" i="3"/>
  <c r="O262" i="3"/>
  <c r="P262" i="3"/>
  <c r="Q262" i="3"/>
  <c r="J263" i="3"/>
  <c r="K263" i="3"/>
  <c r="L263" i="3"/>
  <c r="N263" i="3"/>
  <c r="O263" i="3"/>
  <c r="P263" i="3"/>
  <c r="Q263" i="3"/>
  <c r="J264" i="3"/>
  <c r="K264" i="3"/>
  <c r="L264" i="3"/>
  <c r="N264" i="3"/>
  <c r="O264" i="3"/>
  <c r="P264" i="3"/>
  <c r="Q264" i="3"/>
  <c r="J265" i="3"/>
  <c r="K265" i="3"/>
  <c r="L265" i="3"/>
  <c r="N265" i="3"/>
  <c r="O265" i="3"/>
  <c r="P265" i="3"/>
  <c r="Q265" i="3"/>
  <c r="J266" i="3"/>
  <c r="K266" i="3"/>
  <c r="L266" i="3"/>
  <c r="N266" i="3"/>
  <c r="O266" i="3"/>
  <c r="P266" i="3"/>
  <c r="Q266" i="3"/>
  <c r="J267" i="3"/>
  <c r="K267" i="3"/>
  <c r="L267" i="3"/>
  <c r="N267" i="3"/>
  <c r="O267" i="3"/>
  <c r="P267" i="3"/>
  <c r="Q267" i="3"/>
  <c r="J268" i="3"/>
  <c r="K268" i="3"/>
  <c r="L268" i="3"/>
  <c r="N268" i="3"/>
  <c r="O268" i="3"/>
  <c r="P268" i="3"/>
  <c r="Q268" i="3"/>
  <c r="J269" i="3"/>
  <c r="K269" i="3"/>
  <c r="L269" i="3"/>
  <c r="N269" i="3"/>
  <c r="O269" i="3"/>
  <c r="P269" i="3"/>
  <c r="Q269" i="3"/>
  <c r="J270" i="3"/>
  <c r="K270" i="3"/>
  <c r="L270" i="3"/>
  <c r="N270" i="3"/>
  <c r="O270" i="3"/>
  <c r="P270" i="3"/>
  <c r="Q270" i="3"/>
  <c r="J271" i="3"/>
  <c r="K271" i="3"/>
  <c r="L271" i="3"/>
  <c r="N271" i="3"/>
  <c r="O271" i="3"/>
  <c r="P271" i="3"/>
  <c r="Q271" i="3"/>
  <c r="J272" i="3"/>
  <c r="K272" i="3"/>
  <c r="L272" i="3"/>
  <c r="N272" i="3"/>
  <c r="O272" i="3"/>
  <c r="P272" i="3"/>
  <c r="Q272" i="3"/>
  <c r="J273" i="3"/>
  <c r="K273" i="3"/>
  <c r="L273" i="3"/>
  <c r="M273" i="3"/>
  <c r="N273" i="3"/>
  <c r="O273" i="3"/>
  <c r="P273" i="3"/>
  <c r="Q273"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8" i="5"/>
  <c r="M233" i="3"/>
  <c r="T33" i="3"/>
  <c r="G6" i="5"/>
  <c r="O6" i="5"/>
  <c r="R44" i="3"/>
  <c r="M45" i="3"/>
  <c r="R45" i="3"/>
  <c r="M225" i="3"/>
  <c r="R225" i="3"/>
  <c r="M224" i="3"/>
  <c r="M223" i="3"/>
  <c r="R223" i="3"/>
  <c r="M222" i="3"/>
  <c r="R222" i="3"/>
  <c r="M221" i="3"/>
  <c r="R221" i="3"/>
  <c r="M217" i="3"/>
  <c r="R217" i="3"/>
  <c r="M269" i="3"/>
  <c r="R269" i="3"/>
  <c r="M267" i="3"/>
  <c r="R267" i="3"/>
  <c r="M266" i="3"/>
  <c r="R266" i="3"/>
  <c r="M261" i="3"/>
  <c r="R261" i="3"/>
  <c r="M260" i="3"/>
  <c r="R260" i="3"/>
  <c r="M259" i="3"/>
  <c r="R259" i="3"/>
  <c r="M258" i="3"/>
  <c r="R258" i="3"/>
  <c r="M249" i="3"/>
  <c r="R249" i="3"/>
  <c r="M247" i="3"/>
  <c r="R247" i="3"/>
  <c r="M246" i="3"/>
  <c r="R246" i="3"/>
  <c r="M245" i="3"/>
  <c r="R245" i="3"/>
  <c r="M49" i="3"/>
  <c r="R49" i="3"/>
  <c r="M257" i="3"/>
  <c r="R257" i="3"/>
  <c r="M241" i="3"/>
  <c r="R241" i="3"/>
  <c r="M268" i="3"/>
  <c r="R268" i="3"/>
  <c r="M265" i="3"/>
  <c r="R265" i="3"/>
  <c r="M263" i="3"/>
  <c r="R263" i="3"/>
  <c r="M262" i="3"/>
  <c r="R262" i="3"/>
  <c r="M253" i="3"/>
  <c r="R253" i="3"/>
  <c r="M243" i="3"/>
  <c r="R243" i="3"/>
  <c r="R233" i="3"/>
  <c r="M240" i="3"/>
  <c r="R240" i="3"/>
  <c r="M239" i="3"/>
  <c r="R239" i="3"/>
  <c r="M238" i="3"/>
  <c r="R238" i="3"/>
  <c r="R229" i="3"/>
  <c r="R273" i="3"/>
  <c r="M242" i="3"/>
  <c r="R242" i="3"/>
  <c r="M236" i="3"/>
  <c r="R236" i="3"/>
  <c r="M235" i="3"/>
  <c r="R235" i="3"/>
  <c r="M234" i="3"/>
  <c r="R234" i="3"/>
  <c r="M244" i="3"/>
  <c r="R244" i="3"/>
  <c r="M272" i="3"/>
  <c r="R272" i="3"/>
  <c r="M271" i="3"/>
  <c r="R271" i="3"/>
  <c r="M270" i="3"/>
  <c r="R270" i="3"/>
  <c r="M232" i="3"/>
  <c r="R232" i="3"/>
  <c r="M231" i="3"/>
  <c r="R231" i="3"/>
  <c r="M230" i="3"/>
  <c r="R230" i="3"/>
  <c r="M228" i="3"/>
  <c r="R228" i="3"/>
  <c r="M227" i="3"/>
  <c r="R227" i="3"/>
  <c r="M226" i="3"/>
  <c r="R226" i="3"/>
  <c r="M256" i="3"/>
  <c r="R256" i="3"/>
  <c r="M255" i="3"/>
  <c r="R255" i="3"/>
  <c r="M254" i="3"/>
  <c r="R254" i="3"/>
  <c r="R224" i="3"/>
  <c r="M252" i="3"/>
  <c r="R252" i="3"/>
  <c r="M251" i="3"/>
  <c r="R251" i="3"/>
  <c r="M250" i="3"/>
  <c r="R250" i="3"/>
  <c r="M220" i="3"/>
  <c r="R220" i="3"/>
  <c r="M219" i="3"/>
  <c r="R219" i="3"/>
  <c r="M218" i="3"/>
  <c r="R218" i="3"/>
  <c r="R237" i="3"/>
  <c r="M216" i="3"/>
  <c r="R216" i="3"/>
  <c r="M215" i="3"/>
  <c r="R215" i="3"/>
  <c r="M214" i="3"/>
  <c r="R214" i="3"/>
  <c r="M213" i="3"/>
  <c r="R213" i="3"/>
  <c r="M248" i="3"/>
  <c r="R248" i="3"/>
  <c r="M264" i="3"/>
  <c r="R264" i="3"/>
  <c r="J193" i="3"/>
  <c r="K193" i="3"/>
  <c r="L193" i="3"/>
  <c r="N193" i="3"/>
  <c r="O193" i="3"/>
  <c r="P193" i="3"/>
  <c r="Q193" i="3"/>
  <c r="J194" i="3"/>
  <c r="K194" i="3"/>
  <c r="L194" i="3"/>
  <c r="M194" i="3"/>
  <c r="N194" i="3"/>
  <c r="O194" i="3"/>
  <c r="P194" i="3"/>
  <c r="Q194" i="3"/>
  <c r="J195" i="3"/>
  <c r="K195" i="3"/>
  <c r="L195" i="3"/>
  <c r="M195" i="3"/>
  <c r="N195" i="3"/>
  <c r="O195" i="3"/>
  <c r="P195" i="3"/>
  <c r="Q195" i="3"/>
  <c r="J196" i="3"/>
  <c r="K196" i="3"/>
  <c r="L196" i="3"/>
  <c r="M196" i="3"/>
  <c r="N196" i="3"/>
  <c r="O196" i="3"/>
  <c r="P196" i="3"/>
  <c r="Q196" i="3"/>
  <c r="J197" i="3"/>
  <c r="K197" i="3"/>
  <c r="L197" i="3"/>
  <c r="N197" i="3"/>
  <c r="O197" i="3"/>
  <c r="P197" i="3"/>
  <c r="Q197" i="3"/>
  <c r="J198" i="3"/>
  <c r="K198" i="3"/>
  <c r="L198" i="3"/>
  <c r="N198" i="3"/>
  <c r="O198" i="3"/>
  <c r="P198" i="3"/>
  <c r="Q198" i="3"/>
  <c r="J199" i="3"/>
  <c r="K199" i="3"/>
  <c r="L199" i="3"/>
  <c r="N199" i="3"/>
  <c r="O199" i="3"/>
  <c r="P199" i="3"/>
  <c r="Q199" i="3"/>
  <c r="J200" i="3"/>
  <c r="K200" i="3"/>
  <c r="L200" i="3"/>
  <c r="N200" i="3"/>
  <c r="O200" i="3"/>
  <c r="P200" i="3"/>
  <c r="Q200" i="3"/>
  <c r="J201" i="3"/>
  <c r="K201" i="3"/>
  <c r="L201" i="3"/>
  <c r="N201" i="3"/>
  <c r="O201" i="3"/>
  <c r="P201" i="3"/>
  <c r="Q201" i="3"/>
  <c r="J202" i="3"/>
  <c r="K202" i="3"/>
  <c r="L202" i="3"/>
  <c r="N202" i="3"/>
  <c r="O202" i="3"/>
  <c r="P202" i="3"/>
  <c r="Q202" i="3"/>
  <c r="J203" i="3"/>
  <c r="K203" i="3"/>
  <c r="L203" i="3"/>
  <c r="N203" i="3"/>
  <c r="O203" i="3"/>
  <c r="P203" i="3"/>
  <c r="Q203" i="3"/>
  <c r="J204" i="3"/>
  <c r="K204" i="3"/>
  <c r="L204" i="3"/>
  <c r="M204" i="3"/>
  <c r="N204" i="3"/>
  <c r="O204" i="3"/>
  <c r="P204" i="3"/>
  <c r="Q204" i="3"/>
  <c r="J205" i="3"/>
  <c r="K205" i="3"/>
  <c r="L205" i="3"/>
  <c r="N205" i="3"/>
  <c r="O205" i="3"/>
  <c r="P205" i="3"/>
  <c r="Q205" i="3"/>
  <c r="J206" i="3"/>
  <c r="K206" i="3"/>
  <c r="L206" i="3"/>
  <c r="N206" i="3"/>
  <c r="O206" i="3"/>
  <c r="P206" i="3"/>
  <c r="Q206" i="3"/>
  <c r="J207" i="3"/>
  <c r="K207" i="3"/>
  <c r="L207" i="3"/>
  <c r="N207" i="3"/>
  <c r="O207" i="3"/>
  <c r="P207" i="3"/>
  <c r="Q207" i="3"/>
  <c r="J208" i="3"/>
  <c r="K208" i="3"/>
  <c r="L208" i="3"/>
  <c r="M208" i="3"/>
  <c r="N208" i="3"/>
  <c r="O208" i="3"/>
  <c r="P208" i="3"/>
  <c r="Q208" i="3"/>
  <c r="J209" i="3"/>
  <c r="K209" i="3"/>
  <c r="L209" i="3"/>
  <c r="N209" i="3"/>
  <c r="O209" i="3"/>
  <c r="P209" i="3"/>
  <c r="Q209" i="3"/>
  <c r="J210" i="3"/>
  <c r="K210" i="3"/>
  <c r="L210" i="3"/>
  <c r="N210" i="3"/>
  <c r="O210" i="3"/>
  <c r="P210" i="3"/>
  <c r="Q210" i="3"/>
  <c r="J211" i="3"/>
  <c r="K211" i="3"/>
  <c r="L211" i="3"/>
  <c r="N211" i="3"/>
  <c r="O211" i="3"/>
  <c r="P211" i="3"/>
  <c r="Q211" i="3"/>
  <c r="J212" i="3"/>
  <c r="K212" i="3"/>
  <c r="L212" i="3"/>
  <c r="N212" i="3"/>
  <c r="O212" i="3"/>
  <c r="P212" i="3"/>
  <c r="Q212" i="3"/>
  <c r="C193" i="3"/>
  <c r="C194" i="3"/>
  <c r="C195" i="3"/>
  <c r="C196" i="3"/>
  <c r="C197" i="3"/>
  <c r="C198" i="3"/>
  <c r="C199" i="3"/>
  <c r="C200" i="3"/>
  <c r="C201" i="3"/>
  <c r="C202" i="3"/>
  <c r="C203" i="3"/>
  <c r="C204" i="3"/>
  <c r="C205" i="3"/>
  <c r="C206" i="3"/>
  <c r="C207" i="3"/>
  <c r="C208" i="3"/>
  <c r="C209" i="3"/>
  <c r="C210" i="3"/>
  <c r="C211" i="3"/>
  <c r="C212" i="3"/>
  <c r="I11" i="3"/>
  <c r="J131" i="3"/>
  <c r="K131" i="3"/>
  <c r="L131" i="3"/>
  <c r="N131" i="3"/>
  <c r="O131" i="3"/>
  <c r="P131" i="3"/>
  <c r="Q131" i="3"/>
  <c r="C131" i="3"/>
  <c r="J128" i="3"/>
  <c r="K128" i="3"/>
  <c r="L128" i="3"/>
  <c r="N128" i="3"/>
  <c r="O128" i="3"/>
  <c r="P128" i="3"/>
  <c r="Q128" i="3"/>
  <c r="J129" i="3"/>
  <c r="K129" i="3"/>
  <c r="L129" i="3"/>
  <c r="N129" i="3"/>
  <c r="O129" i="3"/>
  <c r="P129" i="3"/>
  <c r="Q129" i="3"/>
  <c r="J130" i="3"/>
  <c r="K130" i="3"/>
  <c r="L130" i="3"/>
  <c r="N130" i="3"/>
  <c r="O130" i="3"/>
  <c r="P130" i="3"/>
  <c r="Q130" i="3"/>
  <c r="J132" i="3"/>
  <c r="K132" i="3"/>
  <c r="L132" i="3"/>
  <c r="N132" i="3"/>
  <c r="O132" i="3"/>
  <c r="P132" i="3"/>
  <c r="Q132" i="3"/>
  <c r="J133" i="3"/>
  <c r="K133" i="3"/>
  <c r="L133" i="3"/>
  <c r="N133" i="3"/>
  <c r="O133" i="3"/>
  <c r="P133" i="3"/>
  <c r="Q133" i="3"/>
  <c r="J134" i="3"/>
  <c r="K134" i="3"/>
  <c r="L134" i="3"/>
  <c r="N134" i="3"/>
  <c r="O134" i="3"/>
  <c r="P134" i="3"/>
  <c r="Q134" i="3"/>
  <c r="J135" i="3"/>
  <c r="K135" i="3"/>
  <c r="L135" i="3"/>
  <c r="N135" i="3"/>
  <c r="O135" i="3"/>
  <c r="P135" i="3"/>
  <c r="Q135" i="3"/>
  <c r="J136" i="3"/>
  <c r="K136" i="3"/>
  <c r="L136" i="3"/>
  <c r="N136" i="3"/>
  <c r="O136" i="3"/>
  <c r="P136" i="3"/>
  <c r="Q136" i="3"/>
  <c r="C129" i="3"/>
  <c r="C130" i="3"/>
  <c r="C132" i="3"/>
  <c r="C133" i="3"/>
  <c r="C134" i="3"/>
  <c r="C135" i="3"/>
  <c r="C136" i="3"/>
  <c r="C128" i="3"/>
  <c r="J81" i="3"/>
  <c r="K81" i="3"/>
  <c r="L81" i="3"/>
  <c r="N81" i="3"/>
  <c r="O81" i="3"/>
  <c r="P81" i="3"/>
  <c r="Q81" i="3"/>
  <c r="C81" i="3"/>
  <c r="J124" i="3"/>
  <c r="K124" i="3"/>
  <c r="L124" i="3"/>
  <c r="N124" i="3"/>
  <c r="O124" i="3"/>
  <c r="P124" i="3"/>
  <c r="Q124" i="3"/>
  <c r="J125" i="3"/>
  <c r="K125" i="3"/>
  <c r="L125" i="3"/>
  <c r="N125" i="3"/>
  <c r="O125" i="3"/>
  <c r="P125" i="3"/>
  <c r="Q125" i="3"/>
  <c r="J126" i="3"/>
  <c r="K126" i="3"/>
  <c r="L126" i="3"/>
  <c r="N126" i="3"/>
  <c r="O126" i="3"/>
  <c r="P126" i="3"/>
  <c r="Q126" i="3"/>
  <c r="J127" i="3"/>
  <c r="K127" i="3"/>
  <c r="L127" i="3"/>
  <c r="N127" i="3"/>
  <c r="O127" i="3"/>
  <c r="P127" i="3"/>
  <c r="Q127" i="3"/>
  <c r="C124" i="3"/>
  <c r="C125" i="3"/>
  <c r="C126" i="3"/>
  <c r="C127" i="3"/>
  <c r="H29" i="3"/>
  <c r="J15" i="3"/>
  <c r="J34" i="3"/>
  <c r="K34" i="3"/>
  <c r="L34" i="3"/>
  <c r="N34" i="3"/>
  <c r="O34" i="3"/>
  <c r="P34" i="3"/>
  <c r="Q34" i="3"/>
  <c r="J35" i="3"/>
  <c r="K35" i="3"/>
  <c r="L35" i="3"/>
  <c r="N35" i="3"/>
  <c r="O35" i="3"/>
  <c r="P35" i="3"/>
  <c r="Q35" i="3"/>
  <c r="J36" i="3"/>
  <c r="K36" i="3"/>
  <c r="L36" i="3"/>
  <c r="N36" i="3"/>
  <c r="O36" i="3"/>
  <c r="P36" i="3"/>
  <c r="Q36" i="3"/>
  <c r="J37" i="3"/>
  <c r="K37" i="3"/>
  <c r="L37" i="3"/>
  <c r="N37" i="3"/>
  <c r="O37" i="3"/>
  <c r="P37" i="3"/>
  <c r="Q37" i="3"/>
  <c r="J38" i="3"/>
  <c r="K38" i="3"/>
  <c r="L38" i="3"/>
  <c r="N38" i="3"/>
  <c r="O38" i="3"/>
  <c r="P38" i="3"/>
  <c r="Q38" i="3"/>
  <c r="J39" i="3"/>
  <c r="K39" i="3"/>
  <c r="L39" i="3"/>
  <c r="N39" i="3"/>
  <c r="O39" i="3"/>
  <c r="P39" i="3"/>
  <c r="Q39" i="3"/>
  <c r="J40" i="3"/>
  <c r="K40" i="3"/>
  <c r="L40" i="3"/>
  <c r="N40" i="3"/>
  <c r="O40" i="3"/>
  <c r="P40" i="3"/>
  <c r="Q40" i="3"/>
  <c r="J41" i="3"/>
  <c r="K41" i="3"/>
  <c r="L41" i="3"/>
  <c r="N41" i="3"/>
  <c r="O41" i="3"/>
  <c r="P41" i="3"/>
  <c r="Q41" i="3"/>
  <c r="J42" i="3"/>
  <c r="K42" i="3"/>
  <c r="L42" i="3"/>
  <c r="N42" i="3"/>
  <c r="O42" i="3"/>
  <c r="P42" i="3"/>
  <c r="Q42" i="3"/>
  <c r="J43" i="3"/>
  <c r="K43" i="3"/>
  <c r="L43" i="3"/>
  <c r="N43" i="3"/>
  <c r="O43" i="3"/>
  <c r="P43" i="3"/>
  <c r="Q43" i="3"/>
  <c r="J46" i="3"/>
  <c r="K46" i="3"/>
  <c r="L46" i="3"/>
  <c r="N46" i="3"/>
  <c r="O46" i="3"/>
  <c r="P46" i="3"/>
  <c r="Q46" i="3"/>
  <c r="J47" i="3"/>
  <c r="K47" i="3"/>
  <c r="L47" i="3"/>
  <c r="N47" i="3"/>
  <c r="O47" i="3"/>
  <c r="P47" i="3"/>
  <c r="Q47" i="3"/>
  <c r="J48" i="3"/>
  <c r="K48" i="3"/>
  <c r="L48" i="3"/>
  <c r="N48" i="3"/>
  <c r="O48" i="3"/>
  <c r="P48" i="3"/>
  <c r="Q48" i="3"/>
  <c r="C34" i="3"/>
  <c r="C35" i="3"/>
  <c r="C36" i="3"/>
  <c r="C37" i="3"/>
  <c r="C38" i="3"/>
  <c r="C39" i="3"/>
  <c r="C40" i="3"/>
  <c r="C41" i="3"/>
  <c r="C42" i="3"/>
  <c r="C43" i="3"/>
  <c r="C46" i="3"/>
  <c r="C47" i="3"/>
  <c r="C48" i="3"/>
  <c r="Q50" i="3"/>
  <c r="P50" i="3"/>
  <c r="O50" i="3"/>
  <c r="N50" i="3"/>
  <c r="L50" i="3"/>
  <c r="K50" i="3"/>
  <c r="J50" i="3"/>
  <c r="C50" i="3"/>
  <c r="C51" i="3"/>
  <c r="C52" i="3"/>
  <c r="C53" i="3"/>
  <c r="C54" i="3"/>
  <c r="C55" i="3"/>
  <c r="C56" i="3"/>
  <c r="C57" i="3"/>
  <c r="C58" i="3"/>
  <c r="C59" i="3"/>
  <c r="C60" i="3"/>
  <c r="C61" i="3"/>
  <c r="C62" i="3"/>
  <c r="C63" i="3"/>
  <c r="C64" i="3"/>
  <c r="C65" i="3"/>
  <c r="C66" i="3"/>
  <c r="C67" i="3"/>
  <c r="C68" i="3"/>
  <c r="C69" i="3"/>
  <c r="C70" i="3"/>
  <c r="C71" i="3"/>
  <c r="J51" i="3"/>
  <c r="K51" i="3"/>
  <c r="L51" i="3"/>
  <c r="N51" i="3"/>
  <c r="O51" i="3"/>
  <c r="P51" i="3"/>
  <c r="Q51" i="3"/>
  <c r="J52" i="3"/>
  <c r="K52" i="3"/>
  <c r="L52" i="3"/>
  <c r="N52" i="3"/>
  <c r="O52" i="3"/>
  <c r="P52" i="3"/>
  <c r="Q52" i="3"/>
  <c r="J53" i="3"/>
  <c r="K53" i="3"/>
  <c r="L53" i="3"/>
  <c r="N53" i="3"/>
  <c r="O53" i="3"/>
  <c r="P53" i="3"/>
  <c r="Q53" i="3"/>
  <c r="J54" i="3"/>
  <c r="K54" i="3"/>
  <c r="L54" i="3"/>
  <c r="N54" i="3"/>
  <c r="O54" i="3"/>
  <c r="P54" i="3"/>
  <c r="Q54" i="3"/>
  <c r="J55" i="3"/>
  <c r="K55" i="3"/>
  <c r="L55" i="3"/>
  <c r="N55" i="3"/>
  <c r="O55" i="3"/>
  <c r="P55" i="3"/>
  <c r="Q55" i="3"/>
  <c r="J56" i="3"/>
  <c r="K56" i="3"/>
  <c r="L56" i="3"/>
  <c r="N56" i="3"/>
  <c r="O56" i="3"/>
  <c r="P56" i="3"/>
  <c r="Q56" i="3"/>
  <c r="J57" i="3"/>
  <c r="K57" i="3"/>
  <c r="L57" i="3"/>
  <c r="N57" i="3"/>
  <c r="O57" i="3"/>
  <c r="P57" i="3"/>
  <c r="Q57" i="3"/>
  <c r="J58" i="3"/>
  <c r="K58" i="3"/>
  <c r="L58" i="3"/>
  <c r="N58" i="3"/>
  <c r="O58" i="3"/>
  <c r="P58" i="3"/>
  <c r="Q58" i="3"/>
  <c r="J59" i="3"/>
  <c r="K59" i="3"/>
  <c r="L59" i="3"/>
  <c r="N59" i="3"/>
  <c r="O59" i="3"/>
  <c r="P59" i="3"/>
  <c r="Q59" i="3"/>
  <c r="J60" i="3"/>
  <c r="K60" i="3"/>
  <c r="L60" i="3"/>
  <c r="N60" i="3"/>
  <c r="O60" i="3"/>
  <c r="P60" i="3"/>
  <c r="Q60" i="3"/>
  <c r="J61" i="3"/>
  <c r="K61" i="3"/>
  <c r="L61" i="3"/>
  <c r="N61" i="3"/>
  <c r="O61" i="3"/>
  <c r="P61" i="3"/>
  <c r="Q61" i="3"/>
  <c r="J62" i="3"/>
  <c r="K62" i="3"/>
  <c r="L62" i="3"/>
  <c r="N62" i="3"/>
  <c r="O62" i="3"/>
  <c r="P62" i="3"/>
  <c r="Q62" i="3"/>
  <c r="J63" i="3"/>
  <c r="K63" i="3"/>
  <c r="L63" i="3"/>
  <c r="N63" i="3"/>
  <c r="O63" i="3"/>
  <c r="P63" i="3"/>
  <c r="Q63" i="3"/>
  <c r="J64" i="3"/>
  <c r="K64" i="3"/>
  <c r="L64" i="3"/>
  <c r="N64" i="3"/>
  <c r="O64" i="3"/>
  <c r="P64" i="3"/>
  <c r="Q64" i="3"/>
  <c r="J65" i="3"/>
  <c r="K65" i="3"/>
  <c r="L65" i="3"/>
  <c r="N65" i="3"/>
  <c r="O65" i="3"/>
  <c r="P65" i="3"/>
  <c r="Q65" i="3"/>
  <c r="J66" i="3"/>
  <c r="K66" i="3"/>
  <c r="L66" i="3"/>
  <c r="N66" i="3"/>
  <c r="O66" i="3"/>
  <c r="P66" i="3"/>
  <c r="Q66" i="3"/>
  <c r="J67" i="3"/>
  <c r="K67" i="3"/>
  <c r="L67" i="3"/>
  <c r="N67" i="3"/>
  <c r="O67" i="3"/>
  <c r="P67" i="3"/>
  <c r="Q67" i="3"/>
  <c r="J68" i="3"/>
  <c r="K68" i="3"/>
  <c r="L68" i="3"/>
  <c r="N68" i="3"/>
  <c r="O68" i="3"/>
  <c r="P68" i="3"/>
  <c r="Q68" i="3"/>
  <c r="J69" i="3"/>
  <c r="K69" i="3"/>
  <c r="L69" i="3"/>
  <c r="N69" i="3"/>
  <c r="O69" i="3"/>
  <c r="P69" i="3"/>
  <c r="Q69" i="3"/>
  <c r="J70" i="3"/>
  <c r="K70" i="3"/>
  <c r="L70" i="3"/>
  <c r="N70" i="3"/>
  <c r="O70" i="3"/>
  <c r="P70" i="3"/>
  <c r="Q70" i="3"/>
  <c r="J71" i="3"/>
  <c r="K71" i="3"/>
  <c r="L71" i="3"/>
  <c r="N71" i="3"/>
  <c r="O71" i="3"/>
  <c r="P71" i="3"/>
  <c r="Q71" i="3"/>
  <c r="Q72" i="3"/>
  <c r="P72" i="3"/>
  <c r="O72" i="3"/>
  <c r="N72" i="3"/>
  <c r="L72" i="3"/>
  <c r="K72" i="3"/>
  <c r="J72" i="3"/>
  <c r="C72" i="3"/>
  <c r="J73" i="3"/>
  <c r="K73" i="3"/>
  <c r="L73" i="3"/>
  <c r="N73" i="3"/>
  <c r="O73" i="3"/>
  <c r="P73" i="3"/>
  <c r="Q73" i="3"/>
  <c r="J74" i="3"/>
  <c r="K74" i="3"/>
  <c r="L74" i="3"/>
  <c r="N74" i="3"/>
  <c r="O74" i="3"/>
  <c r="P74" i="3"/>
  <c r="Q74" i="3"/>
  <c r="J75" i="3"/>
  <c r="K75" i="3"/>
  <c r="L75" i="3"/>
  <c r="N75" i="3"/>
  <c r="O75" i="3"/>
  <c r="P75" i="3"/>
  <c r="Q75" i="3"/>
  <c r="J76" i="3"/>
  <c r="K76" i="3"/>
  <c r="L76" i="3"/>
  <c r="N76" i="3"/>
  <c r="O76" i="3"/>
  <c r="P76" i="3"/>
  <c r="Q76" i="3"/>
  <c r="J77" i="3"/>
  <c r="K77" i="3"/>
  <c r="L77" i="3"/>
  <c r="N77" i="3"/>
  <c r="O77" i="3"/>
  <c r="P77" i="3"/>
  <c r="Q77" i="3"/>
  <c r="J78" i="3"/>
  <c r="K78" i="3"/>
  <c r="L78" i="3"/>
  <c r="N78" i="3"/>
  <c r="O78" i="3"/>
  <c r="P78" i="3"/>
  <c r="Q78" i="3"/>
  <c r="J79" i="3"/>
  <c r="K79" i="3"/>
  <c r="L79" i="3"/>
  <c r="N79" i="3"/>
  <c r="O79" i="3"/>
  <c r="P79" i="3"/>
  <c r="Q79" i="3"/>
  <c r="J80" i="3"/>
  <c r="K80" i="3"/>
  <c r="L80" i="3"/>
  <c r="N80" i="3"/>
  <c r="O80" i="3"/>
  <c r="P80" i="3"/>
  <c r="Q80" i="3"/>
  <c r="J82" i="3"/>
  <c r="K82" i="3"/>
  <c r="L82" i="3"/>
  <c r="N82" i="3"/>
  <c r="O82" i="3"/>
  <c r="P82" i="3"/>
  <c r="Q82" i="3"/>
  <c r="J83" i="3"/>
  <c r="K83" i="3"/>
  <c r="L83" i="3"/>
  <c r="N83" i="3"/>
  <c r="O83" i="3"/>
  <c r="P83" i="3"/>
  <c r="Q83" i="3"/>
  <c r="J84" i="3"/>
  <c r="K84" i="3"/>
  <c r="L84" i="3"/>
  <c r="N84" i="3"/>
  <c r="O84" i="3"/>
  <c r="P84" i="3"/>
  <c r="Q84" i="3"/>
  <c r="J85" i="3"/>
  <c r="K85" i="3"/>
  <c r="L85" i="3"/>
  <c r="N85" i="3"/>
  <c r="O85" i="3"/>
  <c r="P85" i="3"/>
  <c r="Q85" i="3"/>
  <c r="J86" i="3"/>
  <c r="K86" i="3"/>
  <c r="L86" i="3"/>
  <c r="N86" i="3"/>
  <c r="O86" i="3"/>
  <c r="P86" i="3"/>
  <c r="Q86" i="3"/>
  <c r="C73" i="3"/>
  <c r="C74" i="3"/>
  <c r="C75" i="3"/>
  <c r="C76" i="3"/>
  <c r="C77" i="3"/>
  <c r="C78" i="3"/>
  <c r="C79" i="3"/>
  <c r="C80" i="3"/>
  <c r="C82" i="3"/>
  <c r="C83" i="3"/>
  <c r="C84" i="3"/>
  <c r="C85" i="3"/>
  <c r="C86" i="3"/>
  <c r="Q87" i="3"/>
  <c r="P87" i="3"/>
  <c r="O87" i="3"/>
  <c r="N87" i="3"/>
  <c r="L87" i="3"/>
  <c r="K87" i="3"/>
  <c r="J87" i="3"/>
  <c r="C87" i="3"/>
  <c r="M200" i="3"/>
  <c r="R208" i="3"/>
  <c r="R204" i="3"/>
  <c r="R200" i="3"/>
  <c r="R196" i="3"/>
  <c r="R195" i="3"/>
  <c r="R194" i="3"/>
  <c r="M193" i="3"/>
  <c r="R193" i="3"/>
  <c r="M207" i="3"/>
  <c r="R207" i="3"/>
  <c r="M205" i="3"/>
  <c r="R205" i="3"/>
  <c r="M199" i="3"/>
  <c r="R199" i="3"/>
  <c r="M197" i="3"/>
  <c r="R197" i="3"/>
  <c r="M198" i="3"/>
  <c r="R198" i="3"/>
  <c r="M211" i="3"/>
  <c r="R211" i="3"/>
  <c r="M210" i="3"/>
  <c r="R210" i="3"/>
  <c r="M209" i="3"/>
  <c r="R209" i="3"/>
  <c r="M212" i="3"/>
  <c r="R212" i="3"/>
  <c r="M206" i="3"/>
  <c r="R206" i="3"/>
  <c r="M203" i="3"/>
  <c r="R203" i="3"/>
  <c r="M202" i="3"/>
  <c r="R202" i="3"/>
  <c r="M201" i="3"/>
  <c r="R201" i="3"/>
  <c r="M130" i="3"/>
  <c r="R130" i="3"/>
  <c r="M133" i="3"/>
  <c r="R133" i="3"/>
  <c r="M129" i="3"/>
  <c r="R129" i="3"/>
  <c r="M134" i="3"/>
  <c r="R134" i="3"/>
  <c r="M128" i="3"/>
  <c r="M135" i="3"/>
  <c r="R135" i="3"/>
  <c r="M131" i="3"/>
  <c r="R131" i="3"/>
  <c r="M132" i="3"/>
  <c r="R132" i="3"/>
  <c r="M136" i="3"/>
  <c r="R136" i="3"/>
  <c r="R128" i="3"/>
  <c r="M127" i="3"/>
  <c r="R127" i="3"/>
  <c r="M126" i="3"/>
  <c r="R126" i="3"/>
  <c r="M125" i="3"/>
  <c r="R125" i="3"/>
  <c r="M124" i="3"/>
  <c r="R124" i="3"/>
  <c r="M81" i="3"/>
  <c r="R81" i="3"/>
  <c r="M47" i="3"/>
  <c r="R47" i="3"/>
  <c r="M43" i="3"/>
  <c r="R43" i="3"/>
  <c r="M34" i="3"/>
  <c r="R34" i="3"/>
  <c r="M48" i="3"/>
  <c r="R48" i="3"/>
  <c r="M46" i="3"/>
  <c r="R46" i="3"/>
  <c r="M42" i="3"/>
  <c r="R42" i="3"/>
  <c r="M36" i="3"/>
  <c r="R36" i="3"/>
  <c r="M71" i="3"/>
  <c r="R71" i="3"/>
  <c r="M70" i="3"/>
  <c r="R70" i="3"/>
  <c r="M53" i="3"/>
  <c r="R53" i="3"/>
  <c r="M52" i="3"/>
  <c r="R52" i="3"/>
  <c r="M51" i="3"/>
  <c r="R51" i="3"/>
  <c r="M41" i="3"/>
  <c r="R41" i="3"/>
  <c r="M39" i="3"/>
  <c r="R39" i="3"/>
  <c r="M40" i="3"/>
  <c r="R40" i="3"/>
  <c r="M38" i="3"/>
  <c r="R38" i="3"/>
  <c r="M37" i="3"/>
  <c r="R37" i="3"/>
  <c r="M35" i="3"/>
  <c r="R35" i="3"/>
  <c r="M50" i="3"/>
  <c r="R50" i="3"/>
  <c r="M87" i="3"/>
  <c r="R87" i="3"/>
  <c r="M54" i="3"/>
  <c r="R54" i="3"/>
  <c r="M69" i="3"/>
  <c r="R69" i="3"/>
  <c r="M68" i="3"/>
  <c r="R68" i="3"/>
  <c r="M67" i="3"/>
  <c r="R67" i="3"/>
  <c r="M66" i="3"/>
  <c r="R66" i="3"/>
  <c r="M65" i="3"/>
  <c r="R65" i="3"/>
  <c r="M64" i="3"/>
  <c r="R64" i="3"/>
  <c r="M63" i="3"/>
  <c r="R63" i="3"/>
  <c r="M62" i="3"/>
  <c r="R62" i="3"/>
  <c r="M61" i="3"/>
  <c r="R61" i="3"/>
  <c r="M60" i="3"/>
  <c r="R60" i="3"/>
  <c r="M59" i="3"/>
  <c r="R59" i="3"/>
  <c r="M58" i="3"/>
  <c r="R58" i="3"/>
  <c r="M57" i="3"/>
  <c r="R57" i="3"/>
  <c r="M56" i="3"/>
  <c r="R56" i="3"/>
  <c r="M55" i="3"/>
  <c r="R55" i="3"/>
  <c r="M72" i="3"/>
  <c r="R72" i="3"/>
  <c r="M73" i="3"/>
  <c r="R73" i="3"/>
  <c r="M77" i="3"/>
  <c r="R77" i="3"/>
  <c r="M75" i="3"/>
  <c r="R75" i="3"/>
  <c r="M74" i="3"/>
  <c r="R74" i="3"/>
  <c r="M76" i="3"/>
  <c r="R76" i="3"/>
  <c r="M84" i="3"/>
  <c r="R84" i="3"/>
  <c r="M79" i="3"/>
  <c r="R79" i="3"/>
  <c r="M83" i="3"/>
  <c r="R83" i="3"/>
  <c r="M80" i="3"/>
  <c r="R80" i="3"/>
  <c r="M78" i="3"/>
  <c r="R78" i="3"/>
  <c r="M86" i="3"/>
  <c r="R86" i="3"/>
  <c r="M82" i="3"/>
  <c r="R82" i="3"/>
  <c r="M85" i="3"/>
  <c r="R85" i="3"/>
  <c r="N115" i="3"/>
  <c r="G22" i="3"/>
  <c r="G18"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K88" i="3"/>
  <c r="L88" i="3"/>
  <c r="N88" i="3"/>
  <c r="O88" i="3"/>
  <c r="P88" i="3"/>
  <c r="Q88" i="3"/>
  <c r="K89" i="3"/>
  <c r="L89" i="3"/>
  <c r="N89" i="3"/>
  <c r="O89" i="3"/>
  <c r="P89" i="3"/>
  <c r="Q89" i="3"/>
  <c r="K90" i="3"/>
  <c r="L90" i="3"/>
  <c r="N90" i="3"/>
  <c r="O90" i="3"/>
  <c r="P90" i="3"/>
  <c r="Q90" i="3"/>
  <c r="K91" i="3"/>
  <c r="L91" i="3"/>
  <c r="N91" i="3"/>
  <c r="O91" i="3"/>
  <c r="P91" i="3"/>
  <c r="Q91" i="3"/>
  <c r="K92" i="3"/>
  <c r="L92" i="3"/>
  <c r="N92" i="3"/>
  <c r="O92" i="3"/>
  <c r="P92" i="3"/>
  <c r="Q92" i="3"/>
  <c r="K93" i="3"/>
  <c r="L93" i="3"/>
  <c r="N93" i="3"/>
  <c r="O93" i="3"/>
  <c r="P93" i="3"/>
  <c r="Q93" i="3"/>
  <c r="K94" i="3"/>
  <c r="L94" i="3"/>
  <c r="N94" i="3"/>
  <c r="O94" i="3"/>
  <c r="P94" i="3"/>
  <c r="Q94" i="3"/>
  <c r="K95" i="3"/>
  <c r="L95" i="3"/>
  <c r="N95" i="3"/>
  <c r="O95" i="3"/>
  <c r="P95" i="3"/>
  <c r="Q95" i="3"/>
  <c r="K96" i="3"/>
  <c r="L96" i="3"/>
  <c r="N96" i="3"/>
  <c r="O96" i="3"/>
  <c r="P96" i="3"/>
  <c r="Q96" i="3"/>
  <c r="K97" i="3"/>
  <c r="L97" i="3"/>
  <c r="N97" i="3"/>
  <c r="O97" i="3"/>
  <c r="P97" i="3"/>
  <c r="Q97" i="3"/>
  <c r="K98" i="3"/>
  <c r="L98" i="3"/>
  <c r="N98" i="3"/>
  <c r="O98" i="3"/>
  <c r="P98" i="3"/>
  <c r="Q98" i="3"/>
  <c r="K99" i="3"/>
  <c r="L99" i="3"/>
  <c r="N99" i="3"/>
  <c r="O99" i="3"/>
  <c r="P99" i="3"/>
  <c r="Q99" i="3"/>
  <c r="K100" i="3"/>
  <c r="L100" i="3"/>
  <c r="N100" i="3"/>
  <c r="O100" i="3"/>
  <c r="P100" i="3"/>
  <c r="Q100" i="3"/>
  <c r="K101" i="3"/>
  <c r="L101" i="3"/>
  <c r="N101" i="3"/>
  <c r="O101" i="3"/>
  <c r="P101" i="3"/>
  <c r="Q101" i="3"/>
  <c r="K102" i="3"/>
  <c r="L102" i="3"/>
  <c r="N102" i="3"/>
  <c r="O102" i="3"/>
  <c r="P102" i="3"/>
  <c r="Q102" i="3"/>
  <c r="K103" i="3"/>
  <c r="L103" i="3"/>
  <c r="N103" i="3"/>
  <c r="O103" i="3"/>
  <c r="P103" i="3"/>
  <c r="Q103" i="3"/>
  <c r="K104" i="3"/>
  <c r="L104" i="3"/>
  <c r="N104" i="3"/>
  <c r="O104" i="3"/>
  <c r="P104" i="3"/>
  <c r="Q104" i="3"/>
  <c r="K105" i="3"/>
  <c r="L105" i="3"/>
  <c r="N105" i="3"/>
  <c r="O105" i="3"/>
  <c r="P105" i="3"/>
  <c r="Q105" i="3"/>
  <c r="K106" i="3"/>
  <c r="L106" i="3"/>
  <c r="N106" i="3"/>
  <c r="O106" i="3"/>
  <c r="P106" i="3"/>
  <c r="Q106" i="3"/>
  <c r="K107" i="3"/>
  <c r="L107" i="3"/>
  <c r="N107" i="3"/>
  <c r="O107" i="3"/>
  <c r="P107" i="3"/>
  <c r="Q107" i="3"/>
  <c r="K108" i="3"/>
  <c r="L108" i="3"/>
  <c r="N108" i="3"/>
  <c r="O108" i="3"/>
  <c r="P108" i="3"/>
  <c r="Q108" i="3"/>
  <c r="K109" i="3"/>
  <c r="L109" i="3"/>
  <c r="N109" i="3"/>
  <c r="O109" i="3"/>
  <c r="P109" i="3"/>
  <c r="Q109" i="3"/>
  <c r="K110" i="3"/>
  <c r="L110" i="3"/>
  <c r="N110" i="3"/>
  <c r="O110" i="3"/>
  <c r="P110" i="3"/>
  <c r="Q110" i="3"/>
  <c r="K111" i="3"/>
  <c r="L111" i="3"/>
  <c r="N111" i="3"/>
  <c r="O111" i="3"/>
  <c r="P111" i="3"/>
  <c r="Q111" i="3"/>
  <c r="K112" i="3"/>
  <c r="L112" i="3"/>
  <c r="N112" i="3"/>
  <c r="O112" i="3"/>
  <c r="P112" i="3"/>
  <c r="Q112" i="3"/>
  <c r="K113" i="3"/>
  <c r="L113" i="3"/>
  <c r="N113" i="3"/>
  <c r="O113" i="3"/>
  <c r="P113" i="3"/>
  <c r="Q113" i="3"/>
  <c r="K114" i="3"/>
  <c r="L114" i="3"/>
  <c r="N114" i="3"/>
  <c r="O114" i="3"/>
  <c r="P114" i="3"/>
  <c r="Q114" i="3"/>
  <c r="K115" i="3"/>
  <c r="L115" i="3"/>
  <c r="O115" i="3"/>
  <c r="P115" i="3"/>
  <c r="Q115" i="3"/>
  <c r="K116" i="3"/>
  <c r="L116" i="3"/>
  <c r="N116" i="3"/>
  <c r="O116" i="3"/>
  <c r="P116" i="3"/>
  <c r="Q116" i="3"/>
  <c r="K117" i="3"/>
  <c r="L117" i="3"/>
  <c r="N117" i="3"/>
  <c r="O117" i="3"/>
  <c r="P117" i="3"/>
  <c r="Q117" i="3"/>
  <c r="K118" i="3"/>
  <c r="L118" i="3"/>
  <c r="N118" i="3"/>
  <c r="O118" i="3"/>
  <c r="P118" i="3"/>
  <c r="Q118" i="3"/>
  <c r="K119" i="3"/>
  <c r="L119" i="3"/>
  <c r="N119" i="3"/>
  <c r="O119" i="3"/>
  <c r="P119" i="3"/>
  <c r="Q119" i="3"/>
  <c r="K120" i="3"/>
  <c r="L120" i="3"/>
  <c r="N120" i="3"/>
  <c r="O120" i="3"/>
  <c r="P120" i="3"/>
  <c r="Q120" i="3"/>
  <c r="K121" i="3"/>
  <c r="L121" i="3"/>
  <c r="N121" i="3"/>
  <c r="O121" i="3"/>
  <c r="P121" i="3"/>
  <c r="Q121" i="3"/>
  <c r="K122" i="3"/>
  <c r="L122" i="3"/>
  <c r="N122" i="3"/>
  <c r="O122" i="3"/>
  <c r="P122" i="3"/>
  <c r="Q122" i="3"/>
  <c r="K123" i="3"/>
  <c r="L123" i="3"/>
  <c r="N123" i="3"/>
  <c r="O123" i="3"/>
  <c r="P123" i="3"/>
  <c r="Q123"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Q137" i="3"/>
  <c r="P137" i="3"/>
  <c r="O137" i="3"/>
  <c r="N137" i="3"/>
  <c r="L137" i="3"/>
  <c r="K137" i="3"/>
  <c r="J137" i="3"/>
  <c r="C137" i="3"/>
  <c r="M116" i="3"/>
  <c r="R116" i="3"/>
  <c r="M108" i="3"/>
  <c r="R108" i="3"/>
  <c r="M100" i="3"/>
  <c r="R100" i="3"/>
  <c r="M92" i="3"/>
  <c r="R92" i="3"/>
  <c r="M90" i="3"/>
  <c r="R90" i="3"/>
  <c r="M106" i="3"/>
  <c r="R106" i="3"/>
  <c r="M98" i="3"/>
  <c r="R98" i="3"/>
  <c r="M137" i="3"/>
  <c r="R137" i="3"/>
  <c r="M114" i="3"/>
  <c r="R114" i="3"/>
  <c r="M104" i="3"/>
  <c r="R104" i="3"/>
  <c r="M122" i="3"/>
  <c r="R122" i="3"/>
  <c r="M119" i="3"/>
  <c r="R119" i="3"/>
  <c r="M111" i="3"/>
  <c r="R111" i="3"/>
  <c r="M103" i="3"/>
  <c r="R103" i="3"/>
  <c r="M99" i="3"/>
  <c r="R99" i="3"/>
  <c r="M117" i="3"/>
  <c r="R117" i="3"/>
  <c r="M101" i="3"/>
  <c r="R101" i="3"/>
  <c r="M110" i="3"/>
  <c r="R110" i="3"/>
  <c r="M123" i="3"/>
  <c r="R123" i="3"/>
  <c r="M121" i="3"/>
  <c r="R121" i="3"/>
  <c r="M120" i="3"/>
  <c r="R120" i="3"/>
  <c r="M118" i="3"/>
  <c r="R118" i="3"/>
  <c r="M115" i="3"/>
  <c r="R115" i="3"/>
  <c r="M113" i="3"/>
  <c r="R113" i="3"/>
  <c r="M112" i="3"/>
  <c r="R112" i="3"/>
  <c r="M109" i="3"/>
  <c r="R109" i="3"/>
  <c r="M107" i="3"/>
  <c r="R107" i="3"/>
  <c r="M105" i="3"/>
  <c r="R105" i="3"/>
  <c r="M102" i="3"/>
  <c r="R102" i="3"/>
  <c r="M97" i="3"/>
  <c r="R97" i="3"/>
  <c r="M96" i="3"/>
  <c r="R96" i="3"/>
  <c r="M95" i="3"/>
  <c r="R95" i="3"/>
  <c r="M94" i="3"/>
  <c r="R94" i="3"/>
  <c r="M93" i="3"/>
  <c r="R93" i="3"/>
  <c r="M91" i="3"/>
  <c r="R91" i="3"/>
  <c r="M89" i="3"/>
  <c r="R89" i="3"/>
  <c r="M88" i="3"/>
  <c r="R88"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33" i="3"/>
  <c r="O33" i="3"/>
  <c r="K11" i="3"/>
  <c r="K12" i="3"/>
  <c r="K10" i="3"/>
  <c r="K7" i="3"/>
  <c r="K15" i="3"/>
  <c r="L3" i="3"/>
  <c r="L4" i="3"/>
  <c r="L5" i="3"/>
  <c r="L6" i="3"/>
  <c r="L7" i="3"/>
  <c r="L8" i="3"/>
  <c r="L9" i="3"/>
  <c r="L10" i="3"/>
  <c r="L11" i="3"/>
  <c r="L12" i="3"/>
  <c r="L2" i="3"/>
  <c r="R41" i="5"/>
  <c r="R40" i="5"/>
  <c r="R39" i="5"/>
  <c r="R38" i="5"/>
  <c r="R37" i="5"/>
  <c r="R36" i="5"/>
  <c r="R35" i="5"/>
  <c r="R34" i="5"/>
  <c r="R33" i="5"/>
  <c r="R32" i="5"/>
  <c r="R31" i="5"/>
  <c r="K41" i="5"/>
  <c r="K40" i="5"/>
  <c r="K39" i="5"/>
  <c r="K38" i="5"/>
  <c r="K37" i="5"/>
  <c r="K36" i="5"/>
  <c r="K35" i="5"/>
  <c r="K34" i="5"/>
  <c r="K33" i="5"/>
  <c r="K32" i="5"/>
  <c r="K31" i="5"/>
  <c r="F43" i="5"/>
  <c r="C41" i="5"/>
  <c r="C40" i="5"/>
  <c r="C39" i="5"/>
  <c r="C38" i="5"/>
  <c r="C37" i="5"/>
  <c r="C36" i="5"/>
  <c r="C35" i="5"/>
  <c r="C34" i="5"/>
  <c r="C33" i="5"/>
  <c r="C32" i="5"/>
  <c r="C31" i="5"/>
  <c r="B41" i="5"/>
  <c r="J41" i="5"/>
  <c r="Q41" i="5"/>
  <c r="B40" i="5"/>
  <c r="J40" i="5"/>
  <c r="Q40" i="5"/>
  <c r="B32" i="5"/>
  <c r="B33" i="5"/>
  <c r="B34" i="5"/>
  <c r="B35" i="5"/>
  <c r="B36" i="5"/>
  <c r="B37" i="5"/>
  <c r="B38" i="5"/>
  <c r="B39" i="5"/>
  <c r="K31" i="10"/>
  <c r="C31" i="10"/>
  <c r="J138" i="3"/>
  <c r="K138" i="3"/>
  <c r="L138" i="3"/>
  <c r="O138" i="3"/>
  <c r="P138" i="3"/>
  <c r="Q138" i="3"/>
  <c r="J140" i="3"/>
  <c r="K140" i="3"/>
  <c r="L140" i="3"/>
  <c r="O140" i="3"/>
  <c r="P140" i="3"/>
  <c r="Q140" i="3"/>
  <c r="J139" i="3"/>
  <c r="K139" i="3"/>
  <c r="L139" i="3"/>
  <c r="O139" i="3"/>
  <c r="P139" i="3"/>
  <c r="Q139" i="3"/>
  <c r="J141" i="3"/>
  <c r="K141" i="3"/>
  <c r="L141" i="3"/>
  <c r="O141" i="3"/>
  <c r="P141" i="3"/>
  <c r="Q141" i="3"/>
  <c r="J143" i="3"/>
  <c r="K143" i="3"/>
  <c r="L143" i="3"/>
  <c r="O143" i="3"/>
  <c r="P143" i="3"/>
  <c r="Q143" i="3"/>
  <c r="J144" i="3"/>
  <c r="K144" i="3"/>
  <c r="L144" i="3"/>
  <c r="O144" i="3"/>
  <c r="P144" i="3"/>
  <c r="Q144" i="3"/>
  <c r="J145" i="3"/>
  <c r="K145" i="3"/>
  <c r="L145" i="3"/>
  <c r="O145" i="3"/>
  <c r="P145" i="3"/>
  <c r="Q145" i="3"/>
  <c r="J146" i="3"/>
  <c r="K146" i="3"/>
  <c r="L146" i="3"/>
  <c r="O146" i="3"/>
  <c r="P146" i="3"/>
  <c r="Q146" i="3"/>
  <c r="J142" i="3"/>
  <c r="K142" i="3"/>
  <c r="L142" i="3"/>
  <c r="O142" i="3"/>
  <c r="P142" i="3"/>
  <c r="Q142" i="3"/>
  <c r="J147" i="3"/>
  <c r="K147" i="3"/>
  <c r="L147" i="3"/>
  <c r="O147" i="3"/>
  <c r="P147" i="3"/>
  <c r="Q147" i="3"/>
  <c r="J148" i="3"/>
  <c r="K148" i="3"/>
  <c r="L148" i="3"/>
  <c r="O148" i="3"/>
  <c r="P148" i="3"/>
  <c r="Q148" i="3"/>
  <c r="J149" i="3"/>
  <c r="K149" i="3"/>
  <c r="L149" i="3"/>
  <c r="O149" i="3"/>
  <c r="P149" i="3"/>
  <c r="Q149" i="3"/>
  <c r="J150" i="3"/>
  <c r="K150" i="3"/>
  <c r="L150" i="3"/>
  <c r="O150" i="3"/>
  <c r="P150" i="3"/>
  <c r="Q150" i="3"/>
  <c r="J151" i="3"/>
  <c r="K151" i="3"/>
  <c r="L151" i="3"/>
  <c r="O151" i="3"/>
  <c r="P151" i="3"/>
  <c r="Q151" i="3"/>
  <c r="J152" i="3"/>
  <c r="K152" i="3"/>
  <c r="L152" i="3"/>
  <c r="O152" i="3"/>
  <c r="P152" i="3"/>
  <c r="Q152" i="3"/>
  <c r="J153" i="3"/>
  <c r="K153" i="3"/>
  <c r="L153" i="3"/>
  <c r="O153" i="3"/>
  <c r="P153" i="3"/>
  <c r="Q153" i="3"/>
  <c r="J154" i="3"/>
  <c r="K154" i="3"/>
  <c r="L154" i="3"/>
  <c r="O154" i="3"/>
  <c r="P154" i="3"/>
  <c r="Q154" i="3"/>
  <c r="J155" i="3"/>
  <c r="K155" i="3"/>
  <c r="L155" i="3"/>
  <c r="O155" i="3"/>
  <c r="P155" i="3"/>
  <c r="Q155" i="3"/>
  <c r="J156" i="3"/>
  <c r="K156" i="3"/>
  <c r="L156" i="3"/>
  <c r="O156" i="3"/>
  <c r="P156" i="3"/>
  <c r="Q156" i="3"/>
  <c r="J157" i="3"/>
  <c r="K157" i="3"/>
  <c r="L157" i="3"/>
  <c r="O157" i="3"/>
  <c r="P157" i="3"/>
  <c r="Q157" i="3"/>
  <c r="J158" i="3"/>
  <c r="K158" i="3"/>
  <c r="L158" i="3"/>
  <c r="O158" i="3"/>
  <c r="P158" i="3"/>
  <c r="Q158" i="3"/>
  <c r="J159" i="3"/>
  <c r="K159" i="3"/>
  <c r="L159" i="3"/>
  <c r="O159" i="3"/>
  <c r="P159" i="3"/>
  <c r="Q159" i="3"/>
  <c r="J160" i="3"/>
  <c r="K160" i="3"/>
  <c r="L160" i="3"/>
  <c r="O160" i="3"/>
  <c r="P160" i="3"/>
  <c r="Q160" i="3"/>
  <c r="J161" i="3"/>
  <c r="K161" i="3"/>
  <c r="L161" i="3"/>
  <c r="O161" i="3"/>
  <c r="P161" i="3"/>
  <c r="Q161" i="3"/>
  <c r="J162" i="3"/>
  <c r="K162" i="3"/>
  <c r="L162" i="3"/>
  <c r="O162" i="3"/>
  <c r="P162" i="3"/>
  <c r="Q162" i="3"/>
  <c r="J163" i="3"/>
  <c r="K163" i="3"/>
  <c r="L163" i="3"/>
  <c r="O163" i="3"/>
  <c r="P163" i="3"/>
  <c r="Q163" i="3"/>
  <c r="J164" i="3"/>
  <c r="K164" i="3"/>
  <c r="L164" i="3"/>
  <c r="O164" i="3"/>
  <c r="P164" i="3"/>
  <c r="Q164" i="3"/>
  <c r="J165" i="3"/>
  <c r="K165" i="3"/>
  <c r="L165" i="3"/>
  <c r="O165" i="3"/>
  <c r="P165" i="3"/>
  <c r="Q165" i="3"/>
  <c r="J166" i="3"/>
  <c r="K166" i="3"/>
  <c r="L166" i="3"/>
  <c r="O166" i="3"/>
  <c r="P166" i="3"/>
  <c r="Q166" i="3"/>
  <c r="J167" i="3"/>
  <c r="K167" i="3"/>
  <c r="L167" i="3"/>
  <c r="O167" i="3"/>
  <c r="P167" i="3"/>
  <c r="Q167" i="3"/>
  <c r="J168" i="3"/>
  <c r="K168" i="3"/>
  <c r="L168" i="3"/>
  <c r="O168" i="3"/>
  <c r="P168" i="3"/>
  <c r="Q168" i="3"/>
  <c r="J169" i="3"/>
  <c r="K169" i="3"/>
  <c r="L169" i="3"/>
  <c r="O169" i="3"/>
  <c r="P169" i="3"/>
  <c r="Q169" i="3"/>
  <c r="J170" i="3"/>
  <c r="K170" i="3"/>
  <c r="L170" i="3"/>
  <c r="O170" i="3"/>
  <c r="P170" i="3"/>
  <c r="Q170" i="3"/>
  <c r="J171" i="3"/>
  <c r="K171" i="3"/>
  <c r="L171" i="3"/>
  <c r="O171" i="3"/>
  <c r="P171" i="3"/>
  <c r="Q171" i="3"/>
  <c r="J172" i="3"/>
  <c r="K172" i="3"/>
  <c r="L172" i="3"/>
  <c r="O172" i="3"/>
  <c r="P172" i="3"/>
  <c r="Q172" i="3"/>
  <c r="J173" i="3"/>
  <c r="K173" i="3"/>
  <c r="L173" i="3"/>
  <c r="O173" i="3"/>
  <c r="P173" i="3"/>
  <c r="Q173" i="3"/>
  <c r="J174" i="3"/>
  <c r="K174" i="3"/>
  <c r="L174" i="3"/>
  <c r="O174" i="3"/>
  <c r="P174" i="3"/>
  <c r="Q174" i="3"/>
  <c r="J175" i="3"/>
  <c r="K175" i="3"/>
  <c r="L175" i="3"/>
  <c r="O175" i="3"/>
  <c r="P175" i="3"/>
  <c r="Q175" i="3"/>
  <c r="J176" i="3"/>
  <c r="K176" i="3"/>
  <c r="L176" i="3"/>
  <c r="O176" i="3"/>
  <c r="P176" i="3"/>
  <c r="Q176" i="3"/>
  <c r="J177" i="3"/>
  <c r="K177" i="3"/>
  <c r="L177" i="3"/>
  <c r="O177" i="3"/>
  <c r="P177" i="3"/>
  <c r="Q177" i="3"/>
  <c r="J178" i="3"/>
  <c r="K178" i="3"/>
  <c r="L178" i="3"/>
  <c r="O178" i="3"/>
  <c r="P178" i="3"/>
  <c r="Q178" i="3"/>
  <c r="J179" i="3"/>
  <c r="K179" i="3"/>
  <c r="L179" i="3"/>
  <c r="O179" i="3"/>
  <c r="P179" i="3"/>
  <c r="Q179" i="3"/>
  <c r="J180" i="3"/>
  <c r="K180" i="3"/>
  <c r="L180" i="3"/>
  <c r="O180" i="3"/>
  <c r="P180" i="3"/>
  <c r="Q180" i="3"/>
  <c r="J181" i="3"/>
  <c r="K181" i="3"/>
  <c r="L181" i="3"/>
  <c r="O181" i="3"/>
  <c r="P181" i="3"/>
  <c r="Q181" i="3"/>
  <c r="J182" i="3"/>
  <c r="K182" i="3"/>
  <c r="L182" i="3"/>
  <c r="O182" i="3"/>
  <c r="P182" i="3"/>
  <c r="Q182" i="3"/>
  <c r="J183" i="3"/>
  <c r="K183" i="3"/>
  <c r="L183" i="3"/>
  <c r="O183" i="3"/>
  <c r="P183" i="3"/>
  <c r="Q183" i="3"/>
  <c r="J184" i="3"/>
  <c r="K184" i="3"/>
  <c r="L184" i="3"/>
  <c r="O184" i="3"/>
  <c r="P184" i="3"/>
  <c r="Q184" i="3"/>
  <c r="J185" i="3"/>
  <c r="K185" i="3"/>
  <c r="L185" i="3"/>
  <c r="O185" i="3"/>
  <c r="P185" i="3"/>
  <c r="Q185" i="3"/>
  <c r="J186" i="3"/>
  <c r="K186" i="3"/>
  <c r="L186" i="3"/>
  <c r="O186" i="3"/>
  <c r="P186" i="3"/>
  <c r="Q186" i="3"/>
  <c r="J187" i="3"/>
  <c r="K187" i="3"/>
  <c r="L187" i="3"/>
  <c r="O187" i="3"/>
  <c r="P187" i="3"/>
  <c r="Q187" i="3"/>
  <c r="J188" i="3"/>
  <c r="K188" i="3"/>
  <c r="L188" i="3"/>
  <c r="O188" i="3"/>
  <c r="P188" i="3"/>
  <c r="Q188" i="3"/>
  <c r="J189" i="3"/>
  <c r="K189" i="3"/>
  <c r="L189" i="3"/>
  <c r="O189" i="3"/>
  <c r="P189" i="3"/>
  <c r="Q189" i="3"/>
  <c r="J190" i="3"/>
  <c r="K190" i="3"/>
  <c r="L190" i="3"/>
  <c r="O190" i="3"/>
  <c r="P190" i="3"/>
  <c r="Q190" i="3"/>
  <c r="J191" i="3"/>
  <c r="K191" i="3"/>
  <c r="L191" i="3"/>
  <c r="O191" i="3"/>
  <c r="P191" i="3"/>
  <c r="Q191" i="3"/>
  <c r="J192" i="3"/>
  <c r="K192" i="3"/>
  <c r="L192" i="3"/>
  <c r="O192" i="3"/>
  <c r="P192" i="3"/>
  <c r="Q192" i="3"/>
  <c r="C148" i="3"/>
  <c r="M192" i="3"/>
  <c r="R192" i="3"/>
  <c r="M190" i="3"/>
  <c r="R190" i="3"/>
  <c r="M191" i="3"/>
  <c r="R191" i="3"/>
  <c r="M189" i="3"/>
  <c r="R189" i="3"/>
  <c r="M188" i="3"/>
  <c r="R188" i="3"/>
  <c r="M187" i="3"/>
  <c r="R187" i="3"/>
  <c r="M186" i="3"/>
  <c r="R186" i="3"/>
  <c r="M185" i="3"/>
  <c r="R185" i="3"/>
  <c r="M184" i="3"/>
  <c r="R184" i="3"/>
  <c r="M183" i="3"/>
  <c r="R183" i="3"/>
  <c r="M182" i="3"/>
  <c r="R182" i="3"/>
  <c r="M181" i="3"/>
  <c r="R181" i="3"/>
  <c r="M180" i="3"/>
  <c r="R180" i="3"/>
  <c r="M179" i="3"/>
  <c r="R179" i="3"/>
  <c r="M178" i="3"/>
  <c r="R178" i="3"/>
  <c r="M177" i="3"/>
  <c r="R177" i="3"/>
  <c r="M176" i="3"/>
  <c r="R176" i="3"/>
  <c r="M175" i="3"/>
  <c r="R175" i="3"/>
  <c r="M174" i="3"/>
  <c r="R174" i="3"/>
  <c r="M173" i="3"/>
  <c r="R173" i="3"/>
  <c r="M172" i="3"/>
  <c r="R172" i="3"/>
  <c r="M171" i="3"/>
  <c r="R171" i="3"/>
  <c r="M170" i="3"/>
  <c r="R170" i="3"/>
  <c r="M169" i="3"/>
  <c r="R169" i="3"/>
  <c r="M168" i="3"/>
  <c r="R168" i="3"/>
  <c r="M167" i="3"/>
  <c r="R167" i="3"/>
  <c r="M166" i="3"/>
  <c r="R166" i="3"/>
  <c r="M165" i="3"/>
  <c r="R165" i="3"/>
  <c r="M164" i="3"/>
  <c r="R164" i="3"/>
  <c r="M163" i="3"/>
  <c r="R163" i="3"/>
  <c r="M162" i="3"/>
  <c r="R162" i="3"/>
  <c r="M161" i="3"/>
  <c r="R161" i="3"/>
  <c r="M160" i="3"/>
  <c r="R160" i="3"/>
  <c r="M159" i="3"/>
  <c r="R159" i="3"/>
  <c r="M158" i="3"/>
  <c r="R158" i="3"/>
  <c r="M157" i="3"/>
  <c r="R157" i="3"/>
  <c r="M156" i="3"/>
  <c r="R156" i="3"/>
  <c r="M155" i="3"/>
  <c r="R155" i="3"/>
  <c r="M154" i="3"/>
  <c r="R154" i="3"/>
  <c r="M153" i="3"/>
  <c r="R153" i="3"/>
  <c r="M152" i="3"/>
  <c r="R152" i="3"/>
  <c r="M151" i="3"/>
  <c r="R151" i="3"/>
  <c r="M150" i="3"/>
  <c r="R150" i="3"/>
  <c r="M149" i="3"/>
  <c r="R149" i="3"/>
  <c r="M148" i="3"/>
  <c r="R148" i="3"/>
  <c r="M147" i="3"/>
  <c r="R147" i="3"/>
  <c r="M142" i="3"/>
  <c r="R142" i="3"/>
  <c r="M146" i="3"/>
  <c r="R146" i="3"/>
  <c r="M145" i="3"/>
  <c r="R145" i="3"/>
  <c r="M144" i="3"/>
  <c r="R144" i="3"/>
  <c r="M143" i="3"/>
  <c r="R143" i="3"/>
  <c r="M141" i="3"/>
  <c r="R141" i="3"/>
  <c r="M139" i="3"/>
  <c r="R139" i="3"/>
  <c r="M140" i="3"/>
  <c r="R140" i="3"/>
  <c r="M138" i="3"/>
  <c r="R138" i="3"/>
  <c r="C139" i="3"/>
  <c r="C138" i="3"/>
  <c r="G25" i="3"/>
  <c r="J32" i="5"/>
  <c r="Q32" i="5"/>
  <c r="J33" i="5"/>
  <c r="Q33" i="5"/>
  <c r="J34" i="5"/>
  <c r="Q34" i="5"/>
  <c r="J35" i="5"/>
  <c r="Q35" i="5"/>
  <c r="J36" i="5"/>
  <c r="Q36" i="5"/>
  <c r="I6" i="5"/>
  <c r="G9" i="5"/>
  <c r="C9" i="5"/>
  <c r="C171" i="3"/>
  <c r="C172" i="3"/>
  <c r="C173" i="3"/>
  <c r="C174" i="3"/>
  <c r="C175" i="3"/>
  <c r="C176" i="3"/>
  <c r="C177" i="3"/>
  <c r="C178" i="3"/>
  <c r="C179" i="3"/>
  <c r="C180" i="3"/>
  <c r="C181" i="3"/>
  <c r="C182" i="3"/>
  <c r="C183" i="3"/>
  <c r="C184" i="3"/>
  <c r="C185" i="3"/>
  <c r="C186" i="3"/>
  <c r="C187" i="3"/>
  <c r="C188" i="3"/>
  <c r="C189" i="3"/>
  <c r="C190" i="3"/>
  <c r="C191" i="3"/>
  <c r="C192" i="3"/>
  <c r="C170" i="3"/>
  <c r="C169" i="3"/>
  <c r="C168" i="3"/>
  <c r="C167" i="3"/>
  <c r="C166" i="3"/>
  <c r="C165" i="3"/>
  <c r="C164" i="3"/>
  <c r="C163" i="3"/>
  <c r="C162" i="3"/>
  <c r="C161" i="3"/>
  <c r="C160" i="3"/>
  <c r="C159" i="3"/>
  <c r="C156" i="3"/>
  <c r="C158" i="3"/>
  <c r="H30" i="7"/>
  <c r="H31" i="7"/>
  <c r="H33" i="7"/>
  <c r="H34" i="7"/>
  <c r="H35" i="7"/>
  <c r="C157" i="3"/>
  <c r="C155" i="3"/>
  <c r="C154" i="3"/>
  <c r="G19" i="3"/>
  <c r="C153" i="3"/>
  <c r="C152" i="3"/>
  <c r="C151" i="3"/>
  <c r="F47" i="7"/>
  <c r="F46" i="7"/>
  <c r="F45" i="7"/>
  <c r="F44" i="7"/>
  <c r="F43" i="7"/>
  <c r="F42" i="7"/>
  <c r="L15" i="3"/>
  <c r="K49" i="5"/>
  <c r="I16" i="10"/>
  <c r="E16" i="10"/>
  <c r="E14" i="10"/>
  <c r="E13" i="10"/>
  <c r="L4" i="9"/>
  <c r="L3" i="9"/>
  <c r="L5" i="9"/>
  <c r="R3" i="4"/>
  <c r="R2" i="4"/>
  <c r="L4" i="8"/>
  <c r="L3" i="8"/>
  <c r="G13" i="8"/>
  <c r="C26" i="11"/>
  <c r="D33" i="11"/>
  <c r="I15" i="3"/>
  <c r="C2" i="7"/>
  <c r="R60" i="10"/>
  <c r="R59" i="10"/>
  <c r="R58" i="10"/>
  <c r="R57" i="10"/>
  <c r="R69" i="5"/>
  <c r="R68" i="5"/>
  <c r="R67" i="5"/>
  <c r="R66" i="5"/>
  <c r="R65" i="5"/>
  <c r="R64" i="5"/>
  <c r="R70" i="5"/>
  <c r="R71" i="5"/>
  <c r="R63" i="5"/>
  <c r="R62" i="5"/>
  <c r="R61" i="5"/>
  <c r="R60" i="5"/>
  <c r="R59" i="5"/>
  <c r="R58" i="5"/>
  <c r="R57" i="5"/>
  <c r="Q57" i="5"/>
  <c r="Q58" i="5"/>
  <c r="Q59" i="5"/>
  <c r="Q60" i="5"/>
  <c r="Q61" i="5"/>
  <c r="Q62" i="5"/>
  <c r="Q63" i="5"/>
  <c r="Q64" i="5"/>
  <c r="Q65" i="5"/>
  <c r="Q66" i="5"/>
  <c r="Q67" i="5"/>
  <c r="Q68" i="5"/>
  <c r="Q69" i="5"/>
  <c r="Q70" i="5"/>
  <c r="Q71" i="5"/>
  <c r="K71" i="5"/>
  <c r="K70" i="5"/>
  <c r="K69" i="5"/>
  <c r="K68" i="5"/>
  <c r="K67" i="5"/>
  <c r="K66" i="5"/>
  <c r="K65" i="5"/>
  <c r="K64" i="5"/>
  <c r="K63" i="5"/>
  <c r="K62" i="5"/>
  <c r="K61" i="5"/>
  <c r="K60" i="5"/>
  <c r="K59" i="5"/>
  <c r="K58" i="5"/>
  <c r="E8" i="5"/>
  <c r="J70" i="5"/>
  <c r="J71" i="5"/>
  <c r="C71" i="5"/>
  <c r="C70" i="5"/>
  <c r="B70" i="5"/>
  <c r="B71" i="5"/>
  <c r="H19" i="4"/>
  <c r="E3" i="6"/>
  <c r="F7" i="6"/>
  <c r="R56" i="10"/>
  <c r="Q57" i="10"/>
  <c r="Q58" i="10"/>
  <c r="Q59" i="10"/>
  <c r="Q60" i="10"/>
  <c r="Q56" i="10"/>
  <c r="R37" i="10"/>
  <c r="R36" i="10"/>
  <c r="K36" i="10"/>
  <c r="K37" i="10"/>
  <c r="C37" i="10"/>
  <c r="C36" i="10"/>
  <c r="K57" i="5"/>
  <c r="J57" i="5"/>
  <c r="J58" i="5"/>
  <c r="J59" i="5"/>
  <c r="J60" i="5"/>
  <c r="J61" i="5"/>
  <c r="J62" i="5"/>
  <c r="J63" i="5"/>
  <c r="J64" i="5"/>
  <c r="J65" i="5"/>
  <c r="J66" i="5"/>
  <c r="J67" i="5"/>
  <c r="J68" i="5"/>
  <c r="J69" i="5"/>
  <c r="H13" i="8"/>
  <c r="C64" i="5"/>
  <c r="C65" i="5"/>
  <c r="C66" i="5"/>
  <c r="C67" i="5"/>
  <c r="C68" i="5"/>
  <c r="C69" i="5"/>
  <c r="C63" i="5"/>
  <c r="C62" i="5"/>
  <c r="C61" i="5"/>
  <c r="C60" i="5"/>
  <c r="C59" i="5"/>
  <c r="C58" i="5"/>
  <c r="C57" i="5"/>
  <c r="B68" i="5"/>
  <c r="B69" i="5"/>
  <c r="B67" i="5"/>
  <c r="B57" i="5"/>
  <c r="B58" i="5"/>
  <c r="B59" i="5"/>
  <c r="B60" i="5"/>
  <c r="B61" i="5"/>
  <c r="B62" i="5"/>
  <c r="B63" i="5"/>
  <c r="B64" i="5"/>
  <c r="B65" i="5"/>
  <c r="B66" i="5"/>
  <c r="R56" i="5"/>
  <c r="R55" i="5"/>
  <c r="R54" i="5"/>
  <c r="R53" i="5"/>
  <c r="R52" i="5"/>
  <c r="R51" i="5"/>
  <c r="R50" i="5"/>
  <c r="R49" i="5"/>
  <c r="Q50" i="5"/>
  <c r="Q51" i="5"/>
  <c r="Q52" i="5"/>
  <c r="Q53" i="5"/>
  <c r="Q54" i="5"/>
  <c r="Q55" i="5"/>
  <c r="Q56" i="5"/>
  <c r="G9" i="9"/>
  <c r="E26" i="11"/>
  <c r="F32" i="11"/>
  <c r="K56" i="5"/>
  <c r="K55" i="5"/>
  <c r="K54" i="5"/>
  <c r="K53" i="5"/>
  <c r="J54" i="5"/>
  <c r="J55" i="5"/>
  <c r="J56" i="5"/>
  <c r="K52" i="5"/>
  <c r="K51" i="5"/>
  <c r="K50" i="5"/>
  <c r="E9" i="5"/>
  <c r="K35" i="10"/>
  <c r="K34" i="10"/>
  <c r="K33" i="10"/>
  <c r="K32" i="10"/>
  <c r="C35" i="10"/>
  <c r="C34" i="10"/>
  <c r="C33" i="10"/>
  <c r="C32" i="10"/>
  <c r="B32" i="10"/>
  <c r="B33" i="10"/>
  <c r="B34" i="10"/>
  <c r="B35" i="10"/>
  <c r="B31" i="10"/>
  <c r="C60" i="10"/>
  <c r="C59" i="10"/>
  <c r="C58" i="10"/>
  <c r="B57" i="10"/>
  <c r="B58" i="10"/>
  <c r="B59" i="10"/>
  <c r="B60" i="10"/>
  <c r="B61" i="10"/>
  <c r="B56" i="10"/>
  <c r="C56" i="5"/>
  <c r="C55" i="5"/>
  <c r="C54" i="5"/>
  <c r="C53" i="5"/>
  <c r="C52" i="5"/>
  <c r="C51" i="5"/>
  <c r="C50" i="5"/>
  <c r="C49" i="5"/>
  <c r="K9" i="5"/>
  <c r="J37" i="5"/>
  <c r="Q37" i="5"/>
  <c r="J38" i="5"/>
  <c r="Q38" i="5"/>
  <c r="J39" i="5"/>
  <c r="Q39" i="5"/>
  <c r="Q33" i="3"/>
  <c r="J31" i="10"/>
  <c r="C57" i="10"/>
  <c r="B36" i="10"/>
  <c r="B37" i="10"/>
  <c r="C56" i="10"/>
  <c r="C142" i="3"/>
  <c r="C144" i="3"/>
  <c r="C146" i="3"/>
  <c r="C141" i="3"/>
  <c r="C147" i="3"/>
  <c r="C145" i="3"/>
  <c r="C149" i="3"/>
  <c r="C143" i="3"/>
  <c r="C33" i="3"/>
  <c r="C140" i="3"/>
  <c r="C150" i="3"/>
  <c r="K33" i="3"/>
  <c r="L33" i="3"/>
  <c r="P33" i="3"/>
  <c r="C15" i="5"/>
  <c r="G9" i="10"/>
  <c r="I47" i="7"/>
  <c r="I46" i="7"/>
  <c r="M16" i="10"/>
  <c r="I45" i="7"/>
  <c r="J45" i="7"/>
  <c r="L45" i="7"/>
  <c r="M15" i="10"/>
  <c r="I44" i="7"/>
  <c r="L44" i="7"/>
  <c r="S73" i="10"/>
  <c r="S72" i="10"/>
  <c r="I14" i="10"/>
  <c r="I43" i="7"/>
  <c r="L43" i="7"/>
  <c r="C61" i="10"/>
  <c r="C62" i="10"/>
  <c r="C63" i="10"/>
  <c r="C64" i="10"/>
  <c r="C65" i="10"/>
  <c r="C66" i="10"/>
  <c r="D66" i="10"/>
  <c r="C67" i="10"/>
  <c r="C68" i="10"/>
  <c r="C69" i="10"/>
  <c r="C70" i="10"/>
  <c r="I42" i="7"/>
  <c r="L42" i="7"/>
  <c r="F31" i="7"/>
  <c r="D32" i="7"/>
  <c r="F32" i="7"/>
  <c r="F33" i="7"/>
  <c r="I33" i="7"/>
  <c r="M33" i="7"/>
  <c r="O33" i="7"/>
  <c r="I30" i="7"/>
  <c r="O30" i="7"/>
  <c r="L30" i="7"/>
  <c r="O42" i="7"/>
  <c r="L31" i="7"/>
  <c r="I32" i="7"/>
  <c r="O22" i="4"/>
  <c r="N22" i="4"/>
  <c r="M22" i="4"/>
  <c r="L22" i="4"/>
  <c r="O47" i="7"/>
  <c r="O46" i="7"/>
  <c r="O45" i="7"/>
  <c r="O44" i="7"/>
  <c r="O43" i="7"/>
  <c r="L46" i="7"/>
  <c r="O34" i="7"/>
  <c r="O32" i="7"/>
  <c r="O31" i="7"/>
  <c r="L35" i="7"/>
  <c r="L34" i="7"/>
  <c r="L33" i="7"/>
  <c r="L32" i="7"/>
  <c r="I35" i="7"/>
  <c r="C9" i="10"/>
  <c r="C8" i="10"/>
  <c r="R61" i="10"/>
  <c r="R62" i="10"/>
  <c r="R63" i="10"/>
  <c r="R64" i="10"/>
  <c r="R65" i="10"/>
  <c r="R66" i="10"/>
  <c r="S66" i="10"/>
  <c r="R67" i="10"/>
  <c r="R68" i="10"/>
  <c r="R69" i="10"/>
  <c r="R70" i="10"/>
  <c r="R32" i="10"/>
  <c r="R33" i="10"/>
  <c r="R34" i="10"/>
  <c r="R35" i="10"/>
  <c r="R31" i="10"/>
  <c r="K12" i="9"/>
  <c r="Q32" i="10"/>
  <c r="Q33" i="10"/>
  <c r="Q34" i="10"/>
  <c r="Q35" i="10"/>
  <c r="Q36" i="10"/>
  <c r="Q37" i="10"/>
  <c r="Q31" i="10"/>
  <c r="Q49" i="5"/>
  <c r="I22" i="4"/>
  <c r="J16" i="8"/>
  <c r="H12" i="9"/>
  <c r="J22" i="4"/>
  <c r="K16" i="8"/>
  <c r="I12" i="9"/>
  <c r="H22" i="4"/>
  <c r="I16" i="8"/>
  <c r="G12" i="9"/>
  <c r="J50" i="5"/>
  <c r="J51" i="5"/>
  <c r="J52" i="5"/>
  <c r="J53" i="5"/>
  <c r="B50" i="5"/>
  <c r="B51" i="5"/>
  <c r="B52" i="5"/>
  <c r="B53" i="5"/>
  <c r="B54" i="5"/>
  <c r="B49" i="5"/>
  <c r="K70" i="10"/>
  <c r="K69" i="10"/>
  <c r="K68" i="10"/>
  <c r="K67" i="10"/>
  <c r="K66" i="10"/>
  <c r="K65" i="10"/>
  <c r="K64" i="10"/>
  <c r="L64" i="10"/>
  <c r="K63" i="10"/>
  <c r="K62" i="10"/>
  <c r="K61" i="10"/>
  <c r="J37" i="10"/>
  <c r="J36" i="10"/>
  <c r="J35" i="10"/>
  <c r="J34" i="10"/>
  <c r="J33" i="10"/>
  <c r="J32" i="10"/>
  <c r="E9" i="10"/>
  <c r="E8" i="10"/>
  <c r="N12" i="9"/>
  <c r="M12" i="9"/>
  <c r="L12" i="9"/>
  <c r="B56" i="5"/>
  <c r="B55" i="5"/>
  <c r="J49" i="5"/>
  <c r="B31" i="5"/>
  <c r="C3" i="11"/>
  <c r="D7" i="11"/>
  <c r="E3" i="11"/>
  <c r="F6" i="11"/>
  <c r="M9" i="10"/>
  <c r="I9" i="10"/>
  <c r="L47" i="7"/>
  <c r="I31" i="7"/>
  <c r="I34" i="7"/>
  <c r="S71" i="10"/>
  <c r="E15" i="10"/>
  <c r="F74" i="10"/>
  <c r="F15" i="10"/>
  <c r="O35" i="7"/>
  <c r="F20" i="7"/>
  <c r="F21" i="7"/>
  <c r="F34" i="7"/>
  <c r="N74" i="10"/>
  <c r="U74" i="10"/>
  <c r="F22" i="7"/>
  <c r="F35" i="7"/>
  <c r="F19" i="7"/>
  <c r="F30" i="7"/>
  <c r="H20" i="3"/>
  <c r="J31" i="5"/>
  <c r="Q31" i="5"/>
  <c r="H9" i="9"/>
  <c r="G8" i="10"/>
  <c r="O8" i="10"/>
  <c r="K8" i="10"/>
  <c r="K9" i="10"/>
  <c r="F7" i="11"/>
  <c r="F8" i="11"/>
  <c r="D29" i="11"/>
  <c r="N15" i="10"/>
  <c r="L5" i="8"/>
  <c r="M5" i="8"/>
  <c r="L46" i="10"/>
  <c r="D45" i="10"/>
  <c r="S38" i="10"/>
  <c r="C13" i="10"/>
  <c r="S34" i="10"/>
  <c r="S48" i="10"/>
  <c r="D32" i="11"/>
  <c r="D31" i="11"/>
  <c r="D30" i="11"/>
  <c r="E26" i="6"/>
  <c r="F29" i="6"/>
  <c r="I19" i="4"/>
  <c r="R4" i="4"/>
  <c r="C16" i="5"/>
  <c r="C14" i="5"/>
  <c r="G16" i="5"/>
  <c r="G15" i="5"/>
  <c r="F6" i="6"/>
  <c r="C13" i="5"/>
  <c r="G13" i="5"/>
  <c r="S4" i="4"/>
  <c r="C12" i="7"/>
  <c r="G14" i="5"/>
  <c r="E18" i="10"/>
  <c r="E17" i="10"/>
  <c r="I13" i="10"/>
  <c r="D58" i="10"/>
  <c r="L66" i="10"/>
  <c r="S64" i="10"/>
  <c r="D64" i="10"/>
  <c r="I15" i="10"/>
  <c r="J15" i="10"/>
  <c r="L67" i="10"/>
  <c r="S63" i="10"/>
  <c r="D63" i="10"/>
  <c r="O9" i="10"/>
  <c r="D59" i="10"/>
  <c r="M14" i="10"/>
  <c r="D60" i="10"/>
  <c r="L65" i="10"/>
  <c r="S65" i="10"/>
  <c r="D65" i="10"/>
  <c r="D57" i="10"/>
  <c r="S58" i="10"/>
  <c r="L68" i="10"/>
  <c r="S70" i="10"/>
  <c r="S62" i="10"/>
  <c r="D70" i="10"/>
  <c r="D62" i="10"/>
  <c r="L61" i="10"/>
  <c r="L69" i="10"/>
  <c r="S69" i="10"/>
  <c r="S61" i="10"/>
  <c r="D69" i="10"/>
  <c r="D61" i="10"/>
  <c r="L62" i="10"/>
  <c r="L70" i="10"/>
  <c r="S68" i="10"/>
  <c r="D68" i="10"/>
  <c r="S59" i="10"/>
  <c r="L58" i="10"/>
  <c r="L63" i="10"/>
  <c r="S67" i="10"/>
  <c r="D67" i="10"/>
  <c r="D56" i="10"/>
  <c r="S60" i="10"/>
  <c r="F29" i="11"/>
  <c r="F31" i="11"/>
  <c r="F33" i="11"/>
  <c r="C6" i="7"/>
  <c r="F30" i="11"/>
  <c r="C14" i="10"/>
  <c r="I18" i="10"/>
  <c r="G16" i="10"/>
  <c r="O16" i="10"/>
  <c r="D6" i="11"/>
  <c r="D43" i="10"/>
  <c r="C16" i="10"/>
  <c r="D8" i="11"/>
  <c r="M8" i="10"/>
  <c r="L60" i="10"/>
  <c r="D41" i="10"/>
  <c r="K13" i="10"/>
  <c r="G14" i="10"/>
  <c r="O14" i="10"/>
  <c r="G15" i="10"/>
  <c r="O15" i="10"/>
  <c r="M17" i="10"/>
  <c r="I17" i="10"/>
  <c r="M6" i="10"/>
  <c r="N16" i="10"/>
  <c r="L59" i="10"/>
  <c r="L57" i="10"/>
  <c r="M18" i="10"/>
  <c r="M13" i="10"/>
  <c r="S56" i="10"/>
  <c r="I8" i="10"/>
  <c r="L56" i="10"/>
  <c r="I6" i="10"/>
  <c r="K6" i="10"/>
  <c r="G6" i="10"/>
  <c r="K16" i="10"/>
  <c r="K14" i="10"/>
  <c r="D35" i="10"/>
  <c r="H35" i="10"/>
  <c r="L45" i="10"/>
  <c r="L40" i="10"/>
  <c r="D44" i="10"/>
  <c r="S44" i="10"/>
  <c r="D49" i="10"/>
  <c r="L48" i="10"/>
  <c r="S41" i="10"/>
  <c r="S31" i="10"/>
  <c r="D47" i="10"/>
  <c r="L31" i="10"/>
  <c r="D42" i="10"/>
  <c r="K15" i="10"/>
  <c r="C15" i="10"/>
  <c r="L44" i="10"/>
  <c r="S40" i="10"/>
  <c r="D39" i="10"/>
  <c r="L38" i="10"/>
  <c r="D38" i="10"/>
  <c r="S47" i="10"/>
  <c r="L42" i="10"/>
  <c r="L39" i="10"/>
  <c r="D46" i="10"/>
  <c r="L32" i="10"/>
  <c r="L33" i="10"/>
  <c r="S49" i="10"/>
  <c r="G13" i="10"/>
  <c r="O13" i="10"/>
  <c r="D40" i="10"/>
  <c r="L49" i="10"/>
  <c r="S39" i="10"/>
  <c r="S32" i="10"/>
  <c r="S33" i="10"/>
  <c r="D33" i="10"/>
  <c r="H33" i="10"/>
  <c r="S46" i="10"/>
  <c r="S43" i="10"/>
  <c r="D34" i="10"/>
  <c r="H34" i="10"/>
  <c r="S37" i="10"/>
  <c r="S57" i="10"/>
  <c r="D36" i="10"/>
  <c r="H36" i="10"/>
  <c r="D37" i="10"/>
  <c r="H37" i="10"/>
  <c r="L37" i="10"/>
  <c r="L36" i="10"/>
  <c r="D31" i="10"/>
  <c r="H31" i="10"/>
  <c r="L34" i="10"/>
  <c r="L41" i="10"/>
  <c r="S42" i="10"/>
  <c r="L43" i="10"/>
  <c r="L47" i="10"/>
  <c r="S35" i="10"/>
  <c r="S45" i="10"/>
  <c r="D48" i="10"/>
  <c r="D32" i="10"/>
  <c r="H32" i="10"/>
  <c r="L35" i="10"/>
  <c r="S36" i="10"/>
  <c r="C11" i="7"/>
  <c r="F8" i="6"/>
  <c r="C5" i="7"/>
  <c r="C7" i="7"/>
  <c r="E13" i="5"/>
  <c r="D66" i="5"/>
  <c r="H66" i="5"/>
  <c r="E16" i="5"/>
  <c r="C26" i="6"/>
  <c r="D32" i="6"/>
  <c r="C3" i="6"/>
  <c r="D8" i="6"/>
  <c r="O9" i="5"/>
  <c r="M9" i="5"/>
  <c r="I16" i="5"/>
  <c r="I15" i="5"/>
  <c r="M14" i="5"/>
  <c r="I13" i="5"/>
  <c r="K16" i="5"/>
  <c r="L67" i="5"/>
  <c r="M33" i="3"/>
  <c r="I9" i="5"/>
  <c r="D58" i="5"/>
  <c r="H58" i="5"/>
  <c r="D59" i="5"/>
  <c r="H59" i="5"/>
  <c r="L66" i="5"/>
  <c r="S50" i="5"/>
  <c r="L59" i="5"/>
  <c r="S61" i="5"/>
  <c r="L52" i="5"/>
  <c r="K6" i="5"/>
  <c r="L9" i="5"/>
  <c r="M13" i="5"/>
  <c r="M16" i="5"/>
  <c r="E15" i="5"/>
  <c r="M15" i="5"/>
  <c r="L57" i="5"/>
  <c r="S65" i="5"/>
  <c r="E14" i="5"/>
  <c r="D50" i="5"/>
  <c r="H50" i="5"/>
  <c r="S49" i="5"/>
  <c r="L65" i="5"/>
  <c r="S67" i="5"/>
  <c r="D62" i="5"/>
  <c r="H62" i="5"/>
  <c r="K8" i="5"/>
  <c r="M8" i="5"/>
  <c r="I8" i="5"/>
  <c r="I14" i="5"/>
  <c r="D51" i="5"/>
  <c r="H51" i="5"/>
  <c r="S51" i="5"/>
  <c r="L53" i="5"/>
  <c r="S52" i="5"/>
  <c r="L64" i="5"/>
  <c r="S58" i="5"/>
  <c r="S64" i="5"/>
  <c r="D52" i="5"/>
  <c r="H52" i="5"/>
  <c r="D54" i="5"/>
  <c r="H54" i="5"/>
  <c r="L50" i="5"/>
  <c r="L55" i="5"/>
  <c r="S54" i="5"/>
  <c r="D53" i="5"/>
  <c r="H53" i="5"/>
  <c r="L54" i="5"/>
  <c r="S53" i="5"/>
  <c r="D63" i="5"/>
  <c r="H63" i="5"/>
  <c r="S59" i="5"/>
  <c r="D69" i="5"/>
  <c r="H69" i="5"/>
  <c r="D70" i="5"/>
  <c r="H70" i="5"/>
  <c r="L58" i="5"/>
  <c r="S60" i="5"/>
  <c r="S66" i="5"/>
  <c r="D55" i="5"/>
  <c r="H55" i="5"/>
  <c r="L51" i="5"/>
  <c r="L56" i="5"/>
  <c r="S55" i="5"/>
  <c r="D57" i="5"/>
  <c r="H57" i="5"/>
  <c r="D68" i="5"/>
  <c r="H68" i="5"/>
  <c r="D71" i="5"/>
  <c r="H71" i="5"/>
  <c r="D56" i="5"/>
  <c r="H56" i="5"/>
  <c r="S56" i="5"/>
  <c r="D67" i="5"/>
  <c r="H67" i="5"/>
  <c r="L60" i="5"/>
  <c r="L68" i="5"/>
  <c r="S62" i="5"/>
  <c r="S68" i="5"/>
  <c r="D49" i="5"/>
  <c r="H49" i="5"/>
  <c r="L61" i="5"/>
  <c r="L69" i="5"/>
  <c r="S63" i="5"/>
  <c r="S69" i="5"/>
  <c r="D60" i="5"/>
  <c r="H60" i="5"/>
  <c r="D65" i="5"/>
  <c r="H65" i="5"/>
  <c r="L62" i="5"/>
  <c r="L70" i="5"/>
  <c r="S71" i="5"/>
  <c r="D61" i="5"/>
  <c r="H61" i="5"/>
  <c r="D64" i="5"/>
  <c r="H64" i="5"/>
  <c r="L63" i="5"/>
  <c r="L71" i="5"/>
  <c r="S57" i="5"/>
  <c r="S70" i="5"/>
  <c r="K15" i="5"/>
  <c r="K14" i="5"/>
  <c r="G20" i="3"/>
  <c r="L49" i="5"/>
  <c r="K13" i="5"/>
  <c r="D31" i="5"/>
  <c r="H31" i="5"/>
  <c r="D32" i="5"/>
  <c r="H32" i="5"/>
  <c r="D33" i="5"/>
  <c r="H33" i="5"/>
  <c r="D34" i="5"/>
  <c r="H34" i="5"/>
  <c r="L40" i="5"/>
  <c r="L32" i="5"/>
  <c r="S40" i="5"/>
  <c r="D40" i="5"/>
  <c r="H40" i="5"/>
  <c r="L41" i="5"/>
  <c r="L35" i="5"/>
  <c r="L33" i="5"/>
  <c r="L38" i="5"/>
  <c r="D41" i="5"/>
  <c r="H41" i="5"/>
  <c r="L36" i="5"/>
  <c r="S41" i="5"/>
  <c r="L37" i="5"/>
  <c r="L34" i="5"/>
  <c r="L39" i="5"/>
  <c r="S33" i="5"/>
  <c r="S32" i="5"/>
  <c r="S37" i="5"/>
  <c r="S36" i="5"/>
  <c r="S38" i="5"/>
  <c r="S31" i="5"/>
  <c r="S34" i="5"/>
  <c r="S39" i="5"/>
  <c r="S35" i="5"/>
  <c r="D39" i="5"/>
  <c r="H39" i="5"/>
  <c r="L31" i="5"/>
  <c r="U43" i="5"/>
  <c r="L15" i="5"/>
  <c r="H14" i="10"/>
  <c r="J18" i="10"/>
  <c r="F32" i="6"/>
  <c r="F31" i="6"/>
  <c r="F33" i="6"/>
  <c r="F30" i="6"/>
  <c r="D37" i="5"/>
  <c r="H37" i="5"/>
  <c r="D38" i="5"/>
  <c r="H38" i="5"/>
  <c r="H9" i="5"/>
  <c r="D36" i="5"/>
  <c r="H36" i="5"/>
  <c r="G8" i="5"/>
  <c r="D35" i="5"/>
  <c r="H35" i="5"/>
  <c r="G17" i="5"/>
  <c r="O14" i="5"/>
  <c r="V8" i="5"/>
  <c r="AB8" i="5"/>
  <c r="R33" i="3"/>
  <c r="C17" i="5"/>
  <c r="J8" i="5"/>
  <c r="M6" i="5"/>
  <c r="N9" i="5"/>
  <c r="D7" i="6"/>
  <c r="D31" i="6"/>
  <c r="D6" i="6"/>
  <c r="D29" i="6"/>
  <c r="K17" i="5"/>
  <c r="L17" i="5"/>
  <c r="D30" i="6"/>
  <c r="E6" i="10"/>
  <c r="F16" i="10"/>
  <c r="G74" i="10"/>
  <c r="D74" i="10"/>
  <c r="E74" i="10"/>
  <c r="F13" i="10"/>
  <c r="S74" i="10"/>
  <c r="N9" i="10"/>
  <c r="F50" i="10"/>
  <c r="D15" i="10"/>
  <c r="O74" i="10"/>
  <c r="J8" i="10"/>
  <c r="L74" i="10"/>
  <c r="J9" i="10"/>
  <c r="J17" i="10"/>
  <c r="L50" i="10"/>
  <c r="M50" i="10"/>
  <c r="H13" i="10"/>
  <c r="M74" i="10"/>
  <c r="J13" i="10"/>
  <c r="J14" i="10"/>
  <c r="C6" i="10"/>
  <c r="D8" i="10"/>
  <c r="T74" i="10"/>
  <c r="N13" i="10"/>
  <c r="J16" i="10"/>
  <c r="N17" i="10"/>
  <c r="V50" i="10"/>
  <c r="S50" i="10"/>
  <c r="O50" i="10"/>
  <c r="V74" i="10"/>
  <c r="N14" i="10"/>
  <c r="N18" i="10"/>
  <c r="N8" i="10"/>
  <c r="E50" i="10"/>
  <c r="D13" i="10"/>
  <c r="N50" i="10"/>
  <c r="P15" i="10"/>
  <c r="H16" i="10"/>
  <c r="T50" i="10"/>
  <c r="L13" i="10"/>
  <c r="U50" i="10"/>
  <c r="L15" i="10"/>
  <c r="D50" i="10"/>
  <c r="D51" i="10"/>
  <c r="G50" i="10"/>
  <c r="L14" i="10"/>
  <c r="L16" i="10"/>
  <c r="C17" i="10"/>
  <c r="G17" i="10"/>
  <c r="H9" i="10"/>
  <c r="H8" i="10"/>
  <c r="K17" i="10"/>
  <c r="L17" i="10"/>
  <c r="L8" i="10"/>
  <c r="L9" i="10"/>
  <c r="G18" i="10"/>
  <c r="C18" i="10"/>
  <c r="K18" i="10"/>
  <c r="L18" i="10"/>
  <c r="L8" i="5"/>
  <c r="O13" i="5"/>
  <c r="V7" i="5"/>
  <c r="AB7" i="5"/>
  <c r="O16" i="5"/>
  <c r="V10" i="5"/>
  <c r="AB10" i="5"/>
  <c r="D33" i="6"/>
  <c r="O15" i="5"/>
  <c r="V9" i="5"/>
  <c r="AB9" i="5"/>
  <c r="L16" i="5"/>
  <c r="L76" i="5"/>
  <c r="F76" i="5"/>
  <c r="F15" i="5"/>
  <c r="D76" i="5"/>
  <c r="D77" i="5"/>
  <c r="S76" i="5"/>
  <c r="T76" i="5"/>
  <c r="N13" i="5"/>
  <c r="E76" i="5"/>
  <c r="M17" i="5"/>
  <c r="V76" i="5"/>
  <c r="N14" i="5"/>
  <c r="G76" i="5"/>
  <c r="F14" i="5"/>
  <c r="M76" i="5"/>
  <c r="J13" i="5"/>
  <c r="U76" i="5"/>
  <c r="N15" i="5"/>
  <c r="E6" i="5"/>
  <c r="N76" i="5"/>
  <c r="J15" i="5"/>
  <c r="O76" i="5"/>
  <c r="J14" i="5"/>
  <c r="E17" i="5"/>
  <c r="I17" i="5"/>
  <c r="N43" i="5"/>
  <c r="H15" i="5"/>
  <c r="G26" i="3"/>
  <c r="H26" i="3"/>
  <c r="F13" i="5"/>
  <c r="P13" i="5"/>
  <c r="C6" i="5"/>
  <c r="D43" i="5"/>
  <c r="D44" i="5"/>
  <c r="E43" i="5"/>
  <c r="D13" i="5"/>
  <c r="T43" i="5"/>
  <c r="S43" i="5"/>
  <c r="O43" i="5"/>
  <c r="H14" i="5"/>
  <c r="L43" i="5"/>
  <c r="M43" i="5"/>
  <c r="H13" i="5"/>
  <c r="V43" i="5"/>
  <c r="L14" i="5"/>
  <c r="D15" i="5"/>
  <c r="W9" i="5"/>
  <c r="H16" i="5"/>
  <c r="H8" i="5"/>
  <c r="O8" i="5"/>
  <c r="H17" i="5"/>
  <c r="G18" i="5"/>
  <c r="H18" i="5"/>
  <c r="C18" i="5"/>
  <c r="K18" i="5"/>
  <c r="L18" i="5"/>
  <c r="G43" i="5"/>
  <c r="D14" i="5"/>
  <c r="J9" i="5"/>
  <c r="J16" i="5"/>
  <c r="J17" i="5"/>
  <c r="N17" i="5"/>
  <c r="N8" i="5"/>
  <c r="N16" i="5"/>
  <c r="F14" i="10"/>
  <c r="F9" i="10"/>
  <c r="F17" i="10"/>
  <c r="AA8" i="5"/>
  <c r="D16" i="10"/>
  <c r="F8" i="10"/>
  <c r="F18" i="10"/>
  <c r="O6" i="10"/>
  <c r="AA10" i="5"/>
  <c r="D9" i="10"/>
  <c r="D14" i="10"/>
  <c r="D18" i="10"/>
  <c r="D17" i="10"/>
  <c r="AA9" i="5"/>
  <c r="P14" i="10"/>
  <c r="P13" i="10"/>
  <c r="H15" i="10"/>
  <c r="O17" i="10"/>
  <c r="H17" i="10"/>
  <c r="O18" i="10"/>
  <c r="H18" i="10"/>
  <c r="P15" i="5"/>
  <c r="F16" i="5"/>
  <c r="F17" i="5"/>
  <c r="F9" i="5"/>
  <c r="P14" i="5"/>
  <c r="F8" i="5"/>
  <c r="I18" i="5"/>
  <c r="J18" i="5"/>
  <c r="E18" i="5"/>
  <c r="F18" i="5"/>
  <c r="M18" i="5"/>
  <c r="N18" i="5"/>
  <c r="O17" i="5"/>
  <c r="V11" i="5"/>
  <c r="W7" i="5"/>
  <c r="X7" i="5"/>
  <c r="G14" i="14"/>
  <c r="E44" i="14"/>
  <c r="W8" i="5"/>
  <c r="AC8" i="5"/>
  <c r="AD8" i="5"/>
  <c r="L13" i="5"/>
  <c r="P9" i="5"/>
  <c r="W10" i="5"/>
  <c r="AC10" i="5"/>
  <c r="AD10" i="5"/>
  <c r="W11" i="5"/>
  <c r="X11" i="5"/>
  <c r="G17" i="14"/>
  <c r="E47" i="14"/>
  <c r="W12" i="5"/>
  <c r="P16" i="5"/>
  <c r="P8" i="5"/>
  <c r="D16" i="5"/>
  <c r="D8" i="5"/>
  <c r="D18" i="5"/>
  <c r="AA7" i="5"/>
  <c r="P16" i="10"/>
  <c r="AA11" i="5"/>
  <c r="P9" i="10"/>
  <c r="AA12" i="5"/>
  <c r="P17" i="10"/>
  <c r="P8" i="10"/>
  <c r="AC9" i="5"/>
  <c r="AD9" i="5"/>
  <c r="AB11" i="5"/>
  <c r="P18" i="10"/>
  <c r="P17" i="5"/>
  <c r="O18" i="5"/>
  <c r="V12" i="5"/>
  <c r="AB12" i="5"/>
  <c r="X9" i="5"/>
  <c r="X8" i="5"/>
  <c r="G15" i="14"/>
  <c r="E45" i="14"/>
  <c r="X10" i="5"/>
  <c r="G16" i="14"/>
  <c r="E46" i="14"/>
  <c r="D9" i="5"/>
  <c r="D17" i="5"/>
  <c r="AC7" i="5"/>
  <c r="AD7" i="5"/>
  <c r="AC11" i="5"/>
  <c r="AD11" i="5"/>
  <c r="AC12" i="5"/>
  <c r="AD12" i="5"/>
  <c r="X12" i="5"/>
  <c r="G18" i="14"/>
  <c r="E48" i="14"/>
  <c r="P18" i="5"/>
  <c r="E18" i="7"/>
  <c r="F18" i="7"/>
  <c r="E23" i="7"/>
  <c r="F23" i="7"/>
  <c r="C8" i="7"/>
  <c r="AG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tc={449F2B9B-A9FC-4165-8F14-357048AAF3A0}</author>
  </authors>
  <commentList>
    <comment ref="C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2021 (2,462 participants), 1016 (First semester of 2022)</t>
      </text>
    </comment>
  </commentList>
</comments>
</file>

<file path=xl/sharedStrings.xml><?xml version="1.0" encoding="utf-8"?>
<sst xmlns="http://schemas.openxmlformats.org/spreadsheetml/2006/main" count="3681" uniqueCount="689">
  <si>
    <t>Gender</t>
  </si>
  <si>
    <t>Q2</t>
  </si>
  <si>
    <t>Female</t>
  </si>
  <si>
    <t>Yes</t>
  </si>
  <si>
    <t>Male</t>
  </si>
  <si>
    <t>No</t>
  </si>
  <si>
    <t>Resonate Follow-up questions</t>
  </si>
  <si>
    <t>1)</t>
  </si>
  <si>
    <t>Has Resonate’s training had an impact on your life? If so, what is the one biggest change that has occurred in your life as a result of Resonate’s training?</t>
  </si>
  <si>
    <t>2)</t>
  </si>
  <si>
    <t>Since Resonate’s training have you (only if not mentioned above):</t>
  </si>
  <si>
    <t>a) Taken on leadership role (formal or informal)</t>
  </si>
  <si>
    <t/>
  </si>
  <si>
    <t xml:space="preserve">b) Gotten a new job or promotion </t>
  </si>
  <si>
    <t/>
  </si>
  <si>
    <t xml:space="preserve">c) Gotten academic opportunity </t>
  </si>
  <si>
    <t/>
  </si>
  <si>
    <t>d) Started a business or a community initiative</t>
  </si>
  <si>
    <t>e) Other</t>
  </si>
  <si>
    <t>3)</t>
  </si>
  <si>
    <t xml:space="preserve"> Do you have anything else to share with us?</t>
  </si>
  <si>
    <t>Survey type: 6 follow up</t>
  </si>
  <si>
    <t xml:space="preserve">Participant number </t>
  </si>
  <si>
    <t>Obs No</t>
  </si>
  <si>
    <t>Org ID (avr edit)</t>
  </si>
  <si>
    <t>Participant ID</t>
  </si>
  <si>
    <t>Q1: Has Resonate’s training had an impact on your life?If so, what is the one biggest change that has occurred in your life as a result of Resonate’s training?</t>
  </si>
  <si>
    <t>Biggest Impact of Resonate</t>
  </si>
  <si>
    <t>Q2. Since Resonate’s training have you (only if not mentioned above):</t>
  </si>
  <si>
    <t>Q3. Is there anything else to share with us</t>
  </si>
  <si>
    <t>1 yr follow up done?</t>
  </si>
  <si>
    <t>Proactivity</t>
  </si>
  <si>
    <t>yes</t>
  </si>
  <si>
    <t>Survey type: One year follow-up</t>
  </si>
  <si>
    <t>Q4. Is there anything else to share with us</t>
  </si>
  <si>
    <t>Completed 1 year only (Y/N)</t>
  </si>
  <si>
    <t>Resopndents who were interviewed in 6 months and 1 year</t>
  </si>
  <si>
    <t>Six months</t>
  </si>
  <si>
    <t>One Year</t>
  </si>
  <si>
    <t>Six Months only</t>
  </si>
  <si>
    <t>One year only</t>
  </si>
  <si>
    <t>Both Six months &amp; 1 year - 
6 months in</t>
  </si>
  <si>
    <t>Both Six months &amp; 1 year - 
1 year in</t>
  </si>
  <si>
    <t>Final 
(Latest results - either 6 months only or 1 year)</t>
  </si>
  <si>
    <t>Q1 - Has Resonate’s training had an impact on your life? If so, what is the one biggest change that has occurred in your life as a result of Resonate’s training?</t>
  </si>
  <si>
    <t xml:space="preserve">Denominator: all participants </t>
  </si>
  <si>
    <t>Resonate had an impact</t>
  </si>
  <si>
    <t>No impact</t>
  </si>
  <si>
    <t>Q2 - Since Resonate’s training have you (only if not mentioned above):</t>
  </si>
  <si>
    <t>Started Business (Denominator: Only Businesses)</t>
  </si>
  <si>
    <t>Got a job/promotion  (Denominator: All observations)</t>
  </si>
  <si>
    <t>Got academic opportunity  (Denominator: only education institutions )</t>
  </si>
  <si>
    <t>Proactivity  (Denominator: )</t>
  </si>
  <si>
    <t>ANNEX</t>
  </si>
  <si>
    <t>6 months</t>
  </si>
  <si>
    <t>ALL OBSERVATIONS - 6 MONTHS</t>
  </si>
  <si>
    <t>ALL OBSERVATIONS - 6 MONTHS ONLY</t>
  </si>
  <si>
    <t>BOTH SURVEYS - 6 MONTHS IN</t>
  </si>
  <si>
    <t>ID</t>
  </si>
  <si>
    <t># people</t>
  </si>
  <si>
    <t>Business (YN)</t>
  </si>
  <si>
    <t>Education (YN)</t>
  </si>
  <si>
    <t>Organization included in the 6 months only</t>
  </si>
  <si>
    <t>TOTAL</t>
  </si>
  <si>
    <t>1 year</t>
  </si>
  <si>
    <t>ALL OBSERVATIONS - 1 YEAR</t>
  </si>
  <si>
    <t>ALL OBSERVATIONS - 1 YEAR ONLY</t>
  </si>
  <si>
    <t>BOTH SURVEYS - 1 YEAR IN</t>
  </si>
  <si>
    <t>Organization included in 1 year only</t>
  </si>
  <si>
    <t>Most significant Behavior Change</t>
  </si>
  <si>
    <t>Increase in self-awareness and confidence</t>
  </si>
  <si>
    <t xml:space="preserve">Increase in resilience </t>
  </si>
  <si>
    <t>Organization included</t>
  </si>
  <si>
    <t>Number of participant</t>
  </si>
  <si>
    <t>Behavior Change</t>
  </si>
  <si>
    <t xml:space="preserve">Increase in decision making power </t>
  </si>
  <si>
    <t>One year</t>
  </si>
  <si>
    <t>#</t>
  </si>
  <si>
    <t>%</t>
  </si>
  <si>
    <t xml:space="preserve">Started Business </t>
  </si>
  <si>
    <t xml:space="preserve">Got a job/promotion  </t>
  </si>
  <si>
    <t xml:space="preserve">Got academic opportunity  </t>
  </si>
  <si>
    <t xml:space="preserve">Got Leadership role </t>
  </si>
  <si>
    <t xml:space="preserve">Proactivity </t>
  </si>
  <si>
    <t>In-person</t>
  </si>
  <si>
    <t>Got Leadership role (formal) (Denominator: all observations)</t>
  </si>
  <si>
    <t>Got Leadership role (informal)  (Denominator: all observations)</t>
  </si>
  <si>
    <t>Informal Leadership</t>
  </si>
  <si>
    <t>Age</t>
  </si>
  <si>
    <t>Total</t>
  </si>
  <si>
    <t>Q1</t>
  </si>
  <si>
    <t>Q3</t>
  </si>
  <si>
    <t>Q4</t>
  </si>
  <si>
    <t>Virtual</t>
  </si>
  <si>
    <t>Started a Business</t>
  </si>
  <si>
    <t>Got a Job/Promotion</t>
  </si>
  <si>
    <t>Got an Academic Opportunity</t>
  </si>
  <si>
    <t>Got a Leadership role</t>
  </si>
  <si>
    <t>Participants Trained #</t>
  </si>
  <si>
    <t>Comment</t>
  </si>
  <si>
    <t xml:space="preserve">Participants Surveyed # </t>
  </si>
  <si>
    <t>Targeted Participants #</t>
  </si>
  <si>
    <t>Follow-up target</t>
  </si>
  <si>
    <t>CHECK</t>
  </si>
  <si>
    <t>Job (YN)</t>
  </si>
  <si>
    <t>Survey type: 6 Months Follow-up</t>
  </si>
  <si>
    <t xml:space="preserve">In-person </t>
  </si>
  <si>
    <t># of Participants</t>
  </si>
  <si>
    <t>Consolidated</t>
  </si>
  <si>
    <t>Total surveyed</t>
  </si>
  <si>
    <t>Got an Informal Leadership</t>
  </si>
  <si>
    <t xml:space="preserve">Got Formal Leadership </t>
  </si>
  <si>
    <t>Indicators</t>
  </si>
  <si>
    <t xml:space="preserve">CHECK </t>
  </si>
  <si>
    <t xml:space="preserve">Consolidated </t>
  </si>
  <si>
    <t>Organizations Included</t>
  </si>
  <si>
    <t>Organizations included</t>
  </si>
  <si>
    <t>Girls in ICT - Rise &amp; STEM</t>
  </si>
  <si>
    <t>IPRC Kitabi - SFL</t>
  </si>
  <si>
    <t>Remaining Participants</t>
  </si>
  <si>
    <t xml:space="preserve">Org ID </t>
  </si>
  <si>
    <t>Grand Total</t>
  </si>
  <si>
    <t xml:space="preserve">ESP </t>
  </si>
  <si>
    <t>Tubakunde Group 1</t>
  </si>
  <si>
    <t>Tubakunde Group 2</t>
  </si>
  <si>
    <t>Participants surveyed</t>
  </si>
  <si>
    <t>All participants</t>
  </si>
  <si>
    <t>170</t>
  </si>
  <si>
    <t>145</t>
  </si>
  <si>
    <t>140</t>
  </si>
  <si>
    <t>142</t>
  </si>
  <si>
    <t>143</t>
  </si>
  <si>
    <t>Participants trained for the follow-up period</t>
  </si>
  <si>
    <t>Got academic opportunity  (Denominator: only education institutions)</t>
  </si>
  <si>
    <t>Below 18</t>
  </si>
  <si>
    <t>Above 35</t>
  </si>
  <si>
    <t>19-25 years</t>
  </si>
  <si>
    <t>26-35 years</t>
  </si>
  <si>
    <t>By Number</t>
  </si>
  <si>
    <t>Both six and one year</t>
  </si>
  <si>
    <t xml:space="preserve">One-time </t>
  </si>
  <si>
    <t xml:space="preserve">Note that the workshops that were completed in 2021 are manually entered </t>
  </si>
  <si>
    <t>Six-Months</t>
  </si>
  <si>
    <t>One-Year</t>
  </si>
  <si>
    <t xml:space="preserve"> </t>
  </si>
  <si>
    <t>Respondents who were interviewed in 6 months and 1 year</t>
  </si>
  <si>
    <t>Note that the details from this document are manually entered, and some figures count double participants who were surveyed both in six-months and one year)</t>
  </si>
  <si>
    <t xml:space="preserve">No Follow-ups done </t>
  </si>
  <si>
    <t>Participant Names</t>
  </si>
  <si>
    <t>Community Programs Kirehe (Six-Months - 366)</t>
  </si>
  <si>
    <t>Power Her ( Six-Months - 15)</t>
  </si>
  <si>
    <t xml:space="preserve">Haguruka Rutunga( Six-Months - 12), NWC Remera, Kimironko and Gisozi (Six-Months - 64), Kirehe students ( Six-Months -42), SOS Children Village (Six-Months - 40) </t>
  </si>
  <si>
    <t>Power Her</t>
  </si>
  <si>
    <t>Proactivity (Denominator: )</t>
  </si>
  <si>
    <t>Sangira Nyamasheke ( Six-Months - 41), APEFE (Six- Months -81), NWC Rusizi ( Six-Months - 121)</t>
  </si>
  <si>
    <t>Sangira Nyamasheke</t>
  </si>
  <si>
    <t>NWC Rusizi Group 1</t>
  </si>
  <si>
    <t>NWC Rusizi Group 2</t>
  </si>
  <si>
    <t>APEFE Gacuriro</t>
  </si>
  <si>
    <t>APEFE Bumbogo</t>
  </si>
  <si>
    <t>NWC Rusizi Group 3</t>
  </si>
  <si>
    <t>NWC Rusizi Group 4</t>
  </si>
  <si>
    <t>NWC Rusizi Group 5</t>
  </si>
  <si>
    <t>NWC Rusizi Group 6</t>
  </si>
  <si>
    <t>NWC Rusizi Group 7</t>
  </si>
  <si>
    <t>NWC Rusizi Group 8</t>
  </si>
  <si>
    <t>287 ( ASYV Caregivers)</t>
  </si>
  <si>
    <t>288 ( ASYV Girls)</t>
  </si>
  <si>
    <t>Murekatete Dorothee</t>
  </si>
  <si>
    <t>Uwingabire Alice</t>
  </si>
  <si>
    <t>Nyirahabineza Ernestine</t>
  </si>
  <si>
    <t>Nyirashikama Dative</t>
  </si>
  <si>
    <t>Uwambajemariya Mediatrice</t>
  </si>
  <si>
    <t>Nyiraminani Concielle</t>
  </si>
  <si>
    <t>Umutoni Clementine</t>
  </si>
  <si>
    <t>Nyirabanguka Josephine</t>
  </si>
  <si>
    <t>Mukabayizera Alphonsine</t>
  </si>
  <si>
    <t>Izabayo Marie Louise</t>
  </si>
  <si>
    <t>Uwimana Betty</t>
  </si>
  <si>
    <t>Nyirahabineza Valentine</t>
  </si>
  <si>
    <t>Mukantabana Antoinette</t>
  </si>
  <si>
    <t>Dusabimana Valentine</t>
  </si>
  <si>
    <t>Tuyishime Jeannette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</si>
  <si>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</si>
  <si>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</si>
  <si>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</si>
  <si>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</si>
  <si>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</si>
  <si>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</si>
  <si>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</si>
  <si>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</si>
  <si>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</si>
  <si>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</si>
  <si>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</si>
  <si>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</si>
  <si>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</si>
  <si>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</si>
  <si>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</si>
  <si>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</si>
  <si>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Mukamuratwa Yvonne</t>
  </si>
  <si>
    <t>Mukabatsinda Nasra</t>
  </si>
  <si>
    <t>Ntirimara Kurusumu</t>
  </si>
  <si>
    <t>Nyiraneza Florentine</t>
  </si>
  <si>
    <t>Mungwarareba Lucie</t>
  </si>
  <si>
    <t>Bora Hamissa</t>
  </si>
  <si>
    <t>Mukahigiro Amina</t>
  </si>
  <si>
    <t>Niyigena Sandrine</t>
  </si>
  <si>
    <t>Uzamukunda Amissa</t>
  </si>
  <si>
    <t>Musabyemariya Justine</t>
  </si>
  <si>
    <t>Mwerekende Martine</t>
  </si>
  <si>
    <t>Mukeshimana Scolastic</t>
  </si>
  <si>
    <t>Mukarukaka Justine</t>
  </si>
  <si>
    <t>Musabyimana Solange</t>
  </si>
  <si>
    <t>Uwingeye Patricie</t>
  </si>
  <si>
    <t>Mukaruberwa Jacqueline</t>
  </si>
  <si>
    <t>Mukambayire Mediatrice</t>
  </si>
  <si>
    <t>Nyiramaronko Vestine</t>
  </si>
  <si>
    <t>Nyiransabimana Madina</t>
  </si>
  <si>
    <t>Uwamahoro Sauda</t>
  </si>
  <si>
    <t>Mujawamariya Anne Marie</t>
  </si>
  <si>
    <t>Niyonsaba Henriette</t>
  </si>
  <si>
    <t>Dusabe Rebecca</t>
  </si>
  <si>
    <t>Nyirabunyeyeri Mwamini</t>
  </si>
  <si>
    <t>Mukandayisenga Marie Rose</t>
  </si>
  <si>
    <t>Uwamurengeye Francine</t>
  </si>
  <si>
    <t>Uwampinka Cecile</t>
  </si>
  <si>
    <t>Niyokwiringirwa Claudette</t>
  </si>
  <si>
    <t>Nkurunziza Simeon</t>
  </si>
  <si>
    <t>Musabyimana Florence</t>
  </si>
  <si>
    <t>Mukarugambwa Emerita</t>
  </si>
  <si>
    <t>Uwimana Jackeline</t>
  </si>
  <si>
    <t>Akimana Asha</t>
  </si>
  <si>
    <t>Uhawenimana Marcelline</t>
  </si>
  <si>
    <t>Uwamariya Rachel</t>
  </si>
  <si>
    <t>The workshop empowered me to set ambitious goals. By the end of the year, I had resolved to renovate my house, including cleaning, painting, and undertaking essential structural improvements like cementing and roofing. I'm proud to say that I achieved this goal.</t>
  </si>
  <si>
    <t xml:space="preserve">
The workshop allowed me to reflect on my life. It motivated me to start saving money, and as a result, I was able to pay my child's school fees.</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</si>
  <si>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</si>
  <si>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The tree of life taught me to be courageous, confident and to live well in my community.</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</si>
  <si>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</si>
  <si>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 xml:space="preserve">
I started a business where I sell fish, and I also successfully completed the construction of my house.</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</si>
  <si>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</si>
  <si>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I have gained self-confidence, and I was able to pay for health insurance (Mutuelle de santé), school fees, feed my children, and even bought a chicken ( started a business)</t>
  </si>
  <si>
    <t>I have set a goal ( confidence) of starting a new business and becoming a wholesaler.</t>
  </si>
  <si>
    <t>I learned to save money, and now I have some savings. I also learned to work hard like the hummingbird and improve my life.</t>
  </si>
  <si>
    <t>The workshop helped me gain self-confidence and collaborate effectively within the cooperative.</t>
  </si>
  <si>
    <t>I have learned to be more confident</t>
  </si>
  <si>
    <t>I set a goal to increase my chicken from 20 to 50 by September, and I achieved it. Now my new goal is to reach 100 chickens and start selling eggs.( started a business)</t>
  </si>
  <si>
    <t>The training opened my eyes, and I have gained self-confidence in myself and my business. I can now provide for my family.</t>
  </si>
  <si>
    <t>The training changed my mindset, and I have increased my capital. I have added more fruits from Kigali like apples and oranges, and I am saving 12,000 per week from my profits. I am planning to buy land next year.</t>
  </si>
  <si>
    <t>I was able to increase my capital for fruits, and I bought 2 chickens ( started a business)</t>
  </si>
  <si>
    <t>I have learned a lot from the hummingbird and I bought 7 chickens ( started a business)</t>
  </si>
  <si>
    <t>I have learned how to solve my own problems and be proactive</t>
  </si>
  <si>
    <t xml:space="preserve">
I learned that being together with others in the cooperative is very helpful. Now, I can get a small loan and buy some domestic animals.</t>
  </si>
  <si>
    <t>Nyiramutesi Salama</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</si>
  <si>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</si>
  <si>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I have learnt to save and I bought 2 goats ( started a business).</t>
  </si>
  <si>
    <t>The training has been incredibly helpful, and I feel like a completely changed person now. I've purchased 10 chickens, acquired a loan to buy a pig worth 150,000, and we now have 9 piglets. Additionally, I bought a cow as well. (started a business)</t>
  </si>
  <si>
    <t>The story of the hummingbird taught me to be proactive when facing challenges.</t>
  </si>
  <si>
    <t>The training has instilled self-confidence in me, and I now recognize my capabilities as a woman.</t>
  </si>
  <si>
    <t>I've learned to thrive in society, boost my self-confidence, and enhance my life. I also purchased 15 chickens and now sell eggs.</t>
  </si>
  <si>
    <t>The training has greatly benefited me, as I had set a goal to renovate my house.( Confidence)</t>
  </si>
  <si>
    <t>Faida Francoise</t>
  </si>
  <si>
    <t>Nyiransabimana Pascasie</t>
  </si>
  <si>
    <t>Mukarugwiza Oliva</t>
  </si>
  <si>
    <t>Nyiransabimana Marie Rose</t>
  </si>
  <si>
    <t>Uwimana Antoinette</t>
  </si>
  <si>
    <t>Irene</t>
  </si>
  <si>
    <t>Nyirahabimana Mariyana</t>
  </si>
  <si>
    <t>Nyirandabaruzi Francoise</t>
  </si>
  <si>
    <t>Turinabo Agnes</t>
  </si>
  <si>
    <t>Utamuriza Rachel</t>
  </si>
  <si>
    <t>Mukahirwa Dativa</t>
  </si>
  <si>
    <t>Uwimana Goretti</t>
  </si>
  <si>
    <t>Kankindi Francine</t>
  </si>
  <si>
    <t>Nikuze Beatrice</t>
  </si>
  <si>
    <t>Before Resonate training, I struggled with saving and setting goals. However, now I've successfully achieved my goal of rebuilding my deteriorating house and saving money for school fees. Additionally, within my cooperative, we collectively purchased a piece of land</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</si>
  <si>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</si>
  <si>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 xml:space="preserve">
With the assistance of our cooperative, I secured a small loan that allowed me to purchase a pig. ( started a business)</t>
  </si>
  <si>
    <t>I have acquired self-confidence, and now I can provide for my children.</t>
  </si>
  <si>
    <t>I have gained a lot of self-confidence. I started a vegetable business, selling my produce in the market, and I also invested in a pig worth 80,000 RWF. ( started a business)</t>
  </si>
  <si>
    <t>I have learned to set goals and improve my life, and as a result, I have purchased a cow. ( started a business)</t>
  </si>
  <si>
    <t xml:space="preserve">
I have learned to save within the cooperative and collaborate with others. Now, I sell fish from Congo.( started a business)</t>
  </si>
  <si>
    <t>I have gained self-confidence and learned how to overcome the challenges I face in my daily life.</t>
  </si>
  <si>
    <t xml:space="preserve">
My business is thriving, and I can now provide for my family while also saving for my future goals. Resonate has opened my mind, and my neighbors are inspired by my story.</t>
  </si>
  <si>
    <t xml:space="preserve">
I've gained self-confidence and learned how to expand my business. I'm now brave enough to get a loan and have successfully grown my business.</t>
  </si>
  <si>
    <t>I can now speak up confidently, and the hummingbird exercise really opened my eyes to using my strengths.</t>
  </si>
  <si>
    <t>I've learned to save money, and I was able to pay for my family's health insurance (Mutuelle de Sante).</t>
  </si>
  <si>
    <t>Mukeshimana Florence</t>
  </si>
  <si>
    <t>Mukarurangwa Devotha</t>
  </si>
  <si>
    <t>Mutuyimana Alice</t>
  </si>
  <si>
    <t>Namubonye Therese</t>
  </si>
  <si>
    <t>Nyirandinabo Olive</t>
  </si>
  <si>
    <t>Murekatete Anne Marie</t>
  </si>
  <si>
    <t>Niyigena Regine</t>
  </si>
  <si>
    <t>Uwitonze Esther</t>
  </si>
  <si>
    <t>Mukarurinda saverne</t>
  </si>
  <si>
    <t>Umwari Jeanne</t>
  </si>
  <si>
    <t>Mutoniwase Venciana</t>
  </si>
  <si>
    <t>Nyinawingeri Marcelline</t>
  </si>
  <si>
    <t>Twizeyimana Francoise</t>
  </si>
  <si>
    <t>Mukayisenga Claudine</t>
  </si>
  <si>
    <t>Nyirazaninka Leontine</t>
  </si>
  <si>
    <t>Mawaso francine</t>
  </si>
  <si>
    <t>Uwamariya Esperance</t>
  </si>
  <si>
    <t>Nyiramahoro Marianne</t>
  </si>
  <si>
    <t>Niyirera Valerie</t>
  </si>
  <si>
    <t>Uwimana Marie Chantal</t>
  </si>
  <si>
    <t>Nyirandorayabo Jeanette</t>
  </si>
  <si>
    <t>I have gained self confidence and know who is a leader, I have learnt how to budget my life and make plans and goals. I have also learnt how to live well with others in the society and I was able to share my story with others so that they can learn from it.</t>
  </si>
  <si>
    <t>I have learnt allot from the tree of life and to save money, I was able to send all my 4 daughters to school and 2 of them are in university.</t>
  </si>
  <si>
    <t>I have learnt to save money and pay mituel and send my children.</t>
  </si>
  <si>
    <t>The training opened my mind and now I am able to take care of my family and I am able to save a little money in the group so that I can be able to pay school fees for for my child who is in university, and I have 2 goats.</t>
  </si>
  <si>
    <t>The training opened my mind I learnt how to tell the story of self and the tree of life to others and also learnt how to be a good leader.</t>
  </si>
  <si>
    <t>The training has helped me allot and has opened my eyes and I have a goal of building a house for my goal by January 2024.</t>
  </si>
  <si>
    <t>The training has changed me I now take care of may family, I save money in the group and I am able to live well with others</t>
  </si>
  <si>
    <t>I loved what we learnt  in the training and It has changed me now I was able to pay health insurance for my family and take care of us.</t>
  </si>
  <si>
    <t>I have learned to use my strenght and to work with others ans I now have self confidence I can now take care of my family's needs.</t>
  </si>
  <si>
    <t>I was able to know how I can use the little money I have and how to live well in the community, I  was able to pay mituel de santer for my family.</t>
  </si>
  <si>
    <t>I have learnt to have values and how to use money properly and I have learnt allot from the humming bird.</t>
  </si>
  <si>
    <t>I have  learnt to save money and I gained self confidence.</t>
  </si>
  <si>
    <t>The training has changed my life I bought 2 goats and I am sending my child to school and was able to buy home supplies.</t>
  </si>
  <si>
    <t>I have learnt how how to properly manage my money and now I have increase  my income.</t>
  </si>
  <si>
    <t>I have learnt to save money because the way I work has changed and have increased my income in trading.</t>
  </si>
  <si>
    <t>I've learned about my past and my future. As a single mom, I used to doubt my abilities, but now I've learned to save money and take care of my children.</t>
  </si>
  <si>
    <t>I've learned to save money, and I purchased a piece of land worth 3 million. My plan is to start building my house in May 2024.( started a business)</t>
  </si>
  <si>
    <t>Mukamuhirwa Claudine</t>
  </si>
  <si>
    <t>Mukankurunziza Fausta</t>
  </si>
  <si>
    <t>Nyirakamana Jacqueline</t>
  </si>
  <si>
    <t>Mukantabana Priscille</t>
  </si>
  <si>
    <t>Ntamunoza Marie Anne</t>
  </si>
  <si>
    <t>Niyonsenga Clementine</t>
  </si>
  <si>
    <t>Mukandamage Primitive</t>
  </si>
  <si>
    <t>M Shema Seraphine</t>
  </si>
  <si>
    <t>Murekatete Justine</t>
  </si>
  <si>
    <t>Nyirambonyakaga Velediana</t>
  </si>
  <si>
    <t>Utamuriza Ernestine</t>
  </si>
  <si>
    <t>Nyiraneza Claudine</t>
  </si>
  <si>
    <t>Mukanyangezi Felicita</t>
  </si>
  <si>
    <t>I purchased a cow valued at 300,000 RWF. (started a business)</t>
  </si>
  <si>
    <t>I purchased a cow valued at 350,000 RWF, and I have plans to expand further. ( started a business.)</t>
  </si>
  <si>
    <t>I have gained self-confidence, and now I can speak up in public.</t>
  </si>
  <si>
    <t xml:space="preserve">Our cooperative bought a motorcycle, and now it is generating income for us. </t>
  </si>
  <si>
    <t xml:space="preserve">
The skills I've learned have helped me gain self-confidence, and now I can save money in my cooperative. I've also bought 16 chickens that I keep at home. ( started a business)</t>
  </si>
  <si>
    <t>Our cooperative, Twisungane Kamatita, bought a motorcycle.</t>
  </si>
  <si>
    <t>I have learned a lot of new skills</t>
  </si>
  <si>
    <t>I have made significant improvements in my life. I have built a one-bedroom house, and I have also purchased a pig worth 50,000. ( started a business)</t>
  </si>
  <si>
    <t xml:space="preserve">
I was able to rebuild my house, which was almost demolished. (decision)</t>
  </si>
  <si>
    <t>I have finished paying Mutuelle de Sante, bought a pig and a goat, and increased my capital. ( started a business)</t>
  </si>
  <si>
    <t>I am able to feed my children, and I have bought a pig worth 70,000 Rwf. ( started a business)</t>
  </si>
  <si>
    <t xml:space="preserve">
I have learned valuable lessons from the Hummingbird, the Tree of Life, and how to live well with others</t>
  </si>
  <si>
    <t>I remember the Hummingbird, the leadership, and I now have a pig. ( started a business)</t>
  </si>
  <si>
    <t>Uzabakiriho Alexianne</t>
  </si>
  <si>
    <t>Niyobugingo Ruth</t>
  </si>
  <si>
    <t>Mukangendo Immaculee</t>
  </si>
  <si>
    <t>Mukabamenya Belancille</t>
  </si>
  <si>
    <t>I learned funds management and using them to save and better myself. Before the workshop, I used to use all my funds on things I don't even remember. But now, I am more intentional and using them to reinvest and improve my situation.</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</si>
  <si>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</si>
  <si>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 xml:space="preserve">
I learned to be more social (gusabana) and gained the confidence to engage in conversations with others.</t>
  </si>
  <si>
    <t xml:space="preserve">
I started saving intentionally. Initially, I didn't do it consistently, but now I save 10,000 Rwf per month, which has allowed me to better plan for my four children's school expenses.</t>
  </si>
  <si>
    <t>Nyirangendahimana Saverine</t>
  </si>
  <si>
    <t>I've learned a lot from the Tree of Life exercise, and it has empowered me to tell my own story and grow. I've also increased my capital and invested in buying a pig.( started a business)</t>
  </si>
  <si>
    <t>Umuhoza Salima</t>
  </si>
  <si>
    <t>Uwamariya Benitha</t>
  </si>
  <si>
    <t>Bayavuge Salama</t>
  </si>
  <si>
    <t>Mukandasumbwa Esperance</t>
  </si>
  <si>
    <t>Murekatete Jeanne</t>
  </si>
  <si>
    <t>Uzayisenga Odette</t>
  </si>
  <si>
    <t>Nyiraneza Sara</t>
  </si>
  <si>
    <t>Niyonkuru Francoise</t>
  </si>
  <si>
    <t>Mukankiko Marie Chantal</t>
  </si>
  <si>
    <t>Enumerator Name</t>
  </si>
  <si>
    <t>Ange Munezero</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</si>
  <si>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</si>
  <si>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</si>
  <si>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Mukantabana Francoise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</si>
  <si>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</si>
  <si>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</si>
  <si>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</si>
  <si>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</si>
  <si>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</si>
  <si>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</si>
  <si>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</si>
  <si>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Florentine Izabayo</t>
  </si>
  <si>
    <t>Clemence Ushindi</t>
  </si>
  <si>
    <t>Uwase Mariam</t>
  </si>
  <si>
    <t>Olive Niyotwizera</t>
  </si>
  <si>
    <t>Seraphine Uwizeyimana</t>
  </si>
  <si>
    <t>Violette Mukantwari</t>
  </si>
  <si>
    <t>Latifa Uwimana</t>
  </si>
  <si>
    <t>Micky Habumutima</t>
  </si>
  <si>
    <t>Nyirahabintwari Bureriya</t>
  </si>
  <si>
    <t>Ukwishaka claudine</t>
  </si>
  <si>
    <t>Esther Uwiringiyimana</t>
  </si>
  <si>
    <t>Diane Nishimwe</t>
  </si>
  <si>
    <t>Noella Tuyishime</t>
  </si>
  <si>
    <t>Domitille Tuyishime</t>
  </si>
  <si>
    <t>Julienne Namuhoranye</t>
  </si>
  <si>
    <t>Gaudence Nyiransengiyumva</t>
  </si>
  <si>
    <t>Abikunde Yvonne</t>
  </si>
  <si>
    <t>Baginama Louise</t>
  </si>
  <si>
    <t>Uwonkunda Pacifique</t>
  </si>
  <si>
    <t>Clementine Niyikora</t>
  </si>
  <si>
    <t>Mukarugaba Francoise</t>
  </si>
  <si>
    <t>Beatha Mukandanga</t>
  </si>
  <si>
    <t>Valentine Mukantwari</t>
  </si>
  <si>
    <t>Donatha Mukeshimana</t>
  </si>
  <si>
    <t>Assoumpta Niyoniringiye</t>
  </si>
  <si>
    <t>Chantal Uwamahoro</t>
  </si>
  <si>
    <t>Mutoni constantine</t>
  </si>
  <si>
    <t>Irakoze Berthe</t>
  </si>
  <si>
    <t>Niyitegeka Momille</t>
  </si>
  <si>
    <t>Charlotte Abizera</t>
  </si>
  <si>
    <t>Umubano Clementine</t>
  </si>
  <si>
    <t>Alice UMUHOZA</t>
  </si>
  <si>
    <t>Mediatrice Tuyisabe</t>
  </si>
  <si>
    <t>Nice ndayizi</t>
  </si>
  <si>
    <t>Gaudance Nyinawumuntu</t>
  </si>
  <si>
    <t>Florentine Giramahoro</t>
  </si>
  <si>
    <t>Benitha Kwitonda</t>
  </si>
  <si>
    <t>Chantal Ayingeneye</t>
  </si>
  <si>
    <t>Dorcas Uwase</t>
  </si>
  <si>
    <t>Fausta Igiraneza</t>
  </si>
  <si>
    <t>Diane Uwurukundo</t>
  </si>
  <si>
    <t>Diane Niwekirezi</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</si>
  <si>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</si>
  <si>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</si>
  <si>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</si>
  <si>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</si>
  <si>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</si>
  <si>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</si>
  <si>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</si>
  <si>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</si>
  <si>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</si>
  <si>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</si>
  <si>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</si>
  <si>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</si>
  <si>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It has transformed my mindset, greatly benefiting my academic journey. I am now a student with a positive attitude, equipped with the courage to assist others, and I firmly believe in pursuing my dream of completing my studies successfully and meaningfully.</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</si>
  <si>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</si>
  <si>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</si>
  <si>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</si>
  <si>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</si>
  <si>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</si>
  <si>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</si>
  <si>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</si>
  <si>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</si>
  <si>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The training has instilled in me the courage and self-confidence to lead a purposeful life and support my peers in the community. While I'm still searching for opportunities after completing my studies, I'm determined to make a positive impact wherever I can</t>
  </si>
  <si>
    <t>The training has been instrumental in helping me understand myself better, become more courageous, make important life decisions, set goals, and work diligently towards achieving my aspirations.</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</si>
  <si>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</si>
  <si>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The training has empowered me to take better care of myself, be courageous, and seek opportunities in life. I am currently searching for opportunities to work for myself, with the goal of starting a food business or canteen</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</si>
  <si>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</si>
  <si>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</si>
  <si>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</si>
  <si>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</si>
  <si>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</si>
  <si>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</si>
  <si>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</si>
  <si>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</si>
  <si>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</si>
  <si>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</si>
  <si>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</si>
  <si>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</si>
  <si>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</si>
  <si>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</si>
  <si>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I obtained a loan from my cooperative, which has enabled me to pay my children's school fees. My next goal is to build a house for my family. ( confident)</t>
  </si>
  <si>
    <t>I know that I am and I able to solve my own challenges.(proactive)</t>
  </si>
  <si>
    <t>I am able to get loans from the group, pay school fees for my children in boarding school, and contribute to Mutuelle de Sante. Confidence</t>
  </si>
  <si>
    <t>I am able to get loans from the group , I able to pay school fees for my children in boarding school  and pay Mutuelle. (confident)</t>
  </si>
  <si>
    <t>I was very encouraged to keep my business, and now I've joined a cooperative and obtained a small loan to expand my business. Confident</t>
  </si>
  <si>
    <t xml:space="preserve">
I've been able to improve my life.(hope for the future)</t>
  </si>
  <si>
    <t>I have learned that I can take care of myself and my children without relying on my husband or others to provide for us. (confident)</t>
  </si>
  <si>
    <t>I have learnt from the tree of life and it gave me courage to work hard and increased my capital. Confident</t>
  </si>
  <si>
    <t>I have learnt a lot from the tree of life and now I can take my family and planting corn. (started a business)</t>
  </si>
  <si>
    <t>I have learnt a lot from the  humming bird and now I am open minded.</t>
  </si>
  <si>
    <t>290-1-1</t>
  </si>
  <si>
    <t>290-1-2</t>
  </si>
  <si>
    <t>290-1-3</t>
  </si>
  <si>
    <t>290-1-14</t>
  </si>
  <si>
    <t>290-1-15</t>
  </si>
  <si>
    <t>290-1-16</t>
  </si>
  <si>
    <t>290-1-18</t>
  </si>
  <si>
    <t>290-1-22</t>
  </si>
  <si>
    <t>290-1-31</t>
  </si>
  <si>
    <t>290-1-33</t>
  </si>
  <si>
    <t>290-2-1</t>
  </si>
  <si>
    <t>290-2-6</t>
  </si>
  <si>
    <t>290-2-8</t>
  </si>
  <si>
    <t>290-2-14</t>
  </si>
  <si>
    <t>290-2-15</t>
  </si>
  <si>
    <t>290-2-29</t>
  </si>
  <si>
    <t>290-2-31</t>
  </si>
  <si>
    <t>290-2-34</t>
  </si>
  <si>
    <t>290-2-35</t>
  </si>
  <si>
    <t>290-2-37</t>
  </si>
  <si>
    <t>Teta Gisele</t>
  </si>
  <si>
    <t>Niyomurengezi Kevine</t>
  </si>
  <si>
    <t>Tuyumvire Sabato</t>
  </si>
  <si>
    <t>Anathalie Mukangenzi</t>
  </si>
  <si>
    <t>Triphine NYIRAHABIMANA</t>
  </si>
  <si>
    <t>Clarisse Maniratwumva</t>
  </si>
  <si>
    <t xml:space="preserve">Mudahogora Djasmin </t>
  </si>
  <si>
    <t>Umurerwa Sandrine</t>
  </si>
  <si>
    <t>Uwase Boase</t>
  </si>
  <si>
    <t>Ishimwe Peace</t>
  </si>
  <si>
    <t>Uwamahoro Nadia</t>
  </si>
  <si>
    <t>Ishimwe sandrine</t>
  </si>
  <si>
    <t>Grace Imanishimwe</t>
  </si>
  <si>
    <t>Michelline Uwishema</t>
  </si>
  <si>
    <t>Zaninka Florence</t>
  </si>
  <si>
    <t>Gisubizo Nadia</t>
  </si>
  <si>
    <t>Uwase Aline</t>
  </si>
  <si>
    <t>Gwizagusenga Ruth</t>
  </si>
  <si>
    <t>clementine Bayisenge</t>
  </si>
  <si>
    <t>Christine Uwimana</t>
  </si>
  <si>
    <t>Gumyusenge Gaudie</t>
  </si>
  <si>
    <t>I got a job in marketing</t>
  </si>
  <si>
    <t>I learnt to have values</t>
  </si>
  <si>
    <t>I am helping my parents for summer break.</t>
  </si>
  <si>
    <t>I gained confidence</t>
  </si>
  <si>
    <t>self confidence, having friends</t>
  </si>
  <si>
    <t>i got an internship</t>
  </si>
  <si>
    <t>I gained self-confidence and now operate a home-based donut-selling business. (started a business)</t>
  </si>
  <si>
    <t>I gained self-confidence and i learned about the tree of life. I haven't been able to do anything yet because I am still a student.</t>
  </si>
  <si>
    <t>I learned about the tree of life</t>
  </si>
  <si>
    <t>I put up a small project. i bought a goat and now they are 3. Started a business</t>
  </si>
  <si>
    <t>I was taught to speak up in public. Confidence</t>
  </si>
  <si>
    <t>I bought a goat now i have 4. no am stilla student. Started a business</t>
  </si>
  <si>
    <t>I learnt self confidence. Club at school I am the president. Leadership role</t>
  </si>
  <si>
    <t>learned to be a leader. i was a leader in the internship. Leadership role</t>
  </si>
  <si>
    <t>Ishimwe Louise</t>
  </si>
  <si>
    <t>Ingabire Pascie</t>
  </si>
  <si>
    <t>yankurije Aline</t>
  </si>
  <si>
    <t>Iraguha Françoise</t>
  </si>
  <si>
    <t>Mukarutabana Pascasie</t>
  </si>
  <si>
    <t>Tuyishime Clarisse</t>
  </si>
  <si>
    <t>Gatesi Genevieve</t>
  </si>
  <si>
    <t>Byukusenge Alice</t>
  </si>
  <si>
    <t xml:space="preserve">Mutoni Claudine </t>
  </si>
  <si>
    <t>Nyiraminani Jeanette</t>
  </si>
  <si>
    <t xml:space="preserve">Uwizeyuwera Confiance </t>
  </si>
  <si>
    <t xml:space="preserve">Musabyimana Diane </t>
  </si>
  <si>
    <t>Muhawenayo Alphonsine</t>
  </si>
  <si>
    <t>Niyonsaba Jackline</t>
  </si>
  <si>
    <t>Ishimwe Francine</t>
  </si>
  <si>
    <t>Uwizeye Winny Jenny</t>
  </si>
  <si>
    <t>Nyirahafashimana Jeannette</t>
  </si>
  <si>
    <t>Uwitonze Odette</t>
  </si>
  <si>
    <t>Niyonsaba Claudine</t>
  </si>
  <si>
    <t>Mukamfura sylvine</t>
  </si>
  <si>
    <t>Mukandayisenga Laetitia</t>
  </si>
  <si>
    <t>Mwiza Sylvie</t>
  </si>
  <si>
    <t>Umuhoza Janviere</t>
  </si>
  <si>
    <t>Niyigena Julienne</t>
  </si>
  <si>
    <t>Uwimbazi Joselyne</t>
  </si>
  <si>
    <t>Bandereye Clemence</t>
  </si>
  <si>
    <t>Ishimwe Divine</t>
  </si>
  <si>
    <t>Mwitirehe Yvonne</t>
  </si>
  <si>
    <t>Ntakirutimana Isabelle</t>
  </si>
  <si>
    <t>Musanabera Justine</t>
  </si>
  <si>
    <t>Mukeshimana Juliette</t>
  </si>
  <si>
    <t>Niyonsenga Regine</t>
  </si>
  <si>
    <t>Iradukunda Furaha</t>
  </si>
  <si>
    <t>keza Bella Elvine</t>
  </si>
  <si>
    <t>Uwase Henriette</t>
  </si>
  <si>
    <t>Niyomahoro Rachel</t>
  </si>
  <si>
    <t>Uwiragiye Rosette</t>
  </si>
  <si>
    <t>Uwanyuze Pascaline</t>
  </si>
  <si>
    <t>Nyirakwibuka Yvette</t>
  </si>
  <si>
    <t>Umuhoza Nadia</t>
  </si>
  <si>
    <t>M.Kanyandwi M Rose</t>
  </si>
  <si>
    <t>Mukandayisenga Vestine</t>
  </si>
  <si>
    <t>Uwamahoro Christine</t>
  </si>
  <si>
    <t>Mushimiyimana Olive</t>
  </si>
  <si>
    <t>Niyigena Rosine</t>
  </si>
  <si>
    <t>Uwiringiyimana Phoebe</t>
  </si>
  <si>
    <t>Mukandayisenga Vausta</t>
  </si>
  <si>
    <t>Ingabire Eugenie</t>
  </si>
  <si>
    <t>Ingabire Chantal</t>
  </si>
  <si>
    <t>Yesunibyose Yvette</t>
  </si>
  <si>
    <t>Uwamahirwe Odette</t>
  </si>
  <si>
    <t>Uwingabire Henriette</t>
  </si>
  <si>
    <t>Uwambajimana Kevine</t>
  </si>
  <si>
    <t>Gasana Ineza Shania</t>
  </si>
  <si>
    <t>Umuhoza Agnes</t>
  </si>
  <si>
    <t>Uwiragiye Francine</t>
  </si>
  <si>
    <t>Dusangire Clarisse</t>
  </si>
  <si>
    <t>Mwamini Christine</t>
  </si>
  <si>
    <t>Uwumugisha Yedidia</t>
  </si>
  <si>
    <t>Muhawenimana Yvonne</t>
  </si>
  <si>
    <t>Mukeshimana Euphrasie</t>
  </si>
  <si>
    <t>I learned confidence and that helped me when i was doing my internship in a hair saloon. i would remember the value of being confident and ask myself why not  internship in a hair saloon . confidence</t>
  </si>
  <si>
    <t>I have started to save and when i finish studying i will use the money to buy a domestic animal. tailoring and i noe what i do and i learnt to save.</t>
  </si>
  <si>
    <t xml:space="preserve"> Nothing</t>
  </si>
  <si>
    <t xml:space="preserve">I have learnt how to live in a community with others , I have learnt how I can tell a story of self without takingtoo long and I have lesrnt to have the courage and daring like the hummingbird using my capacity. </t>
  </si>
  <si>
    <t xml:space="preserve">I have gained self confidence and now I know that I am a leader and I can do allot of things to improve my life. </t>
  </si>
  <si>
    <t xml:space="preserve">I have confidence because of resonate and I now know that I am a leader and I can now face challenges with courage. </t>
  </si>
  <si>
    <t xml:space="preserve"> I am still a student but ai have lewrnt to have confidence, to set my goals, to live well in a community and now I know that I am a leader.</t>
  </si>
  <si>
    <t>I learntto think of how i can improve my life and I have started a small businesswhere I sell fruits in the market. I sell fruits on the market</t>
  </si>
  <si>
    <t xml:space="preserve">I have learnt allot rom the treeof life and now I believe in myselfand i know that i have a bright future  </t>
  </si>
  <si>
    <t xml:space="preserve">As the humming bird story I learnt how i can face challenges with a positive mind and how i can solve my own problems I learnthow to be courageous. </t>
  </si>
  <si>
    <t>Iused to be a very shygirl but Resonatetaught me to have self confidence and to believe in my self and my ideas now i can speak infront of people with confidence. I also learned to help others. casual work</t>
  </si>
  <si>
    <t xml:space="preserve"> NA</t>
  </si>
  <si>
    <t>I have learnt how to face challenges with a positive mind and solutions and I have gain3d self confidence due to the Resonate workshops I am a hair dressing teacher and Iteach other students how to do hair.</t>
  </si>
  <si>
    <t xml:space="preserve">I have learnt that I am a leader and i have  self confidence </t>
  </si>
  <si>
    <t>I gained self confidence, i knowhow totell the storyof self and that i am capable I am not working yet.</t>
  </si>
  <si>
    <t xml:space="preserve">I learnt how create jobs and be confident </t>
  </si>
  <si>
    <t xml:space="preserve">I learnt to save money </t>
  </si>
  <si>
    <t xml:space="preserve">We have learned aboutthe tree of life. </t>
  </si>
  <si>
    <t xml:space="preserve">I gained self confidence, and the tree of life helped me </t>
  </si>
  <si>
    <t xml:space="preserve">I leant saving </t>
  </si>
  <si>
    <t xml:space="preserve">I got an internship </t>
  </si>
  <si>
    <t xml:space="preserve">I am more comfortable and confident and now I am the leader of other students. </t>
  </si>
  <si>
    <t xml:space="preserve">I gained self confidence and woth my friends we are planning on opening an atelier de couture. </t>
  </si>
  <si>
    <t xml:space="preserve">The workshop taught me to start small and do something big, to be confident and courageous, to live in harmony with others and to be loyal. I try to find jobs here and there but I haven't been successful to get a permanent one, but I have hope. </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</si>
  <si>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</si>
  <si>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</si>
  <si>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</si>
  <si>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</si>
  <si>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 xml:space="preserve">the training opened my mind I now know that I am a leader and I kmow how to make decisions for myself. </t>
  </si>
  <si>
    <t xml:space="preserve">I learnt that I am a leader, amd to take decision for myself. </t>
  </si>
  <si>
    <t>I learnt to work hard and to not  despise my work. I have a cow and I sell soft drinks. Started a business</t>
  </si>
  <si>
    <t>I created a job for myself I am a tailor. Started a business</t>
  </si>
  <si>
    <t>I have learned to be responsible and confident hairdressing</t>
  </si>
  <si>
    <t>I joined saving teams and now i sell fruitsin the market. i sell fruits at the market. Started a business</t>
  </si>
  <si>
    <t xml:space="preserve">I now know how to set my goals and gained confidence. </t>
  </si>
  <si>
    <t>I now knowhow to do my tree of life business i work for someone. Got a job</t>
  </si>
  <si>
    <t xml:space="preserve"> Hairdressing. Started a business</t>
  </si>
  <si>
    <t>I learnt to know myself, confident to have goals, and to help. Not yet because we just finished school</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</si>
  <si>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</si>
  <si>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Business</t>
  </si>
  <si>
    <t>Job/Promotion</t>
  </si>
  <si>
    <t>Academic Opportunity</t>
  </si>
  <si>
    <t xml:space="preserve">Formal Leadership </t>
  </si>
  <si>
    <t xml:space="preserve">Leadership </t>
  </si>
  <si>
    <t>Started Businesses</t>
  </si>
  <si>
    <t>Promotion (Job &amp; Academic)</t>
  </si>
  <si>
    <t>Got Formal Leadership Roles</t>
  </si>
  <si>
    <t>Demonstrated Informal Leadership</t>
  </si>
  <si>
    <t xml:space="preserve">Increase in Leadership </t>
  </si>
  <si>
    <t>Uwamariya Chantal</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</si>
  <si>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</si>
  <si>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</si>
  <si>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</si>
  <si>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</si>
  <si>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</si>
  <si>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Mukamukwiye Purukeriya</t>
  </si>
  <si>
    <t xml:space="preserve"> I finished the internship. Got an internship</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</si>
  <si>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</si>
  <si>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I gained confidence and now I am a mobile money Agent I am a mobile money agent. ( Started a business)</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</si>
  <si>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</si>
  <si>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I now know how to look for opportunities around me and how to look for a job. (confidence)</t>
  </si>
  <si>
    <t>I hwve learnedhow to live in a society with others and how to improve my life. (active)</t>
  </si>
  <si>
    <t>I got a 2 months internshipin hairdressing I was taught to have self confidence and how to apply for a job. Got an internship</t>
  </si>
  <si>
    <t>I have learnt that I am capable and i can start small I am a farmer and i bought 4 goats. Started a business</t>
  </si>
  <si>
    <t>I was encouraged to use the opportunitis and confidence and work. I am still looking for a job.</t>
  </si>
  <si>
    <t>I bought a sewing machine and now i work for myself I am now a tailor vecause of Resonate i gained confidence and started working. Started a business</t>
  </si>
  <si>
    <t>I have boughtchickens and rabbits and started a small business at home I have a position of secretary saving group. Started a business</t>
  </si>
  <si>
    <t>The training has challenged my mind and i have started to work part time helping with friends doing hair. Got a job</t>
  </si>
  <si>
    <t xml:space="preserve">self confidence I have confidence that i can achieve anything. </t>
  </si>
  <si>
    <t>I bought 2 pigs I am in a saving froup at  Started a business</t>
  </si>
  <si>
    <t xml:space="preserve">I work in construction and i own 4 chicken. I learnt to make connections and look a job and now i have managed to save and bought 4 chickens. Started a business
</t>
  </si>
  <si>
    <t>I was studying masconery and got a job and i was able to help out friends and it is still helping me now that i have learnt that i am a leader.I am a leader at my work place. I work in construction and am a group leader at work. Leadership role</t>
  </si>
  <si>
    <t>I learnt a lot, i gained confidence</t>
  </si>
  <si>
    <t>I saved money. yes I am council in a team at school. Leadership role</t>
  </si>
  <si>
    <t>i was taught about the tree of life which helped me throughout my life on line.  ( hope for the future)</t>
  </si>
  <si>
    <t>I have values now. Confidence and awareness</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</si>
  <si>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</si>
  <si>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The training had a positive impact on my attitude, boosting my confidence and enabling me to set clear goals. I currently work as an employee in a supermarket, and the training has helped me better serve and engage with customers. Got a job</t>
  </si>
  <si>
    <t>Below 18 or Equal to 18</t>
  </si>
  <si>
    <t>From 19 to 25 years</t>
  </si>
  <si>
    <t>From 26 to 35 years</t>
  </si>
  <si>
    <t>Q1 2023</t>
  </si>
  <si>
    <t>Q2 2023</t>
  </si>
  <si>
    <t>Q3 2023</t>
  </si>
  <si>
    <t>I was able to save and buy 2 chickens.9 started a business</t>
  </si>
  <si>
    <t>The story of the hummingbird has taught me that I have to use my strength and also be a good example in the society.</t>
  </si>
  <si>
    <t>Year to Date</t>
  </si>
  <si>
    <t>Income-generating activities</t>
  </si>
  <si>
    <t>Promotion (Jobs/Academic)</t>
  </si>
  <si>
    <t>Formal Leadership Roles</t>
  </si>
  <si>
    <t>Storytelling for Leadership</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</si>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</sst>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6">
    <font>
      <sz val="11"/>
      <color theme="1"/>
      <name val="Arial"/>
    </font>
    <font>
      <sz val="11"/>
      <color theme="1"/>
      <name val="Calibri"/>
      <family val="2"/>
      <scheme val="minor"/>
    </font>
    <font>
      <sz val="11"/>
      <color rgb="FFFF0000"/>
      <name val="Calibri"/>
      <family val="2"/>
    </font>
    <font>
      <b/>
      <sz val="11"/>
      <color theme="1"/>
      <name val="Calibri"/>
      <family val="2"/>
    </font>
    <font>
      <sz val="11"/>
      <color theme="1"/>
      <name val="Calibri"/>
      <family val="2"/>
    </font>
    <font>
      <sz val="20"/>
      <color rgb="FFFF0000"/>
      <name val="Calibri"/>
      <family val="2"/>
    </font>
    <font>
      <b/>
      <sz val="20"/>
      <color theme="1"/>
      <name val="Arial"/>
      <family val="2"/>
    </font>
    <font>
      <sz val="24"/>
      <color theme="1"/>
      <name val="Calibri"/>
      <family val="2"/>
    </font>
    <font>
      <sz val="11"/>
      <color theme="1"/>
      <name val="Calibri"/>
      <family val="2"/>
    </font>
    <font>
      <b/>
      <u/>
      <sz val="11"/>
      <color theme="1"/>
      <name val="Arial"/>
      <family val="2"/>
    </font>
    <font>
      <sz val="11"/>
      <color rgb="FF222222"/>
      <name val="Helvetica Neue"/>
      <family val="2"/>
    </font>
    <font>
      <sz val="11"/>
      <color theme="1"/>
      <name val="Arial"/>
      <family val="2"/>
    </font>
    <font>
      <sz val="11"/>
      <name val="Arial"/>
      <family val="2"/>
    </font>
    <font>
      <sz val="11"/>
      <color rgb="FFFFFF00"/>
      <name val="Arial"/>
      <family val="2"/>
    </font>
    <font>
      <b/>
      <sz val="11"/>
      <color theme="1"/>
      <name val="Arial"/>
      <family val="2"/>
    </font>
    <font>
      <sz val="11"/>
      <color rgb="FF000000"/>
      <name val="Calibri"/>
      <family val="2"/>
    </font>
    <font>
      <sz val="12"/>
      <color theme="1"/>
      <name val="Arial Narrow"/>
      <family val="2"/>
    </font>
    <font>
      <sz val="11"/>
      <name val="Calibri"/>
      <family val="2"/>
    </font>
    <font>
      <sz val="20"/>
      <color theme="1"/>
      <name val="Calibri"/>
      <family val="2"/>
    </font>
    <font>
      <i/>
      <sz val="11"/>
      <color theme="1"/>
      <name val="Calibri"/>
      <family val="2"/>
    </font>
    <font>
      <b/>
      <sz val="11"/>
      <color rgb="FFFF6600"/>
      <name val="Calibri"/>
      <family val="2"/>
    </font>
    <font>
      <sz val="11"/>
      <color rgb="FFFF6600"/>
      <name val="Calibri"/>
      <family val="2"/>
    </font>
    <font>
      <sz val="11"/>
      <color rgb="FFFF6600"/>
      <name val="Arial"/>
      <family val="2"/>
    </font>
    <font>
      <u/>
      <sz val="11"/>
      <color theme="10"/>
      <name val="Arial"/>
      <family val="2"/>
    </font>
    <font>
      <u/>
      <sz val="11"/>
      <color theme="11"/>
      <name val="Arial"/>
      <family val="2"/>
    </font>
    <font>
      <b/>
      <sz val="11"/>
      <color rgb="FFFF0000"/>
      <name val="Calibri"/>
      <family val="2"/>
    </font>
    <font>
      <sz val="11"/>
      <color theme="1"/>
      <name val="Calibri"/>
      <family val="2"/>
      <scheme val="minor"/>
    </font>
    <font>
      <b/>
      <sz val="12"/>
      <color indexed="8"/>
      <name val="Calibri"/>
      <family val="2"/>
    </font>
    <font>
      <b/>
      <sz val="11"/>
      <color theme="1"/>
      <name val="Calibri"/>
      <family val="2"/>
      <scheme val="minor"/>
    </font>
    <font>
      <i/>
      <sz val="11"/>
      <color theme="1"/>
      <name val="Calibri"/>
      <family val="2"/>
      <scheme val="minor"/>
    </font>
    <font>
      <sz val="11"/>
      <color indexed="8"/>
      <name val="Calibri"/>
      <family val="2"/>
      <scheme val="minor"/>
    </font>
    <font>
      <sz val="11"/>
      <color rgb="FFFF0000"/>
      <name val="Calibri"/>
      <family val="2"/>
      <scheme val="minor"/>
    </font>
    <font>
      <b/>
      <sz val="11"/>
      <color indexed="8"/>
      <name val="Calibri"/>
      <family val="2"/>
      <scheme val="minor"/>
    </font>
    <font>
      <sz val="10"/>
      <name val="Verdana"/>
      <family val="2"/>
    </font>
    <font>
      <sz val="11"/>
      <color rgb="FFFF0000"/>
      <name val="Arial"/>
      <family val="2"/>
    </font>
    <font>
      <b/>
      <sz val="16"/>
      <color theme="1"/>
      <name val="Calibri"/>
      <family val="2"/>
    </font>
    <font>
      <b/>
      <sz val="16"/>
      <color theme="1"/>
      <name val="Arial"/>
      <family val="2"/>
    </font>
    <font>
      <b/>
      <sz val="12"/>
      <color theme="1"/>
      <name val="Calibri"/>
      <family val="2"/>
    </font>
    <font>
      <b/>
      <sz val="12"/>
      <color theme="1"/>
      <name val="Arial"/>
      <family val="2"/>
    </font>
    <font>
      <b/>
      <sz val="11"/>
      <color rgb="FF000000"/>
      <name val="Calibri"/>
      <family val="2"/>
    </font>
    <font>
      <b/>
      <sz val="11"/>
      <name val="Arial"/>
      <family val="2"/>
    </font>
    <font>
      <b/>
      <sz val="11"/>
      <color indexed="206"/>
      <name val="Arial"/>
      <family val="2"/>
    </font>
    <font>
      <sz val="12"/>
      <color theme="1"/>
      <name val="Times New Roman"/>
      <family val="1"/>
    </font>
    <font>
      <sz val="12"/>
      <name val="Times New Roman"/>
      <family val="1"/>
    </font>
    <font>
      <sz val="12"/>
      <color rgb="FF000000"/>
      <name val="Times New Roman"/>
      <family val="1"/>
    </font>
    <font>
      <b/>
      <sz val="12"/>
      <color theme="1"/>
      <name val="Serifa Std 45 Light"/>
      <family val="1"/>
    </font>
    <font>
      <b/>
      <sz val="12"/>
      <color rgb="FFFF6600"/>
      <name val="Serifa Std 45 Light"/>
      <family val="1"/>
    </font>
    <font>
      <b/>
      <sz val="12"/>
      <color rgb="FFFF0000"/>
      <name val="Serifa Std 45 Light"/>
      <family val="1"/>
    </font>
    <font>
      <sz val="12"/>
      <color theme="1"/>
      <name val="Serifa Std 45 Light"/>
      <family val="1"/>
    </font>
    <font>
      <b/>
      <sz val="18"/>
      <color theme="1"/>
      <name val="Arial"/>
      <family val="2"/>
    </font>
    <font>
      <b/>
      <i/>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name val="Arial"/>
      <family val="2"/>
    </font>
  </fonts>
  <fills count="64">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FC000"/>
        <bgColor rgb="FFFFC000"/>
      </patternFill>
    </fill>
    <fill>
      <patternFill patternType="solid">
        <fgColor rgb="FFC00000"/>
        <bgColor rgb="FFC00000"/>
      </patternFill>
    </fill>
    <fill>
      <patternFill patternType="solid">
        <fgColor rgb="FFE36C09"/>
        <bgColor rgb="FFE36C09"/>
      </patternFill>
    </fill>
    <fill>
      <patternFill patternType="solid">
        <fgColor rgb="FFDDD9C3"/>
        <bgColor rgb="FFDDD9C3"/>
      </patternFill>
    </fill>
    <fill>
      <patternFill patternType="solid">
        <fgColor rgb="FFFFFF00"/>
        <bgColor indexed="64"/>
      </patternFill>
    </fill>
    <fill>
      <patternFill patternType="solid">
        <fgColor rgb="FFFFFF00"/>
        <bgColor theme="0"/>
      </patternFill>
    </fill>
    <fill>
      <patternFill patternType="solid">
        <fgColor theme="0"/>
        <bgColor indexed="64"/>
      </patternFill>
    </fill>
    <fill>
      <patternFill patternType="solid">
        <fgColor theme="0"/>
        <bgColor rgb="FFF2F2F2"/>
      </patternFill>
    </fill>
    <fill>
      <patternFill patternType="solid">
        <fgColor theme="2" tint="-4.9989318521683403E-2"/>
        <bgColor indexed="64"/>
      </patternFill>
    </fill>
    <fill>
      <patternFill patternType="solid">
        <fgColor theme="2" tint="-4.9989318521683403E-2"/>
        <bgColor rgb="FFF2F2F2"/>
      </patternFill>
    </fill>
    <fill>
      <patternFill patternType="solid">
        <fgColor theme="9"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9.9978637043366805E-2"/>
        <bgColor rgb="FFFFFFFF"/>
      </patternFill>
    </fill>
    <fill>
      <patternFill patternType="solid">
        <fgColor theme="0"/>
        <bgColor rgb="FFFFFFFF"/>
      </patternFill>
    </fill>
    <fill>
      <patternFill patternType="solid">
        <fgColor them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s>
  <borders count="55">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style="medium">
        <color rgb="FF000000"/>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bottom style="medium">
        <color auto="1"/>
      </bottom>
      <diagonal/>
    </border>
    <border>
      <left/>
      <right style="thin">
        <color auto="1"/>
      </right>
      <top style="thin">
        <color auto="1"/>
      </top>
      <bottom/>
      <diagonal/>
    </border>
  </borders>
  <cellStyleXfs count="282">
    <xf numFmtId="0" fontId="0" fillId="0" borderId="0"/>
    <xf numFmtId="9" fontId="1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5"/>
    <xf numFmtId="164" fontId="26" fillId="0" borderId="5" applyFont="0" applyFill="0" applyBorder="0" applyAlignment="0" applyProtection="0"/>
    <xf numFmtId="9" fontId="33" fillId="0" borderId="5" applyFont="0" applyFill="0" applyBorder="0" applyAlignment="0" applyProtection="0"/>
    <xf numFmtId="0" fontId="33" fillId="0" borderId="5"/>
    <xf numFmtId="0" fontId="11" fillId="0" borderId="5"/>
    <xf numFmtId="9" fontId="11" fillId="0" borderId="5"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52" fillId="0" borderId="44" applyNumberFormat="0" applyFill="0" applyAlignment="0" applyProtection="0"/>
    <xf numFmtId="0" fontId="53" fillId="0" borderId="45" applyNumberFormat="0" applyFill="0" applyAlignment="0" applyProtection="0"/>
    <xf numFmtId="0" fontId="54" fillId="0" borderId="46" applyNumberFormat="0" applyFill="0" applyAlignment="0" applyProtection="0"/>
    <xf numFmtId="0" fontId="58" fillId="30" borderId="47" applyNumberFormat="0" applyAlignment="0" applyProtection="0"/>
    <xf numFmtId="0" fontId="59" fillId="31" borderId="48" applyNumberFormat="0" applyAlignment="0" applyProtection="0"/>
    <xf numFmtId="0" fontId="60" fillId="31" borderId="47" applyNumberFormat="0" applyAlignment="0" applyProtection="0"/>
    <xf numFmtId="0" fontId="61" fillId="0" borderId="49" applyNumberFormat="0" applyFill="0" applyAlignment="0" applyProtection="0"/>
    <xf numFmtId="0" fontId="62" fillId="32" borderId="50" applyNumberFormat="0" applyAlignment="0" applyProtection="0"/>
    <xf numFmtId="0" fontId="28" fillId="0" borderId="52" applyNumberFormat="0" applyFill="0" applyAlignment="0" applyProtection="0"/>
    <xf numFmtId="0" fontId="1" fillId="0" borderId="5"/>
    <xf numFmtId="0" fontId="51" fillId="0" borderId="5" applyNumberFormat="0" applyFill="0" applyBorder="0" applyAlignment="0" applyProtection="0"/>
    <xf numFmtId="0" fontId="54" fillId="0" borderId="5" applyNumberFormat="0" applyFill="0" applyBorder="0" applyAlignment="0" applyProtection="0"/>
    <xf numFmtId="0" fontId="55" fillId="27" borderId="5" applyNumberFormat="0" applyBorder="0" applyAlignment="0" applyProtection="0"/>
    <xf numFmtId="0" fontId="56" fillId="28" borderId="5" applyNumberFormat="0" applyBorder="0" applyAlignment="0" applyProtection="0"/>
    <xf numFmtId="0" fontId="57" fillId="29" borderId="5" applyNumberFormat="0" applyBorder="0" applyAlignment="0" applyProtection="0"/>
    <xf numFmtId="0" fontId="31" fillId="0" borderId="5" applyNumberFormat="0" applyFill="0" applyBorder="0" applyAlignment="0" applyProtection="0"/>
    <xf numFmtId="0" fontId="1" fillId="33" borderId="51" applyNumberFormat="0" applyFont="0" applyAlignment="0" applyProtection="0"/>
    <xf numFmtId="0" fontId="63" fillId="0" borderId="5" applyNumberFormat="0" applyFill="0" applyBorder="0" applyAlignment="0" applyProtection="0"/>
    <xf numFmtId="0" fontId="64" fillId="34" borderId="5" applyNumberFormat="0" applyBorder="0" applyAlignment="0" applyProtection="0"/>
    <xf numFmtId="0" fontId="1" fillId="35" borderId="5" applyNumberFormat="0" applyBorder="0" applyAlignment="0" applyProtection="0"/>
    <xf numFmtId="0" fontId="1" fillId="36" borderId="5" applyNumberFormat="0" applyBorder="0" applyAlignment="0" applyProtection="0"/>
    <xf numFmtId="0" fontId="1" fillId="37" borderId="5" applyNumberFormat="0" applyBorder="0" applyAlignment="0" applyProtection="0"/>
    <xf numFmtId="0" fontId="64" fillId="38" borderId="5" applyNumberFormat="0" applyBorder="0" applyAlignment="0" applyProtection="0"/>
    <xf numFmtId="0" fontId="1" fillId="39" borderId="5" applyNumberFormat="0" applyBorder="0" applyAlignment="0" applyProtection="0"/>
    <xf numFmtId="0" fontId="1" fillId="40" borderId="5" applyNumberFormat="0" applyBorder="0" applyAlignment="0" applyProtection="0"/>
    <xf numFmtId="0" fontId="1" fillId="41" borderId="5" applyNumberFormat="0" applyBorder="0" applyAlignment="0" applyProtection="0"/>
    <xf numFmtId="0" fontId="64" fillId="42" borderId="5" applyNumberFormat="0" applyBorder="0" applyAlignment="0" applyProtection="0"/>
    <xf numFmtId="0" fontId="1" fillId="43" borderId="5" applyNumberFormat="0" applyBorder="0" applyAlignment="0" applyProtection="0"/>
    <xf numFmtId="0" fontId="1" fillId="44" borderId="5" applyNumberFormat="0" applyBorder="0" applyAlignment="0" applyProtection="0"/>
    <xf numFmtId="0" fontId="1" fillId="45" borderId="5" applyNumberFormat="0" applyBorder="0" applyAlignment="0" applyProtection="0"/>
    <xf numFmtId="0" fontId="64" fillId="46" borderId="5" applyNumberFormat="0" applyBorder="0" applyAlignment="0" applyProtection="0"/>
    <xf numFmtId="0" fontId="1" fillId="47" borderId="5" applyNumberFormat="0" applyBorder="0" applyAlignment="0" applyProtection="0"/>
    <xf numFmtId="0" fontId="1" fillId="48" borderId="5" applyNumberFormat="0" applyBorder="0" applyAlignment="0" applyProtection="0"/>
    <xf numFmtId="0" fontId="1" fillId="49" borderId="5" applyNumberFormat="0" applyBorder="0" applyAlignment="0" applyProtection="0"/>
    <xf numFmtId="0" fontId="64" fillId="50" borderId="5" applyNumberFormat="0" applyBorder="0" applyAlignment="0" applyProtection="0"/>
    <xf numFmtId="0" fontId="1" fillId="51" borderId="5" applyNumberFormat="0" applyBorder="0" applyAlignment="0" applyProtection="0"/>
    <xf numFmtId="0" fontId="1" fillId="52" borderId="5" applyNumberFormat="0" applyBorder="0" applyAlignment="0" applyProtection="0"/>
    <xf numFmtId="0" fontId="1" fillId="53" borderId="5" applyNumberFormat="0" applyBorder="0" applyAlignment="0" applyProtection="0"/>
    <xf numFmtId="0" fontId="64" fillId="54" borderId="5" applyNumberFormat="0" applyBorder="0" applyAlignment="0" applyProtection="0"/>
    <xf numFmtId="0" fontId="1" fillId="55" borderId="5" applyNumberFormat="0" applyBorder="0" applyAlignment="0" applyProtection="0"/>
    <xf numFmtId="0" fontId="1" fillId="56" borderId="5" applyNumberFormat="0" applyBorder="0" applyAlignment="0" applyProtection="0"/>
    <xf numFmtId="0" fontId="1" fillId="57" borderId="5" applyNumberFormat="0" applyBorder="0" applyAlignment="0" applyProtection="0"/>
  </cellStyleXfs>
  <cellXfs count="735">
    <xf numFmtId="0" fontId="0" fillId="0" borderId="0" xfId="0"/>
    <xf numFmtId="0" fontId="2" fillId="0" borderId="0" xfId="0" applyFont="1" applyAlignment="1">
      <alignment horizontal="center"/>
    </xf>
    <xf numFmtId="0" fontId="3" fillId="0" borderId="0" xfId="0" applyFont="1"/>
    <xf numFmtId="0" fontId="4" fillId="0" borderId="0" xfId="0" applyFont="1"/>
    <xf numFmtId="0" fontId="6" fillId="0" borderId="0" xfId="0" applyFont="1" applyAlignment="1">
      <alignment horizontal="center" wrapText="1"/>
    </xf>
    <xf numFmtId="0" fontId="8" fillId="0" borderId="0" xfId="0" applyFont="1" applyAlignment="1">
      <alignment horizontal="center" wrapText="1"/>
    </xf>
    <xf numFmtId="0" fontId="8" fillId="0" borderId="0" xfId="0" applyFont="1"/>
    <xf numFmtId="0" fontId="9" fillId="0" borderId="0" xfId="0" applyFont="1" applyAlignment="1">
      <alignment horizont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8" fillId="0" borderId="0" xfId="0" applyFont="1" applyAlignment="1">
      <alignment wrapText="1"/>
    </xf>
    <xf numFmtId="0" fontId="10" fillId="0" borderId="0" xfId="0" applyFont="1" applyAlignment="1">
      <alignment horizontal="left" vertical="center"/>
    </xf>
    <xf numFmtId="0" fontId="0" fillId="0" borderId="0" xfId="0" applyAlignment="1">
      <alignment horizontal="center"/>
    </xf>
    <xf numFmtId="0" fontId="0" fillId="0" borderId="0" xfId="0" applyAlignment="1">
      <alignment horizontal="right"/>
    </xf>
    <xf numFmtId="0" fontId="8" fillId="0" borderId="0" xfId="0" applyFont="1" applyAlignment="1">
      <alignment horizontal="right"/>
    </xf>
    <xf numFmtId="0" fontId="10" fillId="0" borderId="0" xfId="0" applyFont="1" applyAlignment="1">
      <alignment vertical="center"/>
    </xf>
    <xf numFmtId="0" fontId="0" fillId="0" borderId="0" xfId="0"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8" fillId="0" borderId="10" xfId="0" applyFont="1" applyBorder="1" applyAlignment="1">
      <alignment horizontal="center" vertical="center"/>
    </xf>
    <xf numFmtId="0" fontId="8" fillId="2" borderId="1" xfId="0" applyFont="1" applyFill="1" applyBorder="1"/>
    <xf numFmtId="0" fontId="18" fillId="0" borderId="0" xfId="0" applyFont="1"/>
    <xf numFmtId="0" fontId="8" fillId="0" borderId="0" xfId="0" applyFont="1" applyAlignment="1">
      <alignment vertical="center" wrapText="1"/>
    </xf>
    <xf numFmtId="0" fontId="19" fillId="0" borderId="0" xfId="0" applyFont="1"/>
    <xf numFmtId="0" fontId="3" fillId="0" borderId="0" xfId="0" applyFont="1" applyAlignment="1">
      <alignment wrapText="1"/>
    </xf>
    <xf numFmtId="0" fontId="8" fillId="0" borderId="10" xfId="0" applyFont="1" applyBorder="1"/>
    <xf numFmtId="0" fontId="8" fillId="0" borderId="12" xfId="0" applyFont="1" applyBorder="1"/>
    <xf numFmtId="0" fontId="8" fillId="0" borderId="6" xfId="0" applyFont="1" applyBorder="1"/>
    <xf numFmtId="0" fontId="8" fillId="0" borderId="15" xfId="0" applyFont="1" applyBorder="1"/>
    <xf numFmtId="1" fontId="8" fillId="0" borderId="10" xfId="0" applyNumberFormat="1" applyFont="1" applyBorder="1"/>
    <xf numFmtId="1" fontId="3" fillId="0" borderId="10" xfId="0" applyNumberFormat="1" applyFont="1" applyBorder="1"/>
    <xf numFmtId="9" fontId="8" fillId="0" borderId="12" xfId="0" applyNumberFormat="1" applyFont="1" applyBorder="1" applyAlignment="1">
      <alignment horizontal="center" vertical="center"/>
    </xf>
    <xf numFmtId="9" fontId="8" fillId="0" borderId="12" xfId="0" applyNumberFormat="1" applyFont="1" applyBorder="1"/>
    <xf numFmtId="0" fontId="8" fillId="0" borderId="8" xfId="0" applyFont="1" applyBorder="1" applyAlignment="1">
      <alignment horizontal="center" vertical="center"/>
    </xf>
    <xf numFmtId="9" fontId="8" fillId="0" borderId="16" xfId="0" applyNumberFormat="1" applyFont="1" applyBorder="1" applyAlignment="1">
      <alignment horizontal="center" vertical="center"/>
    </xf>
    <xf numFmtId="0" fontId="8" fillId="0" borderId="8" xfId="0" applyFont="1" applyBorder="1"/>
    <xf numFmtId="9" fontId="8" fillId="0" borderId="16" xfId="0" applyNumberFormat="1" applyFont="1" applyBorder="1"/>
    <xf numFmtId="1" fontId="8" fillId="0" borderId="8" xfId="0" applyNumberFormat="1" applyFont="1" applyBorder="1"/>
    <xf numFmtId="9" fontId="8" fillId="0" borderId="0" xfId="0" applyNumberFormat="1" applyFont="1" applyAlignment="1">
      <alignment horizontal="left"/>
    </xf>
    <xf numFmtId="9" fontId="8" fillId="0" borderId="0" xfId="0" applyNumberFormat="1" applyFont="1"/>
    <xf numFmtId="9" fontId="8" fillId="0" borderId="15" xfId="0" applyNumberFormat="1" applyFont="1" applyBorder="1" applyAlignment="1">
      <alignment horizontal="left"/>
    </xf>
    <xf numFmtId="9" fontId="8" fillId="0" borderId="15" xfId="0" applyNumberFormat="1" applyFont="1" applyBorder="1"/>
    <xf numFmtId="1" fontId="8" fillId="0" borderId="7" xfId="0" applyNumberFormat="1" applyFont="1" applyBorder="1"/>
    <xf numFmtId="0" fontId="8" fillId="0" borderId="7" xfId="0" applyFont="1" applyBorder="1"/>
    <xf numFmtId="1" fontId="8" fillId="0" borderId="10" xfId="0" applyNumberFormat="1" applyFont="1" applyBorder="1" applyAlignment="1">
      <alignment horizontal="center" vertical="center"/>
    </xf>
    <xf numFmtId="9" fontId="8" fillId="8" borderId="11" xfId="0" applyNumberFormat="1" applyFont="1" applyFill="1" applyBorder="1" applyAlignment="1">
      <alignment horizontal="center" vertical="center"/>
    </xf>
    <xf numFmtId="0" fontId="8" fillId="0" borderId="10" xfId="0" applyFont="1" applyBorder="1" applyAlignment="1">
      <alignment vertical="center" wrapText="1"/>
    </xf>
    <xf numFmtId="1" fontId="8" fillId="0" borderId="0" xfId="0" applyNumberFormat="1" applyFont="1"/>
    <xf numFmtId="2" fontId="8" fillId="0" borderId="0" xfId="0" applyNumberFormat="1" applyFont="1"/>
    <xf numFmtId="1" fontId="8" fillId="0" borderId="8" xfId="0" applyNumberFormat="1" applyFont="1" applyBorder="1" applyAlignment="1">
      <alignment horizontal="center" vertical="center"/>
    </xf>
    <xf numFmtId="0" fontId="8" fillId="0" borderId="8" xfId="0" applyFont="1" applyBorder="1" applyAlignment="1">
      <alignment vertical="center" wrapText="1"/>
    </xf>
    <xf numFmtId="1" fontId="8" fillId="0" borderId="9" xfId="0" applyNumberFormat="1" applyFont="1" applyBorder="1"/>
    <xf numFmtId="1" fontId="3" fillId="0" borderId="0" xfId="0" applyNumberFormat="1" applyFont="1" applyAlignment="1">
      <alignment vertical="center"/>
    </xf>
    <xf numFmtId="0" fontId="3" fillId="0" borderId="0" xfId="0" applyFont="1" applyAlignment="1">
      <alignment vertical="center"/>
    </xf>
    <xf numFmtId="0" fontId="4" fillId="0" borderId="0" xfId="0" applyFont="1" applyAlignment="1">
      <alignment vertical="top" wrapText="1"/>
    </xf>
    <xf numFmtId="0" fontId="21"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8" fillId="11" borderId="1" xfId="0" applyFont="1" applyFill="1" applyBorder="1" applyAlignment="1">
      <alignment horizontal="center" vertical="center"/>
    </xf>
    <xf numFmtId="0" fontId="8" fillId="0" borderId="5" xfId="0" applyFont="1" applyBorder="1" applyAlignment="1">
      <alignment horizontal="center" vertical="center"/>
    </xf>
    <xf numFmtId="0" fontId="0" fillId="0" borderId="5" xfId="0" applyBorder="1"/>
    <xf numFmtId="0" fontId="0" fillId="0" borderId="20" xfId="0" applyBorder="1"/>
    <xf numFmtId="0" fontId="22" fillId="0" borderId="0" xfId="0" applyFont="1"/>
    <xf numFmtId="0" fontId="21" fillId="0" borderId="5" xfId="0" applyFont="1" applyBorder="1" applyAlignment="1">
      <alignment horizontal="center" vertical="center"/>
    </xf>
    <xf numFmtId="0" fontId="21" fillId="0" borderId="1" xfId="0" applyFont="1" applyBorder="1"/>
    <xf numFmtId="0" fontId="21" fillId="11" borderId="1" xfId="0" applyFont="1" applyFill="1" applyBorder="1"/>
    <xf numFmtId="0" fontId="8" fillId="2" borderId="5" xfId="0" applyFont="1" applyFill="1" applyBorder="1"/>
    <xf numFmtId="0" fontId="8" fillId="11" borderId="1" xfId="0" applyFont="1" applyFill="1" applyBorder="1"/>
    <xf numFmtId="0" fontId="3" fillId="11" borderId="5" xfId="0" applyFont="1" applyFill="1" applyBorder="1" applyAlignment="1">
      <alignment wrapText="1"/>
    </xf>
    <xf numFmtId="0" fontId="12" fillId="11" borderId="5" xfId="0" applyFont="1" applyFill="1" applyBorder="1"/>
    <xf numFmtId="0" fontId="14" fillId="11" borderId="5" xfId="0" applyFont="1" applyFill="1" applyBorder="1" applyAlignment="1">
      <alignment vertical="top" wrapText="1"/>
    </xf>
    <xf numFmtId="0" fontId="0" fillId="11" borderId="0" xfId="0" applyFill="1" applyAlignment="1">
      <alignment vertical="top"/>
    </xf>
    <xf numFmtId="0" fontId="0" fillId="11" borderId="5" xfId="0" applyFill="1" applyBorder="1"/>
    <xf numFmtId="0" fontId="13" fillId="11" borderId="1" xfId="0" applyFont="1" applyFill="1" applyBorder="1" applyAlignment="1">
      <alignment vertical="top" wrapText="1"/>
    </xf>
    <xf numFmtId="0" fontId="13" fillId="11" borderId="5" xfId="0" applyFont="1" applyFill="1" applyBorder="1" applyAlignment="1">
      <alignment vertical="top" wrapText="1"/>
    </xf>
    <xf numFmtId="9" fontId="0" fillId="0" borderId="20" xfId="1" applyFont="1" applyBorder="1" applyAlignment="1"/>
    <xf numFmtId="9" fontId="0" fillId="0" borderId="0" xfId="1" applyFont="1" applyAlignment="1"/>
    <xf numFmtId="9" fontId="8" fillId="0" borderId="0" xfId="1" applyFont="1"/>
    <xf numFmtId="0" fontId="8" fillId="2" borderId="5" xfId="0" applyFont="1" applyFill="1" applyBorder="1" applyAlignment="1">
      <alignment horizontal="center" vertical="center"/>
    </xf>
    <xf numFmtId="0" fontId="27" fillId="0" borderId="5" xfId="44" applyFont="1" applyAlignment="1">
      <alignment horizontal="center"/>
    </xf>
    <xf numFmtId="0" fontId="11" fillId="0" borderId="5" xfId="48"/>
    <xf numFmtId="0" fontId="11" fillId="0" borderId="20" xfId="48" applyBorder="1"/>
    <xf numFmtId="0" fontId="4" fillId="0" borderId="5" xfId="48" applyFont="1" applyAlignment="1">
      <alignment horizontal="center" vertical="center"/>
    </xf>
    <xf numFmtId="0" fontId="21" fillId="0" borderId="5" xfId="48" applyFont="1" applyAlignment="1">
      <alignment horizontal="center" vertical="center"/>
    </xf>
    <xf numFmtId="0" fontId="4" fillId="2" borderId="10" xfId="48" applyFont="1" applyFill="1" applyBorder="1" applyAlignment="1">
      <alignment horizontal="center" vertical="center"/>
    </xf>
    <xf numFmtId="0" fontId="21" fillId="11" borderId="5" xfId="48" applyFont="1" applyFill="1" applyAlignment="1">
      <alignment horizontal="center" vertical="center"/>
    </xf>
    <xf numFmtId="0" fontId="4" fillId="2" borderId="5" xfId="48" applyFont="1" applyFill="1" applyAlignment="1">
      <alignment horizontal="center" vertical="center"/>
    </xf>
    <xf numFmtId="0" fontId="21" fillId="2" borderId="5" xfId="48" applyFont="1" applyFill="1" applyAlignment="1">
      <alignment horizontal="center" vertical="center"/>
    </xf>
    <xf numFmtId="0" fontId="3" fillId="2" borderId="5" xfId="48" applyFont="1" applyFill="1" applyAlignment="1">
      <alignment horizontal="center" vertical="center"/>
    </xf>
    <xf numFmtId="0" fontId="3" fillId="10" borderId="5" xfId="48" applyFont="1" applyFill="1" applyAlignment="1">
      <alignment horizontal="center" vertical="center"/>
    </xf>
    <xf numFmtId="0" fontId="4" fillId="0" borderId="20" xfId="48" applyFont="1" applyBorder="1" applyAlignment="1">
      <alignment horizontal="center" vertical="center"/>
    </xf>
    <xf numFmtId="0" fontId="4" fillId="2" borderId="5" xfId="48" applyFont="1" applyFill="1"/>
    <xf numFmtId="0" fontId="21" fillId="11" borderId="5" xfId="48" applyFont="1" applyFill="1"/>
    <xf numFmtId="0" fontId="4" fillId="11" borderId="5" xfId="48" applyFont="1" applyFill="1"/>
    <xf numFmtId="0" fontId="21" fillId="11" borderId="5" xfId="48" applyFont="1" applyFill="1" applyAlignment="1">
      <alignment wrapText="1"/>
    </xf>
    <xf numFmtId="0" fontId="3" fillId="11" borderId="5" xfId="48" applyFont="1" applyFill="1" applyAlignment="1">
      <alignment wrapText="1"/>
    </xf>
    <xf numFmtId="0" fontId="12" fillId="11" borderId="5" xfId="48" applyFont="1" applyFill="1"/>
    <xf numFmtId="0" fontId="14" fillId="11" borderId="5" xfId="48" applyFont="1" applyFill="1" applyAlignment="1">
      <alignment vertical="top" wrapText="1"/>
    </xf>
    <xf numFmtId="0" fontId="3" fillId="9" borderId="5" xfId="48" applyFont="1" applyFill="1" applyAlignment="1">
      <alignment horizontal="left"/>
    </xf>
    <xf numFmtId="0" fontId="11" fillId="11" borderId="5" xfId="48" applyFill="1" applyAlignment="1">
      <alignment vertical="top"/>
    </xf>
    <xf numFmtId="0" fontId="11" fillId="11" borderId="5" xfId="48" applyFill="1"/>
    <xf numFmtId="0" fontId="21" fillId="0" borderId="5" xfId="48" applyFont="1"/>
    <xf numFmtId="0" fontId="3" fillId="11" borderId="5" xfId="48" applyFont="1" applyFill="1"/>
    <xf numFmtId="0" fontId="13" fillId="11" borderId="5" xfId="48" applyFont="1" applyFill="1" applyAlignment="1">
      <alignment vertical="top" wrapText="1"/>
    </xf>
    <xf numFmtId="0" fontId="4" fillId="0" borderId="5" xfId="48" applyFont="1"/>
    <xf numFmtId="0" fontId="4" fillId="0" borderId="5" xfId="48" applyFont="1" applyAlignment="1">
      <alignment vertical="top" wrapText="1"/>
    </xf>
    <xf numFmtId="0" fontId="21" fillId="0" borderId="5" xfId="48" applyFont="1" applyAlignment="1">
      <alignment wrapText="1"/>
    </xf>
    <xf numFmtId="0" fontId="18" fillId="0" borderId="5" xfId="48" applyFont="1"/>
    <xf numFmtId="0" fontId="4" fillId="0" borderId="5" xfId="48" applyFont="1" applyAlignment="1">
      <alignment vertical="center" wrapText="1"/>
    </xf>
    <xf numFmtId="0" fontId="2" fillId="0" borderId="5" xfId="48" applyFont="1" applyAlignment="1">
      <alignment horizontal="center"/>
    </xf>
    <xf numFmtId="0" fontId="19" fillId="0" borderId="5" xfId="48" applyFont="1"/>
    <xf numFmtId="0" fontId="3" fillId="0" borderId="5" xfId="48" applyFont="1" applyAlignment="1">
      <alignment wrapText="1"/>
    </xf>
    <xf numFmtId="0" fontId="4" fillId="0" borderId="10" xfId="48" applyFont="1" applyBorder="1"/>
    <xf numFmtId="0" fontId="4" fillId="0" borderId="12" xfId="48" applyFont="1" applyBorder="1"/>
    <xf numFmtId="0" fontId="4" fillId="0" borderId="6" xfId="48" applyFont="1" applyBorder="1"/>
    <xf numFmtId="0" fontId="4" fillId="0" borderId="15" xfId="48" applyFont="1" applyBorder="1"/>
    <xf numFmtId="1" fontId="4" fillId="0" borderId="10" xfId="48" applyNumberFormat="1" applyFont="1" applyBorder="1"/>
    <xf numFmtId="1" fontId="3" fillId="0" borderId="10" xfId="48" applyNumberFormat="1" applyFont="1" applyBorder="1"/>
    <xf numFmtId="0" fontId="4" fillId="0" borderId="10" xfId="48" applyFont="1" applyBorder="1" applyAlignment="1">
      <alignment horizontal="center" vertical="center"/>
    </xf>
    <xf numFmtId="9" fontId="4" fillId="0" borderId="12" xfId="48" applyNumberFormat="1" applyFont="1" applyBorder="1" applyAlignment="1">
      <alignment horizontal="center" vertical="center"/>
    </xf>
    <xf numFmtId="9" fontId="4" fillId="0" borderId="12" xfId="48" applyNumberFormat="1" applyFont="1" applyBorder="1"/>
    <xf numFmtId="0" fontId="4" fillId="0" borderId="8" xfId="48" applyFont="1" applyBorder="1" applyAlignment="1">
      <alignment horizontal="center" vertical="center"/>
    </xf>
    <xf numFmtId="9" fontId="4" fillId="0" borderId="16" xfId="48" applyNumberFormat="1" applyFont="1" applyBorder="1" applyAlignment="1">
      <alignment horizontal="center" vertical="center"/>
    </xf>
    <xf numFmtId="0" fontId="4" fillId="0" borderId="8" xfId="48" applyFont="1" applyBorder="1"/>
    <xf numFmtId="9" fontId="4" fillId="0" borderId="16" xfId="48" applyNumberFormat="1" applyFont="1" applyBorder="1"/>
    <xf numFmtId="1" fontId="4" fillId="0" borderId="8" xfId="48" applyNumberFormat="1" applyFont="1" applyBorder="1"/>
    <xf numFmtId="9" fontId="4" fillId="0" borderId="5" xfId="48" applyNumberFormat="1" applyFont="1" applyAlignment="1">
      <alignment horizontal="left"/>
    </xf>
    <xf numFmtId="9" fontId="4" fillId="0" borderId="5" xfId="48" applyNumberFormat="1" applyFont="1"/>
    <xf numFmtId="9" fontId="4" fillId="0" borderId="15" xfId="48" applyNumberFormat="1" applyFont="1" applyBorder="1" applyAlignment="1">
      <alignment horizontal="left"/>
    </xf>
    <xf numFmtId="9" fontId="4" fillId="0" borderId="15" xfId="48" applyNumberFormat="1" applyFont="1" applyBorder="1"/>
    <xf numFmtId="1" fontId="4" fillId="0" borderId="7" xfId="48" applyNumberFormat="1" applyFont="1" applyBorder="1"/>
    <xf numFmtId="0" fontId="4" fillId="0" borderId="7" xfId="48" applyFont="1" applyBorder="1"/>
    <xf numFmtId="0" fontId="3" fillId="0" borderId="5" xfId="48" applyFont="1" applyAlignment="1">
      <alignment vertical="center" wrapText="1"/>
    </xf>
    <xf numFmtId="1" fontId="4" fillId="0" borderId="10" xfId="48" applyNumberFormat="1" applyFont="1" applyBorder="1" applyAlignment="1">
      <alignment horizontal="center" vertical="center"/>
    </xf>
    <xf numFmtId="9" fontId="4" fillId="8" borderId="12" xfId="48" applyNumberFormat="1" applyFont="1" applyFill="1" applyBorder="1" applyAlignment="1">
      <alignment horizontal="center" vertical="center"/>
    </xf>
    <xf numFmtId="0" fontId="4" fillId="0" borderId="10" xfId="48" applyFont="1" applyBorder="1" applyAlignment="1">
      <alignment vertical="center" wrapText="1"/>
    </xf>
    <xf numFmtId="1" fontId="4" fillId="0" borderId="5" xfId="48" applyNumberFormat="1" applyFont="1"/>
    <xf numFmtId="2" fontId="4" fillId="0" borderId="5" xfId="48" applyNumberFormat="1" applyFont="1"/>
    <xf numFmtId="1" fontId="4" fillId="0" borderId="8" xfId="48" applyNumberFormat="1" applyFont="1" applyBorder="1" applyAlignment="1">
      <alignment horizontal="center" vertical="center"/>
    </xf>
    <xf numFmtId="0" fontId="4" fillId="0" borderId="8" xfId="48" applyFont="1" applyBorder="1" applyAlignment="1">
      <alignment vertical="center" wrapText="1"/>
    </xf>
    <xf numFmtId="1" fontId="4" fillId="0" borderId="9" xfId="48" applyNumberFormat="1" applyFont="1" applyBorder="1"/>
    <xf numFmtId="9" fontId="4" fillId="0" borderId="9" xfId="48" applyNumberFormat="1" applyFont="1" applyBorder="1"/>
    <xf numFmtId="9" fontId="0" fillId="0" borderId="5" xfId="49" applyFont="1" applyAlignment="1"/>
    <xf numFmtId="9" fontId="4" fillId="0" borderId="5" xfId="49" applyFont="1"/>
    <xf numFmtId="0" fontId="3" fillId="0" borderId="5" xfId="48" applyFont="1"/>
    <xf numFmtId="1" fontId="3" fillId="0" borderId="5" xfId="48" applyNumberFormat="1" applyFont="1"/>
    <xf numFmtId="0" fontId="4" fillId="0" borderId="9" xfId="48" applyFont="1" applyBorder="1"/>
    <xf numFmtId="1" fontId="3" fillId="0" borderId="5" xfId="48" applyNumberFormat="1" applyFont="1" applyAlignment="1">
      <alignment vertical="center"/>
    </xf>
    <xf numFmtId="0" fontId="3" fillId="0" borderId="5" xfId="48" applyFont="1" applyAlignment="1">
      <alignment vertical="center"/>
    </xf>
    <xf numFmtId="9" fontId="0" fillId="0" borderId="20" xfId="49" applyFont="1" applyBorder="1" applyAlignment="1"/>
    <xf numFmtId="1" fontId="26" fillId="0" borderId="5" xfId="44" applyNumberFormat="1" applyAlignment="1">
      <alignment vertical="top"/>
    </xf>
    <xf numFmtId="0" fontId="26" fillId="0" borderId="5" xfId="44"/>
    <xf numFmtId="0" fontId="26" fillId="0" borderId="5" xfId="44" applyAlignment="1">
      <alignment horizontal="center"/>
    </xf>
    <xf numFmtId="0" fontId="8" fillId="0" borderId="0" xfId="0" applyFont="1" applyAlignment="1">
      <alignment horizontal="left" wrapText="1"/>
    </xf>
    <xf numFmtId="0" fontId="5" fillId="0" borderId="0" xfId="0" applyFont="1" applyAlignment="1">
      <alignment horizontal="center"/>
    </xf>
    <xf numFmtId="0" fontId="7" fillId="0" borderId="0" xfId="0" applyFont="1" applyAlignment="1">
      <alignment horizontal="center" wrapText="1"/>
    </xf>
    <xf numFmtId="0" fontId="8" fillId="0" borderId="0" xfId="0" applyFont="1" applyAlignment="1">
      <alignment horizontal="left" vertical="top"/>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13" borderId="18" xfId="0" applyFont="1" applyFill="1" applyBorder="1" applyAlignment="1">
      <alignment horizontal="center" vertical="center" wrapText="1"/>
    </xf>
    <xf numFmtId="0" fontId="3" fillId="11" borderId="3" xfId="0" applyFont="1" applyFill="1" applyBorder="1" applyAlignment="1">
      <alignment horizontal="left" wrapText="1"/>
    </xf>
    <xf numFmtId="0" fontId="3" fillId="11" borderId="5" xfId="0" applyFont="1" applyFill="1" applyBorder="1" applyAlignment="1">
      <alignment horizontal="left" wrapText="1"/>
    </xf>
    <xf numFmtId="0" fontId="12" fillId="11" borderId="4" xfId="0" applyFont="1" applyFill="1" applyBorder="1"/>
    <xf numFmtId="0" fontId="3" fillId="0" borderId="5" xfId="48" applyFont="1" applyAlignment="1">
      <alignment horizontal="center" vertical="center"/>
    </xf>
    <xf numFmtId="0" fontId="3" fillId="14" borderId="23" xfId="48" applyFont="1" applyFill="1" applyBorder="1" applyAlignment="1">
      <alignment horizontal="center" vertical="center" wrapText="1"/>
    </xf>
    <xf numFmtId="0" fontId="25" fillId="0" borderId="23" xfId="48" applyFont="1" applyBorder="1" applyAlignment="1">
      <alignment horizontal="center" vertical="center" wrapText="1"/>
    </xf>
    <xf numFmtId="0" fontId="3" fillId="14" borderId="18" xfId="48" applyFont="1" applyFill="1" applyBorder="1" applyAlignment="1">
      <alignment horizontal="center" vertical="center" wrapText="1"/>
    </xf>
    <xf numFmtId="0" fontId="3" fillId="14" borderId="5" xfId="48" applyFont="1" applyFill="1" applyAlignment="1">
      <alignment horizontal="center" vertical="center" wrapText="1"/>
    </xf>
    <xf numFmtId="0" fontId="25" fillId="0" borderId="24" xfId="48" applyFont="1" applyBorder="1" applyAlignment="1">
      <alignment horizontal="center" vertical="center" wrapText="1"/>
    </xf>
    <xf numFmtId="0" fontId="3" fillId="0" borderId="17" xfId="48" applyFont="1" applyBorder="1" applyAlignment="1">
      <alignment horizontal="center" vertical="center"/>
    </xf>
    <xf numFmtId="0" fontId="5" fillId="0" borderId="5" xfId="48" applyFont="1" applyAlignment="1">
      <alignment horizontal="center"/>
    </xf>
    <xf numFmtId="0" fontId="3" fillId="0" borderId="5" xfId="48" applyFont="1" applyAlignment="1">
      <alignment horizontal="center"/>
    </xf>
    <xf numFmtId="0" fontId="12" fillId="0" borderId="10" xfId="48" applyFont="1" applyBorder="1"/>
    <xf numFmtId="0" fontId="12" fillId="0" borderId="8" xfId="48" applyFont="1" applyBorder="1"/>
    <xf numFmtId="0" fontId="11" fillId="0" borderId="5" xfId="48" applyAlignment="1">
      <alignment horizontal="center"/>
    </xf>
    <xf numFmtId="1" fontId="11" fillId="0" borderId="5" xfId="48"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8" fillId="2" borderId="1" xfId="0" applyFont="1" applyFill="1" applyBorder="1" applyAlignment="1">
      <alignment vertical="center"/>
    </xf>
    <xf numFmtId="0" fontId="0" fillId="0" borderId="0" xfId="0" applyAlignment="1">
      <alignment vertical="center"/>
    </xf>
    <xf numFmtId="0" fontId="0" fillId="0" borderId="20" xfId="0" applyBorder="1" applyAlignment="1">
      <alignment horizontal="center" vertical="center"/>
    </xf>
    <xf numFmtId="0" fontId="11"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1" fillId="0" borderId="5" xfId="0" applyFont="1" applyBorder="1" applyAlignment="1">
      <alignment horizontal="center" wrapText="1"/>
    </xf>
    <xf numFmtId="9" fontId="22" fillId="9" borderId="5" xfId="0" applyNumberFormat="1" applyFont="1" applyFill="1" applyBorder="1" applyAlignment="1">
      <alignment horizont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8" fillId="0" borderId="5" xfId="0" applyFont="1" applyBorder="1"/>
    <xf numFmtId="0" fontId="21" fillId="0" borderId="5" xfId="0" applyFont="1" applyBorder="1" applyAlignment="1">
      <alignment wrapText="1"/>
    </xf>
    <xf numFmtId="0" fontId="0" fillId="11" borderId="0" xfId="0" applyFill="1" applyAlignment="1">
      <alignment vertical="center"/>
    </xf>
    <xf numFmtId="0" fontId="11" fillId="0" borderId="20" xfId="0" applyFont="1" applyBorder="1" applyAlignment="1">
      <alignment horizontal="center" vertical="center" wrapText="1"/>
    </xf>
    <xf numFmtId="0" fontId="0" fillId="9" borderId="5" xfId="0" applyFill="1" applyBorder="1" applyAlignment="1">
      <alignment horizontal="center"/>
    </xf>
    <xf numFmtId="0" fontId="17" fillId="0" borderId="1" xfId="0" applyFont="1" applyBorder="1" applyAlignment="1">
      <alignment horizontal="center" vertical="center"/>
    </xf>
    <xf numFmtId="0" fontId="12" fillId="0" borderId="5" xfId="0" applyFont="1" applyBorder="1" applyAlignment="1">
      <alignment horizontal="center"/>
    </xf>
    <xf numFmtId="0" fontId="0" fillId="9" borderId="0" xfId="0" applyFill="1"/>
    <xf numFmtId="0" fontId="11" fillId="0" borderId="5" xfId="0" applyFont="1" applyBorder="1" applyAlignment="1">
      <alignment horizontal="center" vertical="center" wrapText="1"/>
    </xf>
    <xf numFmtId="9" fontId="8" fillId="8" borderId="5" xfId="0" applyNumberFormat="1" applyFont="1" applyFill="1" applyBorder="1" applyAlignment="1">
      <alignment horizontal="center" vertical="center"/>
    </xf>
    <xf numFmtId="1" fontId="8" fillId="0" borderId="5" xfId="0" applyNumberFormat="1" applyFont="1" applyBorder="1"/>
    <xf numFmtId="1" fontId="8" fillId="0" borderId="38" xfId="0" applyNumberFormat="1" applyFont="1" applyBorder="1"/>
    <xf numFmtId="0" fontId="8" fillId="0" borderId="17" xfId="0" applyFont="1" applyBorder="1"/>
    <xf numFmtId="0" fontId="8" fillId="0" borderId="35" xfId="0" applyFont="1" applyBorder="1"/>
    <xf numFmtId="1" fontId="8" fillId="0" borderId="19" xfId="0" applyNumberFormat="1" applyFont="1" applyBorder="1"/>
    <xf numFmtId="9" fontId="8" fillId="8" borderId="36" xfId="0" applyNumberFormat="1" applyFont="1" applyFill="1" applyBorder="1" applyAlignment="1">
      <alignment horizontal="center" vertical="center"/>
    </xf>
    <xf numFmtId="1" fontId="8" fillId="0" borderId="39" xfId="0" applyNumberFormat="1" applyFont="1" applyBorder="1"/>
    <xf numFmtId="9" fontId="8" fillId="0" borderId="12" xfId="0" applyNumberFormat="1" applyFont="1" applyBorder="1" applyAlignment="1">
      <alignment horizontal="center"/>
    </xf>
    <xf numFmtId="9" fontId="8" fillId="0" borderId="16" xfId="0" applyNumberFormat="1" applyFont="1" applyBorder="1" applyAlignment="1">
      <alignment horizontal="center"/>
    </xf>
    <xf numFmtId="9" fontId="8" fillId="0" borderId="5" xfId="0" applyNumberFormat="1" applyFont="1" applyBorder="1" applyAlignment="1">
      <alignment horizontal="center"/>
    </xf>
    <xf numFmtId="9" fontId="8" fillId="0" borderId="9" xfId="0" applyNumberFormat="1" applyFont="1" applyBorder="1" applyAlignment="1">
      <alignment horizontal="center"/>
    </xf>
    <xf numFmtId="9" fontId="8" fillId="0" borderId="36" xfId="0" applyNumberFormat="1" applyFont="1" applyBorder="1" applyAlignment="1">
      <alignment horizontal="center"/>
    </xf>
    <xf numFmtId="9" fontId="8" fillId="0" borderId="37" xfId="0" applyNumberFormat="1" applyFont="1" applyBorder="1" applyAlignment="1">
      <alignment horizontal="center"/>
    </xf>
    <xf numFmtId="9" fontId="34" fillId="0" borderId="0" xfId="1" applyFont="1" applyAlignment="1"/>
    <xf numFmtId="0" fontId="2" fillId="0" borderId="0" xfId="0" applyFont="1" applyAlignment="1">
      <alignment vertical="center" wrapText="1"/>
    </xf>
    <xf numFmtId="9" fontId="34" fillId="0" borderId="0" xfId="0" applyNumberFormat="1" applyFont="1"/>
    <xf numFmtId="9" fontId="2" fillId="0" borderId="0" xfId="0" applyNumberFormat="1" applyFont="1"/>
    <xf numFmtId="0" fontId="0" fillId="0" borderId="5" xfId="0" applyBorder="1" applyAlignment="1">
      <alignment horizontal="center"/>
    </xf>
    <xf numFmtId="0" fontId="3" fillId="9" borderId="5" xfId="0" applyFont="1" applyFill="1" applyBorder="1" applyAlignment="1">
      <alignment horizontal="center" vertical="center"/>
    </xf>
    <xf numFmtId="0" fontId="3" fillId="0" borderId="5" xfId="0" applyFont="1" applyBorder="1" applyAlignment="1">
      <alignment horizontal="center" vertical="center"/>
    </xf>
    <xf numFmtId="0" fontId="3" fillId="0" borderId="10" xfId="48" applyFont="1" applyBorder="1" applyAlignment="1">
      <alignment horizontal="center" vertical="center"/>
    </xf>
    <xf numFmtId="0" fontId="3" fillId="0" borderId="18" xfId="48" applyFont="1" applyBorder="1"/>
    <xf numFmtId="1" fontId="4" fillId="0" borderId="18" xfId="48" applyNumberFormat="1" applyFont="1" applyBorder="1"/>
    <xf numFmtId="0" fontId="4" fillId="0" borderId="18" xfId="48" applyFont="1" applyBorder="1"/>
    <xf numFmtId="9" fontId="4" fillId="0" borderId="18" xfId="48" applyNumberFormat="1" applyFont="1" applyBorder="1"/>
    <xf numFmtId="0" fontId="4" fillId="0" borderId="35" xfId="48" applyFont="1" applyBorder="1"/>
    <xf numFmtId="0" fontId="12" fillId="0" borderId="19" xfId="48" applyFont="1" applyBorder="1"/>
    <xf numFmtId="1" fontId="3" fillId="0" borderId="5" xfId="48" applyNumberFormat="1" applyFont="1" applyAlignment="1">
      <alignment horizontal="center" vertical="center"/>
    </xf>
    <xf numFmtId="1" fontId="3" fillId="0" borderId="5" xfId="0" applyNumberFormat="1" applyFont="1" applyBorder="1" applyAlignment="1">
      <alignment horizontal="center" vertical="center"/>
    </xf>
    <xf numFmtId="0" fontId="3" fillId="0" borderId="36" xfId="0" applyFont="1" applyBorder="1" applyAlignment="1">
      <alignment horizontal="center" vertical="center"/>
    </xf>
    <xf numFmtId="1" fontId="4" fillId="0" borderId="5" xfId="48" applyNumberFormat="1" applyFont="1" applyAlignment="1">
      <alignment horizontal="center" vertical="center"/>
    </xf>
    <xf numFmtId="1" fontId="4" fillId="0" borderId="5" xfId="48" applyNumberFormat="1" applyFont="1" applyAlignment="1">
      <alignment horizontal="center"/>
    </xf>
    <xf numFmtId="1" fontId="4" fillId="0" borderId="36" xfId="48" applyNumberFormat="1" applyFont="1" applyBorder="1" applyAlignment="1">
      <alignment horizontal="center"/>
    </xf>
    <xf numFmtId="0" fontId="0" fillId="0" borderId="5" xfId="48" applyFont="1" applyAlignment="1">
      <alignment horizontal="center"/>
    </xf>
    <xf numFmtId="0" fontId="0" fillId="0" borderId="36" xfId="48" applyFont="1" applyBorder="1" applyAlignment="1">
      <alignment horizontal="center"/>
    </xf>
    <xf numFmtId="0" fontId="11" fillId="0" borderId="36" xfId="48" applyBorder="1" applyAlignment="1">
      <alignment horizontal="center"/>
    </xf>
    <xf numFmtId="0" fontId="4" fillId="0" borderId="39" xfId="48" applyFont="1" applyBorder="1"/>
    <xf numFmtId="0" fontId="3" fillId="0" borderId="40" xfId="48" applyFont="1" applyBorder="1"/>
    <xf numFmtId="1" fontId="3" fillId="0" borderId="41" xfId="48" applyNumberFormat="1" applyFont="1" applyBorder="1" applyAlignment="1">
      <alignment horizontal="center" vertical="center"/>
    </xf>
    <xf numFmtId="1" fontId="3" fillId="0" borderId="38" xfId="48" applyNumberFormat="1" applyFont="1" applyBorder="1"/>
    <xf numFmtId="1" fontId="3" fillId="0" borderId="42" xfId="48" applyNumberFormat="1"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xf numFmtId="1" fontId="3" fillId="0" borderId="18" xfId="0" applyNumberFormat="1" applyFont="1" applyBorder="1"/>
    <xf numFmtId="0" fontId="8" fillId="9" borderId="18" xfId="0" applyFont="1" applyFill="1" applyBorder="1"/>
    <xf numFmtId="0" fontId="8" fillId="0" borderId="18" xfId="0" applyFont="1" applyBorder="1"/>
    <xf numFmtId="0" fontId="12" fillId="0" borderId="19" xfId="0" applyFont="1" applyBorder="1"/>
    <xf numFmtId="0" fontId="3" fillId="0" borderId="5" xfId="0" applyFont="1" applyBorder="1"/>
    <xf numFmtId="1" fontId="3" fillId="0" borderId="5" xfId="0" applyNumberFormat="1" applyFont="1" applyBorder="1"/>
    <xf numFmtId="0" fontId="8" fillId="0" borderId="36" xfId="0" applyFont="1" applyBorder="1"/>
    <xf numFmtId="1" fontId="3" fillId="0" borderId="5" xfId="0" applyNumberFormat="1" applyFont="1" applyBorder="1" applyAlignment="1">
      <alignment horizontal="center"/>
    </xf>
    <xf numFmtId="1" fontId="4" fillId="9" borderId="5" xfId="0" applyNumberFormat="1" applyFont="1" applyFill="1" applyBorder="1"/>
    <xf numFmtId="1" fontId="8" fillId="0" borderId="5" xfId="0" applyNumberFormat="1" applyFont="1" applyBorder="1" applyAlignment="1">
      <alignment horizontal="center"/>
    </xf>
    <xf numFmtId="1" fontId="0" fillId="0" borderId="5" xfId="0" applyNumberFormat="1" applyBorder="1" applyAlignment="1">
      <alignment horizontal="center"/>
    </xf>
    <xf numFmtId="1" fontId="8" fillId="9" borderId="5" xfId="0" applyNumberFormat="1" applyFont="1" applyFill="1" applyBorder="1"/>
    <xf numFmtId="0" fontId="2" fillId="0" borderId="5" xfId="0" applyFont="1" applyBorder="1"/>
    <xf numFmtId="0" fontId="11" fillId="0" borderId="5" xfId="0" applyFont="1" applyBorder="1" applyAlignment="1">
      <alignment horizontal="center"/>
    </xf>
    <xf numFmtId="1" fontId="11" fillId="0" borderId="5" xfId="0" applyNumberFormat="1" applyFont="1" applyBorder="1" applyAlignment="1">
      <alignment horizontal="center"/>
    </xf>
    <xf numFmtId="0" fontId="11" fillId="0" borderId="36" xfId="0" applyFont="1" applyBorder="1" applyAlignment="1">
      <alignment horizontal="center"/>
    </xf>
    <xf numFmtId="1" fontId="4" fillId="0" borderId="5" xfId="0" applyNumberFormat="1" applyFont="1" applyBorder="1" applyAlignment="1">
      <alignment horizontal="center"/>
    </xf>
    <xf numFmtId="1" fontId="4" fillId="0" borderId="36" xfId="0" applyNumberFormat="1" applyFont="1" applyBorder="1" applyAlignment="1">
      <alignment horizontal="center"/>
    </xf>
    <xf numFmtId="0" fontId="8" fillId="0" borderId="5" xfId="0" applyFont="1" applyBorder="1" applyAlignment="1">
      <alignment horizontal="center"/>
    </xf>
    <xf numFmtId="0" fontId="11" fillId="0" borderId="5" xfId="0" applyFont="1" applyBorder="1"/>
    <xf numFmtId="9" fontId="8" fillId="0" borderId="5" xfId="0" applyNumberFormat="1" applyFont="1" applyBorder="1"/>
    <xf numFmtId="0" fontId="12" fillId="0" borderId="39" xfId="0" applyFont="1" applyBorder="1"/>
    <xf numFmtId="0" fontId="3" fillId="0" borderId="40" xfId="0" applyFont="1" applyBorder="1"/>
    <xf numFmtId="0" fontId="3" fillId="0" borderId="41" xfId="0" applyFont="1" applyBorder="1"/>
    <xf numFmtId="1" fontId="3" fillId="0" borderId="41" xfId="0" applyNumberFormat="1" applyFont="1" applyBorder="1" applyAlignment="1">
      <alignment vertical="center"/>
    </xf>
    <xf numFmtId="0" fontId="3" fillId="0" borderId="41" xfId="0" applyFont="1" applyBorder="1" applyAlignment="1">
      <alignment horizontal="center" vertical="center"/>
    </xf>
    <xf numFmtId="0" fontId="8" fillId="0" borderId="38" xfId="0" applyFont="1" applyBorder="1"/>
    <xf numFmtId="0" fontId="3" fillId="0" borderId="42" xfId="0" applyFont="1" applyBorder="1" applyAlignment="1">
      <alignment horizontal="center" vertical="center"/>
    </xf>
    <xf numFmtId="0" fontId="0" fillId="11" borderId="20" xfId="0" applyFill="1" applyBorder="1" applyAlignment="1">
      <alignment horizontal="center" vertical="center"/>
    </xf>
    <xf numFmtId="0" fontId="21" fillId="20" borderId="20" xfId="0" applyFont="1" applyFill="1" applyBorder="1" applyAlignment="1">
      <alignment horizontal="center" vertical="center"/>
    </xf>
    <xf numFmtId="0" fontId="16" fillId="20" borderId="20" xfId="0" applyFont="1" applyFill="1" applyBorder="1" applyAlignment="1">
      <alignment horizontal="center" vertical="center" wrapText="1"/>
    </xf>
    <xf numFmtId="0" fontId="21" fillId="20" borderId="28" xfId="0" applyFont="1" applyFill="1" applyBorder="1" applyAlignment="1">
      <alignment horizontal="center" vertical="center"/>
    </xf>
    <xf numFmtId="0" fontId="2" fillId="19" borderId="28" xfId="0" applyFont="1" applyFill="1" applyBorder="1" applyAlignment="1">
      <alignment horizontal="center" vertical="center" wrapText="1"/>
    </xf>
    <xf numFmtId="0" fontId="2" fillId="19" borderId="28" xfId="0" applyFont="1" applyFill="1" applyBorder="1" applyAlignment="1">
      <alignment horizontal="center" vertical="center"/>
    </xf>
    <xf numFmtId="0" fontId="14" fillId="20" borderId="26" xfId="0" applyFont="1" applyFill="1" applyBorder="1" applyAlignment="1">
      <alignment horizontal="center" vertical="center"/>
    </xf>
    <xf numFmtId="0" fontId="15" fillId="11" borderId="20" xfId="0" applyFont="1" applyFill="1" applyBorder="1" applyAlignment="1">
      <alignment horizontal="center" vertical="center"/>
    </xf>
    <xf numFmtId="0" fontId="37" fillId="0" borderId="29" xfId="0" applyFont="1" applyBorder="1" applyAlignment="1">
      <alignment horizontal="center" wrapText="1"/>
    </xf>
    <xf numFmtId="0" fontId="37" fillId="0" borderId="32" xfId="0" applyFont="1" applyBorder="1" applyAlignment="1">
      <alignment horizontal="center" wrapText="1"/>
    </xf>
    <xf numFmtId="0" fontId="38" fillId="0" borderId="31" xfId="0" applyFont="1" applyBorder="1" applyAlignment="1">
      <alignment horizontal="center" wrapText="1"/>
    </xf>
    <xf numFmtId="0" fontId="37" fillId="0" borderId="30" xfId="0" applyFont="1" applyBorder="1" applyAlignment="1">
      <alignment horizontal="center" wrapText="1"/>
    </xf>
    <xf numFmtId="1" fontId="0" fillId="0" borderId="24" xfId="0" applyNumberFormat="1" applyBorder="1" applyAlignment="1">
      <alignment horizontal="center"/>
    </xf>
    <xf numFmtId="9" fontId="8" fillId="0" borderId="24" xfId="1" applyFont="1" applyBorder="1" applyAlignment="1">
      <alignment horizontal="center"/>
    </xf>
    <xf numFmtId="1" fontId="8" fillId="0" borderId="19" xfId="0" applyNumberFormat="1" applyFont="1" applyBorder="1" applyAlignment="1">
      <alignment horizontal="center"/>
    </xf>
    <xf numFmtId="1" fontId="8" fillId="0" borderId="24" xfId="0" applyNumberFormat="1" applyFont="1" applyBorder="1" applyAlignment="1">
      <alignment horizontal="center"/>
    </xf>
    <xf numFmtId="9" fontId="0" fillId="0" borderId="36" xfId="1" applyFont="1" applyBorder="1" applyAlignment="1">
      <alignment horizontal="center"/>
    </xf>
    <xf numFmtId="1" fontId="0" fillId="0" borderId="19" xfId="1" applyNumberFormat="1" applyFont="1" applyBorder="1" applyAlignment="1">
      <alignment horizontal="center"/>
    </xf>
    <xf numFmtId="1" fontId="11" fillId="0" borderId="24" xfId="0" applyNumberFormat="1" applyFont="1" applyBorder="1" applyAlignment="1">
      <alignment horizontal="center"/>
    </xf>
    <xf numFmtId="1" fontId="0" fillId="0" borderId="25" xfId="0" applyNumberFormat="1" applyBorder="1" applyAlignment="1">
      <alignment horizontal="center"/>
    </xf>
    <xf numFmtId="1" fontId="0" fillId="0" borderId="38" xfId="0" applyNumberFormat="1" applyBorder="1" applyAlignment="1">
      <alignment horizontal="center"/>
    </xf>
    <xf numFmtId="9" fontId="8" fillId="0" borderId="25" xfId="1" applyFont="1" applyBorder="1" applyAlignment="1">
      <alignment horizontal="center"/>
    </xf>
    <xf numFmtId="1" fontId="8" fillId="0" borderId="39" xfId="0" applyNumberFormat="1" applyFont="1" applyBorder="1" applyAlignment="1">
      <alignment horizontal="center"/>
    </xf>
    <xf numFmtId="1" fontId="8" fillId="0" borderId="25" xfId="0" applyNumberFormat="1" applyFont="1" applyBorder="1" applyAlignment="1">
      <alignment horizontal="center"/>
    </xf>
    <xf numFmtId="1" fontId="0" fillId="0" borderId="39" xfId="1" applyNumberFormat="1" applyFont="1" applyBorder="1" applyAlignment="1">
      <alignment horizontal="center"/>
    </xf>
    <xf numFmtId="1" fontId="11" fillId="0" borderId="25" xfId="0" applyNumberFormat="1" applyFont="1" applyBorder="1" applyAlignment="1">
      <alignment horizontal="center"/>
    </xf>
    <xf numFmtId="0" fontId="14" fillId="13" borderId="30" xfId="48" applyFont="1" applyFill="1" applyBorder="1" applyAlignment="1">
      <alignment vertical="top" wrapText="1"/>
    </xf>
    <xf numFmtId="0" fontId="14" fillId="14" borderId="34" xfId="48" applyFont="1" applyFill="1" applyBorder="1" applyAlignment="1">
      <alignment horizontal="center" vertical="top" wrapText="1"/>
    </xf>
    <xf numFmtId="0" fontId="3" fillId="14" borderId="34" xfId="48" applyFont="1" applyFill="1" applyBorder="1" applyAlignment="1">
      <alignment horizontal="center" vertical="top" wrapText="1"/>
    </xf>
    <xf numFmtId="0" fontId="3" fillId="14" borderId="33" xfId="48" applyFont="1" applyFill="1" applyBorder="1" applyAlignment="1">
      <alignment horizontal="center" vertical="top" wrapText="1"/>
    </xf>
    <xf numFmtId="0" fontId="3" fillId="0" borderId="32" xfId="48" applyFont="1" applyBorder="1" applyAlignment="1">
      <alignment horizontal="center" vertical="top" wrapText="1"/>
    </xf>
    <xf numFmtId="0" fontId="14" fillId="0" borderId="32" xfId="48" applyFont="1" applyBorder="1" applyAlignment="1">
      <alignment horizontal="center" vertical="top" wrapText="1"/>
    </xf>
    <xf numFmtId="0" fontId="14" fillId="13" borderId="32" xfId="48" applyFont="1" applyFill="1" applyBorder="1" applyAlignment="1">
      <alignment vertical="top" wrapText="1"/>
    </xf>
    <xf numFmtId="0" fontId="3" fillId="0" borderId="17" xfId="48" applyFont="1" applyBorder="1"/>
    <xf numFmtId="0" fontId="0" fillId="0" borderId="18" xfId="0" applyBorder="1"/>
    <xf numFmtId="0" fontId="0" fillId="0" borderId="35" xfId="0" applyBorder="1"/>
    <xf numFmtId="0" fontId="3" fillId="0" borderId="19" xfId="48" applyFont="1" applyBorder="1"/>
    <xf numFmtId="0" fontId="4" fillId="0" borderId="19" xfId="48" applyFont="1" applyBorder="1"/>
    <xf numFmtId="0" fontId="3" fillId="0" borderId="43" xfId="48" applyFont="1" applyBorder="1"/>
    <xf numFmtId="0" fontId="4" fillId="0" borderId="5" xfId="48" applyFont="1" applyAlignment="1">
      <alignment horizontal="center"/>
    </xf>
    <xf numFmtId="0" fontId="3" fillId="0" borderId="41" xfId="48" applyFont="1" applyBorder="1"/>
    <xf numFmtId="1" fontId="3" fillId="0" borderId="41" xfId="48" applyNumberFormat="1" applyFont="1" applyBorder="1" applyAlignment="1">
      <alignment vertical="center"/>
    </xf>
    <xf numFmtId="0" fontId="3" fillId="0" borderId="41" xfId="48" applyFont="1" applyBorder="1" applyAlignment="1">
      <alignment horizontal="center" vertical="center"/>
    </xf>
    <xf numFmtId="0" fontId="3" fillId="0" borderId="42" xfId="48" applyFont="1" applyBorder="1" applyAlignment="1">
      <alignment horizontal="center" vertical="center"/>
    </xf>
    <xf numFmtId="1" fontId="4" fillId="0" borderId="35" xfId="48" applyNumberFormat="1" applyFont="1" applyBorder="1"/>
    <xf numFmtId="1" fontId="3" fillId="0" borderId="5" xfId="48" applyNumberFormat="1" applyFont="1" applyAlignment="1">
      <alignment horizontal="center"/>
    </xf>
    <xf numFmtId="1" fontId="0" fillId="0" borderId="5" xfId="48" applyNumberFormat="1" applyFont="1" applyAlignment="1">
      <alignment horizontal="center"/>
    </xf>
    <xf numFmtId="1" fontId="4" fillId="9" borderId="5" xfId="48" applyNumberFormat="1" applyFont="1" applyFill="1"/>
    <xf numFmtId="0" fontId="4" fillId="9" borderId="5" xfId="48" applyFont="1" applyFill="1"/>
    <xf numFmtId="1" fontId="8" fillId="0" borderId="18" xfId="0" applyNumberFormat="1" applyFont="1" applyBorder="1"/>
    <xf numFmtId="9" fontId="8" fillId="0" borderId="18" xfId="0" applyNumberFormat="1" applyFont="1" applyBorder="1"/>
    <xf numFmtId="1" fontId="8" fillId="0" borderId="5" xfId="0" applyNumberFormat="1" applyFont="1" applyBorder="1" applyAlignment="1">
      <alignment horizontal="center" vertical="center"/>
    </xf>
    <xf numFmtId="0" fontId="8" fillId="0" borderId="39" xfId="0" applyFont="1" applyBorder="1"/>
    <xf numFmtId="1" fontId="3" fillId="0" borderId="41" xfId="0" applyNumberFormat="1" applyFont="1" applyBorder="1" applyAlignment="1">
      <alignment horizontal="center" vertical="center"/>
    </xf>
    <xf numFmtId="1" fontId="3" fillId="0" borderId="38" xfId="0" applyNumberFormat="1" applyFont="1" applyBorder="1"/>
    <xf numFmtId="0" fontId="3" fillId="0" borderId="17" xfId="0" applyFont="1" applyBorder="1"/>
    <xf numFmtId="0" fontId="3" fillId="0" borderId="19" xfId="0" applyFont="1" applyBorder="1"/>
    <xf numFmtId="0" fontId="8" fillId="0" borderId="19" xfId="0" applyFont="1" applyBorder="1"/>
    <xf numFmtId="0" fontId="21" fillId="12" borderId="28" xfId="0" applyFont="1" applyFill="1" applyBorder="1" applyAlignment="1">
      <alignment horizontal="center" vertical="center" wrapText="1"/>
    </xf>
    <xf numFmtId="0" fontId="3" fillId="13" borderId="38" xfId="0" applyFont="1" applyFill="1" applyBorder="1" applyAlignment="1">
      <alignment horizontal="center" vertical="center" wrapText="1"/>
    </xf>
    <xf numFmtId="1" fontId="0" fillId="0" borderId="5" xfId="1" applyNumberFormat="1" applyFont="1" applyBorder="1" applyAlignment="1">
      <alignment horizontal="center"/>
    </xf>
    <xf numFmtId="9" fontId="8" fillId="0" borderId="5" xfId="1" applyFont="1" applyBorder="1" applyAlignment="1">
      <alignment horizontal="center"/>
    </xf>
    <xf numFmtId="0" fontId="28" fillId="0" borderId="5" xfId="44" applyFont="1" applyAlignment="1">
      <alignment horizontal="center" wrapText="1"/>
    </xf>
    <xf numFmtId="0" fontId="28" fillId="0" borderId="5" xfId="44" applyFont="1" applyAlignment="1">
      <alignment horizontal="center"/>
    </xf>
    <xf numFmtId="0" fontId="28" fillId="0" borderId="5" xfId="44" applyFont="1"/>
    <xf numFmtId="0" fontId="29" fillId="0" borderId="5" xfId="44" applyFont="1"/>
    <xf numFmtId="165" fontId="30" fillId="0" borderId="5" xfId="45" applyNumberFormat="1" applyFont="1" applyFill="1" applyBorder="1" applyAlignment="1">
      <alignment horizontal="right" vertical="top"/>
    </xf>
    <xf numFmtId="165" fontId="26" fillId="0" borderId="5" xfId="45" applyNumberFormat="1" applyFont="1" applyFill="1" applyBorder="1" applyAlignment="1">
      <alignment horizontal="right" vertical="top"/>
    </xf>
    <xf numFmtId="3" fontId="26" fillId="0" borderId="5" xfId="44" applyNumberFormat="1"/>
    <xf numFmtId="0" fontId="28" fillId="0" borderId="5" xfId="44" applyFont="1" applyAlignment="1">
      <alignment horizontal="center" vertical="center"/>
    </xf>
    <xf numFmtId="165" fontId="31" fillId="0" borderId="5" xfId="45" applyNumberFormat="1" applyFont="1" applyFill="1" applyBorder="1" applyAlignment="1">
      <alignment horizontal="right" vertical="top"/>
    </xf>
    <xf numFmtId="165" fontId="32" fillId="0" borderId="5" xfId="45" applyNumberFormat="1" applyFont="1" applyFill="1" applyBorder="1" applyAlignment="1">
      <alignment horizontal="right" vertical="top"/>
    </xf>
    <xf numFmtId="1" fontId="14" fillId="0" borderId="5" xfId="0" applyNumberFormat="1" applyFont="1" applyBorder="1" applyAlignment="1">
      <alignment horizontal="center"/>
    </xf>
    <xf numFmtId="0" fontId="39" fillId="0" borderId="5" xfId="0" applyFont="1" applyBorder="1" applyAlignment="1">
      <alignment horizontal="center" vertical="center"/>
    </xf>
    <xf numFmtId="1" fontId="39" fillId="0" borderId="5" xfId="0" applyNumberFormat="1" applyFont="1" applyBorder="1" applyAlignment="1">
      <alignment horizontal="center" vertical="center"/>
    </xf>
    <xf numFmtId="9" fontId="0" fillId="0" borderId="5" xfId="0" applyNumberFormat="1" applyBorder="1"/>
    <xf numFmtId="0" fontId="14" fillId="0" borderId="5" xfId="0" applyFont="1" applyBorder="1" applyAlignment="1">
      <alignment horizontal="center"/>
    </xf>
    <xf numFmtId="0" fontId="39" fillId="0" borderId="5" xfId="0" applyFont="1" applyBorder="1" applyAlignment="1">
      <alignment vertical="center"/>
    </xf>
    <xf numFmtId="0" fontId="40" fillId="0" borderId="5" xfId="0" applyFont="1" applyBorder="1" applyAlignment="1">
      <alignment horizontal="center"/>
    </xf>
    <xf numFmtId="1" fontId="12" fillId="0" borderId="24" xfId="0" applyNumberFormat="1" applyFont="1" applyBorder="1" applyAlignment="1">
      <alignment horizontal="center"/>
    </xf>
    <xf numFmtId="1" fontId="0" fillId="0" borderId="0" xfId="0" applyNumberFormat="1"/>
    <xf numFmtId="9" fontId="29" fillId="0" borderId="5" xfId="44" applyNumberFormat="1" applyFont="1"/>
    <xf numFmtId="9" fontId="0" fillId="0" borderId="0" xfId="0" applyNumberFormat="1"/>
    <xf numFmtId="9" fontId="8" fillId="8" borderId="36" xfId="0" applyNumberFormat="1" applyFont="1" applyFill="1" applyBorder="1" applyAlignment="1">
      <alignment horizontal="right" vertical="center"/>
    </xf>
    <xf numFmtId="9" fontId="8" fillId="0" borderId="12" xfId="0" applyNumberFormat="1" applyFont="1" applyBorder="1" applyAlignment="1">
      <alignment horizontal="right"/>
    </xf>
    <xf numFmtId="9" fontId="8" fillId="9" borderId="16" xfId="0" applyNumberFormat="1" applyFont="1" applyFill="1" applyBorder="1" applyAlignment="1">
      <alignment horizontal="right"/>
    </xf>
    <xf numFmtId="9" fontId="8" fillId="9" borderId="12" xfId="0" applyNumberFormat="1" applyFont="1" applyFill="1" applyBorder="1"/>
    <xf numFmtId="9" fontId="4" fillId="9" borderId="16" xfId="48" applyNumberFormat="1" applyFont="1" applyFill="1" applyBorder="1"/>
    <xf numFmtId="9" fontId="4" fillId="9" borderId="12" xfId="48" applyNumberFormat="1" applyFont="1" applyFill="1" applyBorder="1"/>
    <xf numFmtId="9" fontId="8" fillId="9" borderId="24" xfId="1" applyFont="1" applyFill="1" applyBorder="1" applyAlignment="1">
      <alignment horizontal="center"/>
    </xf>
    <xf numFmtId="9" fontId="8" fillId="9" borderId="25" xfId="1" applyFont="1" applyFill="1" applyBorder="1" applyAlignment="1">
      <alignment horizontal="center"/>
    </xf>
    <xf numFmtId="9" fontId="0" fillId="9" borderId="36" xfId="1" applyFont="1" applyFill="1" applyBorder="1" applyAlignment="1">
      <alignment horizontal="center"/>
    </xf>
    <xf numFmtId="9" fontId="0" fillId="9" borderId="37" xfId="1" applyFont="1" applyFill="1" applyBorder="1" applyAlignment="1">
      <alignment horizontal="center"/>
    </xf>
    <xf numFmtId="0" fontId="39" fillId="11" borderId="20" xfId="0" applyFont="1" applyFill="1" applyBorder="1" applyAlignment="1">
      <alignment horizontal="center" vertical="center"/>
    </xf>
    <xf numFmtId="1" fontId="39" fillId="11" borderId="20" xfId="0" applyNumberFormat="1" applyFont="1" applyFill="1" applyBorder="1" applyAlignment="1">
      <alignment horizontal="center" vertical="center"/>
    </xf>
    <xf numFmtId="1" fontId="0" fillId="11" borderId="20" xfId="0" applyNumberFormat="1" applyFill="1" applyBorder="1" applyAlignment="1">
      <alignment horizontal="center" vertical="center"/>
    </xf>
    <xf numFmtId="0" fontId="12" fillId="11" borderId="20" xfId="0" applyFont="1" applyFill="1" applyBorder="1" applyAlignment="1">
      <alignment horizontal="center" vertical="center"/>
    </xf>
    <xf numFmtId="1" fontId="8" fillId="11" borderId="28" xfId="0" applyNumberFormat="1" applyFont="1" applyFill="1" applyBorder="1" applyAlignment="1">
      <alignment horizontal="center" vertical="center"/>
    </xf>
    <xf numFmtId="9" fontId="22" fillId="9" borderId="5" xfId="0" applyNumberFormat="1" applyFont="1" applyFill="1" applyBorder="1" applyAlignment="1">
      <alignment horizontal="center" vertical="center"/>
    </xf>
    <xf numFmtId="1" fontId="14" fillId="20" borderId="26" xfId="0" applyNumberFormat="1" applyFont="1" applyFill="1" applyBorder="1" applyAlignment="1">
      <alignment horizontal="center" vertical="center"/>
    </xf>
    <xf numFmtId="0" fontId="22" fillId="0" borderId="5" xfId="0" applyFont="1" applyBorder="1" applyAlignment="1">
      <alignment horizontal="center" vertical="center"/>
    </xf>
    <xf numFmtId="1" fontId="11" fillId="0" borderId="20" xfId="0" applyNumberFormat="1" applyFont="1" applyBorder="1" applyAlignment="1">
      <alignment horizontal="center" vertical="center"/>
    </xf>
    <xf numFmtId="0" fontId="11" fillId="2" borderId="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0" borderId="32" xfId="0" applyFont="1" applyBorder="1" applyAlignment="1">
      <alignment horizontal="center" vertical="center" wrapText="1"/>
    </xf>
    <xf numFmtId="0" fontId="14" fillId="13" borderId="32"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12" fillId="0" borderId="0" xfId="0" applyFont="1" applyAlignment="1">
      <alignment horizontal="center" vertical="center"/>
    </xf>
    <xf numFmtId="0" fontId="39" fillId="11" borderId="5" xfId="0" applyFont="1" applyFill="1" applyBorder="1" applyAlignment="1">
      <alignment horizontal="center" vertical="center"/>
    </xf>
    <xf numFmtId="1" fontId="11" fillId="0" borderId="5" xfId="0" applyNumberFormat="1" applyFont="1" applyBorder="1" applyAlignment="1">
      <alignment horizontal="center" vertical="center"/>
    </xf>
    <xf numFmtId="1" fontId="0" fillId="0" borderId="5" xfId="0" applyNumberFormat="1" applyBorder="1" applyAlignment="1">
      <alignment horizontal="center" vertical="center"/>
    </xf>
    <xf numFmtId="0" fontId="14" fillId="11" borderId="26" xfId="0" applyFont="1" applyFill="1" applyBorder="1" applyAlignment="1">
      <alignment horizontal="center" vertical="center"/>
    </xf>
    <xf numFmtId="1" fontId="14" fillId="11" borderId="26" xfId="0" applyNumberFormat="1" applyFont="1" applyFill="1" applyBorder="1" applyAlignment="1">
      <alignment horizontal="center" vertical="center"/>
    </xf>
    <xf numFmtId="1" fontId="11" fillId="2" borderId="5" xfId="0" applyNumberFormat="1" applyFont="1" applyFill="1" applyBorder="1" applyAlignment="1">
      <alignment horizontal="center" vertical="center" wrapText="1"/>
    </xf>
    <xf numFmtId="0" fontId="39" fillId="11" borderId="22" xfId="0" applyFont="1" applyFill="1" applyBorder="1" applyAlignment="1">
      <alignment horizontal="center" vertical="center"/>
    </xf>
    <xf numFmtId="0" fontId="39" fillId="20" borderId="20" xfId="0" applyFont="1" applyFill="1" applyBorder="1" applyAlignment="1">
      <alignment vertical="center"/>
    </xf>
    <xf numFmtId="0" fontId="11" fillId="0" borderId="20" xfId="0" applyFont="1" applyBorder="1" applyAlignment="1">
      <alignment vertical="center"/>
    </xf>
    <xf numFmtId="0" fontId="39" fillId="9" borderId="20" xfId="0" applyFont="1" applyFill="1" applyBorder="1" applyAlignment="1">
      <alignment horizontal="center" vertical="center"/>
    </xf>
    <xf numFmtId="0" fontId="25" fillId="9" borderId="20" xfId="0" applyFont="1" applyFill="1" applyBorder="1" applyAlignment="1">
      <alignment horizontal="center" vertical="center"/>
    </xf>
    <xf numFmtId="0" fontId="8" fillId="0" borderId="23" xfId="0" applyFont="1" applyBorder="1"/>
    <xf numFmtId="0" fontId="42" fillId="11" borderId="20" xfId="0" applyFont="1" applyFill="1" applyBorder="1" applyAlignment="1">
      <alignment horizontal="center" vertical="center" wrapText="1"/>
    </xf>
    <xf numFmtId="0" fontId="44" fillId="11" borderId="20" xfId="0" applyFont="1" applyFill="1" applyBorder="1" applyAlignment="1">
      <alignment horizontal="center" vertical="center"/>
    </xf>
    <xf numFmtId="0" fontId="42" fillId="11" borderId="20" xfId="0" applyFont="1" applyFill="1" applyBorder="1" applyAlignment="1">
      <alignment horizontal="center" vertical="center"/>
    </xf>
    <xf numFmtId="0" fontId="42" fillId="11" borderId="26" xfId="0" applyFont="1" applyFill="1" applyBorder="1" applyAlignment="1">
      <alignment horizontal="center" vertical="center"/>
    </xf>
    <xf numFmtId="0" fontId="43" fillId="11" borderId="20" xfId="0" applyFont="1" applyFill="1" applyBorder="1" applyAlignment="1">
      <alignment horizontal="center" vertical="center"/>
    </xf>
    <xf numFmtId="0" fontId="42" fillId="11" borderId="20" xfId="48" applyFont="1" applyFill="1" applyBorder="1" applyAlignment="1">
      <alignment horizontal="center" vertical="center"/>
    </xf>
    <xf numFmtId="0" fontId="43" fillId="11" borderId="20" xfId="48" applyFont="1" applyFill="1" applyBorder="1" applyAlignment="1">
      <alignment horizontal="center" vertical="center"/>
    </xf>
    <xf numFmtId="0" fontId="44" fillId="20" borderId="21" xfId="0" applyFont="1" applyFill="1" applyBorder="1" applyAlignment="1">
      <alignment vertical="center"/>
    </xf>
    <xf numFmtId="0" fontId="44" fillId="20" borderId="22" xfId="0" applyFont="1" applyFill="1" applyBorder="1" applyAlignment="1">
      <alignment vertical="center"/>
    </xf>
    <xf numFmtId="0" fontId="42" fillId="20" borderId="26" xfId="0" applyFont="1" applyFill="1" applyBorder="1" applyAlignment="1">
      <alignment horizontal="center" vertical="center"/>
    </xf>
    <xf numFmtId="0" fontId="44" fillId="11" borderId="21" xfId="0" applyFont="1" applyFill="1" applyBorder="1" applyAlignment="1">
      <alignment vertical="center"/>
    </xf>
    <xf numFmtId="0" fontId="44" fillId="11" borderId="22" xfId="0" applyFont="1" applyFill="1" applyBorder="1" applyAlignment="1">
      <alignment vertical="center"/>
    </xf>
    <xf numFmtId="0" fontId="44" fillId="20" borderId="20" xfId="0" applyFont="1" applyFill="1" applyBorder="1" applyAlignment="1">
      <alignment vertical="center"/>
    </xf>
    <xf numFmtId="0" fontId="44" fillId="11" borderId="20" xfId="0" applyFont="1" applyFill="1" applyBorder="1" applyAlignment="1">
      <alignment vertical="center"/>
    </xf>
    <xf numFmtId="0" fontId="45" fillId="11" borderId="20" xfId="0" applyFont="1" applyFill="1" applyBorder="1" applyAlignment="1">
      <alignment horizontal="center" vertical="center" wrapText="1"/>
    </xf>
    <xf numFmtId="0" fontId="45" fillId="12" borderId="20" xfId="0" applyFont="1" applyFill="1" applyBorder="1" applyAlignment="1">
      <alignment horizontal="center" vertical="center" wrapText="1"/>
    </xf>
    <xf numFmtId="0" fontId="45" fillId="11" borderId="20" xfId="0" applyFont="1" applyFill="1" applyBorder="1" applyAlignment="1">
      <alignment horizontal="center" vertical="top" wrapText="1"/>
    </xf>
    <xf numFmtId="0" fontId="45" fillId="12" borderId="20" xfId="0" applyFont="1" applyFill="1" applyBorder="1" applyAlignment="1">
      <alignment horizontal="center" vertical="top" wrapText="1"/>
    </xf>
    <xf numFmtId="0" fontId="22" fillId="0" borderId="5" xfId="0" applyFont="1" applyBorder="1"/>
    <xf numFmtId="0" fontId="21" fillId="11" borderId="5" xfId="0" applyFont="1" applyFill="1" applyBorder="1" applyAlignment="1">
      <alignment wrapText="1"/>
    </xf>
    <xf numFmtId="0" fontId="14" fillId="0" borderId="5" xfId="0" applyFont="1" applyBorder="1"/>
    <xf numFmtId="0" fontId="41" fillId="0" borderId="5" xfId="0" applyFont="1" applyBorder="1"/>
    <xf numFmtId="0" fontId="48" fillId="11" borderId="5" xfId="0" applyFont="1" applyFill="1" applyBorder="1"/>
    <xf numFmtId="0" fontId="11" fillId="0" borderId="0" xfId="0" applyFont="1"/>
    <xf numFmtId="0" fontId="39" fillId="11" borderId="5" xfId="0" applyFont="1" applyFill="1" applyBorder="1" applyAlignment="1">
      <alignment horizontal="left" vertical="center"/>
    </xf>
    <xf numFmtId="0" fontId="39" fillId="11" borderId="20" xfId="0" applyFont="1" applyFill="1" applyBorder="1" applyAlignment="1">
      <alignment horizontal="left" vertical="center"/>
    </xf>
    <xf numFmtId="0" fontId="4" fillId="0" borderId="5" xfId="0" applyFont="1" applyBorder="1" applyAlignment="1">
      <alignment horizontal="center"/>
    </xf>
    <xf numFmtId="0" fontId="14" fillId="0" borderId="0" xfId="0" applyFont="1"/>
    <xf numFmtId="0" fontId="11" fillId="11" borderId="26" xfId="0" applyFont="1" applyFill="1" applyBorder="1" applyAlignment="1">
      <alignment horizontal="center" vertical="center"/>
    </xf>
    <xf numFmtId="0" fontId="42" fillId="11" borderId="5" xfId="0" applyFont="1" applyFill="1" applyBorder="1" applyAlignment="1">
      <alignment horizontal="center" vertical="center"/>
    </xf>
    <xf numFmtId="0" fontId="43" fillId="11" borderId="5" xfId="0" applyFont="1" applyFill="1" applyBorder="1" applyAlignment="1">
      <alignment horizontal="center" vertical="center"/>
    </xf>
    <xf numFmtId="0" fontId="42" fillId="11" borderId="5" xfId="0" applyFont="1" applyFill="1" applyBorder="1" applyAlignment="1">
      <alignment horizontal="center" vertical="center" wrapText="1"/>
    </xf>
    <xf numFmtId="0" fontId="12" fillId="11" borderId="5" xfId="0" applyFont="1" applyFill="1" applyBorder="1" applyAlignment="1">
      <alignment horizontal="center" vertical="center"/>
    </xf>
    <xf numFmtId="0" fontId="0" fillId="11" borderId="5" xfId="0" applyFill="1" applyBorder="1" applyAlignment="1">
      <alignment horizontal="center" vertical="center"/>
    </xf>
    <xf numFmtId="0" fontId="27" fillId="0" borderId="20" xfId="44" applyFont="1" applyBorder="1" applyAlignment="1">
      <alignment horizontal="center" vertical="center"/>
    </xf>
    <xf numFmtId="0" fontId="27" fillId="0" borderId="32" xfId="44" applyFont="1" applyBorder="1" applyAlignment="1">
      <alignment horizontal="center"/>
    </xf>
    <xf numFmtId="0" fontId="4" fillId="26" borderId="17" xfId="48" applyFont="1" applyFill="1" applyBorder="1"/>
    <xf numFmtId="0" fontId="4" fillId="26" borderId="35" xfId="48" applyFont="1" applyFill="1" applyBorder="1"/>
    <xf numFmtId="0" fontId="4" fillId="26" borderId="19" xfId="48" applyFont="1" applyFill="1" applyBorder="1"/>
    <xf numFmtId="0" fontId="4" fillId="26" borderId="36" xfId="48" applyFont="1" applyFill="1" applyBorder="1"/>
    <xf numFmtId="9" fontId="4" fillId="26" borderId="36" xfId="48" applyNumberFormat="1" applyFont="1" applyFill="1" applyBorder="1"/>
    <xf numFmtId="0" fontId="4" fillId="26" borderId="39" xfId="48" applyFont="1" applyFill="1" applyBorder="1"/>
    <xf numFmtId="9" fontId="4" fillId="26" borderId="37" xfId="48" applyNumberFormat="1" applyFont="1" applyFill="1" applyBorder="1"/>
    <xf numFmtId="0" fontId="14" fillId="0" borderId="5" xfId="0" applyFont="1" applyBorder="1" applyAlignment="1">
      <alignment horizontal="center" wrapText="1"/>
    </xf>
    <xf numFmtId="0" fontId="11" fillId="0" borderId="20" xfId="0" applyFont="1" applyBorder="1"/>
    <xf numFmtId="0" fontId="11" fillId="0" borderId="20" xfId="0" applyFont="1" applyBorder="1" applyAlignment="1">
      <alignment horizontal="left"/>
    </xf>
    <xf numFmtId="0" fontId="11" fillId="0" borderId="28" xfId="0" applyFont="1" applyBorder="1"/>
    <xf numFmtId="0" fontId="14" fillId="0" borderId="32" xfId="0" applyFont="1" applyBorder="1"/>
    <xf numFmtId="0" fontId="14" fillId="0" borderId="32" xfId="0" applyFont="1" applyBorder="1" applyAlignment="1">
      <alignment horizontal="left" wrapText="1"/>
    </xf>
    <xf numFmtId="0" fontId="14" fillId="0" borderId="32" xfId="0" applyFont="1" applyBorder="1" applyAlignment="1">
      <alignment horizontal="left" vertical="center"/>
    </xf>
    <xf numFmtId="1" fontId="27" fillId="0" borderId="20" xfId="44" applyNumberFormat="1" applyFont="1" applyBorder="1" applyAlignment="1">
      <alignment horizontal="center" vertical="center"/>
    </xf>
    <xf numFmtId="1" fontId="27" fillId="0" borderId="20" xfId="44" applyNumberFormat="1" applyFont="1" applyBorder="1" applyAlignment="1">
      <alignment horizontal="center"/>
    </xf>
    <xf numFmtId="1" fontId="27" fillId="9" borderId="20" xfId="44" applyNumberFormat="1" applyFont="1" applyFill="1" applyBorder="1" applyAlignment="1">
      <alignment horizontal="center"/>
    </xf>
    <xf numFmtId="1" fontId="8" fillId="0" borderId="12" xfId="0" applyNumberFormat="1" applyFont="1" applyBorder="1"/>
    <xf numFmtId="0" fontId="45" fillId="9" borderId="5" xfId="0" applyFont="1" applyFill="1" applyBorder="1" applyAlignment="1">
      <alignment horizontal="center" vertical="center" wrapText="1"/>
    </xf>
    <xf numFmtId="9" fontId="4" fillId="0" borderId="24" xfId="49" applyFont="1" applyBorder="1" applyAlignment="1">
      <alignment horizontal="center"/>
    </xf>
    <xf numFmtId="1" fontId="4" fillId="0" borderId="19" xfId="0" applyNumberFormat="1" applyFont="1" applyBorder="1" applyAlignment="1">
      <alignment horizontal="center"/>
    </xf>
    <xf numFmtId="1" fontId="4" fillId="0" borderId="24" xfId="0" applyNumberFormat="1" applyFont="1" applyBorder="1" applyAlignment="1">
      <alignment horizontal="center"/>
    </xf>
    <xf numFmtId="9" fontId="0" fillId="0" borderId="36" xfId="49" applyFont="1" applyBorder="1" applyAlignment="1">
      <alignment horizontal="center"/>
    </xf>
    <xf numFmtId="1" fontId="0" fillId="0" borderId="19" xfId="49" applyNumberFormat="1" applyFont="1" applyBorder="1" applyAlignment="1">
      <alignment horizontal="center"/>
    </xf>
    <xf numFmtId="9" fontId="4" fillId="0" borderId="25" xfId="49" applyFont="1" applyBorder="1" applyAlignment="1">
      <alignment horizontal="center"/>
    </xf>
    <xf numFmtId="1" fontId="4" fillId="0" borderId="39" xfId="0" applyNumberFormat="1" applyFont="1" applyBorder="1" applyAlignment="1">
      <alignment horizontal="center"/>
    </xf>
    <xf numFmtId="1" fontId="4" fillId="0" borderId="25" xfId="0" applyNumberFormat="1" applyFont="1" applyBorder="1" applyAlignment="1">
      <alignment horizontal="center"/>
    </xf>
    <xf numFmtId="9" fontId="0" fillId="0" borderId="37" xfId="49" applyFont="1" applyBorder="1" applyAlignment="1">
      <alignment horizontal="center"/>
    </xf>
    <xf numFmtId="1" fontId="0" fillId="0" borderId="39" xfId="49" applyNumberFormat="1" applyFont="1" applyBorder="1" applyAlignment="1">
      <alignment horizontal="center"/>
    </xf>
    <xf numFmtId="0" fontId="3" fillId="0" borderId="20" xfId="48" applyFont="1" applyBorder="1" applyAlignment="1">
      <alignment horizontal="center" vertical="center"/>
    </xf>
    <xf numFmtId="0" fontId="3" fillId="9" borderId="5" xfId="48" applyFont="1" applyFill="1" applyAlignment="1">
      <alignment horizontal="center" vertical="center"/>
    </xf>
    <xf numFmtId="0" fontId="14" fillId="0" borderId="20" xfId="0" applyFont="1" applyBorder="1"/>
    <xf numFmtId="0" fontId="14" fillId="9" borderId="5" xfId="0" applyFont="1" applyFill="1" applyBorder="1"/>
    <xf numFmtId="0" fontId="12" fillId="0" borderId="20" xfId="0" applyFont="1" applyBorder="1" applyAlignment="1">
      <alignment horizontal="center"/>
    </xf>
    <xf numFmtId="0" fontId="12" fillId="0" borderId="5" xfId="0" applyFont="1" applyBorder="1"/>
    <xf numFmtId="0" fontId="17" fillId="0" borderId="5" xfId="0" applyFont="1" applyBorder="1" applyAlignment="1">
      <alignment horizontal="center" vertical="center"/>
    </xf>
    <xf numFmtId="0" fontId="40" fillId="0" borderId="0" xfId="0" applyFont="1" applyAlignment="1">
      <alignment horizontal="center" vertical="center"/>
    </xf>
    <xf numFmtId="1" fontId="14" fillId="0" borderId="0" xfId="0" applyNumberFormat="1" applyFont="1" applyAlignment="1">
      <alignment horizontal="center" vertical="center"/>
    </xf>
    <xf numFmtId="0" fontId="11" fillId="0" borderId="5" xfId="1" applyNumberFormat="1" applyFont="1" applyBorder="1" applyAlignment="1">
      <alignment horizontal="center" vertical="center"/>
    </xf>
    <xf numFmtId="0" fontId="4" fillId="0" borderId="0" xfId="0" applyFont="1" applyAlignment="1">
      <alignment vertical="top"/>
    </xf>
    <xf numFmtId="1" fontId="0" fillId="0" borderId="5" xfId="0" applyNumberFormat="1" applyBorder="1"/>
    <xf numFmtId="0" fontId="0" fillId="0" borderId="20" xfId="0" applyBorder="1" applyAlignment="1">
      <alignment horizontal="right" vertical="center" wrapText="1"/>
    </xf>
    <xf numFmtId="0" fontId="0" fillId="0" borderId="21" xfId="0" applyBorder="1" applyAlignment="1">
      <alignment horizontal="center" vertical="center"/>
    </xf>
    <xf numFmtId="0" fontId="15" fillId="21" borderId="28" xfId="0" applyFont="1" applyFill="1" applyBorder="1" applyAlignment="1">
      <alignment horizontal="right" vertical="center"/>
    </xf>
    <xf numFmtId="0" fontId="15" fillId="21" borderId="20" xfId="0" applyFont="1" applyFill="1" applyBorder="1" applyAlignment="1">
      <alignment horizontal="right" vertical="center"/>
    </xf>
    <xf numFmtId="0" fontId="15" fillId="18" borderId="20" xfId="0" applyFont="1" applyFill="1" applyBorder="1" applyAlignment="1">
      <alignment horizontal="right" vertical="center"/>
    </xf>
    <xf numFmtId="0" fontId="21" fillId="11" borderId="5" xfId="0" applyFont="1" applyFill="1" applyBorder="1" applyAlignment="1">
      <alignment horizontal="center" vertical="center"/>
    </xf>
    <xf numFmtId="0" fontId="8" fillId="11" borderId="5" xfId="0" applyFont="1" applyFill="1" applyBorder="1" applyAlignment="1">
      <alignment horizontal="center" vertical="center"/>
    </xf>
    <xf numFmtId="1" fontId="25" fillId="9" borderId="20" xfId="0" applyNumberFormat="1" applyFont="1" applyFill="1" applyBorder="1" applyAlignment="1">
      <alignment horizontal="center" vertical="center"/>
    </xf>
    <xf numFmtId="0" fontId="20" fillId="13" borderId="23" xfId="48" applyFont="1" applyFill="1" applyBorder="1" applyAlignment="1">
      <alignment horizontal="center" vertical="center"/>
    </xf>
    <xf numFmtId="0" fontId="20" fillId="13" borderId="25" xfId="48" applyFont="1" applyFill="1" applyBorder="1" applyAlignment="1">
      <alignment horizontal="center" vertical="center"/>
    </xf>
    <xf numFmtId="0" fontId="15" fillId="21" borderId="28" xfId="0" applyFont="1" applyFill="1" applyBorder="1" applyAlignment="1">
      <alignment horizontal="center" vertical="center"/>
    </xf>
    <xf numFmtId="0" fontId="15" fillId="21" borderId="20" xfId="0" applyFont="1" applyFill="1" applyBorder="1" applyAlignment="1">
      <alignment horizontal="center" vertical="center"/>
    </xf>
    <xf numFmtId="1" fontId="14" fillId="9" borderId="20" xfId="0" applyNumberFormat="1" applyFont="1" applyFill="1" applyBorder="1" applyAlignment="1">
      <alignment horizontal="center" vertical="center"/>
    </xf>
    <xf numFmtId="0" fontId="15" fillId="18" borderId="28" xfId="0" applyFont="1" applyFill="1" applyBorder="1" applyAlignment="1">
      <alignment horizontal="right" vertical="center"/>
    </xf>
    <xf numFmtId="0" fontId="4" fillId="11" borderId="20" xfId="48" applyFont="1" applyFill="1" applyBorder="1" applyAlignment="1">
      <alignment horizontal="center" vertical="center"/>
    </xf>
    <xf numFmtId="0" fontId="12" fillId="13" borderId="25" xfId="48" applyFont="1" applyFill="1" applyBorder="1" applyAlignment="1">
      <alignment horizontal="center" vertical="center"/>
    </xf>
    <xf numFmtId="0" fontId="11" fillId="0" borderId="5" xfId="48" applyAlignment="1">
      <alignment horizontal="center" vertical="center"/>
    </xf>
    <xf numFmtId="0" fontId="22" fillId="0" borderId="5" xfId="48" applyFont="1" applyAlignment="1">
      <alignment horizontal="center" vertical="center"/>
    </xf>
    <xf numFmtId="0" fontId="14" fillId="0" borderId="20" xfId="48" applyFont="1" applyBorder="1" applyAlignment="1">
      <alignment horizontal="center" vertical="center"/>
    </xf>
    <xf numFmtId="0" fontId="11" fillId="0" borderId="20" xfId="48" applyBorder="1" applyAlignment="1">
      <alignment horizontal="center" vertical="center"/>
    </xf>
    <xf numFmtId="0" fontId="42" fillId="11" borderId="20" xfId="48" applyFont="1" applyFill="1" applyBorder="1" applyAlignment="1">
      <alignment horizontal="center" vertical="center" wrapText="1"/>
    </xf>
    <xf numFmtId="0" fontId="11" fillId="0" borderId="5" xfId="48" applyAlignment="1">
      <alignment horizontal="center" vertical="center" wrapText="1"/>
    </xf>
    <xf numFmtId="0" fontId="12" fillId="0" borderId="5" xfId="48" applyFont="1" applyAlignment="1">
      <alignment horizontal="center" vertical="center"/>
    </xf>
    <xf numFmtId="0" fontId="34" fillId="0" borderId="5" xfId="48" applyFont="1" applyAlignment="1">
      <alignment horizontal="center" vertical="center"/>
    </xf>
    <xf numFmtId="0" fontId="34" fillId="0" borderId="5" xfId="48" applyFont="1" applyAlignment="1">
      <alignment horizontal="center" vertical="center" wrapText="1"/>
    </xf>
    <xf numFmtId="0" fontId="12" fillId="11" borderId="20" xfId="48" applyFont="1" applyFill="1" applyBorder="1" applyAlignment="1">
      <alignment horizontal="center" vertical="center"/>
    </xf>
    <xf numFmtId="0" fontId="11" fillId="11" borderId="20" xfId="48" applyFill="1" applyBorder="1" applyAlignment="1">
      <alignment horizontal="center" vertical="center" wrapText="1"/>
    </xf>
    <xf numFmtId="0" fontId="0" fillId="0" borderId="5" xfId="48" applyFont="1" applyAlignment="1">
      <alignment horizontal="center" vertical="center" wrapText="1"/>
    </xf>
    <xf numFmtId="0" fontId="11" fillId="2" borderId="5" xfId="48" applyFill="1" applyAlignment="1">
      <alignment horizontal="center" vertical="center" wrapText="1"/>
    </xf>
    <xf numFmtId="0" fontId="13" fillId="2" borderId="5" xfId="48" applyFont="1" applyFill="1" applyAlignment="1">
      <alignment horizontal="center" vertical="center" wrapText="1"/>
    </xf>
    <xf numFmtId="0" fontId="14" fillId="0" borderId="32" xfId="48" applyFont="1" applyBorder="1" applyAlignment="1">
      <alignment horizontal="center" vertical="center" wrapText="1"/>
    </xf>
    <xf numFmtId="0" fontId="14" fillId="0" borderId="29" xfId="48" applyFont="1" applyBorder="1" applyAlignment="1">
      <alignment horizontal="center" vertical="center" wrapText="1"/>
    </xf>
    <xf numFmtId="0" fontId="3" fillId="3" borderId="32" xfId="48" applyFont="1" applyFill="1" applyBorder="1" applyAlignment="1">
      <alignment horizontal="center" vertical="center" wrapText="1"/>
    </xf>
    <xf numFmtId="0" fontId="11" fillId="0" borderId="5" xfId="48" applyAlignment="1">
      <alignment horizontal="right" vertical="center"/>
    </xf>
    <xf numFmtId="0" fontId="42" fillId="0" borderId="5" xfId="48" applyFont="1" applyAlignment="1">
      <alignment horizontal="right" vertical="center"/>
    </xf>
    <xf numFmtId="0" fontId="4" fillId="0" borderId="5" xfId="48" applyFont="1" applyAlignment="1">
      <alignment horizontal="right" vertical="center"/>
    </xf>
    <xf numFmtId="0" fontId="4" fillId="11" borderId="5" xfId="48" applyFont="1" applyFill="1" applyAlignment="1">
      <alignment horizontal="right" vertical="center"/>
    </xf>
    <xf numFmtId="0" fontId="0" fillId="0" borderId="0" xfId="0" applyAlignment="1">
      <alignment horizontal="right" vertical="center"/>
    </xf>
    <xf numFmtId="0" fontId="11" fillId="0" borderId="37" xfId="0" applyFont="1" applyBorder="1" applyAlignment="1">
      <alignment horizontal="center"/>
    </xf>
    <xf numFmtId="0" fontId="44" fillId="11" borderId="21" xfId="0" applyFont="1" applyFill="1" applyBorder="1" applyAlignment="1">
      <alignment horizontal="left" vertical="center"/>
    </xf>
    <xf numFmtId="0" fontId="44" fillId="11" borderId="22" xfId="0" applyFont="1" applyFill="1" applyBorder="1" applyAlignment="1">
      <alignment horizontal="left" vertical="center"/>
    </xf>
    <xf numFmtId="0" fontId="34" fillId="0" borderId="21" xfId="0" applyFont="1" applyBorder="1" applyAlignment="1">
      <alignment horizontal="center" vertical="center"/>
    </xf>
    <xf numFmtId="0" fontId="3" fillId="0" borderId="39" xfId="0" applyFont="1" applyBorder="1"/>
    <xf numFmtId="1" fontId="3" fillId="0" borderId="38" xfId="0" applyNumberFormat="1" applyFont="1" applyBorder="1" applyAlignment="1">
      <alignment horizontal="center" vertical="center"/>
    </xf>
    <xf numFmtId="1" fontId="3" fillId="0" borderId="37" xfId="0" applyNumberFormat="1" applyFont="1" applyBorder="1" applyAlignment="1">
      <alignment horizontal="center" vertical="center"/>
    </xf>
    <xf numFmtId="0" fontId="8" fillId="0" borderId="38" xfId="0" applyFont="1" applyBorder="1" applyAlignment="1">
      <alignment horizontal="center" vertical="center"/>
    </xf>
    <xf numFmtId="1" fontId="8" fillId="0" borderId="38" xfId="0" applyNumberFormat="1" applyFont="1" applyBorder="1" applyAlignment="1">
      <alignment horizontal="center" vertical="center"/>
    </xf>
    <xf numFmtId="1" fontId="11" fillId="0" borderId="38" xfId="0" applyNumberFormat="1" applyFont="1" applyBorder="1" applyAlignment="1">
      <alignment horizontal="center"/>
    </xf>
    <xf numFmtId="0" fontId="3" fillId="0" borderId="53" xfId="0" applyFont="1" applyBorder="1"/>
    <xf numFmtId="0" fontId="11" fillId="0" borderId="38" xfId="0" applyFont="1" applyBorder="1" applyAlignment="1">
      <alignment horizontal="center"/>
    </xf>
    <xf numFmtId="0" fontId="0" fillId="9" borderId="38" xfId="0" applyFill="1" applyBorder="1" applyAlignment="1">
      <alignment horizontal="center"/>
    </xf>
    <xf numFmtId="1" fontId="2" fillId="0" borderId="38" xfId="0" applyNumberFormat="1" applyFont="1" applyBorder="1" applyAlignment="1">
      <alignment horizontal="center" vertical="center"/>
    </xf>
    <xf numFmtId="1" fontId="0" fillId="0" borderId="20" xfId="0" applyNumberFormat="1" applyBorder="1" applyAlignment="1">
      <alignment horizontal="center" vertical="center"/>
    </xf>
    <xf numFmtId="0" fontId="0" fillId="58" borderId="20" xfId="0" applyFill="1" applyBorder="1" applyAlignment="1">
      <alignment horizontal="center" vertical="center"/>
    </xf>
    <xf numFmtId="0" fontId="0" fillId="21" borderId="22" xfId="0" applyFill="1" applyBorder="1" applyAlignment="1">
      <alignment horizontal="center" vertical="center"/>
    </xf>
    <xf numFmtId="0" fontId="0" fillId="21" borderId="54" xfId="0" applyFill="1" applyBorder="1" applyAlignment="1">
      <alignment horizontal="center" vertical="center"/>
    </xf>
    <xf numFmtId="0" fontId="0" fillId="21" borderId="20" xfId="0" applyFill="1" applyBorder="1" applyAlignment="1">
      <alignment horizontal="center" vertical="center"/>
    </xf>
    <xf numFmtId="0" fontId="0" fillId="21" borderId="20" xfId="0" applyFill="1" applyBorder="1" applyAlignment="1">
      <alignment horizontal="right" vertical="center" wrapText="1"/>
    </xf>
    <xf numFmtId="0" fontId="0" fillId="59" borderId="20" xfId="0" applyFill="1" applyBorder="1" applyAlignment="1">
      <alignment horizontal="center" vertical="center"/>
    </xf>
    <xf numFmtId="0" fontId="0" fillId="59" borderId="20" xfId="0" applyFill="1" applyBorder="1" applyAlignment="1">
      <alignment horizontal="right" vertical="center" wrapText="1"/>
    </xf>
    <xf numFmtId="0" fontId="15" fillId="59" borderId="28" xfId="0" applyFont="1" applyFill="1" applyBorder="1" applyAlignment="1">
      <alignment horizontal="right" vertical="center"/>
    </xf>
    <xf numFmtId="0" fontId="11" fillId="59" borderId="20" xfId="0" applyFont="1" applyFill="1" applyBorder="1" applyAlignment="1">
      <alignment horizontal="right" vertical="center" wrapText="1"/>
    </xf>
    <xf numFmtId="0" fontId="0" fillId="60" borderId="20" xfId="0" applyFill="1" applyBorder="1" applyAlignment="1">
      <alignment horizontal="center" vertical="center"/>
    </xf>
    <xf numFmtId="0" fontId="15" fillId="60" borderId="28" xfId="0" applyFont="1" applyFill="1" applyBorder="1" applyAlignment="1">
      <alignment horizontal="right" vertical="center"/>
    </xf>
    <xf numFmtId="0" fontId="15" fillId="60" borderId="28" xfId="0" applyFont="1" applyFill="1" applyBorder="1" applyAlignment="1">
      <alignment horizontal="right" vertical="center" wrapText="1"/>
    </xf>
    <xf numFmtId="0" fontId="0" fillId="15" borderId="20" xfId="0" applyFill="1" applyBorder="1" applyAlignment="1">
      <alignment horizontal="center" vertical="center"/>
    </xf>
    <xf numFmtId="0" fontId="15" fillId="15" borderId="28" xfId="0" applyFont="1" applyFill="1" applyBorder="1" applyAlignment="1">
      <alignment horizontal="right" vertical="center"/>
    </xf>
    <xf numFmtId="0" fontId="0" fillId="0" borderId="28" xfId="0" applyBorder="1" applyAlignment="1">
      <alignment horizontal="right" vertical="center" wrapText="1"/>
    </xf>
    <xf numFmtId="0" fontId="0" fillId="15" borderId="20" xfId="0" applyFill="1" applyBorder="1" applyAlignment="1">
      <alignment horizontal="right" vertical="center" wrapText="1"/>
    </xf>
    <xf numFmtId="0" fontId="11" fillId="15" borderId="20" xfId="0" applyFont="1" applyFill="1" applyBorder="1" applyAlignment="1">
      <alignment horizontal="right" vertical="center" wrapText="1"/>
    </xf>
    <xf numFmtId="0" fontId="0" fillId="22" borderId="20" xfId="0" applyFill="1" applyBorder="1" applyAlignment="1">
      <alignment horizontal="center" vertical="center"/>
    </xf>
    <xf numFmtId="0" fontId="0" fillId="22" borderId="20" xfId="0" applyFill="1" applyBorder="1" applyAlignment="1">
      <alignment horizontal="right" vertical="center"/>
    </xf>
    <xf numFmtId="0" fontId="0" fillId="22" borderId="20" xfId="0" applyFill="1" applyBorder="1" applyAlignment="1">
      <alignment horizontal="right" vertical="center" wrapText="1"/>
    </xf>
    <xf numFmtId="0" fontId="0" fillId="61" borderId="20" xfId="0" applyFill="1" applyBorder="1" applyAlignment="1">
      <alignment horizontal="center" vertical="center"/>
    </xf>
    <xf numFmtId="0" fontId="0" fillId="61" borderId="20" xfId="0" applyFill="1" applyBorder="1" applyAlignment="1">
      <alignment horizontal="right" vertical="center"/>
    </xf>
    <xf numFmtId="0" fontId="0" fillId="61" borderId="28" xfId="0" applyFill="1" applyBorder="1" applyAlignment="1">
      <alignment horizontal="right" vertical="center"/>
    </xf>
    <xf numFmtId="0" fontId="0" fillId="61" borderId="20" xfId="0" applyFill="1" applyBorder="1" applyAlignment="1">
      <alignment horizontal="right" vertical="center" wrapText="1"/>
    </xf>
    <xf numFmtId="0" fontId="0" fillId="11" borderId="21" xfId="0" applyFill="1" applyBorder="1" applyAlignment="1">
      <alignment horizontal="center" vertical="center"/>
    </xf>
    <xf numFmtId="0" fontId="0" fillId="62" borderId="20" xfId="0" applyFill="1" applyBorder="1" applyAlignment="1">
      <alignment horizontal="center" vertical="center"/>
    </xf>
    <xf numFmtId="0" fontId="0" fillId="62" borderId="20" xfId="0" applyFill="1" applyBorder="1" applyAlignment="1">
      <alignment horizontal="right" vertical="center"/>
    </xf>
    <xf numFmtId="0" fontId="0" fillId="62" borderId="20" xfId="0" applyFill="1" applyBorder="1" applyAlignment="1">
      <alignment horizontal="right" vertical="center" wrapText="1"/>
    </xf>
    <xf numFmtId="1" fontId="4" fillId="11" borderId="28" xfId="0" applyNumberFormat="1" applyFont="1" applyFill="1" applyBorder="1" applyAlignment="1">
      <alignment horizontal="center" vertical="center"/>
    </xf>
    <xf numFmtId="0" fontId="0" fillId="62" borderId="20" xfId="0" applyFill="1" applyBorder="1" applyAlignment="1">
      <alignment horizontal="right" vertical="top" wrapText="1"/>
    </xf>
    <xf numFmtId="0" fontId="0" fillId="60" borderId="20" xfId="0" applyFill="1" applyBorder="1" applyAlignment="1">
      <alignment horizontal="center" vertical="center" wrapText="1"/>
    </xf>
    <xf numFmtId="0" fontId="31" fillId="60" borderId="20" xfId="0" applyFont="1" applyFill="1" applyBorder="1" applyAlignment="1">
      <alignment horizontal="center" vertical="center" wrapText="1"/>
    </xf>
    <xf numFmtId="0" fontId="0" fillId="60" borderId="20" xfId="0" applyFill="1" applyBorder="1" applyAlignment="1">
      <alignment horizontal="right" vertical="center" wrapText="1"/>
    </xf>
    <xf numFmtId="1" fontId="4" fillId="11" borderId="20" xfId="0" applyNumberFormat="1" applyFont="1" applyFill="1" applyBorder="1" applyAlignment="1">
      <alignment horizontal="center" vertical="center"/>
    </xf>
    <xf numFmtId="0" fontId="0" fillId="63" borderId="20" xfId="0" applyFill="1" applyBorder="1" applyAlignment="1">
      <alignment horizontal="center"/>
    </xf>
    <xf numFmtId="0" fontId="0" fillId="0" borderId="20" xfId="0" applyBorder="1" applyAlignment="1">
      <alignment horizontal="center"/>
    </xf>
    <xf numFmtId="0" fontId="0" fillId="0" borderId="20" xfId="0" applyBorder="1" applyAlignment="1">
      <alignment horizontal="right" wrapText="1"/>
    </xf>
    <xf numFmtId="0" fontId="0" fillId="9" borderId="20" xfId="0" applyFill="1" applyBorder="1" applyAlignment="1">
      <alignment horizontal="center" vertical="center"/>
    </xf>
    <xf numFmtId="0" fontId="4" fillId="0" borderId="20" xfId="0" applyFont="1" applyBorder="1" applyAlignment="1">
      <alignment horizontal="right" wrapText="1"/>
    </xf>
    <xf numFmtId="0" fontId="4" fillId="0" borderId="20" xfId="0" applyFont="1" applyBorder="1" applyAlignment="1">
      <alignment horizontal="right" vertical="center" wrapText="1"/>
    </xf>
    <xf numFmtId="0" fontId="14" fillId="0" borderId="0" xfId="0" applyFont="1" applyAlignment="1">
      <alignment horizontal="center" vertical="center"/>
    </xf>
    <xf numFmtId="0" fontId="0" fillId="0" borderId="17" xfId="0" applyBorder="1"/>
    <xf numFmtId="0" fontId="11" fillId="0" borderId="19" xfId="0" applyFont="1" applyBorder="1"/>
    <xf numFmtId="0" fontId="11" fillId="0" borderId="39" xfId="0" applyFont="1" applyBorder="1"/>
    <xf numFmtId="9" fontId="11" fillId="0" borderId="32" xfId="0" applyNumberFormat="1" applyFont="1" applyBorder="1"/>
    <xf numFmtId="9" fontId="11" fillId="0" borderId="24" xfId="0" applyNumberFormat="1" applyFont="1" applyBorder="1"/>
    <xf numFmtId="9" fontId="11" fillId="0" borderId="25" xfId="0" applyNumberFormat="1" applyFont="1" applyBorder="1"/>
    <xf numFmtId="9" fontId="0" fillId="0" borderId="31" xfId="0" applyNumberFormat="1" applyBorder="1"/>
    <xf numFmtId="9" fontId="0" fillId="0" borderId="32" xfId="0" applyNumberFormat="1" applyBorder="1"/>
    <xf numFmtId="9" fontId="0" fillId="0" borderId="19" xfId="0" applyNumberFormat="1" applyBorder="1"/>
    <xf numFmtId="9" fontId="0" fillId="0" borderId="39" xfId="0" applyNumberFormat="1" applyBorder="1"/>
    <xf numFmtId="9" fontId="0" fillId="0" borderId="35" xfId="0" applyNumberFormat="1" applyBorder="1"/>
    <xf numFmtId="9" fontId="0" fillId="0" borderId="36" xfId="0" applyNumberFormat="1" applyBorder="1"/>
    <xf numFmtId="0" fontId="0" fillId="22" borderId="28" xfId="0" applyFill="1" applyBorder="1" applyAlignment="1">
      <alignment horizontal="right" vertical="center"/>
    </xf>
    <xf numFmtId="0" fontId="4" fillId="59" borderId="20" xfId="0" applyFont="1" applyFill="1" applyBorder="1" applyAlignment="1">
      <alignment horizontal="right" wrapText="1"/>
    </xf>
    <xf numFmtId="0" fontId="4" fillId="0" borderId="20" xfId="0" applyFont="1" applyBorder="1" applyAlignment="1">
      <alignment horizontal="center" vertical="center" wrapText="1"/>
    </xf>
    <xf numFmtId="0" fontId="34" fillId="60" borderId="20" xfId="0" applyFont="1" applyFill="1" applyBorder="1" applyAlignment="1">
      <alignment horizontal="right" vertical="center" wrapText="1"/>
    </xf>
    <xf numFmtId="0" fontId="11" fillId="60" borderId="20" xfId="0" applyFont="1" applyFill="1" applyBorder="1" applyAlignment="1">
      <alignment horizontal="center" vertical="center" wrapText="1"/>
    </xf>
    <xf numFmtId="0" fontId="11" fillId="60" borderId="20" xfId="0" applyFont="1" applyFill="1" applyBorder="1" applyAlignment="1">
      <alignment horizontal="right" vertical="center" wrapText="1"/>
    </xf>
    <xf numFmtId="0" fontId="25" fillId="10" borderId="32" xfId="0" applyFont="1" applyFill="1" applyBorder="1" applyAlignment="1">
      <alignment horizontal="center" vertical="center"/>
    </xf>
    <xf numFmtId="0" fontId="14" fillId="0" borderId="29" xfId="0" applyFont="1" applyBorder="1" applyAlignment="1">
      <alignment horizontal="center"/>
    </xf>
    <xf numFmtId="0" fontId="14" fillId="0" borderId="32" xfId="0" applyFont="1" applyBorder="1" applyAlignment="1">
      <alignment horizontal="center"/>
    </xf>
    <xf numFmtId="0" fontId="0" fillId="0" borderId="23" xfId="0" applyBorder="1"/>
    <xf numFmtId="0" fontId="11" fillId="0" borderId="25" xfId="0" applyFont="1" applyBorder="1"/>
    <xf numFmtId="0" fontId="11" fillId="0" borderId="32" xfId="0" applyFont="1" applyBorder="1"/>
    <xf numFmtId="0" fontId="11" fillId="22" borderId="20" xfId="0" applyFont="1" applyFill="1" applyBorder="1" applyAlignment="1">
      <alignment horizontal="right" vertical="center" wrapText="1"/>
    </xf>
    <xf numFmtId="0" fontId="14" fillId="0" borderId="30" xfId="0" applyFont="1" applyBorder="1" applyAlignment="1">
      <alignment horizontal="center"/>
    </xf>
    <xf numFmtId="0" fontId="14" fillId="0" borderId="20" xfId="0" applyFont="1" applyBorder="1" applyAlignment="1">
      <alignment horizontal="center"/>
    </xf>
    <xf numFmtId="9" fontId="0" fillId="0" borderId="29" xfId="0" applyNumberFormat="1" applyBorder="1"/>
    <xf numFmtId="9" fontId="0" fillId="0" borderId="20" xfId="0" applyNumberFormat="1" applyBorder="1"/>
    <xf numFmtId="0" fontId="4" fillId="0" borderId="20" xfId="0" applyFont="1" applyBorder="1" applyAlignment="1">
      <alignment horizontal="center" vertical="center"/>
    </xf>
    <xf numFmtId="0" fontId="3" fillId="0" borderId="23" xfId="0" applyFont="1" applyBorder="1" applyAlignment="1">
      <alignment vertical="center" wrapText="1"/>
    </xf>
    <xf numFmtId="0" fontId="3" fillId="13" borderId="23" xfId="0" applyFont="1" applyFill="1" applyBorder="1" applyAlignment="1">
      <alignment vertical="center" wrapText="1"/>
    </xf>
    <xf numFmtId="0" fontId="20" fillId="12" borderId="23" xfId="0" applyFont="1" applyFill="1" applyBorder="1" applyAlignment="1">
      <alignment vertical="center" wrapText="1"/>
    </xf>
    <xf numFmtId="0" fontId="3" fillId="14" borderId="23" xfId="0" applyFont="1" applyFill="1" applyBorder="1" applyAlignment="1">
      <alignment vertical="center" wrapText="1"/>
    </xf>
    <xf numFmtId="0" fontId="3" fillId="0" borderId="23" xfId="0" applyFont="1" applyBorder="1" applyAlignment="1">
      <alignment vertical="center"/>
    </xf>
    <xf numFmtId="0" fontId="20" fillId="13" borderId="23" xfId="0" applyFont="1" applyFill="1" applyBorder="1" applyAlignment="1">
      <alignment vertical="center" wrapText="1"/>
    </xf>
    <xf numFmtId="0" fontId="37" fillId="0" borderId="29" xfId="0" applyFont="1" applyBorder="1" applyAlignment="1">
      <alignment horizontal="center"/>
    </xf>
    <xf numFmtId="0" fontId="37" fillId="0" borderId="31" xfId="0" applyFont="1" applyBorder="1" applyAlignment="1">
      <alignment horizontal="center"/>
    </xf>
    <xf numFmtId="0" fontId="0" fillId="0" borderId="17" xfId="0" applyBorder="1" applyAlignment="1">
      <alignment horizontal="center"/>
    </xf>
    <xf numFmtId="0" fontId="11" fillId="0" borderId="35" xfId="0" applyFont="1" applyBorder="1" applyAlignment="1">
      <alignment horizontal="center"/>
    </xf>
    <xf numFmtId="0" fontId="11" fillId="0" borderId="19" xfId="0" applyFont="1" applyBorder="1" applyAlignment="1">
      <alignment horizontal="center"/>
    </xf>
    <xf numFmtId="0" fontId="11" fillId="0" borderId="36" xfId="0" applyFont="1" applyBorder="1" applyAlignment="1">
      <alignment horizontal="center"/>
    </xf>
    <xf numFmtId="0" fontId="11" fillId="0" borderId="5" xfId="0" applyFont="1" applyBorder="1" applyAlignment="1">
      <alignment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1" fillId="0" borderId="5" xfId="0" applyFont="1" applyBorder="1" applyAlignment="1">
      <alignment horizontal="center" vertical="center"/>
    </xf>
    <xf numFmtId="0" fontId="0" fillId="0" borderId="5" xfId="0" applyBorder="1" applyAlignment="1">
      <alignment horizontal="center" vertical="center"/>
    </xf>
    <xf numFmtId="0" fontId="39" fillId="0" borderId="5" xfId="0" applyFont="1" applyBorder="1" applyAlignment="1">
      <alignment horizontal="left" vertical="center"/>
    </xf>
    <xf numFmtId="0" fontId="39" fillId="0" borderId="5" xfId="0" applyFont="1" applyBorder="1" applyAlignment="1">
      <alignment horizontal="left" vertical="top"/>
    </xf>
    <xf numFmtId="0" fontId="14" fillId="0" borderId="5" xfId="0" applyFont="1" applyBorder="1" applyAlignment="1">
      <alignment vertical="center"/>
    </xf>
    <xf numFmtId="0" fontId="11" fillId="0" borderId="39" xfId="0" applyFont="1" applyBorder="1" applyAlignment="1">
      <alignment horizontal="center"/>
    </xf>
    <xf numFmtId="0" fontId="11" fillId="0" borderId="37" xfId="0" applyFont="1" applyBorder="1" applyAlignment="1">
      <alignment horizontal="center"/>
    </xf>
    <xf numFmtId="1" fontId="11" fillId="0" borderId="29" xfId="0" applyNumberFormat="1" applyFont="1" applyBorder="1" applyAlignment="1">
      <alignment horizontal="center" vertical="center" wrapText="1"/>
    </xf>
    <xf numFmtId="1" fontId="0" fillId="0" borderId="30" xfId="0" applyNumberFormat="1" applyBorder="1" applyAlignment="1">
      <alignment horizontal="center" vertical="center" wrapText="1"/>
    </xf>
    <xf numFmtId="1" fontId="0" fillId="0" borderId="31" xfId="0" applyNumberFormat="1" applyBorder="1" applyAlignment="1">
      <alignment horizontal="center" vertical="center" wrapText="1"/>
    </xf>
    <xf numFmtId="0" fontId="14" fillId="0" borderId="38" xfId="0" applyFont="1" applyBorder="1" applyAlignment="1">
      <alignment horizontal="center"/>
    </xf>
    <xf numFmtId="1" fontId="11" fillId="0" borderId="29" xfId="0" applyNumberFormat="1" applyFont="1" applyBorder="1" applyAlignment="1">
      <alignment horizontal="center" vertical="center" wrapText="1" shrinkToFit="1"/>
    </xf>
    <xf numFmtId="1" fontId="0" fillId="0" borderId="30" xfId="0" applyNumberFormat="1" applyBorder="1" applyAlignment="1">
      <alignment horizontal="center" vertical="center" wrapText="1" shrinkToFit="1"/>
    </xf>
    <xf numFmtId="1" fontId="0" fillId="0" borderId="31" xfId="0" applyNumberFormat="1" applyBorder="1" applyAlignment="1">
      <alignment horizontal="center" vertical="center" wrapText="1" shrinkToFit="1"/>
    </xf>
    <xf numFmtId="1" fontId="0" fillId="0" borderId="29" xfId="0" applyNumberFormat="1" applyBorder="1" applyAlignment="1">
      <alignment horizontal="center" vertical="center"/>
    </xf>
    <xf numFmtId="1" fontId="0" fillId="0" borderId="30" xfId="0" applyNumberFormat="1" applyBorder="1" applyAlignment="1">
      <alignment horizontal="center" vertical="center"/>
    </xf>
    <xf numFmtId="1" fontId="0" fillId="0" borderId="31" xfId="0" applyNumberFormat="1" applyBorder="1" applyAlignment="1">
      <alignment horizontal="center" vertical="center"/>
    </xf>
    <xf numFmtId="0" fontId="28" fillId="0" borderId="38" xfId="44" applyFont="1" applyBorder="1" applyAlignment="1">
      <alignment horizontal="center" wrapText="1"/>
    </xf>
    <xf numFmtId="0" fontId="35" fillId="16" borderId="29" xfId="0" applyFont="1" applyFill="1" applyBorder="1" applyAlignment="1">
      <alignment horizontal="center" vertical="center"/>
    </xf>
    <xf numFmtId="0" fontId="35" fillId="16" borderId="30" xfId="0" applyFont="1" applyFill="1" applyBorder="1" applyAlignment="1">
      <alignment horizontal="center" vertical="center"/>
    </xf>
    <xf numFmtId="0" fontId="35" fillId="16" borderId="31" xfId="0" applyFont="1" applyFill="1" applyBorder="1" applyAlignment="1">
      <alignment horizontal="center" vertical="center"/>
    </xf>
    <xf numFmtId="0" fontId="35" fillId="22" borderId="29" xfId="0" applyFont="1" applyFill="1" applyBorder="1" applyAlignment="1">
      <alignment horizontal="center" vertical="center"/>
    </xf>
    <xf numFmtId="0" fontId="35" fillId="22" borderId="30" xfId="0" applyFont="1" applyFill="1" applyBorder="1" applyAlignment="1">
      <alignment horizontal="center" vertical="center"/>
    </xf>
    <xf numFmtId="0" fontId="14" fillId="0" borderId="5" xfId="0" applyFont="1" applyBorder="1" applyAlignment="1">
      <alignment horizontal="center"/>
    </xf>
    <xf numFmtId="0" fontId="50" fillId="0" borderId="29" xfId="0" applyFont="1" applyBorder="1" applyAlignment="1">
      <alignment horizontal="left" vertical="center" wrapText="1"/>
    </xf>
    <xf numFmtId="0" fontId="50" fillId="0" borderId="30" xfId="0" applyFont="1" applyBorder="1" applyAlignment="1">
      <alignment horizontal="left" vertical="center" wrapText="1"/>
    </xf>
    <xf numFmtId="0" fontId="50" fillId="0" borderId="31" xfId="0" applyFont="1" applyBorder="1" applyAlignment="1">
      <alignment horizontal="left" vertical="center" wrapText="1"/>
    </xf>
    <xf numFmtId="0" fontId="36" fillId="24" borderId="29" xfId="0" applyFont="1" applyFill="1" applyBorder="1" applyAlignment="1">
      <alignment horizontal="center" vertical="center"/>
    </xf>
    <xf numFmtId="0" fontId="36" fillId="24" borderId="30" xfId="0" applyFont="1" applyFill="1" applyBorder="1" applyAlignment="1">
      <alignment horizontal="center" vertical="center"/>
    </xf>
    <xf numFmtId="0" fontId="36" fillId="23" borderId="29" xfId="0" applyFont="1" applyFill="1" applyBorder="1" applyAlignment="1">
      <alignment horizontal="center" vertical="center"/>
    </xf>
    <xf numFmtId="0" fontId="36" fillId="23" borderId="30" xfId="0" applyFont="1" applyFill="1" applyBorder="1" applyAlignment="1">
      <alignment horizontal="center" vertical="center"/>
    </xf>
    <xf numFmtId="0" fontId="36" fillId="25" borderId="29" xfId="0" applyFont="1" applyFill="1" applyBorder="1" applyAlignment="1">
      <alignment horizontal="center" vertical="center"/>
    </xf>
    <xf numFmtId="0" fontId="36" fillId="25" borderId="30" xfId="0" applyFont="1" applyFill="1" applyBorder="1" applyAlignment="1">
      <alignment horizontal="center" vertical="center"/>
    </xf>
    <xf numFmtId="0" fontId="36" fillId="25" borderId="31" xfId="0" applyFont="1" applyFill="1" applyBorder="1" applyAlignment="1">
      <alignment horizontal="center" vertical="center"/>
    </xf>
    <xf numFmtId="1" fontId="0" fillId="0" borderId="29" xfId="0" applyNumberFormat="1" applyBorder="1" applyAlignment="1">
      <alignment horizontal="center" vertical="center" wrapText="1"/>
    </xf>
    <xf numFmtId="0" fontId="35" fillId="17" borderId="29" xfId="0" applyFont="1" applyFill="1" applyBorder="1" applyAlignment="1">
      <alignment horizontal="center" vertical="center"/>
    </xf>
    <xf numFmtId="0" fontId="35" fillId="17" borderId="30" xfId="0" applyFont="1" applyFill="1" applyBorder="1" applyAlignment="1">
      <alignment horizontal="center" vertical="center"/>
    </xf>
    <xf numFmtId="0" fontId="35" fillId="17" borderId="31" xfId="0" applyFont="1" applyFill="1" applyBorder="1" applyAlignment="1">
      <alignment horizontal="center" vertical="center"/>
    </xf>
    <xf numFmtId="0" fontId="36" fillId="15" borderId="29" xfId="0" applyFont="1" applyFill="1" applyBorder="1" applyAlignment="1">
      <alignment horizontal="center" vertical="center"/>
    </xf>
    <xf numFmtId="0" fontId="36" fillId="15" borderId="30" xfId="0" applyFont="1" applyFill="1" applyBorder="1" applyAlignment="1">
      <alignment horizontal="center" vertical="center"/>
    </xf>
    <xf numFmtId="0" fontId="36" fillId="15" borderId="31" xfId="0" applyFont="1" applyFill="1" applyBorder="1" applyAlignment="1">
      <alignment horizontal="center" vertical="center"/>
    </xf>
    <xf numFmtId="0" fontId="49" fillId="0" borderId="38" xfId="0" applyFont="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44" fillId="11" borderId="21" xfId="0" applyFont="1" applyFill="1" applyBorder="1" applyAlignment="1">
      <alignment horizontal="left" vertical="center"/>
    </xf>
    <xf numFmtId="0" fontId="44" fillId="11" borderId="22" xfId="0" applyFont="1" applyFill="1" applyBorder="1" applyAlignment="1">
      <alignment horizontal="left" vertical="center"/>
    </xf>
    <xf numFmtId="0" fontId="20" fillId="12" borderId="23"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3" fillId="14" borderId="23" xfId="0" applyFont="1" applyFill="1" applyBorder="1" applyAlignment="1">
      <alignment horizontal="center" vertical="center" wrapText="1"/>
    </xf>
    <xf numFmtId="0" fontId="3" fillId="14" borderId="24" xfId="0" applyFont="1" applyFill="1" applyBorder="1" applyAlignment="1">
      <alignment horizontal="center" vertical="center" wrapText="1"/>
    </xf>
    <xf numFmtId="0" fontId="39" fillId="11" borderId="5" xfId="0" applyFont="1" applyFill="1" applyBorder="1" applyAlignment="1">
      <alignment horizontal="left" vertical="center"/>
    </xf>
    <xf numFmtId="0" fontId="25" fillId="0" borderId="29"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31" xfId="0" applyFont="1" applyBorder="1" applyAlignment="1">
      <alignment horizontal="center" vertical="center" wrapText="1"/>
    </xf>
    <xf numFmtId="0" fontId="25" fillId="3" borderId="29" xfId="0" applyFont="1" applyFill="1" applyBorder="1" applyAlignment="1">
      <alignment horizontal="center" vertical="center" wrapText="1"/>
    </xf>
    <xf numFmtId="0" fontId="25" fillId="3" borderId="30"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xf>
    <xf numFmtId="0" fontId="3" fillId="0" borderId="25" xfId="0" applyFont="1" applyBorder="1" applyAlignment="1">
      <alignment horizontal="center" vertical="center"/>
    </xf>
    <xf numFmtId="0" fontId="20" fillId="13" borderId="23" xfId="0" applyFont="1" applyFill="1" applyBorder="1" applyAlignment="1">
      <alignment horizontal="center" vertical="center" wrapText="1"/>
    </xf>
    <xf numFmtId="0" fontId="20" fillId="13" borderId="25" xfId="0" applyFont="1" applyFill="1" applyBorder="1" applyAlignment="1">
      <alignment horizontal="center" vertical="center" wrapText="1"/>
    </xf>
    <xf numFmtId="0" fontId="3" fillId="13" borderId="23"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9" fillId="9" borderId="21" xfId="0" applyFont="1" applyFill="1" applyBorder="1" applyAlignment="1">
      <alignment horizontal="left" vertical="center"/>
    </xf>
    <xf numFmtId="0" fontId="39" fillId="9" borderId="22" xfId="0" applyFont="1" applyFill="1" applyBorder="1" applyAlignment="1">
      <alignment horizontal="left" vertical="center"/>
    </xf>
    <xf numFmtId="0" fontId="42" fillId="11" borderId="21" xfId="0" applyFont="1" applyFill="1" applyBorder="1" applyAlignment="1">
      <alignment horizontal="center" vertical="center"/>
    </xf>
    <xf numFmtId="0" fontId="42" fillId="11" borderId="22" xfId="0" applyFont="1" applyFill="1" applyBorder="1" applyAlignment="1">
      <alignment horizontal="center" vertical="center"/>
    </xf>
    <xf numFmtId="0" fontId="42" fillId="11" borderId="20"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11" borderId="20" xfId="0" applyFill="1" applyBorder="1" applyAlignment="1">
      <alignment horizontal="center" vertical="center"/>
    </xf>
    <xf numFmtId="0" fontId="11" fillId="0" borderId="20" xfId="0" applyFont="1" applyBorder="1" applyAlignment="1">
      <alignment horizontal="center" vertical="center"/>
    </xf>
    <xf numFmtId="0" fontId="45" fillId="11" borderId="20"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45" fillId="11" borderId="20" xfId="0" applyFont="1" applyFill="1" applyBorder="1" applyAlignment="1">
      <alignment horizontal="center" vertical="center"/>
    </xf>
    <xf numFmtId="0" fontId="46" fillId="11" borderId="20" xfId="0" applyFont="1" applyFill="1" applyBorder="1" applyAlignment="1">
      <alignment horizontal="center" vertical="center"/>
    </xf>
    <xf numFmtId="0" fontId="0" fillId="0" borderId="20" xfId="0" applyBorder="1" applyAlignment="1">
      <alignment horizontal="center" vertical="center"/>
    </xf>
    <xf numFmtId="0" fontId="25" fillId="0" borderId="17" xfId="48" applyFont="1" applyBorder="1" applyAlignment="1">
      <alignment horizontal="center" vertical="center" wrapText="1"/>
    </xf>
    <xf numFmtId="0" fontId="25" fillId="0" borderId="18" xfId="48" applyFont="1" applyBorder="1" applyAlignment="1">
      <alignment horizontal="center" vertical="center" wrapText="1"/>
    </xf>
    <xf numFmtId="0" fontId="25" fillId="0" borderId="35" xfId="48" applyFont="1" applyBorder="1" applyAlignment="1">
      <alignment horizontal="center" vertical="center" wrapText="1"/>
    </xf>
    <xf numFmtId="0" fontId="25" fillId="13" borderId="17" xfId="48" applyFont="1" applyFill="1" applyBorder="1" applyAlignment="1">
      <alignment horizontal="center" vertical="center" wrapText="1"/>
    </xf>
    <xf numFmtId="0" fontId="25" fillId="13" borderId="18" xfId="48" applyFont="1" applyFill="1" applyBorder="1" applyAlignment="1">
      <alignment horizontal="center" vertical="center" wrapText="1"/>
    </xf>
    <xf numFmtId="0" fontId="25" fillId="13" borderId="35" xfId="48" applyFont="1" applyFill="1" applyBorder="1" applyAlignment="1">
      <alignment horizontal="center" vertical="center" wrapText="1"/>
    </xf>
    <xf numFmtId="0" fontId="3" fillId="0" borderId="23" xfId="48" applyFont="1" applyBorder="1" applyAlignment="1">
      <alignment horizontal="center" vertical="center"/>
    </xf>
    <xf numFmtId="0" fontId="3" fillId="0" borderId="25" xfId="48" applyFont="1" applyBorder="1" applyAlignment="1">
      <alignment horizontal="center" vertical="center"/>
    </xf>
    <xf numFmtId="0" fontId="20" fillId="13" borderId="23" xfId="48" applyFont="1" applyFill="1" applyBorder="1" applyAlignment="1">
      <alignment horizontal="center" vertical="center"/>
    </xf>
    <xf numFmtId="0" fontId="20" fillId="13" borderId="25" xfId="48" applyFont="1" applyFill="1" applyBorder="1" applyAlignment="1">
      <alignment horizontal="center" vertical="center"/>
    </xf>
    <xf numFmtId="0" fontId="3" fillId="0" borderId="23" xfId="48" applyFont="1" applyBorder="1" applyAlignment="1">
      <alignment horizontal="center" vertical="center" wrapText="1"/>
    </xf>
    <xf numFmtId="0" fontId="3" fillId="0" borderId="25" xfId="48" applyFont="1" applyBorder="1" applyAlignment="1">
      <alignment horizontal="center" vertical="center" wrapText="1"/>
    </xf>
    <xf numFmtId="0" fontId="3" fillId="13" borderId="23" xfId="48" applyFont="1" applyFill="1" applyBorder="1" applyAlignment="1">
      <alignment horizontal="center" vertical="center" wrapText="1"/>
    </xf>
    <xf numFmtId="0" fontId="3" fillId="13" borderId="25" xfId="48" applyFont="1" applyFill="1" applyBorder="1" applyAlignment="1">
      <alignment horizontal="center" vertical="center" wrapText="1"/>
    </xf>
    <xf numFmtId="0" fontId="25" fillId="3" borderId="29" xfId="48" applyFont="1" applyFill="1" applyBorder="1" applyAlignment="1">
      <alignment horizontal="center" vertical="center" wrapText="1"/>
    </xf>
    <xf numFmtId="0" fontId="25" fillId="3" borderId="30" xfId="48" applyFont="1" applyFill="1" applyBorder="1" applyAlignment="1">
      <alignment horizontal="center" vertical="center" wrapText="1"/>
    </xf>
    <xf numFmtId="0" fontId="25" fillId="3" borderId="31" xfId="48" applyFont="1" applyFill="1" applyBorder="1" applyAlignment="1">
      <alignment horizontal="center" vertical="center" wrapText="1"/>
    </xf>
    <xf numFmtId="0" fontId="25" fillId="0" borderId="29" xfId="48" applyFont="1" applyBorder="1" applyAlignment="1">
      <alignment horizontal="center" vertical="center" wrapText="1"/>
    </xf>
    <xf numFmtId="0" fontId="25" fillId="0" borderId="30" xfId="48" applyFont="1" applyBorder="1" applyAlignment="1">
      <alignment horizontal="center" vertical="center" wrapText="1"/>
    </xf>
    <xf numFmtId="0" fontId="25" fillId="0" borderId="31" xfId="48" applyFont="1" applyBorder="1" applyAlignment="1">
      <alignment horizontal="center" vertical="center" wrapText="1"/>
    </xf>
    <xf numFmtId="0" fontId="20" fillId="13" borderId="24" xfId="48" applyFont="1" applyFill="1" applyBorder="1" applyAlignment="1">
      <alignment horizontal="center" vertical="center"/>
    </xf>
    <xf numFmtId="0" fontId="20" fillId="12" borderId="23" xfId="48" applyFont="1" applyFill="1" applyBorder="1" applyAlignment="1">
      <alignment horizontal="center" vertical="center" wrapText="1"/>
    </xf>
    <xf numFmtId="0" fontId="20" fillId="12" borderId="27" xfId="48" applyFont="1" applyFill="1" applyBorder="1" applyAlignment="1">
      <alignment horizontal="center" vertical="center" wrapText="1"/>
    </xf>
    <xf numFmtId="0" fontId="3" fillId="13" borderId="27" xfId="48" applyFont="1" applyFill="1" applyBorder="1" applyAlignment="1">
      <alignment horizontal="center" vertical="center" wrapText="1"/>
    </xf>
    <xf numFmtId="0" fontId="3" fillId="0" borderId="23" xfId="48" applyFont="1" applyBorder="1" applyAlignment="1">
      <alignment horizontal="right" vertical="center" wrapText="1"/>
    </xf>
    <xf numFmtId="0" fontId="3" fillId="0" borderId="25" xfId="48" applyFont="1" applyBorder="1" applyAlignment="1">
      <alignment horizontal="right" vertical="center" wrapText="1"/>
    </xf>
    <xf numFmtId="0" fontId="3" fillId="4" borderId="13" xfId="48" applyFont="1" applyFill="1" applyBorder="1" applyAlignment="1">
      <alignment horizontal="center" vertical="center" wrapText="1"/>
    </xf>
    <xf numFmtId="0" fontId="3" fillId="4" borderId="14" xfId="48" applyFont="1" applyFill="1" applyBorder="1" applyAlignment="1">
      <alignment horizontal="center" vertical="center" wrapText="1"/>
    </xf>
    <xf numFmtId="0" fontId="3" fillId="7" borderId="13" xfId="48" applyFont="1" applyFill="1" applyBorder="1" applyAlignment="1">
      <alignment horizontal="center" vertical="center" wrapText="1"/>
    </xf>
    <xf numFmtId="0" fontId="3" fillId="7" borderId="14" xfId="48" applyFont="1" applyFill="1" applyBorder="1" applyAlignment="1">
      <alignment horizontal="center" vertical="center" wrapText="1"/>
    </xf>
    <xf numFmtId="0" fontId="3" fillId="5" borderId="13" xfId="48" applyFont="1" applyFill="1" applyBorder="1" applyAlignment="1">
      <alignment horizontal="center" vertical="center"/>
    </xf>
    <xf numFmtId="0" fontId="3" fillId="5" borderId="14" xfId="48" applyFont="1" applyFill="1" applyBorder="1" applyAlignment="1">
      <alignment horizontal="center" vertical="center"/>
    </xf>
    <xf numFmtId="0" fontId="3" fillId="6" borderId="6" xfId="48" applyFont="1" applyFill="1" applyBorder="1" applyAlignment="1">
      <alignment horizontal="center" vertical="center"/>
    </xf>
    <xf numFmtId="0" fontId="3" fillId="6" borderId="15" xfId="48" applyFont="1" applyFill="1" applyBorder="1" applyAlignment="1">
      <alignment horizontal="center" vertical="center"/>
    </xf>
    <xf numFmtId="0" fontId="3" fillId="6" borderId="13" xfId="48" applyFont="1" applyFill="1" applyBorder="1" applyAlignment="1">
      <alignment horizontal="center" vertical="center"/>
    </xf>
    <xf numFmtId="0" fontId="3" fillId="6" borderId="14" xfId="48" applyFont="1" applyFill="1" applyBorder="1" applyAlignment="1">
      <alignment horizontal="center" vertical="center"/>
    </xf>
  </cellXfs>
  <cellStyles count="282">
    <cellStyle name="20% - Accent1 2" xfId="259" xr:uid="{00000000-0005-0000-0000-000000000000}"/>
    <cellStyle name="20% - Accent2 2" xfId="263" xr:uid="{00000000-0005-0000-0000-000001000000}"/>
    <cellStyle name="20% - Accent3 2" xfId="267" xr:uid="{00000000-0005-0000-0000-000002000000}"/>
    <cellStyle name="20% - Accent4 2" xfId="271" xr:uid="{00000000-0005-0000-0000-000003000000}"/>
    <cellStyle name="20% - Accent5 2" xfId="275" xr:uid="{00000000-0005-0000-0000-000004000000}"/>
    <cellStyle name="20% - Accent6 2" xfId="279" xr:uid="{00000000-0005-0000-0000-000005000000}"/>
    <cellStyle name="40% - Accent1 2" xfId="260" xr:uid="{00000000-0005-0000-0000-000006000000}"/>
    <cellStyle name="40% - Accent2 2" xfId="264" xr:uid="{00000000-0005-0000-0000-000007000000}"/>
    <cellStyle name="40% - Accent3 2" xfId="268" xr:uid="{00000000-0005-0000-0000-000008000000}"/>
    <cellStyle name="40% - Accent4 2" xfId="272" xr:uid="{00000000-0005-0000-0000-000009000000}"/>
    <cellStyle name="40% - Accent5 2" xfId="276" xr:uid="{00000000-0005-0000-0000-00000A000000}"/>
    <cellStyle name="40% - Accent6 2" xfId="280" xr:uid="{00000000-0005-0000-0000-00000B000000}"/>
    <cellStyle name="60% - Accent1 2" xfId="261" xr:uid="{00000000-0005-0000-0000-00000C000000}"/>
    <cellStyle name="60% - Accent2 2" xfId="265" xr:uid="{00000000-0005-0000-0000-00000D000000}"/>
    <cellStyle name="60% - Accent3 2" xfId="269" xr:uid="{00000000-0005-0000-0000-00000E000000}"/>
    <cellStyle name="60% - Accent4 2" xfId="273" xr:uid="{00000000-0005-0000-0000-00000F000000}"/>
    <cellStyle name="60% - Accent5 2" xfId="277" xr:uid="{00000000-0005-0000-0000-000010000000}"/>
    <cellStyle name="60% - Accent6 2" xfId="281" xr:uid="{00000000-0005-0000-0000-000011000000}"/>
    <cellStyle name="Accent1 2" xfId="258" xr:uid="{00000000-0005-0000-0000-000012000000}"/>
    <cellStyle name="Accent2 2" xfId="262" xr:uid="{00000000-0005-0000-0000-000013000000}"/>
    <cellStyle name="Accent3 2" xfId="266" xr:uid="{00000000-0005-0000-0000-000014000000}"/>
    <cellStyle name="Accent4 2" xfId="270" xr:uid="{00000000-0005-0000-0000-000015000000}"/>
    <cellStyle name="Accent5 2" xfId="274" xr:uid="{00000000-0005-0000-0000-000016000000}"/>
    <cellStyle name="Accent6 2" xfId="278" xr:uid="{00000000-0005-0000-0000-000017000000}"/>
    <cellStyle name="Bad 2" xfId="253" xr:uid="{00000000-0005-0000-0000-000018000000}"/>
    <cellStyle name="Calculation" xfId="245" builtinId="22" customBuiltin="1"/>
    <cellStyle name="Check Cell" xfId="247" builtinId="23" customBuiltin="1"/>
    <cellStyle name="Comma 4" xfId="45" xr:uid="{00000000-0005-0000-0000-00001B000000}"/>
    <cellStyle name="Explanatory Text 2" xfId="257" xr:uid="{00000000-0005-0000-0000-00001C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Good 2" xfId="252" xr:uid="{00000000-0005-0000-0000-000091000000}"/>
    <cellStyle name="Heading 1" xfId="240" builtinId="16" customBuiltin="1"/>
    <cellStyle name="Heading 2" xfId="241" builtinId="17" customBuiltin="1"/>
    <cellStyle name="Heading 3" xfId="242" builtinId="18" customBuiltin="1"/>
    <cellStyle name="Heading 4 2" xfId="251" xr:uid="{00000000-0005-0000-0000-00009500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Input" xfId="243" builtinId="20" customBuiltin="1"/>
    <cellStyle name="Linked Cell" xfId="246" builtinId="24" customBuiltin="1"/>
    <cellStyle name="Neutral 2" xfId="254" xr:uid="{00000000-0005-0000-0000-00000C010000}"/>
    <cellStyle name="Normal" xfId="0" builtinId="0"/>
    <cellStyle name="Normal 2" xfId="47" xr:uid="{00000000-0005-0000-0000-00000E010000}"/>
    <cellStyle name="Normal 3" xfId="48" xr:uid="{00000000-0005-0000-0000-00000F010000}"/>
    <cellStyle name="Normal 4" xfId="44" xr:uid="{00000000-0005-0000-0000-000010010000}"/>
    <cellStyle name="Normal 5" xfId="249" xr:uid="{00000000-0005-0000-0000-000011010000}"/>
    <cellStyle name="Note 2" xfId="256" xr:uid="{00000000-0005-0000-0000-000012010000}"/>
    <cellStyle name="Output" xfId="244" builtinId="21" customBuiltin="1"/>
    <cellStyle name="Percent" xfId="1" builtinId="5"/>
    <cellStyle name="Percent 2" xfId="46" xr:uid="{00000000-0005-0000-0000-000015010000}"/>
    <cellStyle name="Percent 3" xfId="49" xr:uid="{00000000-0005-0000-0000-000016010000}"/>
    <cellStyle name="Title 2" xfId="250" xr:uid="{00000000-0005-0000-0000-000017010000}"/>
    <cellStyle name="Total" xfId="248" builtinId="25" customBuiltin="1"/>
    <cellStyle name="Warning Text 2" xfId="255" xr:uid="{00000000-0005-0000-0000-000019010000}"/>
  </cellStyles>
  <dxfs count="1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Impact</a:t>
            </a:r>
            <a:r>
              <a:rPr lang="en-GB" b="1" baseline="0"/>
              <a:t> for Q1 , Q2, Q3 2023</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Graphics!$E$13</c:f>
              <c:strCache>
                <c:ptCount val="1"/>
                <c:pt idx="0">
                  <c:v>Q1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Graphics!$E$14:$E$18</c:f>
              <c:numCache>
                <c:formatCode>0%</c:formatCode>
                <c:ptCount val="5"/>
                <c:pt idx="0">
                  <c:v>0.45</c:v>
                </c:pt>
                <c:pt idx="1">
                  <c:v>0.42</c:v>
                </c:pt>
                <c:pt idx="2">
                  <c:v>0.22</c:v>
                </c:pt>
                <c:pt idx="3">
                  <c:v>0.94</c:v>
                </c:pt>
                <c:pt idx="4">
                  <c:v>0.94</c:v>
                </c:pt>
              </c:numCache>
            </c:numRef>
          </c:val>
          <c:extLst>
            <c:ext xmlns:c16="http://schemas.microsoft.com/office/drawing/2014/chart" uri="{C3380CC4-5D6E-409C-BE32-E72D297353CC}">
              <c16:uniqueId val="{00000000-3750-4C95-8182-31F3BEE8077A}"/>
            </c:ext>
          </c:extLst>
        </c:ser>
        <c:ser>
          <c:idx val="1"/>
          <c:order val="1"/>
          <c:tx>
            <c:strRef>
              <c:f>Graphics!$F$13</c:f>
              <c:strCache>
                <c:ptCount val="1"/>
                <c:pt idx="0">
                  <c:v>Q2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Graphics!$F$14:$F$18</c:f>
              <c:numCache>
                <c:formatCode>0%</c:formatCode>
                <c:ptCount val="5"/>
                <c:pt idx="0">
                  <c:v>0.38</c:v>
                </c:pt>
                <c:pt idx="1">
                  <c:v>0.14000000000000001</c:v>
                </c:pt>
                <c:pt idx="2">
                  <c:v>0.02</c:v>
                </c:pt>
                <c:pt idx="3">
                  <c:v>0.82</c:v>
                </c:pt>
                <c:pt idx="4">
                  <c:v>0.84</c:v>
                </c:pt>
              </c:numCache>
            </c:numRef>
          </c:val>
          <c:extLst>
            <c:ext xmlns:c16="http://schemas.microsoft.com/office/drawing/2014/chart" uri="{C3380CC4-5D6E-409C-BE32-E72D297353CC}">
              <c16:uniqueId val="{00000001-3750-4C95-8182-31F3BEE8077A}"/>
            </c:ext>
          </c:extLst>
        </c:ser>
        <c:ser>
          <c:idx val="2"/>
          <c:order val="2"/>
          <c:tx>
            <c:strRef>
              <c:f>Graphics!$G$13</c:f>
              <c:strCache>
                <c:ptCount val="1"/>
                <c:pt idx="0">
                  <c:v>Q3 2023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Graphics!$G$14:$G$18</c:f>
              <c:numCache>
                <c:formatCode>0%</c:formatCode>
                <c:ptCount val="5"/>
                <c:pt idx="0">
                  <c:v>0.25311203319502074</c:v>
                </c:pt>
                <c:pt idx="1">
                  <c:v>9.0163934426229511E-2</c:v>
                </c:pt>
                <c:pt idx="2">
                  <c:v>2.4896265560165973E-2</c:v>
                </c:pt>
                <c:pt idx="3">
                  <c:v>0.85477178423236511</c:v>
                </c:pt>
                <c:pt idx="4">
                  <c:v>0.88381742738589208</c:v>
                </c:pt>
              </c:numCache>
            </c:numRef>
          </c:val>
          <c:extLst>
            <c:ext xmlns:c16="http://schemas.microsoft.com/office/drawing/2014/chart" uri="{C3380CC4-5D6E-409C-BE32-E72D297353CC}">
              <c16:uniqueId val="{00000002-3750-4C95-8182-31F3BEE8077A}"/>
            </c:ext>
          </c:extLst>
        </c:ser>
        <c:ser>
          <c:idx val="3"/>
          <c:order val="3"/>
          <c:tx>
            <c:strRef>
              <c:f>Graphics!$H$13</c:f>
              <c:strCache>
                <c:ptCount val="1"/>
                <c:pt idx="0">
                  <c:v>Year to Date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Graphics!$H$14:$H$18</c:f>
              <c:numCache>
                <c:formatCode>0%</c:formatCode>
                <c:ptCount val="5"/>
                <c:pt idx="0">
                  <c:v>0.33</c:v>
                </c:pt>
                <c:pt idx="1">
                  <c:v>0.38</c:v>
                </c:pt>
                <c:pt idx="2">
                  <c:v>0.12</c:v>
                </c:pt>
                <c:pt idx="3">
                  <c:v>0.89</c:v>
                </c:pt>
                <c:pt idx="4">
                  <c:v>0.91</c:v>
                </c:pt>
              </c:numCache>
            </c:numRef>
          </c:val>
          <c:extLst>
            <c:ext xmlns:c16="http://schemas.microsoft.com/office/drawing/2014/chart" uri="{C3380CC4-5D6E-409C-BE32-E72D297353CC}">
              <c16:uniqueId val="{00000000-82CD-46DB-960C-D2D66FB912B9}"/>
            </c:ext>
          </c:extLst>
        </c:ser>
        <c:dLbls>
          <c:showLegendKey val="0"/>
          <c:showVal val="0"/>
          <c:showCatName val="0"/>
          <c:showSerName val="0"/>
          <c:showPercent val="0"/>
          <c:showBubbleSize val="0"/>
        </c:dLbls>
        <c:gapWidth val="219"/>
        <c:overlap val="-27"/>
        <c:axId val="2094145048"/>
        <c:axId val="2094141320"/>
      </c:barChart>
      <c:catAx>
        <c:axId val="209414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41320"/>
        <c:crosses val="autoZero"/>
        <c:auto val="1"/>
        <c:lblAlgn val="ctr"/>
        <c:lblOffset val="100"/>
        <c:noMultiLvlLbl val="0"/>
      </c:catAx>
      <c:valAx>
        <c:axId val="2094141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4504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Impact on</a:t>
            </a:r>
            <a:r>
              <a:rPr lang="en-GB" b="1" baseline="0"/>
              <a:t> participants surveyed in Q3 2023</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96D-4D7D-95D0-0961DECE4AA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96D-4D7D-95D0-0961DECE4AA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96D-4D7D-95D0-0961DECE4AA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96D-4D7D-95D0-0961DECE4AA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96D-4D7D-95D0-0961DECE4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Graphics!$D$44:$D$48</c:f>
              <c:strCache>
                <c:ptCount val="5"/>
                <c:pt idx="0">
                  <c:v>Started Businesses</c:v>
                </c:pt>
                <c:pt idx="1">
                  <c:v>Promotion (Job &amp; Academic)</c:v>
                </c:pt>
                <c:pt idx="2">
                  <c:v>Got Formal Leadership Roles</c:v>
                </c:pt>
                <c:pt idx="3">
                  <c:v>Demonstrated Informal Leadership</c:v>
                </c:pt>
                <c:pt idx="4">
                  <c:v>Increase in Leadership </c:v>
                </c:pt>
              </c:strCache>
            </c:strRef>
          </c:cat>
          <c:val>
            <c:numRef>
              <c:f>Graphics!$E$44:$E$48</c:f>
              <c:numCache>
                <c:formatCode>0%</c:formatCode>
                <c:ptCount val="5"/>
                <c:pt idx="0">
                  <c:v>0.25311203319502074</c:v>
                </c:pt>
                <c:pt idx="1">
                  <c:v>9.0163934426229511E-2</c:v>
                </c:pt>
                <c:pt idx="2">
                  <c:v>2.4896265560165973E-2</c:v>
                </c:pt>
                <c:pt idx="3">
                  <c:v>0.85477178423236511</c:v>
                </c:pt>
                <c:pt idx="4">
                  <c:v>0.88381742738589208</c:v>
                </c:pt>
              </c:numCache>
            </c:numRef>
          </c:val>
          <c:extLst>
            <c:ext xmlns:c16="http://schemas.microsoft.com/office/drawing/2014/chart" uri="{C3380CC4-5D6E-409C-BE32-E72D297353CC}">
              <c16:uniqueId val="{00000000-17F0-4C8F-8BB1-2462A3611C13}"/>
            </c:ext>
          </c:extLst>
        </c:ser>
        <c:dLbls>
          <c:showLegendKey val="0"/>
          <c:showVal val="0"/>
          <c:showCatName val="0"/>
          <c:showSerName val="0"/>
          <c:showPercent val="0"/>
          <c:showBubbleSize val="0"/>
        </c:dLbls>
        <c:gapWidth val="219"/>
        <c:overlap val="-27"/>
        <c:axId val="2094061848"/>
        <c:axId val="2094058360"/>
      </c:barChart>
      <c:catAx>
        <c:axId val="209406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58360"/>
        <c:crosses val="autoZero"/>
        <c:auto val="1"/>
        <c:lblAlgn val="ctr"/>
        <c:lblOffset val="100"/>
        <c:noMultiLvlLbl val="0"/>
      </c:catAx>
      <c:valAx>
        <c:axId val="2094058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0618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274320</xdr:colOff>
      <xdr:row>1</xdr:row>
      <xdr:rowOff>7620</xdr:rowOff>
    </xdr:from>
    <xdr:to>
      <xdr:col>22</xdr:col>
      <xdr:colOff>205740</xdr:colOff>
      <xdr:row>38</xdr:row>
      <xdr:rowOff>76200</xdr:rowOff>
    </xdr:to>
    <xdr:graphicFrame macro="">
      <xdr:nvGraphicFramePr>
        <xdr:cNvPr id="2" name="Chart 1">
          <a:extLst>
            <a:ext uri="{FF2B5EF4-FFF2-40B4-BE49-F238E27FC236}">
              <a16:creationId xmlns:a16="http://schemas.microsoft.com/office/drawing/2014/main" id="{ACAEE358-216F-1A54-ECFD-69D89A7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605790</xdr:colOff>
      <xdr:row>43</xdr:row>
      <xdr:rowOff>22860</xdr:rowOff>
    </xdr:from>
    <xdr:to>
      <xdr:col>13</xdr:col>
      <xdr:colOff>586740</xdr:colOff>
      <xdr:row>62</xdr:row>
      <xdr:rowOff>144780</xdr:rowOff>
    </xdr:to>
    <xdr:graphicFrame macro="">
      <xdr:nvGraphicFramePr>
        <xdr:cNvPr id="3" name="Chart 2">
          <a:extLst>
            <a:ext uri="{FF2B5EF4-FFF2-40B4-BE49-F238E27FC236}">
              <a16:creationId xmlns:a16="http://schemas.microsoft.com/office/drawing/2014/main" id="{CAF84A2E-E53D-4B36-D808-858076F6A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dmin Resonate" id="{30E1CAEC-4B0C-4746-A8BB-3A9B2103376C}" userId="b5035a32c91f9d8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12-15T10:14:34.06" personId="{30E1CAEC-4B0C-4746-A8BB-3A9B2103376C}" id="{449F2B9B-A9FC-4165-8F14-357048AAF3A0}">
    <text>2021 (2,462 participants), 1016 (First semester of 2022)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66"/>
  <sheetViews>
    <sheetView workbookViewId="0">
      <selection activeCell="C17" sqref="C17"/>
    </sheetView>
  </sheetViews>
  <sheetFormatPr defaultColWidth="11" defaultRowHeight="13.5"/>
  <cols>
    <col min="3" max="3" width="34.6875" customWidth="1"/>
  </cols>
  <sheetData>
    <row r="2" spans="2:14" ht="25.5">
      <c r="B2" s="156"/>
    </row>
    <row r="3" spans="2:14" ht="61.5">
      <c r="B3" s="4"/>
      <c r="C3" s="157" t="s">
        <v>6</v>
      </c>
      <c r="F3" s="5"/>
      <c r="G3" s="5"/>
      <c r="H3" s="5"/>
    </row>
    <row r="4" spans="2:14" ht="14.25">
      <c r="B4" s="6"/>
    </row>
    <row r="5" spans="2:14" ht="14.25">
      <c r="B5" s="7"/>
      <c r="C5" s="5"/>
      <c r="D5" s="5"/>
      <c r="E5" s="5"/>
      <c r="F5" s="5"/>
      <c r="G5" s="5"/>
      <c r="H5" s="5"/>
    </row>
    <row r="6" spans="2:14" ht="14.25">
      <c r="B6" s="8" t="s">
        <v>7</v>
      </c>
      <c r="C6" s="9" t="s">
        <v>8</v>
      </c>
      <c r="D6" s="10"/>
      <c r="E6" s="10"/>
      <c r="F6" s="10"/>
      <c r="G6" s="10"/>
      <c r="H6" s="10"/>
      <c r="I6" s="11"/>
      <c r="J6" s="11"/>
      <c r="K6" s="11"/>
      <c r="L6" s="11"/>
    </row>
    <row r="7" spans="2:14" ht="14.25">
      <c r="B7" s="8"/>
    </row>
    <row r="8" spans="2:14" ht="14.25">
      <c r="B8" s="8"/>
    </row>
    <row r="9" spans="2:14" ht="14.25">
      <c r="B9" s="8" t="s">
        <v>9</v>
      </c>
      <c r="C9" s="12" t="s">
        <v>10</v>
      </c>
      <c r="D9" s="13"/>
      <c r="E9" s="13"/>
      <c r="F9" s="13"/>
      <c r="G9" s="13"/>
      <c r="H9" s="155"/>
    </row>
    <row r="10" spans="2:14" ht="14.25">
      <c r="B10" s="8"/>
      <c r="C10" s="12" t="s">
        <v>11</v>
      </c>
      <c r="E10" s="14"/>
      <c r="F10" s="14"/>
      <c r="G10" s="14"/>
      <c r="H10" s="155" t="s">
        <v>12</v>
      </c>
    </row>
    <row r="11" spans="2:14" ht="14.25">
      <c r="B11" s="8"/>
      <c r="C11" s="12" t="s">
        <v>13</v>
      </c>
      <c r="D11" s="15"/>
      <c r="E11" s="15"/>
      <c r="F11" s="15"/>
      <c r="G11" s="15"/>
      <c r="H11" s="158" t="s">
        <v>14</v>
      </c>
    </row>
    <row r="12" spans="2:14" ht="14.25">
      <c r="B12" s="8"/>
      <c r="C12" s="12" t="s">
        <v>15</v>
      </c>
      <c r="D12" s="6"/>
      <c r="E12" s="14"/>
      <c r="F12" s="15"/>
      <c r="G12" s="15"/>
      <c r="H12" s="155" t="s">
        <v>16</v>
      </c>
    </row>
    <row r="13" spans="2:14" ht="14.25">
      <c r="B13" s="8"/>
      <c r="C13" s="12" t="s">
        <v>17</v>
      </c>
      <c r="D13" s="6"/>
      <c r="E13" s="15"/>
      <c r="F13" s="15"/>
      <c r="G13" s="15"/>
      <c r="H13" s="5"/>
    </row>
    <row r="14" spans="2:14" ht="14.25">
      <c r="B14" s="6"/>
      <c r="C14" s="12" t="s">
        <v>18</v>
      </c>
      <c r="D14" s="6"/>
      <c r="E14" s="14"/>
      <c r="F14" s="15"/>
      <c r="G14" s="15"/>
      <c r="I14" s="6"/>
      <c r="J14" s="6"/>
      <c r="K14" s="6"/>
      <c r="L14" s="6"/>
      <c r="M14" s="6"/>
      <c r="N14" s="6"/>
    </row>
    <row r="15" spans="2:14" ht="14.25">
      <c r="B15" s="6"/>
      <c r="C15" s="16"/>
      <c r="D15" s="6"/>
      <c r="E15" s="6"/>
      <c r="F15" s="6"/>
      <c r="G15" s="6"/>
      <c r="H15" s="6"/>
      <c r="I15" s="6"/>
      <c r="J15" s="6"/>
      <c r="K15" s="6"/>
      <c r="L15" s="6"/>
      <c r="M15" s="6"/>
      <c r="N15" s="6"/>
    </row>
    <row r="16" spans="2:14" ht="14.25">
      <c r="B16" s="3" t="s">
        <v>19</v>
      </c>
      <c r="C16" s="16" t="s">
        <v>20</v>
      </c>
      <c r="D16" s="6"/>
      <c r="E16" s="6"/>
      <c r="F16" s="6"/>
      <c r="G16" s="6"/>
      <c r="H16" s="6"/>
      <c r="I16" s="6"/>
      <c r="J16" s="6"/>
      <c r="K16" s="6"/>
      <c r="L16" s="6"/>
      <c r="M16" s="6"/>
      <c r="N16" s="6"/>
    </row>
    <row r="17" spans="3:14" ht="14.25">
      <c r="C17" s="6"/>
      <c r="D17" s="6"/>
      <c r="E17" s="6"/>
      <c r="F17" s="6"/>
      <c r="G17" s="6"/>
      <c r="H17" s="6"/>
      <c r="I17" s="17"/>
      <c r="J17" s="17"/>
      <c r="K17" s="6"/>
      <c r="L17" s="6"/>
      <c r="M17" s="6"/>
      <c r="N17" s="6"/>
    </row>
    <row r="18" spans="3:14" ht="14.25">
      <c r="C18" s="6"/>
      <c r="D18" s="6"/>
      <c r="E18" s="6"/>
      <c r="F18" s="6"/>
      <c r="G18" s="6"/>
      <c r="H18" s="6"/>
      <c r="I18" s="6"/>
      <c r="J18" s="6"/>
      <c r="K18" s="6"/>
      <c r="L18" s="6"/>
      <c r="M18" s="6"/>
      <c r="N18" s="6"/>
    </row>
    <row r="19" spans="3:14" ht="14.25">
      <c r="C19" s="6"/>
      <c r="E19" s="14"/>
      <c r="F19" s="14"/>
      <c r="G19" s="14"/>
      <c r="H19" s="14"/>
      <c r="I19" s="6"/>
      <c r="J19" s="6"/>
      <c r="K19" s="6"/>
      <c r="L19" s="6"/>
      <c r="M19" s="6"/>
      <c r="N19" s="6"/>
    </row>
    <row r="20" spans="3:14" ht="14.25">
      <c r="C20" s="6"/>
      <c r="D20" s="15"/>
      <c r="E20" s="15"/>
      <c r="F20" s="15"/>
      <c r="G20" s="15"/>
      <c r="H20" s="15"/>
      <c r="I20" s="6"/>
      <c r="J20" s="6"/>
      <c r="K20" s="6"/>
      <c r="L20" s="6"/>
      <c r="M20" s="6"/>
      <c r="N20" s="6"/>
    </row>
    <row r="21" spans="3:14" ht="14.25">
      <c r="C21" s="6"/>
      <c r="D21" s="6"/>
      <c r="E21" s="14"/>
      <c r="F21" s="15"/>
      <c r="G21" s="15"/>
      <c r="H21" s="15"/>
      <c r="I21" s="6"/>
      <c r="J21" s="6"/>
      <c r="K21" s="6"/>
      <c r="L21" s="6"/>
      <c r="M21" s="6"/>
      <c r="N21" s="6"/>
    </row>
    <row r="22" spans="3:14" ht="14.25">
      <c r="C22" s="6"/>
      <c r="D22" s="6"/>
      <c r="E22" s="15"/>
      <c r="F22" s="15"/>
      <c r="G22" s="15"/>
      <c r="H22" s="15"/>
      <c r="I22" s="6"/>
      <c r="J22" s="6"/>
      <c r="K22" s="6"/>
      <c r="L22" s="6"/>
      <c r="M22" s="6"/>
      <c r="N22" s="6"/>
    </row>
    <row r="23" spans="3:14" ht="14.25">
      <c r="C23" s="6"/>
      <c r="D23" s="6"/>
      <c r="E23" s="6"/>
      <c r="F23" s="6"/>
      <c r="G23" s="6"/>
      <c r="H23" s="6"/>
      <c r="I23" s="6"/>
      <c r="J23" s="6"/>
      <c r="K23" s="6"/>
      <c r="L23" s="6"/>
      <c r="M23" s="6"/>
      <c r="N23" s="6"/>
    </row>
    <row r="24" spans="3:14" ht="14.25">
      <c r="C24" s="6"/>
      <c r="D24" s="6"/>
      <c r="E24" s="6"/>
      <c r="F24" s="6"/>
      <c r="G24" s="6"/>
      <c r="H24" s="6"/>
      <c r="I24" s="6"/>
      <c r="J24" s="6"/>
      <c r="K24" s="6"/>
      <c r="L24" s="6"/>
      <c r="M24" s="6"/>
      <c r="N24" s="6"/>
    </row>
    <row r="25" spans="3:14" ht="14.25">
      <c r="C25" s="6"/>
      <c r="D25" s="6"/>
      <c r="E25" s="6"/>
      <c r="F25" s="6"/>
      <c r="G25" s="6"/>
      <c r="H25" s="6"/>
      <c r="I25" s="6"/>
      <c r="J25" s="6"/>
      <c r="K25" s="6"/>
      <c r="L25" s="6"/>
      <c r="M25" s="6"/>
      <c r="N25" s="6"/>
    </row>
    <row r="26" spans="3:14" ht="14.25">
      <c r="C26" s="6"/>
      <c r="D26" s="6"/>
      <c r="E26" s="6"/>
      <c r="F26" s="6"/>
      <c r="G26" s="6"/>
      <c r="H26" s="6"/>
      <c r="I26" s="6"/>
      <c r="J26" s="6"/>
      <c r="K26" s="6"/>
      <c r="L26" s="6"/>
      <c r="M26" s="6"/>
      <c r="N26" s="6"/>
    </row>
    <row r="27" spans="3:14" ht="14.25">
      <c r="C27" s="6"/>
      <c r="D27" s="6"/>
      <c r="E27" s="6"/>
      <c r="F27" s="6"/>
      <c r="G27" s="6"/>
      <c r="H27" s="6"/>
      <c r="I27" s="6"/>
      <c r="J27" s="6"/>
      <c r="K27" s="6"/>
      <c r="L27" s="6"/>
      <c r="M27" s="6"/>
      <c r="N27" s="6"/>
    </row>
    <row r="28" spans="3:14" ht="14.25">
      <c r="C28" s="6"/>
      <c r="D28" s="6"/>
      <c r="E28" s="6"/>
      <c r="F28" s="6"/>
      <c r="G28" s="6"/>
      <c r="H28" s="6"/>
      <c r="I28" s="6"/>
      <c r="J28" s="6"/>
      <c r="K28" s="6"/>
      <c r="L28" s="6"/>
      <c r="M28" s="6"/>
      <c r="N28" s="6"/>
    </row>
    <row r="29" spans="3:14" ht="14.25">
      <c r="C29" s="6"/>
      <c r="E29" s="14"/>
      <c r="F29" s="14"/>
      <c r="G29" s="14"/>
      <c r="H29" s="14"/>
      <c r="I29" s="6"/>
      <c r="J29" s="6"/>
      <c r="K29" s="6"/>
      <c r="L29" s="6"/>
      <c r="M29" s="6"/>
      <c r="N29" s="6"/>
    </row>
    <row r="30" spans="3:14" ht="14.25">
      <c r="C30" s="6"/>
      <c r="D30" s="15"/>
      <c r="E30" s="15"/>
      <c r="F30" s="15"/>
      <c r="G30" s="15"/>
      <c r="H30" s="15"/>
      <c r="I30" s="6"/>
      <c r="J30" s="6"/>
      <c r="K30" s="6"/>
      <c r="L30" s="6"/>
      <c r="M30" s="6"/>
      <c r="N30" s="6"/>
    </row>
    <row r="31" spans="3:14" ht="14.25">
      <c r="C31" s="6"/>
      <c r="D31" s="6"/>
      <c r="E31" s="14"/>
      <c r="F31" s="15"/>
      <c r="G31" s="15"/>
      <c r="H31" s="15"/>
      <c r="I31" s="6"/>
      <c r="J31" s="6"/>
      <c r="K31" s="6"/>
      <c r="L31" s="6"/>
      <c r="M31" s="6"/>
      <c r="N31" s="6"/>
    </row>
    <row r="32" spans="3:14" ht="14.25">
      <c r="C32" s="6"/>
      <c r="D32" s="6"/>
      <c r="E32" s="6"/>
      <c r="F32" s="6"/>
      <c r="G32" s="6"/>
      <c r="H32" s="6"/>
      <c r="I32" s="6"/>
      <c r="J32" s="6"/>
      <c r="K32" s="6"/>
      <c r="L32" s="6"/>
      <c r="M32" s="6"/>
      <c r="N32" s="6"/>
    </row>
    <row r="33" spans="3:14" ht="14.25">
      <c r="C33" s="6"/>
      <c r="D33" s="6"/>
      <c r="E33" s="6"/>
      <c r="F33" s="6"/>
      <c r="G33" s="6"/>
      <c r="H33" s="6"/>
      <c r="I33" s="6"/>
      <c r="J33" s="6"/>
      <c r="K33" s="6"/>
      <c r="L33" s="6"/>
      <c r="M33" s="6"/>
      <c r="N33" s="6"/>
    </row>
    <row r="34" spans="3:14" ht="14.25">
      <c r="C34" s="6"/>
      <c r="D34" s="6"/>
      <c r="E34" s="6"/>
      <c r="F34" s="6"/>
      <c r="G34" s="6"/>
      <c r="H34" s="6"/>
      <c r="I34" s="6"/>
      <c r="J34" s="6"/>
      <c r="K34" s="6"/>
      <c r="L34" s="6"/>
      <c r="M34" s="6"/>
      <c r="N34" s="6"/>
    </row>
    <row r="35" spans="3:14" ht="14.25">
      <c r="C35" s="6"/>
      <c r="E35" s="14"/>
      <c r="F35" s="14"/>
      <c r="G35" s="14"/>
      <c r="H35" s="14"/>
      <c r="I35" s="6"/>
      <c r="J35" s="6"/>
      <c r="K35" s="6"/>
      <c r="L35" s="6"/>
      <c r="M35" s="6"/>
      <c r="N35" s="6"/>
    </row>
    <row r="36" spans="3:14" ht="14.25">
      <c r="C36" s="6"/>
      <c r="D36" s="15"/>
      <c r="E36" s="15"/>
      <c r="F36" s="15"/>
      <c r="G36" s="15"/>
      <c r="H36" s="15"/>
      <c r="I36" s="6"/>
      <c r="J36" s="6"/>
      <c r="K36" s="6"/>
      <c r="L36" s="6"/>
      <c r="M36" s="6"/>
      <c r="N36" s="6"/>
    </row>
    <row r="37" spans="3:14" ht="14.25">
      <c r="C37" s="6"/>
      <c r="D37" s="6"/>
      <c r="E37" s="14"/>
      <c r="F37" s="15"/>
      <c r="G37" s="15"/>
      <c r="H37" s="15"/>
      <c r="I37" s="6"/>
      <c r="J37" s="6"/>
      <c r="K37" s="6"/>
      <c r="L37" s="6"/>
      <c r="M37" s="6"/>
      <c r="N37" s="6"/>
    </row>
    <row r="38" spans="3:14" ht="14.25">
      <c r="C38" s="6"/>
      <c r="D38" s="6"/>
      <c r="E38" s="15"/>
      <c r="F38" s="15"/>
      <c r="G38" s="15"/>
      <c r="H38" s="15"/>
      <c r="I38" s="6"/>
      <c r="J38" s="6"/>
      <c r="K38" s="6"/>
      <c r="L38" s="6"/>
      <c r="M38" s="6"/>
      <c r="N38" s="6"/>
    </row>
    <row r="39" spans="3:14" ht="14.25">
      <c r="C39" s="6"/>
      <c r="D39" s="6"/>
      <c r="E39" s="6"/>
      <c r="F39" s="6"/>
      <c r="G39" s="6"/>
      <c r="H39" s="6"/>
      <c r="I39" s="6"/>
      <c r="J39" s="6"/>
      <c r="K39" s="6"/>
      <c r="L39" s="6"/>
      <c r="M39" s="6"/>
      <c r="N39" s="6"/>
    </row>
    <row r="40" spans="3:14" ht="14.25">
      <c r="C40" s="6"/>
      <c r="D40" s="6"/>
      <c r="E40" s="6"/>
      <c r="F40" s="6"/>
      <c r="G40" s="6"/>
      <c r="H40" s="6"/>
      <c r="I40" s="6"/>
      <c r="J40" s="6"/>
      <c r="K40" s="6"/>
      <c r="L40" s="6"/>
      <c r="M40" s="6"/>
      <c r="N40" s="6"/>
    </row>
    <row r="41" spans="3:14" ht="14.25">
      <c r="C41" s="6"/>
      <c r="D41" s="6"/>
      <c r="E41" s="6"/>
      <c r="F41" s="6"/>
      <c r="G41" s="6"/>
      <c r="H41" s="6"/>
      <c r="I41" s="6"/>
      <c r="J41" s="6"/>
      <c r="K41" s="6"/>
      <c r="L41" s="6"/>
      <c r="M41" s="6"/>
      <c r="N41" s="6"/>
    </row>
    <row r="42" spans="3:14" ht="14.25">
      <c r="C42" s="6"/>
      <c r="D42" s="6"/>
      <c r="E42" s="6"/>
      <c r="F42" s="6"/>
      <c r="G42" s="6"/>
      <c r="H42" s="6"/>
      <c r="I42" s="6"/>
      <c r="J42" s="6"/>
      <c r="K42" s="6"/>
      <c r="L42" s="6"/>
      <c r="M42" s="6"/>
      <c r="N42" s="6"/>
    </row>
    <row r="43" spans="3:14" ht="14.25">
      <c r="C43" s="6"/>
      <c r="D43" s="6"/>
      <c r="E43" s="6"/>
      <c r="F43" s="6"/>
      <c r="G43" s="6"/>
      <c r="H43" s="6"/>
      <c r="I43" s="6"/>
      <c r="J43" s="6"/>
      <c r="K43" s="6"/>
      <c r="L43" s="6"/>
      <c r="M43" s="6"/>
      <c r="N43" s="6"/>
    </row>
    <row r="44" spans="3:14" ht="14.25">
      <c r="C44" s="6"/>
      <c r="D44" s="6"/>
      <c r="E44" s="6"/>
      <c r="F44" s="6"/>
      <c r="G44" s="6"/>
      <c r="H44" s="6"/>
      <c r="I44" s="6"/>
      <c r="J44" s="6"/>
      <c r="K44" s="6"/>
      <c r="L44" s="6"/>
      <c r="M44" s="6"/>
      <c r="N44" s="6"/>
    </row>
    <row r="45" spans="3:14" ht="14.25">
      <c r="C45" s="6"/>
      <c r="D45" s="6"/>
      <c r="E45" s="6"/>
      <c r="F45" s="6"/>
      <c r="G45" s="6"/>
      <c r="H45" s="6"/>
      <c r="I45" s="6"/>
      <c r="J45" s="6"/>
      <c r="K45" s="6"/>
      <c r="L45" s="6"/>
      <c r="M45" s="6"/>
      <c r="N45" s="6"/>
    </row>
    <row r="46" spans="3:14" ht="14.25">
      <c r="C46" s="6"/>
      <c r="D46" s="6"/>
      <c r="E46" s="6"/>
      <c r="F46" s="6"/>
      <c r="G46" s="6"/>
      <c r="H46" s="6"/>
      <c r="I46" s="6"/>
      <c r="J46" s="6"/>
      <c r="K46" s="6"/>
      <c r="L46" s="6"/>
      <c r="M46" s="6"/>
      <c r="N46" s="6"/>
    </row>
    <row r="47" spans="3:14" ht="14.25">
      <c r="C47" s="6"/>
      <c r="D47" s="6"/>
      <c r="E47" s="6"/>
      <c r="F47" s="6"/>
      <c r="G47" s="6"/>
      <c r="H47" s="6"/>
      <c r="I47" s="6"/>
      <c r="J47" s="6"/>
      <c r="K47" s="6"/>
      <c r="L47" s="6"/>
      <c r="M47" s="6"/>
      <c r="N47" s="6"/>
    </row>
    <row r="48" spans="3:14" ht="14.25">
      <c r="C48" s="6"/>
      <c r="D48" s="6"/>
      <c r="E48" s="6"/>
      <c r="F48" s="6"/>
      <c r="G48" s="6"/>
      <c r="H48" s="6"/>
      <c r="I48" s="6"/>
      <c r="J48" s="6"/>
      <c r="K48" s="6"/>
      <c r="L48" s="6"/>
      <c r="M48" s="6"/>
      <c r="N48" s="6"/>
    </row>
    <row r="49" spans="3:14" ht="14.25">
      <c r="C49" s="6"/>
      <c r="D49" s="6"/>
      <c r="E49" s="6"/>
      <c r="F49" s="6"/>
      <c r="G49" s="6"/>
      <c r="H49" s="6"/>
      <c r="I49" s="6"/>
      <c r="J49" s="6"/>
      <c r="K49" s="6"/>
      <c r="L49" s="6"/>
      <c r="M49" s="6"/>
      <c r="N49" s="6"/>
    </row>
    <row r="50" spans="3:14" ht="14.25">
      <c r="C50" s="6"/>
      <c r="D50" s="6"/>
      <c r="E50" s="6"/>
      <c r="F50" s="6"/>
      <c r="G50" s="6"/>
      <c r="H50" s="6"/>
      <c r="I50" s="6"/>
      <c r="J50" s="6"/>
      <c r="K50" s="6"/>
      <c r="L50" s="6"/>
      <c r="M50" s="6"/>
      <c r="N50" s="6"/>
    </row>
    <row r="51" spans="3:14" ht="14.25">
      <c r="C51" s="6"/>
      <c r="D51" s="6"/>
      <c r="E51" s="6"/>
      <c r="F51" s="6"/>
      <c r="G51" s="6"/>
      <c r="H51" s="6"/>
      <c r="I51" s="6"/>
      <c r="J51" s="6"/>
      <c r="K51" s="6"/>
      <c r="L51" s="6"/>
      <c r="M51" s="6"/>
      <c r="N51" s="6"/>
    </row>
    <row r="52" spans="3:14" ht="14.25">
      <c r="C52" s="6"/>
      <c r="D52" s="6"/>
      <c r="E52" s="6"/>
      <c r="F52" s="6"/>
      <c r="G52" s="6"/>
      <c r="H52" s="6"/>
      <c r="I52" s="6"/>
      <c r="J52" s="6"/>
      <c r="K52" s="6"/>
      <c r="L52" s="6"/>
      <c r="M52" s="6"/>
      <c r="N52" s="6"/>
    </row>
    <row r="53" spans="3:14" ht="14.25">
      <c r="C53" s="6"/>
      <c r="D53" s="6"/>
      <c r="E53" s="6"/>
      <c r="F53" s="6"/>
      <c r="G53" s="6"/>
      <c r="H53" s="6"/>
      <c r="I53" s="6"/>
      <c r="J53" s="6"/>
      <c r="K53" s="6"/>
      <c r="L53" s="6"/>
      <c r="M53" s="6"/>
      <c r="N53" s="6"/>
    </row>
    <row r="54" spans="3:14" ht="14.25">
      <c r="C54" s="6"/>
      <c r="D54" s="6"/>
      <c r="E54" s="6"/>
      <c r="F54" s="6"/>
      <c r="G54" s="6"/>
      <c r="H54" s="6"/>
      <c r="I54" s="6"/>
      <c r="J54" s="6"/>
      <c r="K54" s="6"/>
      <c r="L54" s="6"/>
      <c r="M54" s="6"/>
      <c r="N54" s="6"/>
    </row>
    <row r="55" spans="3:14" ht="14.25">
      <c r="C55" s="6"/>
      <c r="D55" s="6"/>
      <c r="E55" s="6"/>
      <c r="F55" s="6"/>
      <c r="G55" s="6"/>
      <c r="H55" s="6"/>
      <c r="I55" s="6"/>
      <c r="J55" s="6"/>
      <c r="K55" s="6"/>
      <c r="L55" s="6"/>
      <c r="M55" s="6"/>
      <c r="N55" s="6"/>
    </row>
    <row r="56" spans="3:14" ht="14.25">
      <c r="C56" s="6"/>
      <c r="D56" s="6"/>
      <c r="E56" s="6"/>
      <c r="F56" s="6"/>
      <c r="G56" s="6"/>
      <c r="H56" s="6"/>
      <c r="I56" s="6"/>
      <c r="J56" s="6"/>
      <c r="K56" s="6"/>
      <c r="L56" s="6"/>
      <c r="M56" s="6"/>
      <c r="N56" s="6"/>
    </row>
    <row r="57" spans="3:14" ht="14.25">
      <c r="C57" s="6"/>
      <c r="D57" s="6"/>
      <c r="E57" s="6"/>
      <c r="F57" s="6"/>
      <c r="G57" s="6"/>
      <c r="H57" s="6"/>
      <c r="I57" s="6"/>
      <c r="J57" s="6"/>
      <c r="K57" s="6"/>
      <c r="L57" s="6"/>
      <c r="M57" s="6"/>
      <c r="N57" s="6"/>
    </row>
    <row r="58" spans="3:14" ht="14.25">
      <c r="C58" s="6"/>
      <c r="D58" s="6"/>
      <c r="E58" s="6"/>
      <c r="F58" s="6"/>
      <c r="G58" s="6"/>
      <c r="H58" s="6"/>
      <c r="I58" s="6"/>
      <c r="J58" s="6"/>
      <c r="K58" s="6"/>
      <c r="L58" s="6"/>
      <c r="M58" s="6"/>
      <c r="N58" s="6"/>
    </row>
    <row r="59" spans="3:14" ht="14.25">
      <c r="C59" s="6"/>
      <c r="D59" s="6"/>
      <c r="E59" s="6"/>
      <c r="F59" s="6"/>
      <c r="G59" s="6"/>
      <c r="H59" s="6"/>
      <c r="I59" s="6"/>
      <c r="J59" s="6"/>
      <c r="K59" s="6"/>
      <c r="L59" s="6"/>
      <c r="M59" s="6"/>
      <c r="N59" s="6"/>
    </row>
    <row r="60" spans="3:14" ht="14.25">
      <c r="C60" s="6"/>
      <c r="D60" s="6"/>
      <c r="E60" s="6"/>
      <c r="F60" s="6"/>
      <c r="G60" s="6"/>
      <c r="H60" s="6"/>
      <c r="I60" s="6"/>
      <c r="J60" s="6"/>
      <c r="K60" s="6"/>
      <c r="L60" s="6"/>
      <c r="M60" s="6"/>
      <c r="N60" s="6"/>
    </row>
    <row r="61" spans="3:14" ht="14.25">
      <c r="C61" s="6"/>
      <c r="D61" s="6"/>
      <c r="E61" s="6"/>
      <c r="F61" s="6"/>
      <c r="G61" s="6"/>
      <c r="H61" s="6"/>
      <c r="I61" s="6"/>
      <c r="J61" s="6"/>
      <c r="K61" s="6"/>
      <c r="L61" s="6"/>
      <c r="M61" s="6"/>
      <c r="N61" s="6"/>
    </row>
    <row r="62" spans="3:14" ht="14.25">
      <c r="C62" s="6"/>
      <c r="D62" s="6"/>
      <c r="E62" s="6"/>
      <c r="F62" s="6"/>
      <c r="G62" s="6"/>
      <c r="H62" s="6"/>
      <c r="I62" s="6"/>
      <c r="J62" s="6"/>
      <c r="K62" s="6"/>
      <c r="L62" s="6"/>
      <c r="M62" s="6"/>
      <c r="N62" s="6"/>
    </row>
    <row r="63" spans="3:14" ht="14.25">
      <c r="C63" s="6"/>
      <c r="D63" s="6"/>
      <c r="E63" s="6"/>
      <c r="F63" s="6"/>
      <c r="G63" s="6"/>
      <c r="H63" s="6"/>
      <c r="I63" s="6"/>
      <c r="J63" s="6"/>
      <c r="K63" s="6"/>
      <c r="L63" s="6"/>
      <c r="M63" s="6"/>
      <c r="N63" s="6"/>
    </row>
    <row r="64" spans="3:14" ht="14.25">
      <c r="C64" s="6"/>
      <c r="D64" s="6"/>
      <c r="E64" s="6"/>
      <c r="F64" s="6"/>
      <c r="G64" s="6"/>
      <c r="H64" s="6"/>
      <c r="I64" s="6"/>
      <c r="J64" s="6"/>
      <c r="K64" s="6"/>
      <c r="L64" s="6"/>
      <c r="M64" s="6"/>
      <c r="N64" s="6"/>
    </row>
    <row r="65" spans="3:14" ht="14.25">
      <c r="C65" s="6"/>
      <c r="D65" s="6"/>
      <c r="E65" s="6"/>
      <c r="F65" s="6"/>
      <c r="G65" s="6"/>
      <c r="H65" s="6"/>
      <c r="I65" s="6"/>
      <c r="J65" s="6"/>
      <c r="K65" s="6"/>
      <c r="L65" s="6"/>
      <c r="M65" s="6"/>
      <c r="N65" s="6"/>
    </row>
    <row r="66" spans="3:14" ht="14.25">
      <c r="C66" s="6"/>
      <c r="D66" s="6"/>
      <c r="E66" s="6"/>
      <c r="F66" s="6"/>
      <c r="G66" s="6"/>
      <c r="H66" s="6"/>
      <c r="I66" s="6"/>
      <c r="J66" s="6"/>
      <c r="K66" s="6"/>
      <c r="L66" s="6"/>
      <c r="M66" s="6"/>
      <c r="N66" s="6"/>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422"/>
  <sheetViews>
    <sheetView topLeftCell="A16" zoomScale="97" workbookViewId="0">
      <selection activeCell="E24" sqref="E24"/>
    </sheetView>
  </sheetViews>
  <sheetFormatPr defaultColWidth="11" defaultRowHeight="13.5"/>
  <cols>
    <col min="1" max="1" width="6.4375" style="179" customWidth="1"/>
    <col min="2" max="4" width="14.125" style="179" customWidth="1"/>
    <col min="5" max="5" width="26.4375" style="506" customWidth="1"/>
    <col min="6" max="7" width="21.875" style="179" customWidth="1"/>
    <col min="8" max="8" width="39.3125" style="179" customWidth="1"/>
    <col min="9" max="9" width="13.5625" style="179" customWidth="1"/>
    <col min="10" max="10" width="11" style="179"/>
    <col min="11" max="11" width="13.6875" style="179" customWidth="1"/>
    <col min="12" max="13" width="11" style="179"/>
    <col min="14" max="14" width="15.3125" style="179" customWidth="1"/>
    <col min="15" max="15" width="15.125" style="179" customWidth="1"/>
    <col min="16" max="17" width="11" style="179"/>
    <col min="18" max="18" width="16.3125" style="179" customWidth="1"/>
    <col min="19" max="16384" width="11" style="179"/>
  </cols>
  <sheetData>
    <row r="1" spans="1:28" ht="13.9">
      <c r="A1" s="485"/>
      <c r="B1" s="486"/>
      <c r="C1" s="486"/>
      <c r="D1" s="486"/>
      <c r="E1" s="502"/>
      <c r="F1" s="487" t="s">
        <v>72</v>
      </c>
      <c r="G1" s="488" t="s">
        <v>58</v>
      </c>
      <c r="H1" s="488" t="s">
        <v>73</v>
      </c>
      <c r="I1" s="485"/>
    </row>
    <row r="2" spans="1:28" ht="15.4">
      <c r="A2" s="485"/>
      <c r="B2" s="486"/>
      <c r="C2" s="486"/>
      <c r="D2" s="486"/>
      <c r="E2" s="503">
        <v>1</v>
      </c>
      <c r="F2" s="397" t="s">
        <v>152</v>
      </c>
      <c r="G2" s="397">
        <v>239</v>
      </c>
      <c r="H2" s="397">
        <v>15</v>
      </c>
      <c r="I2" s="485"/>
      <c r="J2" s="84"/>
      <c r="K2" s="165" t="s">
        <v>0</v>
      </c>
      <c r="L2" s="84"/>
      <c r="M2" s="84"/>
      <c r="N2" s="84"/>
      <c r="O2" s="84"/>
      <c r="P2" s="84"/>
      <c r="Q2" s="84"/>
      <c r="R2" s="84"/>
      <c r="S2" s="84"/>
    </row>
    <row r="3" spans="1:28" ht="15.4">
      <c r="A3" s="485"/>
      <c r="B3" s="486"/>
      <c r="C3" s="486"/>
      <c r="D3" s="486"/>
      <c r="E3" s="503">
        <v>2</v>
      </c>
      <c r="F3" s="397"/>
      <c r="G3" s="397"/>
      <c r="H3" s="397"/>
      <c r="I3" s="485"/>
      <c r="J3" s="84"/>
      <c r="K3" s="92" t="s">
        <v>2</v>
      </c>
      <c r="L3" s="92" t="e">
        <f>COUNTIF(#REF!, "Female")</f>
        <v>#REF!</v>
      </c>
      <c r="M3" s="84"/>
      <c r="N3" s="84"/>
      <c r="O3" s="84"/>
      <c r="P3" s="84"/>
      <c r="Q3" s="84"/>
      <c r="R3" s="84"/>
      <c r="S3" s="84"/>
    </row>
    <row r="4" spans="1:28" ht="15.4">
      <c r="A4" s="84"/>
      <c r="B4" s="85"/>
      <c r="C4" s="85"/>
      <c r="D4" s="85"/>
      <c r="E4" s="503">
        <v>3</v>
      </c>
      <c r="F4" s="397"/>
      <c r="G4" s="397"/>
      <c r="H4" s="489"/>
      <c r="I4" s="490"/>
      <c r="J4" s="84"/>
      <c r="K4" s="92" t="s">
        <v>4</v>
      </c>
      <c r="L4" s="92" t="e">
        <f>COUNTIF(#REF!, "Male")</f>
        <v>#REF!</v>
      </c>
      <c r="M4" s="84"/>
      <c r="N4" s="84"/>
      <c r="O4" s="84"/>
      <c r="P4" s="84"/>
      <c r="Q4" s="84"/>
      <c r="R4" s="84"/>
      <c r="S4" s="84"/>
      <c r="T4" s="84"/>
      <c r="U4" s="84"/>
      <c r="V4" s="84"/>
      <c r="W4" s="84"/>
      <c r="X4" s="84"/>
      <c r="Y4" s="84"/>
      <c r="Z4" s="84"/>
      <c r="AA4" s="84"/>
      <c r="AB4" s="84"/>
    </row>
    <row r="5" spans="1:28" ht="15.4">
      <c r="A5" s="84"/>
      <c r="B5" s="85"/>
      <c r="C5" s="85"/>
      <c r="D5" s="85"/>
      <c r="E5" s="503">
        <v>4</v>
      </c>
      <c r="F5" s="398"/>
      <c r="G5" s="398"/>
      <c r="H5" s="398"/>
      <c r="I5" s="491"/>
      <c r="J5" s="84"/>
      <c r="K5" s="457" t="s">
        <v>89</v>
      </c>
      <c r="L5" s="457" t="e">
        <f>SUM(L3:L4)</f>
        <v>#REF!</v>
      </c>
      <c r="M5" s="458" t="e">
        <f>G13=L5</f>
        <v>#REF!</v>
      </c>
      <c r="N5" s="84"/>
      <c r="O5" s="84"/>
      <c r="P5" s="84"/>
      <c r="Q5" s="84"/>
      <c r="R5" s="84"/>
      <c r="S5" s="84"/>
      <c r="T5" s="84"/>
      <c r="U5" s="84"/>
      <c r="V5" s="84"/>
      <c r="W5" s="84"/>
      <c r="X5" s="84"/>
      <c r="Y5" s="84"/>
      <c r="Z5" s="84"/>
      <c r="AA5" s="84"/>
      <c r="AB5" s="84"/>
    </row>
    <row r="6" spans="1:28" ht="15.4">
      <c r="A6" s="84"/>
      <c r="B6" s="85"/>
      <c r="C6" s="85"/>
      <c r="D6" s="85"/>
      <c r="E6" s="503">
        <v>5</v>
      </c>
      <c r="F6" s="398"/>
      <c r="G6" s="398"/>
      <c r="H6" s="398"/>
      <c r="I6" s="492"/>
      <c r="J6" s="84"/>
      <c r="K6" s="84"/>
      <c r="L6" s="84"/>
      <c r="M6" s="84"/>
      <c r="N6" s="84"/>
      <c r="O6" s="84"/>
      <c r="P6" s="84"/>
      <c r="Q6" s="84"/>
      <c r="R6" s="84"/>
      <c r="S6" s="84"/>
      <c r="T6" s="84"/>
      <c r="U6" s="84"/>
      <c r="V6" s="84"/>
      <c r="W6" s="84"/>
      <c r="X6" s="84"/>
      <c r="Y6" s="84"/>
      <c r="Z6" s="84"/>
      <c r="AA6" s="84"/>
      <c r="AB6" s="84"/>
    </row>
    <row r="7" spans="1:28" ht="15.4">
      <c r="A7" s="84"/>
      <c r="B7" s="85"/>
      <c r="C7" s="85"/>
      <c r="D7" s="85"/>
      <c r="E7" s="502">
        <v>6</v>
      </c>
      <c r="F7" s="397"/>
      <c r="G7" s="397"/>
      <c r="H7" s="397"/>
      <c r="I7" s="492"/>
      <c r="J7" s="84"/>
      <c r="K7" s="84"/>
      <c r="L7" s="84"/>
      <c r="M7" s="84"/>
      <c r="N7" s="84"/>
      <c r="O7" s="84"/>
      <c r="P7" s="84"/>
      <c r="Q7" s="84"/>
      <c r="R7" s="84"/>
      <c r="S7" s="84"/>
      <c r="T7" s="84"/>
      <c r="U7" s="84"/>
      <c r="V7" s="84"/>
      <c r="W7" s="84"/>
      <c r="X7" s="84"/>
      <c r="Y7" s="84"/>
      <c r="Z7" s="84"/>
      <c r="AA7" s="84"/>
      <c r="AB7" s="84"/>
    </row>
    <row r="8" spans="1:28" ht="15.4">
      <c r="A8" s="84"/>
      <c r="B8" s="85"/>
      <c r="C8" s="85"/>
      <c r="D8" s="85"/>
      <c r="E8" s="502">
        <v>7</v>
      </c>
      <c r="F8" s="397"/>
      <c r="G8" s="397"/>
      <c r="H8" s="397"/>
      <c r="I8" s="493"/>
      <c r="J8" s="84"/>
      <c r="K8" s="84"/>
      <c r="L8" s="84"/>
      <c r="M8" s="84"/>
      <c r="N8" s="84"/>
      <c r="O8" s="84"/>
      <c r="P8" s="84"/>
      <c r="Q8" s="84"/>
      <c r="R8" s="84"/>
      <c r="S8" s="84"/>
      <c r="T8" s="84"/>
      <c r="U8" s="84"/>
      <c r="V8" s="84"/>
      <c r="W8" s="84"/>
      <c r="X8" s="84"/>
      <c r="Y8" s="84"/>
      <c r="Z8" s="84"/>
      <c r="AA8" s="84"/>
      <c r="AB8" s="84"/>
    </row>
    <row r="9" spans="1:28" ht="14.25">
      <c r="A9" s="84"/>
      <c r="B9" s="85"/>
      <c r="C9" s="85"/>
      <c r="D9" s="85"/>
      <c r="E9" s="502">
        <v>8</v>
      </c>
      <c r="F9" s="494"/>
      <c r="G9" s="494"/>
      <c r="H9" s="494"/>
      <c r="I9" s="491"/>
      <c r="J9" s="84"/>
      <c r="K9" s="84"/>
      <c r="L9" s="84"/>
      <c r="M9" s="84"/>
      <c r="N9" s="84"/>
      <c r="O9" s="84"/>
      <c r="P9" s="84"/>
      <c r="Q9" s="84"/>
      <c r="R9" s="84"/>
      <c r="S9" s="84"/>
      <c r="T9" s="84"/>
      <c r="U9" s="84"/>
      <c r="V9" s="84"/>
      <c r="W9" s="84"/>
      <c r="X9" s="84"/>
      <c r="Y9" s="84"/>
      <c r="Z9" s="84"/>
      <c r="AA9" s="84"/>
      <c r="AB9" s="84"/>
    </row>
    <row r="10" spans="1:28" ht="14.25">
      <c r="A10" s="84"/>
      <c r="B10" s="85"/>
      <c r="C10" s="85"/>
      <c r="D10" s="85"/>
      <c r="E10" s="502">
        <v>9</v>
      </c>
      <c r="F10" s="483"/>
      <c r="G10" s="494"/>
      <c r="H10" s="495"/>
      <c r="I10" s="496"/>
      <c r="T10" s="84"/>
      <c r="U10" s="84"/>
      <c r="V10" s="84"/>
      <c r="W10" s="84"/>
      <c r="X10" s="84"/>
      <c r="Y10" s="84"/>
      <c r="Z10" s="84"/>
      <c r="AA10" s="84"/>
      <c r="AB10" s="84"/>
    </row>
    <row r="11" spans="1:28" ht="14.25">
      <c r="A11" s="84"/>
      <c r="B11" s="85"/>
      <c r="C11" s="85"/>
      <c r="D11" s="85"/>
      <c r="E11" s="504"/>
      <c r="F11" s="165"/>
      <c r="G11" s="491"/>
      <c r="H11" s="490"/>
      <c r="I11" s="490"/>
      <c r="J11" s="84"/>
      <c r="K11" s="84"/>
      <c r="L11" s="84"/>
      <c r="M11" s="84"/>
      <c r="N11" s="84"/>
      <c r="O11" s="84"/>
      <c r="P11" s="84"/>
      <c r="Q11" s="84"/>
      <c r="R11" s="84"/>
      <c r="S11" s="84"/>
      <c r="T11" s="84"/>
      <c r="U11" s="84"/>
      <c r="V11" s="84"/>
      <c r="W11" s="84"/>
      <c r="X11" s="84"/>
      <c r="Y11" s="84"/>
      <c r="Z11" s="84"/>
      <c r="AA11" s="84"/>
      <c r="AB11" s="84"/>
    </row>
    <row r="12" spans="1:28" ht="14.25">
      <c r="A12" s="86"/>
      <c r="B12" s="87"/>
      <c r="C12" s="87"/>
      <c r="D12" s="87"/>
      <c r="E12" s="505"/>
      <c r="F12" s="90" t="s">
        <v>21</v>
      </c>
      <c r="G12" s="491"/>
      <c r="H12" s="497"/>
      <c r="I12" s="497"/>
      <c r="J12" s="497"/>
      <c r="K12" s="497"/>
      <c r="L12" s="497"/>
      <c r="M12" s="88"/>
      <c r="N12" s="88"/>
      <c r="O12" s="88"/>
      <c r="P12" s="88"/>
      <c r="Q12" s="89"/>
      <c r="R12" s="88"/>
      <c r="S12" s="89"/>
      <c r="T12" s="84"/>
      <c r="U12" s="84"/>
      <c r="V12" s="84"/>
      <c r="W12" s="84"/>
      <c r="X12" s="84"/>
      <c r="Y12" s="84"/>
      <c r="Z12" s="84"/>
      <c r="AA12" s="84"/>
      <c r="AB12" s="84"/>
    </row>
    <row r="13" spans="1:28" ht="14.25">
      <c r="A13" s="86"/>
      <c r="B13" s="87"/>
      <c r="C13" s="87"/>
      <c r="D13" s="87"/>
      <c r="E13" s="505"/>
      <c r="F13" s="90" t="s">
        <v>22</v>
      </c>
      <c r="G13" s="91">
        <f>SUM(H2:H10)</f>
        <v>15</v>
      </c>
      <c r="H13" s="497" t="e">
        <f>G13=#REF!</f>
        <v>#REF!</v>
      </c>
      <c r="I13" s="497"/>
      <c r="J13" s="497"/>
      <c r="K13" s="497"/>
      <c r="L13" s="497"/>
      <c r="M13" s="88"/>
      <c r="N13" s="88"/>
      <c r="O13" s="88"/>
      <c r="P13" s="88"/>
      <c r="Q13" s="89"/>
      <c r="R13" s="88"/>
      <c r="S13" s="89"/>
      <c r="T13" s="84"/>
      <c r="U13" s="84"/>
      <c r="V13" s="84"/>
      <c r="W13" s="84"/>
      <c r="X13" s="84"/>
      <c r="Y13" s="84"/>
      <c r="Z13" s="84"/>
      <c r="AA13" s="84"/>
      <c r="AB13" s="84"/>
    </row>
    <row r="14" spans="1:28" ht="14.65" thickBot="1">
      <c r="A14" s="86"/>
      <c r="B14" s="87"/>
      <c r="C14" s="87"/>
      <c r="D14" s="87"/>
      <c r="E14" s="504"/>
      <c r="F14" s="88"/>
      <c r="G14" s="90"/>
      <c r="H14" s="498"/>
      <c r="I14" s="498"/>
      <c r="J14" s="498"/>
      <c r="K14" s="498"/>
      <c r="L14" s="498"/>
      <c r="M14" s="88"/>
      <c r="N14" s="88"/>
      <c r="O14" s="88"/>
      <c r="P14" s="88"/>
      <c r="Q14" s="89"/>
      <c r="R14" s="88"/>
      <c r="S14" s="89"/>
      <c r="T14" s="84"/>
      <c r="U14" s="84"/>
      <c r="V14" s="84"/>
      <c r="W14" s="84"/>
      <c r="X14" s="84"/>
      <c r="Y14" s="84"/>
      <c r="Z14" s="84"/>
      <c r="AA14" s="84"/>
      <c r="AB14" s="84"/>
    </row>
    <row r="15" spans="1:28" ht="85.05" customHeight="1" thickBot="1">
      <c r="A15" s="705" t="s">
        <v>23</v>
      </c>
      <c r="B15" s="707" t="s">
        <v>24</v>
      </c>
      <c r="C15" s="707" t="s">
        <v>25</v>
      </c>
      <c r="D15" s="477"/>
      <c r="E15" s="723" t="s">
        <v>25</v>
      </c>
      <c r="F15" s="711" t="s">
        <v>0</v>
      </c>
      <c r="G15" s="709" t="s">
        <v>26</v>
      </c>
      <c r="H15" s="166" t="s">
        <v>27</v>
      </c>
      <c r="I15" s="716" t="s">
        <v>69</v>
      </c>
      <c r="J15" s="717"/>
      <c r="K15" s="718"/>
      <c r="L15" s="713" t="s">
        <v>28</v>
      </c>
      <c r="M15" s="714"/>
      <c r="N15" s="714"/>
      <c r="O15" s="714"/>
      <c r="P15" s="715"/>
      <c r="Q15" s="720" t="s">
        <v>31</v>
      </c>
      <c r="R15" s="711" t="s">
        <v>29</v>
      </c>
      <c r="S15" s="720" t="s">
        <v>30</v>
      </c>
      <c r="T15" s="84"/>
      <c r="U15" s="84"/>
      <c r="V15" s="84"/>
      <c r="W15" s="84"/>
      <c r="X15" s="84"/>
      <c r="Y15" s="84"/>
      <c r="Z15" s="84"/>
      <c r="AA15" s="84"/>
      <c r="AB15" s="84"/>
    </row>
    <row r="16" spans="1:28" ht="81.5" customHeight="1" thickBot="1">
      <c r="A16" s="706"/>
      <c r="B16" s="708"/>
      <c r="C16" s="719"/>
      <c r="D16" s="478"/>
      <c r="E16" s="724"/>
      <c r="F16" s="712"/>
      <c r="G16" s="710"/>
      <c r="H16" s="484"/>
      <c r="I16" s="499" t="str">
        <f>'One year follow-up_inperson'!H22</f>
        <v>Increase in self-awareness and confidence</v>
      </c>
      <c r="J16" s="500" t="str">
        <f>'One year follow-up_inperson'!I22</f>
        <v xml:space="preserve">Increase in decision making power </v>
      </c>
      <c r="K16" s="499" t="str">
        <f>'One year follow-up_inperson'!J22</f>
        <v xml:space="preserve">Increase in resilience </v>
      </c>
      <c r="L16" s="501" t="s">
        <v>87</v>
      </c>
      <c r="M16" s="377" t="s">
        <v>94</v>
      </c>
      <c r="N16" s="377" t="s">
        <v>95</v>
      </c>
      <c r="O16" s="378" t="s">
        <v>96</v>
      </c>
      <c r="P16" s="377" t="s">
        <v>97</v>
      </c>
      <c r="Q16" s="721"/>
      <c r="R16" s="722"/>
      <c r="S16" s="721"/>
      <c r="T16" s="84"/>
      <c r="U16" s="84"/>
      <c r="V16" s="84"/>
      <c r="W16" s="84"/>
      <c r="X16" s="84"/>
      <c r="Y16" s="84"/>
      <c r="Z16" s="84"/>
      <c r="AA16" s="84"/>
      <c r="AB16" s="84"/>
    </row>
    <row r="17" spans="1:28" ht="14.25">
      <c r="A17" s="84"/>
      <c r="B17" s="85"/>
      <c r="C17" s="85"/>
      <c r="D17" s="85"/>
      <c r="E17" s="504"/>
      <c r="F17" s="84"/>
      <c r="G17" s="84"/>
      <c r="H17" s="490"/>
      <c r="I17" s="490"/>
      <c r="J17" s="490"/>
      <c r="K17" s="490"/>
      <c r="L17" s="490"/>
      <c r="M17" s="84"/>
      <c r="N17" s="84"/>
      <c r="O17" s="84"/>
      <c r="P17" s="84"/>
      <c r="Q17" s="85"/>
      <c r="R17" s="84"/>
      <c r="S17" s="85"/>
      <c r="T17" s="84"/>
      <c r="U17" s="84"/>
      <c r="V17" s="84"/>
      <c r="W17" s="84"/>
      <c r="X17" s="84"/>
      <c r="Y17" s="84"/>
      <c r="Z17" s="84"/>
      <c r="AA17" s="84"/>
      <c r="AB17" s="84"/>
    </row>
    <row r="18" spans="1:28" ht="14.25">
      <c r="A18" s="84"/>
      <c r="B18" s="85"/>
      <c r="C18" s="85"/>
      <c r="D18" s="85"/>
      <c r="E18" s="504"/>
      <c r="F18" s="84"/>
      <c r="G18" s="84"/>
      <c r="H18" s="490"/>
      <c r="I18" s="490"/>
      <c r="J18" s="490"/>
      <c r="K18" s="490"/>
      <c r="L18" s="490"/>
      <c r="M18" s="84"/>
      <c r="N18" s="84"/>
      <c r="O18" s="84"/>
      <c r="P18" s="84"/>
      <c r="Q18" s="85"/>
      <c r="R18" s="84"/>
      <c r="S18" s="85"/>
      <c r="T18" s="84"/>
      <c r="U18" s="84"/>
      <c r="V18" s="84"/>
      <c r="W18" s="84"/>
      <c r="X18" s="84"/>
      <c r="Y18" s="84"/>
      <c r="Z18" s="84"/>
      <c r="AA18" s="84"/>
      <c r="AB18" s="84"/>
    </row>
    <row r="19" spans="1:28" ht="14.25">
      <c r="A19" s="84"/>
      <c r="B19" s="85"/>
      <c r="C19" s="85"/>
      <c r="D19" s="85"/>
      <c r="E19" s="504"/>
      <c r="F19" s="84"/>
      <c r="G19" s="84"/>
      <c r="H19" s="490"/>
      <c r="I19" s="490"/>
      <c r="J19" s="490"/>
      <c r="K19" s="490"/>
      <c r="L19" s="490"/>
      <c r="M19" s="84"/>
      <c r="N19" s="84"/>
      <c r="O19" s="84"/>
      <c r="P19" s="84"/>
      <c r="Q19" s="85"/>
      <c r="R19" s="84"/>
      <c r="S19" s="85"/>
      <c r="T19" s="84"/>
      <c r="U19" s="84"/>
      <c r="V19" s="84"/>
      <c r="W19" s="84"/>
      <c r="X19" s="84"/>
      <c r="Y19" s="84"/>
      <c r="Z19" s="84"/>
      <c r="AA19" s="84"/>
      <c r="AB19" s="84"/>
    </row>
    <row r="20" spans="1:28" ht="14.25">
      <c r="A20" s="84"/>
      <c r="B20" s="85"/>
      <c r="C20" s="85"/>
      <c r="D20" s="85"/>
      <c r="E20" s="504"/>
      <c r="F20" s="84"/>
      <c r="G20" s="84"/>
      <c r="H20" s="490"/>
      <c r="I20" s="490"/>
      <c r="J20" s="490"/>
      <c r="K20" s="490"/>
      <c r="L20" s="490"/>
      <c r="M20" s="84"/>
      <c r="N20" s="84"/>
      <c r="O20" s="84"/>
      <c r="P20" s="84"/>
      <c r="Q20" s="85"/>
      <c r="R20" s="84"/>
      <c r="S20" s="85"/>
      <c r="T20" s="84"/>
      <c r="U20" s="84"/>
      <c r="V20" s="84"/>
      <c r="W20" s="84"/>
      <c r="X20" s="84"/>
      <c r="Y20" s="84"/>
      <c r="Z20" s="84"/>
      <c r="AA20" s="84"/>
      <c r="AB20" s="84"/>
    </row>
    <row r="21" spans="1:28" ht="14.25">
      <c r="A21" s="84"/>
      <c r="B21" s="85"/>
      <c r="C21" s="85"/>
      <c r="D21" s="85"/>
      <c r="E21" s="504"/>
      <c r="F21" s="84"/>
      <c r="G21" s="84"/>
      <c r="H21" s="490"/>
      <c r="I21" s="490"/>
      <c r="J21" s="490"/>
      <c r="K21" s="490"/>
      <c r="L21" s="490"/>
      <c r="M21" s="84"/>
      <c r="N21" s="84"/>
      <c r="O21" s="84"/>
      <c r="P21" s="84"/>
      <c r="Q21" s="85"/>
      <c r="R21" s="84"/>
      <c r="S21" s="85"/>
      <c r="T21" s="84"/>
      <c r="U21" s="84"/>
      <c r="V21" s="84"/>
      <c r="W21" s="84"/>
      <c r="X21" s="84"/>
      <c r="Y21" s="84"/>
      <c r="Z21" s="84"/>
      <c r="AA21" s="84"/>
      <c r="AB21" s="84"/>
    </row>
    <row r="22" spans="1:28" ht="14.25">
      <c r="A22" s="84"/>
      <c r="B22" s="85"/>
      <c r="C22" s="85"/>
      <c r="D22" s="85"/>
      <c r="E22" s="504"/>
      <c r="F22" s="84"/>
      <c r="G22" s="84"/>
      <c r="H22" s="490"/>
      <c r="I22" s="490"/>
      <c r="J22" s="490"/>
      <c r="K22" s="490"/>
      <c r="L22" s="490"/>
      <c r="M22" s="84"/>
      <c r="N22" s="84"/>
      <c r="O22" s="84"/>
      <c r="P22" s="84"/>
      <c r="Q22" s="85"/>
      <c r="R22" s="84"/>
      <c r="S22" s="85"/>
      <c r="T22" s="84"/>
      <c r="U22" s="84"/>
      <c r="V22" s="84"/>
      <c r="W22" s="84"/>
      <c r="X22" s="84"/>
      <c r="Y22" s="84"/>
      <c r="Z22" s="84"/>
      <c r="AA22" s="84"/>
      <c r="AB22" s="84"/>
    </row>
    <row r="23" spans="1:28" ht="14.25">
      <c r="A23" s="84"/>
      <c r="B23" s="85"/>
      <c r="C23" s="85"/>
      <c r="D23" s="85"/>
      <c r="E23" s="504"/>
      <c r="F23" s="84"/>
      <c r="G23" s="84"/>
      <c r="H23" s="490"/>
      <c r="I23" s="490"/>
      <c r="J23" s="490"/>
      <c r="K23" s="490"/>
      <c r="L23" s="490"/>
      <c r="M23" s="84"/>
      <c r="N23" s="84"/>
      <c r="O23" s="84"/>
      <c r="P23" s="84"/>
      <c r="Q23" s="85"/>
      <c r="R23" s="84"/>
      <c r="S23" s="85"/>
      <c r="T23" s="84"/>
      <c r="U23" s="84"/>
      <c r="V23" s="84"/>
      <c r="W23" s="84"/>
      <c r="X23" s="84"/>
      <c r="Y23" s="84"/>
      <c r="Z23" s="84"/>
      <c r="AA23" s="84"/>
      <c r="AB23" s="84"/>
    </row>
    <row r="24" spans="1:28" ht="14.25">
      <c r="A24" s="84"/>
      <c r="B24" s="85"/>
      <c r="C24" s="85"/>
      <c r="D24" s="85"/>
      <c r="E24" s="504"/>
      <c r="F24" s="84"/>
      <c r="G24" s="84"/>
      <c r="H24" s="490"/>
      <c r="I24" s="490"/>
      <c r="J24" s="490"/>
      <c r="K24" s="490"/>
      <c r="L24" s="490"/>
      <c r="M24" s="84"/>
      <c r="N24" s="84"/>
      <c r="O24" s="84"/>
      <c r="P24" s="84"/>
      <c r="Q24" s="85"/>
      <c r="R24" s="84"/>
      <c r="S24" s="85"/>
      <c r="T24" s="84"/>
      <c r="U24" s="84"/>
      <c r="V24" s="84"/>
      <c r="W24" s="84"/>
      <c r="X24" s="84"/>
      <c r="Y24" s="84"/>
      <c r="Z24" s="84"/>
      <c r="AA24" s="84"/>
      <c r="AB24" s="84"/>
    </row>
    <row r="25" spans="1:28" ht="14.25">
      <c r="A25" s="84"/>
      <c r="B25" s="85"/>
      <c r="C25" s="85"/>
      <c r="D25" s="85"/>
      <c r="E25" s="504"/>
      <c r="F25" s="84"/>
      <c r="G25" s="84"/>
      <c r="H25" s="490"/>
      <c r="I25" s="490"/>
      <c r="J25" s="490"/>
      <c r="K25" s="490"/>
      <c r="L25" s="490"/>
      <c r="M25" s="84"/>
      <c r="N25" s="84"/>
      <c r="O25" s="84"/>
      <c r="P25" s="84"/>
      <c r="Q25" s="85"/>
      <c r="R25" s="84"/>
      <c r="S25" s="85"/>
      <c r="T25" s="84"/>
      <c r="U25" s="84"/>
      <c r="V25" s="84"/>
      <c r="W25" s="84"/>
      <c r="X25" s="84"/>
      <c r="Y25" s="84"/>
      <c r="Z25" s="84"/>
      <c r="AA25" s="84"/>
      <c r="AB25" s="84"/>
    </row>
    <row r="26" spans="1:28" ht="14.25">
      <c r="A26" s="84"/>
      <c r="B26" s="85"/>
      <c r="C26" s="85"/>
      <c r="D26" s="85"/>
      <c r="E26" s="504"/>
      <c r="F26" s="84"/>
      <c r="G26" s="84"/>
      <c r="H26" s="490"/>
      <c r="I26" s="490"/>
      <c r="J26" s="490"/>
      <c r="K26" s="490"/>
      <c r="L26" s="490"/>
      <c r="M26" s="84"/>
      <c r="N26" s="84"/>
      <c r="O26" s="84"/>
      <c r="P26" s="84"/>
      <c r="Q26" s="85"/>
      <c r="R26" s="84"/>
      <c r="S26" s="85"/>
      <c r="T26" s="84"/>
      <c r="U26" s="84"/>
      <c r="V26" s="84"/>
      <c r="W26" s="84"/>
      <c r="X26" s="84"/>
      <c r="Y26" s="84"/>
      <c r="Z26" s="84"/>
      <c r="AA26" s="84"/>
      <c r="AB26" s="84"/>
    </row>
    <row r="27" spans="1:28" ht="14.25">
      <c r="A27" s="84"/>
      <c r="B27" s="85"/>
      <c r="C27" s="85"/>
      <c r="D27" s="85"/>
      <c r="E27" s="504"/>
      <c r="F27" s="84"/>
      <c r="G27" s="84"/>
      <c r="H27" s="490"/>
      <c r="I27" s="490"/>
      <c r="J27" s="490"/>
      <c r="K27" s="490"/>
      <c r="L27" s="490"/>
      <c r="M27" s="84"/>
      <c r="N27" s="84"/>
      <c r="O27" s="84"/>
      <c r="P27" s="84"/>
      <c r="Q27" s="85"/>
      <c r="R27" s="84"/>
      <c r="S27" s="85"/>
      <c r="T27" s="84"/>
      <c r="U27" s="84"/>
      <c r="V27" s="84"/>
      <c r="W27" s="84"/>
      <c r="X27" s="84"/>
      <c r="Y27" s="84"/>
      <c r="Z27" s="84"/>
      <c r="AA27" s="84"/>
      <c r="AB27" s="84"/>
    </row>
    <row r="28" spans="1:28" ht="14.25">
      <c r="A28" s="84"/>
      <c r="B28" s="85"/>
      <c r="C28" s="85"/>
      <c r="D28" s="85"/>
      <c r="E28" s="504"/>
      <c r="F28" s="84"/>
      <c r="G28" s="84"/>
      <c r="H28" s="490"/>
      <c r="I28" s="490"/>
      <c r="J28" s="490"/>
      <c r="K28" s="490"/>
      <c r="L28" s="490"/>
      <c r="M28" s="84"/>
      <c r="N28" s="84"/>
      <c r="O28" s="84"/>
      <c r="P28" s="84"/>
      <c r="Q28" s="85"/>
      <c r="R28" s="84"/>
      <c r="S28" s="85"/>
      <c r="T28" s="84"/>
      <c r="U28" s="84"/>
      <c r="V28" s="84"/>
      <c r="W28" s="84"/>
      <c r="X28" s="84"/>
      <c r="Y28" s="84"/>
      <c r="Z28" s="84"/>
      <c r="AA28" s="84"/>
      <c r="AB28" s="84"/>
    </row>
    <row r="29" spans="1:28" ht="14.25">
      <c r="A29" s="84"/>
      <c r="B29" s="85"/>
      <c r="C29" s="85"/>
      <c r="D29" s="85"/>
      <c r="E29" s="504"/>
      <c r="F29" s="84"/>
      <c r="G29" s="84"/>
      <c r="H29" s="490"/>
      <c r="I29" s="490"/>
      <c r="J29" s="490"/>
      <c r="K29" s="490"/>
      <c r="L29" s="490"/>
      <c r="M29" s="84"/>
      <c r="N29" s="84"/>
      <c r="O29" s="84"/>
      <c r="P29" s="84"/>
      <c r="Q29" s="85"/>
      <c r="R29" s="84"/>
      <c r="S29" s="85"/>
      <c r="T29" s="84"/>
      <c r="U29" s="84"/>
      <c r="V29" s="84"/>
      <c r="W29" s="84"/>
      <c r="X29" s="84"/>
      <c r="Y29" s="84"/>
      <c r="Z29" s="84"/>
      <c r="AA29" s="84"/>
      <c r="AB29" s="84"/>
    </row>
    <row r="30" spans="1:28" ht="14.25">
      <c r="A30" s="84"/>
      <c r="B30" s="85"/>
      <c r="C30" s="85"/>
      <c r="D30" s="85"/>
      <c r="E30" s="504"/>
      <c r="F30" s="84"/>
      <c r="G30" s="84"/>
      <c r="H30" s="490"/>
      <c r="I30" s="490"/>
      <c r="J30" s="490"/>
      <c r="K30" s="490"/>
      <c r="L30" s="490"/>
      <c r="M30" s="84"/>
      <c r="N30" s="84"/>
      <c r="O30" s="84"/>
      <c r="P30" s="84"/>
      <c r="Q30" s="85"/>
      <c r="R30" s="84"/>
      <c r="S30" s="85"/>
      <c r="T30" s="84"/>
      <c r="U30" s="84"/>
      <c r="V30" s="84"/>
      <c r="W30" s="84"/>
      <c r="X30" s="84"/>
      <c r="Y30" s="84"/>
      <c r="Z30" s="84"/>
      <c r="AA30" s="84"/>
      <c r="AB30" s="84"/>
    </row>
    <row r="31" spans="1:28" ht="14.25">
      <c r="A31" s="84"/>
      <c r="B31" s="85"/>
      <c r="C31" s="85"/>
      <c r="D31" s="85"/>
      <c r="E31" s="504"/>
      <c r="F31" s="84"/>
      <c r="G31" s="84"/>
      <c r="H31" s="490"/>
      <c r="I31" s="490"/>
      <c r="J31" s="490"/>
      <c r="K31" s="490"/>
      <c r="L31" s="490"/>
      <c r="M31" s="84"/>
      <c r="N31" s="84"/>
      <c r="O31" s="84"/>
      <c r="P31" s="84"/>
      <c r="Q31" s="85"/>
      <c r="R31" s="84"/>
      <c r="S31" s="85"/>
      <c r="T31" s="84"/>
      <c r="U31" s="84"/>
      <c r="V31" s="84"/>
      <c r="W31" s="84"/>
      <c r="X31" s="84"/>
      <c r="Y31" s="84"/>
      <c r="Z31" s="84"/>
      <c r="AA31" s="84"/>
      <c r="AB31" s="84"/>
    </row>
    <row r="32" spans="1:28" ht="14.25">
      <c r="A32" s="84"/>
      <c r="B32" s="85"/>
      <c r="C32" s="85"/>
      <c r="D32" s="85"/>
      <c r="E32" s="504"/>
      <c r="F32" s="84"/>
      <c r="G32" s="84"/>
      <c r="H32" s="490"/>
      <c r="I32" s="490"/>
      <c r="J32" s="490"/>
      <c r="K32" s="490"/>
      <c r="L32" s="490"/>
      <c r="M32" s="84"/>
      <c r="N32" s="84"/>
      <c r="O32" s="84"/>
      <c r="P32" s="84"/>
      <c r="Q32" s="85"/>
      <c r="R32" s="84"/>
      <c r="S32" s="85"/>
      <c r="T32" s="84"/>
      <c r="U32" s="84"/>
      <c r="V32" s="84"/>
      <c r="W32" s="84"/>
      <c r="X32" s="84"/>
      <c r="Y32" s="84"/>
      <c r="Z32" s="84"/>
      <c r="AA32" s="84"/>
      <c r="AB32" s="84"/>
    </row>
    <row r="33" spans="1:28" ht="14.25">
      <c r="A33" s="84"/>
      <c r="B33" s="85"/>
      <c r="C33" s="85"/>
      <c r="D33" s="85"/>
      <c r="E33" s="504"/>
      <c r="F33" s="84"/>
      <c r="G33" s="84"/>
      <c r="H33" s="490"/>
      <c r="I33" s="490"/>
      <c r="J33" s="490"/>
      <c r="K33" s="490"/>
      <c r="L33" s="490"/>
      <c r="M33" s="84"/>
      <c r="N33" s="84"/>
      <c r="O33" s="84"/>
      <c r="P33" s="84"/>
      <c r="Q33" s="85"/>
      <c r="R33" s="84"/>
      <c r="S33" s="85"/>
      <c r="T33" s="84"/>
      <c r="U33" s="84"/>
      <c r="V33" s="84"/>
      <c r="W33" s="84"/>
      <c r="X33" s="84"/>
      <c r="Y33" s="84"/>
      <c r="Z33" s="84"/>
      <c r="AA33" s="84"/>
      <c r="AB33" s="84"/>
    </row>
    <row r="34" spans="1:28" ht="14.25">
      <c r="A34" s="84"/>
      <c r="B34" s="85"/>
      <c r="C34" s="85"/>
      <c r="D34" s="85"/>
      <c r="E34" s="504"/>
      <c r="F34" s="84"/>
      <c r="G34" s="84"/>
      <c r="H34" s="490"/>
      <c r="I34" s="490"/>
      <c r="J34" s="490"/>
      <c r="K34" s="490"/>
      <c r="L34" s="490"/>
      <c r="M34" s="84"/>
      <c r="N34" s="84"/>
      <c r="O34" s="84"/>
      <c r="P34" s="84"/>
      <c r="Q34" s="85"/>
      <c r="R34" s="84"/>
      <c r="S34" s="85"/>
      <c r="T34" s="84"/>
      <c r="U34" s="84"/>
      <c r="V34" s="84"/>
      <c r="W34" s="84"/>
      <c r="X34" s="84"/>
      <c r="Y34" s="84"/>
      <c r="Z34" s="84"/>
      <c r="AA34" s="84"/>
      <c r="AB34" s="84"/>
    </row>
    <row r="35" spans="1:28" ht="14.25">
      <c r="A35" s="84"/>
      <c r="B35" s="85"/>
      <c r="C35" s="85"/>
      <c r="D35" s="85"/>
      <c r="E35" s="504"/>
      <c r="F35" s="84"/>
      <c r="G35" s="84"/>
      <c r="H35" s="490"/>
      <c r="I35" s="490"/>
      <c r="J35" s="490"/>
      <c r="K35" s="490"/>
      <c r="L35" s="490"/>
      <c r="M35" s="84"/>
      <c r="N35" s="84"/>
      <c r="O35" s="84"/>
      <c r="P35" s="84"/>
      <c r="Q35" s="85"/>
      <c r="R35" s="84"/>
      <c r="S35" s="85"/>
      <c r="T35" s="84"/>
      <c r="U35" s="84"/>
      <c r="V35" s="84"/>
      <c r="W35" s="84"/>
      <c r="X35" s="84"/>
      <c r="Y35" s="84"/>
      <c r="Z35" s="84"/>
      <c r="AA35" s="84"/>
      <c r="AB35" s="84"/>
    </row>
    <row r="36" spans="1:28" ht="14.25">
      <c r="A36" s="84"/>
      <c r="B36" s="85"/>
      <c r="C36" s="85"/>
      <c r="D36" s="85"/>
      <c r="E36" s="504"/>
      <c r="F36" s="84"/>
      <c r="G36" s="84"/>
      <c r="H36" s="490"/>
      <c r="I36" s="490"/>
      <c r="J36" s="490"/>
      <c r="K36" s="490"/>
      <c r="L36" s="490"/>
      <c r="M36" s="84"/>
      <c r="N36" s="84"/>
      <c r="O36" s="84"/>
      <c r="P36" s="84"/>
      <c r="Q36" s="85"/>
      <c r="R36" s="84"/>
      <c r="S36" s="85"/>
      <c r="T36" s="84"/>
      <c r="U36" s="84"/>
      <c r="V36" s="84"/>
      <c r="W36" s="84"/>
      <c r="X36" s="84"/>
      <c r="Y36" s="84"/>
      <c r="Z36" s="84"/>
      <c r="AA36" s="84"/>
      <c r="AB36" s="84"/>
    </row>
    <row r="37" spans="1:28" ht="14.25">
      <c r="A37" s="84"/>
      <c r="B37" s="85"/>
      <c r="C37" s="85"/>
      <c r="D37" s="85"/>
      <c r="E37" s="504"/>
      <c r="F37" s="84"/>
      <c r="G37" s="84"/>
      <c r="H37" s="490"/>
      <c r="I37" s="490"/>
      <c r="J37" s="490"/>
      <c r="K37" s="490"/>
      <c r="L37" s="490"/>
      <c r="M37" s="84"/>
      <c r="N37" s="84"/>
      <c r="O37" s="84"/>
      <c r="P37" s="84"/>
      <c r="Q37" s="85"/>
      <c r="R37" s="84"/>
      <c r="S37" s="85"/>
      <c r="T37" s="84"/>
      <c r="U37" s="84"/>
      <c r="V37" s="84"/>
      <c r="W37" s="84"/>
      <c r="X37" s="84"/>
      <c r="Y37" s="84"/>
      <c r="Z37" s="84"/>
      <c r="AA37" s="84"/>
      <c r="AB37" s="84"/>
    </row>
    <row r="38" spans="1:28" ht="14.25">
      <c r="A38" s="84"/>
      <c r="B38" s="85"/>
      <c r="C38" s="85"/>
      <c r="D38" s="85"/>
      <c r="E38" s="504"/>
      <c r="F38" s="84"/>
      <c r="G38" s="84"/>
      <c r="H38" s="490"/>
      <c r="I38" s="490"/>
      <c r="J38" s="490"/>
      <c r="K38" s="490"/>
      <c r="L38" s="490"/>
      <c r="M38" s="84"/>
      <c r="N38" s="84"/>
      <c r="O38" s="84"/>
      <c r="P38" s="84"/>
      <c r="Q38" s="85"/>
      <c r="R38" s="84"/>
      <c r="S38" s="85"/>
      <c r="T38" s="84"/>
      <c r="U38" s="84"/>
      <c r="V38" s="84"/>
      <c r="W38" s="84"/>
      <c r="X38" s="84"/>
      <c r="Y38" s="84"/>
      <c r="Z38" s="84"/>
      <c r="AA38" s="84"/>
      <c r="AB38" s="84"/>
    </row>
    <row r="39" spans="1:28" ht="14.25">
      <c r="A39" s="84"/>
      <c r="B39" s="85"/>
      <c r="C39" s="85"/>
      <c r="D39" s="85"/>
      <c r="E39" s="504"/>
      <c r="F39" s="84"/>
      <c r="G39" s="84"/>
      <c r="H39" s="490"/>
      <c r="I39" s="490"/>
      <c r="J39" s="490"/>
      <c r="K39" s="490"/>
      <c r="L39" s="490"/>
      <c r="M39" s="84"/>
      <c r="N39" s="84"/>
      <c r="O39" s="84"/>
      <c r="P39" s="84"/>
      <c r="Q39" s="85"/>
      <c r="R39" s="84"/>
      <c r="S39" s="85"/>
      <c r="T39" s="84"/>
      <c r="U39" s="84"/>
      <c r="V39" s="84"/>
      <c r="W39" s="84"/>
      <c r="X39" s="84"/>
      <c r="Y39" s="84"/>
      <c r="Z39" s="84"/>
      <c r="AA39" s="84"/>
      <c r="AB39" s="84"/>
    </row>
    <row r="40" spans="1:28" ht="14.25">
      <c r="A40" s="84"/>
      <c r="B40" s="85"/>
      <c r="C40" s="85"/>
      <c r="D40" s="85"/>
      <c r="E40" s="504"/>
      <c r="F40" s="84"/>
      <c r="G40" s="84"/>
      <c r="H40" s="490"/>
      <c r="I40" s="490"/>
      <c r="J40" s="490"/>
      <c r="K40" s="490"/>
      <c r="L40" s="490"/>
      <c r="M40" s="84"/>
      <c r="N40" s="84"/>
      <c r="O40" s="84"/>
      <c r="P40" s="84"/>
      <c r="Q40" s="85"/>
      <c r="R40" s="84"/>
      <c r="S40" s="85"/>
      <c r="T40" s="84"/>
      <c r="U40" s="84"/>
      <c r="V40" s="84"/>
      <c r="W40" s="84"/>
      <c r="X40" s="84"/>
      <c r="Y40" s="84"/>
      <c r="Z40" s="84"/>
      <c r="AA40" s="84"/>
      <c r="AB40" s="84"/>
    </row>
    <row r="41" spans="1:28" ht="14.25">
      <c r="A41" s="84"/>
      <c r="B41" s="85"/>
      <c r="C41" s="85"/>
      <c r="D41" s="85"/>
      <c r="E41" s="504"/>
      <c r="F41" s="84"/>
      <c r="G41" s="84"/>
      <c r="H41" s="490"/>
      <c r="I41" s="490"/>
      <c r="J41" s="490"/>
      <c r="K41" s="490"/>
      <c r="L41" s="490"/>
      <c r="M41" s="84"/>
      <c r="N41" s="84"/>
      <c r="O41" s="84"/>
      <c r="P41" s="84"/>
      <c r="Q41" s="85"/>
      <c r="R41" s="84"/>
      <c r="S41" s="85"/>
      <c r="T41" s="84"/>
      <c r="U41" s="84"/>
      <c r="V41" s="84"/>
      <c r="W41" s="84"/>
      <c r="X41" s="84"/>
      <c r="Y41" s="84"/>
      <c r="Z41" s="84"/>
      <c r="AA41" s="84"/>
      <c r="AB41" s="84"/>
    </row>
    <row r="42" spans="1:28" ht="14.25">
      <c r="A42" s="84"/>
      <c r="B42" s="85"/>
      <c r="C42" s="85"/>
      <c r="D42" s="85"/>
      <c r="E42" s="504"/>
      <c r="F42" s="84"/>
      <c r="G42" s="84"/>
      <c r="H42" s="490"/>
      <c r="I42" s="490"/>
      <c r="J42" s="490"/>
      <c r="K42" s="490"/>
      <c r="L42" s="490"/>
      <c r="M42" s="84"/>
      <c r="N42" s="84"/>
      <c r="O42" s="84"/>
      <c r="P42" s="84"/>
      <c r="Q42" s="85"/>
      <c r="R42" s="84"/>
      <c r="S42" s="85"/>
      <c r="T42" s="84"/>
      <c r="U42" s="84"/>
      <c r="V42" s="84"/>
      <c r="W42" s="84"/>
      <c r="X42" s="84"/>
      <c r="Y42" s="84"/>
      <c r="Z42" s="84"/>
      <c r="AA42" s="84"/>
      <c r="AB42" s="84"/>
    </row>
    <row r="43" spans="1:28" ht="14.25">
      <c r="A43" s="84"/>
      <c r="B43" s="85"/>
      <c r="C43" s="85"/>
      <c r="D43" s="85"/>
      <c r="E43" s="504"/>
      <c r="F43" s="84"/>
      <c r="G43" s="84"/>
      <c r="H43" s="490"/>
      <c r="I43" s="490"/>
      <c r="J43" s="490"/>
      <c r="K43" s="490"/>
      <c r="L43" s="490"/>
      <c r="M43" s="84"/>
      <c r="N43" s="84"/>
      <c r="O43" s="84"/>
      <c r="P43" s="84"/>
      <c r="Q43" s="85"/>
      <c r="R43" s="84"/>
      <c r="S43" s="85"/>
      <c r="T43" s="84"/>
      <c r="U43" s="84"/>
      <c r="V43" s="84"/>
      <c r="W43" s="84"/>
      <c r="X43" s="84"/>
      <c r="Y43" s="84"/>
      <c r="Z43" s="84"/>
      <c r="AA43" s="84"/>
      <c r="AB43" s="84"/>
    </row>
    <row r="44" spans="1:28" ht="14.25">
      <c r="A44" s="84"/>
      <c r="B44" s="85"/>
      <c r="C44" s="85"/>
      <c r="D44" s="85"/>
      <c r="E44" s="504"/>
      <c r="F44" s="84"/>
      <c r="G44" s="84"/>
      <c r="H44" s="490"/>
      <c r="I44" s="490"/>
      <c r="J44" s="490"/>
      <c r="K44" s="490"/>
      <c r="L44" s="490"/>
      <c r="M44" s="84"/>
      <c r="N44" s="84"/>
      <c r="O44" s="84"/>
      <c r="P44" s="84"/>
      <c r="Q44" s="85"/>
      <c r="R44" s="84"/>
      <c r="S44" s="85"/>
      <c r="T44" s="84"/>
      <c r="U44" s="84"/>
      <c r="V44" s="84"/>
      <c r="W44" s="84"/>
      <c r="X44" s="84"/>
      <c r="Y44" s="84"/>
      <c r="Z44" s="84"/>
      <c r="AA44" s="84"/>
      <c r="AB44" s="84"/>
    </row>
    <row r="45" spans="1:28" ht="14.25">
      <c r="A45" s="84"/>
      <c r="B45" s="85"/>
      <c r="C45" s="85"/>
      <c r="D45" s="85"/>
      <c r="E45" s="504"/>
      <c r="F45" s="84"/>
      <c r="G45" s="84"/>
      <c r="H45" s="490"/>
      <c r="I45" s="490"/>
      <c r="J45" s="490"/>
      <c r="K45" s="490"/>
      <c r="L45" s="490"/>
      <c r="M45" s="84"/>
      <c r="N45" s="84"/>
      <c r="O45" s="84"/>
      <c r="P45" s="84"/>
      <c r="Q45" s="85"/>
      <c r="R45" s="84"/>
      <c r="S45" s="85"/>
      <c r="T45" s="84"/>
      <c r="U45" s="84"/>
      <c r="V45" s="84"/>
      <c r="W45" s="84"/>
      <c r="X45" s="84"/>
      <c r="Y45" s="84"/>
      <c r="Z45" s="84"/>
      <c r="AA45" s="84"/>
      <c r="AB45" s="84"/>
    </row>
    <row r="46" spans="1:28" ht="14.25">
      <c r="A46" s="84"/>
      <c r="B46" s="85"/>
      <c r="C46" s="85"/>
      <c r="D46" s="85"/>
      <c r="E46" s="504"/>
      <c r="F46" s="84"/>
      <c r="G46" s="84"/>
      <c r="H46" s="490"/>
      <c r="I46" s="490"/>
      <c r="J46" s="490"/>
      <c r="K46" s="490"/>
      <c r="L46" s="490"/>
      <c r="M46" s="84"/>
      <c r="N46" s="84"/>
      <c r="O46" s="84"/>
      <c r="P46" s="84"/>
      <c r="Q46" s="85"/>
      <c r="R46" s="84"/>
      <c r="S46" s="85"/>
      <c r="T46" s="84"/>
      <c r="U46" s="84"/>
      <c r="V46" s="84"/>
      <c r="W46" s="84"/>
      <c r="X46" s="84"/>
      <c r="Y46" s="84"/>
      <c r="Z46" s="84"/>
      <c r="AA46" s="84"/>
      <c r="AB46" s="84"/>
    </row>
    <row r="47" spans="1:28" ht="14.25">
      <c r="A47" s="84"/>
      <c r="B47" s="85"/>
      <c r="C47" s="85"/>
      <c r="D47" s="85"/>
      <c r="E47" s="504"/>
      <c r="F47" s="84"/>
      <c r="G47" s="84"/>
      <c r="H47" s="490"/>
      <c r="I47" s="490"/>
      <c r="J47" s="490"/>
      <c r="K47" s="490"/>
      <c r="L47" s="490"/>
      <c r="M47" s="84"/>
      <c r="N47" s="84"/>
      <c r="O47" s="84"/>
      <c r="P47" s="84"/>
      <c r="Q47" s="85"/>
      <c r="R47" s="84"/>
      <c r="S47" s="85"/>
      <c r="T47" s="84"/>
      <c r="U47" s="84"/>
      <c r="V47" s="84"/>
      <c r="W47" s="84"/>
      <c r="X47" s="84"/>
      <c r="Y47" s="84"/>
      <c r="Z47" s="84"/>
      <c r="AA47" s="84"/>
      <c r="AB47" s="84"/>
    </row>
    <row r="48" spans="1:28" ht="14.25">
      <c r="A48" s="84"/>
      <c r="B48" s="85"/>
      <c r="C48" s="85"/>
      <c r="D48" s="85"/>
      <c r="E48" s="504"/>
      <c r="F48" s="84"/>
      <c r="G48" s="84"/>
      <c r="H48" s="490"/>
      <c r="I48" s="490"/>
      <c r="J48" s="490"/>
      <c r="K48" s="490"/>
      <c r="L48" s="490"/>
      <c r="M48" s="84"/>
      <c r="N48" s="84"/>
      <c r="O48" s="84"/>
      <c r="P48" s="84"/>
      <c r="Q48" s="85"/>
      <c r="R48" s="84"/>
      <c r="S48" s="85"/>
      <c r="T48" s="84"/>
      <c r="U48" s="84"/>
      <c r="V48" s="84"/>
      <c r="W48" s="84"/>
      <c r="X48" s="84"/>
      <c r="Y48" s="84"/>
      <c r="Z48" s="84"/>
      <c r="AA48" s="84"/>
      <c r="AB48" s="84"/>
    </row>
    <row r="49" spans="1:28" ht="14.25">
      <c r="A49" s="84"/>
      <c r="B49" s="85"/>
      <c r="C49" s="85"/>
      <c r="D49" s="85"/>
      <c r="E49" s="504"/>
      <c r="F49" s="84"/>
      <c r="G49" s="84"/>
      <c r="H49" s="490"/>
      <c r="I49" s="490"/>
      <c r="J49" s="490"/>
      <c r="K49" s="490"/>
      <c r="L49" s="490"/>
      <c r="M49" s="84"/>
      <c r="N49" s="84"/>
      <c r="O49" s="84"/>
      <c r="P49" s="84"/>
      <c r="Q49" s="85"/>
      <c r="R49" s="84"/>
      <c r="S49" s="85"/>
      <c r="T49" s="84"/>
      <c r="U49" s="84"/>
      <c r="V49" s="84"/>
      <c r="W49" s="84"/>
      <c r="X49" s="84"/>
      <c r="Y49" s="84"/>
      <c r="Z49" s="84"/>
      <c r="AA49" s="84"/>
      <c r="AB49" s="84"/>
    </row>
    <row r="50" spans="1:28" ht="14.25">
      <c r="A50" s="84"/>
      <c r="B50" s="85"/>
      <c r="C50" s="85"/>
      <c r="D50" s="85"/>
      <c r="E50" s="504"/>
      <c r="F50" s="84"/>
      <c r="G50" s="84"/>
      <c r="H50" s="490"/>
      <c r="I50" s="490"/>
      <c r="J50" s="490"/>
      <c r="K50" s="490"/>
      <c r="L50" s="490"/>
      <c r="M50" s="84"/>
      <c r="N50" s="84"/>
      <c r="O50" s="84"/>
      <c r="P50" s="84"/>
      <c r="Q50" s="85"/>
      <c r="R50" s="84"/>
      <c r="S50" s="85"/>
      <c r="T50" s="84"/>
      <c r="U50" s="84"/>
      <c r="V50" s="84"/>
      <c r="W50" s="84"/>
      <c r="X50" s="84"/>
      <c r="Y50" s="84"/>
      <c r="Z50" s="84"/>
      <c r="AA50" s="84"/>
      <c r="AB50" s="84"/>
    </row>
    <row r="51" spans="1:28" ht="14.25">
      <c r="A51" s="84"/>
      <c r="B51" s="85"/>
      <c r="C51" s="85"/>
      <c r="D51" s="85"/>
      <c r="E51" s="504"/>
      <c r="F51" s="84"/>
      <c r="G51" s="84"/>
      <c r="H51" s="490"/>
      <c r="I51" s="490"/>
      <c r="J51" s="490"/>
      <c r="K51" s="490"/>
      <c r="L51" s="490"/>
      <c r="M51" s="84"/>
      <c r="N51" s="84"/>
      <c r="O51" s="84"/>
      <c r="P51" s="84"/>
      <c r="Q51" s="85"/>
      <c r="R51" s="84"/>
      <c r="S51" s="85"/>
      <c r="T51" s="84"/>
      <c r="U51" s="84"/>
      <c r="V51" s="84"/>
      <c r="W51" s="84"/>
      <c r="X51" s="84"/>
      <c r="Y51" s="84"/>
      <c r="Z51" s="84"/>
      <c r="AA51" s="84"/>
      <c r="AB51" s="84"/>
    </row>
    <row r="52" spans="1:28" ht="14.25">
      <c r="A52" s="84"/>
      <c r="B52" s="85"/>
      <c r="C52" s="85"/>
      <c r="D52" s="85"/>
      <c r="E52" s="504"/>
      <c r="F52" s="84"/>
      <c r="G52" s="84"/>
      <c r="H52" s="490"/>
      <c r="I52" s="490"/>
      <c r="J52" s="490"/>
      <c r="K52" s="490"/>
      <c r="L52" s="490"/>
      <c r="M52" s="84"/>
      <c r="N52" s="84"/>
      <c r="O52" s="84"/>
      <c r="P52" s="84"/>
      <c r="Q52" s="85"/>
      <c r="R52" s="84"/>
      <c r="S52" s="85"/>
      <c r="T52" s="84"/>
      <c r="U52" s="84"/>
      <c r="V52" s="84"/>
      <c r="W52" s="84"/>
      <c r="X52" s="84"/>
      <c r="Y52" s="84"/>
      <c r="Z52" s="84"/>
      <c r="AA52" s="84"/>
      <c r="AB52" s="84"/>
    </row>
    <row r="53" spans="1:28" ht="14.25">
      <c r="A53" s="84"/>
      <c r="B53" s="85"/>
      <c r="C53" s="85"/>
      <c r="D53" s="85"/>
      <c r="E53" s="504"/>
      <c r="F53" s="84"/>
      <c r="G53" s="84"/>
      <c r="H53" s="490"/>
      <c r="I53" s="490"/>
      <c r="J53" s="490"/>
      <c r="K53" s="490"/>
      <c r="L53" s="490"/>
      <c r="M53" s="84"/>
      <c r="N53" s="84"/>
      <c r="O53" s="84"/>
      <c r="P53" s="84"/>
      <c r="Q53" s="85"/>
      <c r="R53" s="84"/>
      <c r="S53" s="85"/>
      <c r="T53" s="84"/>
      <c r="U53" s="84"/>
      <c r="V53" s="84"/>
      <c r="W53" s="84"/>
      <c r="X53" s="84"/>
      <c r="Y53" s="84"/>
      <c r="Z53" s="84"/>
      <c r="AA53" s="84"/>
      <c r="AB53" s="84"/>
    </row>
    <row r="54" spans="1:28" ht="14.25">
      <c r="A54" s="84"/>
      <c r="B54" s="85"/>
      <c r="C54" s="85"/>
      <c r="D54" s="85"/>
      <c r="E54" s="504"/>
      <c r="F54" s="84"/>
      <c r="G54" s="84"/>
      <c r="H54" s="490"/>
      <c r="I54" s="490"/>
      <c r="J54" s="490"/>
      <c r="K54" s="490"/>
      <c r="L54" s="490"/>
      <c r="M54" s="84"/>
      <c r="N54" s="84"/>
      <c r="O54" s="84"/>
      <c r="P54" s="84"/>
      <c r="Q54" s="85"/>
      <c r="R54" s="84"/>
      <c r="S54" s="85"/>
      <c r="T54" s="84"/>
      <c r="U54" s="84"/>
      <c r="V54" s="84"/>
      <c r="W54" s="84"/>
      <c r="X54" s="84"/>
      <c r="Y54" s="84"/>
      <c r="Z54" s="84"/>
      <c r="AA54" s="84"/>
      <c r="AB54" s="84"/>
    </row>
    <row r="55" spans="1:28" ht="14.25">
      <c r="A55" s="84"/>
      <c r="B55" s="85"/>
      <c r="C55" s="85"/>
      <c r="D55" s="85"/>
      <c r="E55" s="504"/>
      <c r="F55" s="84"/>
      <c r="G55" s="84"/>
      <c r="H55" s="490"/>
      <c r="I55" s="490"/>
      <c r="J55" s="490"/>
      <c r="K55" s="490"/>
      <c r="L55" s="490"/>
      <c r="M55" s="84"/>
      <c r="N55" s="84"/>
      <c r="O55" s="84"/>
      <c r="P55" s="84"/>
      <c r="Q55" s="85"/>
      <c r="R55" s="84"/>
      <c r="S55" s="85"/>
      <c r="T55" s="84"/>
      <c r="U55" s="84"/>
      <c r="V55" s="84"/>
      <c r="W55" s="84"/>
      <c r="X55" s="84"/>
      <c r="Y55" s="84"/>
      <c r="Z55" s="84"/>
      <c r="AA55" s="84"/>
      <c r="AB55" s="84"/>
    </row>
    <row r="56" spans="1:28" ht="14.25">
      <c r="A56" s="84"/>
      <c r="B56" s="85"/>
      <c r="C56" s="85"/>
      <c r="D56" s="85"/>
      <c r="E56" s="504"/>
      <c r="F56" s="84"/>
      <c r="G56" s="84"/>
      <c r="H56" s="490"/>
      <c r="I56" s="490"/>
      <c r="J56" s="490"/>
      <c r="K56" s="490"/>
      <c r="L56" s="490"/>
      <c r="M56" s="84"/>
      <c r="N56" s="84"/>
      <c r="O56" s="84"/>
      <c r="P56" s="84"/>
      <c r="Q56" s="85"/>
      <c r="R56" s="84"/>
      <c r="S56" s="85"/>
      <c r="T56" s="84"/>
      <c r="U56" s="84"/>
      <c r="V56" s="84"/>
      <c r="W56" s="84"/>
      <c r="X56" s="84"/>
      <c r="Y56" s="84"/>
      <c r="Z56" s="84"/>
      <c r="AA56" s="84"/>
      <c r="AB56" s="84"/>
    </row>
    <row r="57" spans="1:28" ht="14.25">
      <c r="A57" s="84"/>
      <c r="B57" s="85"/>
      <c r="C57" s="85"/>
      <c r="D57" s="85"/>
      <c r="E57" s="504"/>
      <c r="F57" s="84"/>
      <c r="G57" s="84"/>
      <c r="H57" s="490"/>
      <c r="I57" s="490"/>
      <c r="J57" s="490"/>
      <c r="K57" s="490"/>
      <c r="L57" s="490"/>
      <c r="M57" s="84"/>
      <c r="N57" s="84"/>
      <c r="O57" s="84"/>
      <c r="P57" s="84"/>
      <c r="Q57" s="85"/>
      <c r="R57" s="84"/>
      <c r="S57" s="85"/>
      <c r="T57" s="84"/>
      <c r="U57" s="84"/>
      <c r="V57" s="84"/>
      <c r="W57" s="84"/>
      <c r="X57" s="84"/>
      <c r="Y57" s="84"/>
      <c r="Z57" s="84"/>
      <c r="AA57" s="84"/>
      <c r="AB57" s="84"/>
    </row>
    <row r="58" spans="1:28" ht="14.25">
      <c r="A58" s="84"/>
      <c r="B58" s="85"/>
      <c r="C58" s="85"/>
      <c r="D58" s="85"/>
      <c r="E58" s="504"/>
      <c r="F58" s="84"/>
      <c r="G58" s="84"/>
      <c r="H58" s="490"/>
      <c r="I58" s="490"/>
      <c r="J58" s="490"/>
      <c r="K58" s="490"/>
      <c r="L58" s="490"/>
      <c r="M58" s="84"/>
      <c r="N58" s="84"/>
      <c r="O58" s="84"/>
      <c r="P58" s="84"/>
      <c r="Q58" s="85"/>
      <c r="R58" s="84"/>
      <c r="S58" s="85"/>
      <c r="T58" s="84"/>
      <c r="U58" s="84"/>
      <c r="V58" s="84"/>
      <c r="W58" s="84"/>
      <c r="X58" s="84"/>
      <c r="Y58" s="84"/>
      <c r="Z58" s="84"/>
      <c r="AA58" s="84"/>
      <c r="AB58" s="84"/>
    </row>
    <row r="59" spans="1:28" ht="14.25">
      <c r="A59" s="84"/>
      <c r="B59" s="85"/>
      <c r="C59" s="85"/>
      <c r="D59" s="85"/>
      <c r="E59" s="504"/>
      <c r="F59" s="84"/>
      <c r="G59" s="84"/>
      <c r="H59" s="490"/>
      <c r="I59" s="490"/>
      <c r="J59" s="490"/>
      <c r="K59" s="490"/>
      <c r="L59" s="490"/>
      <c r="M59" s="84"/>
      <c r="N59" s="84"/>
      <c r="O59" s="84"/>
      <c r="P59" s="84"/>
      <c r="Q59" s="85"/>
      <c r="R59" s="84"/>
      <c r="S59" s="85"/>
      <c r="T59" s="84"/>
      <c r="U59" s="84"/>
      <c r="V59" s="84"/>
      <c r="W59" s="84"/>
      <c r="X59" s="84"/>
      <c r="Y59" s="84"/>
      <c r="Z59" s="84"/>
      <c r="AA59" s="84"/>
      <c r="AB59" s="84"/>
    </row>
    <row r="60" spans="1:28" ht="14.25">
      <c r="A60" s="84"/>
      <c r="B60" s="85"/>
      <c r="C60" s="85"/>
      <c r="D60" s="85"/>
      <c r="E60" s="504"/>
      <c r="F60" s="84"/>
      <c r="G60" s="84"/>
      <c r="H60" s="490"/>
      <c r="I60" s="490"/>
      <c r="J60" s="490"/>
      <c r="K60" s="490"/>
      <c r="L60" s="490"/>
      <c r="M60" s="84"/>
      <c r="N60" s="84"/>
      <c r="O60" s="84"/>
      <c r="P60" s="84"/>
      <c r="Q60" s="85"/>
      <c r="R60" s="84"/>
      <c r="S60" s="85"/>
      <c r="T60" s="84"/>
      <c r="U60" s="84"/>
      <c r="V60" s="84"/>
      <c r="W60" s="84"/>
      <c r="X60" s="84"/>
      <c r="Y60" s="84"/>
      <c r="Z60" s="84"/>
      <c r="AA60" s="84"/>
      <c r="AB60" s="84"/>
    </row>
    <row r="61" spans="1:28" ht="14.25">
      <c r="A61" s="84"/>
      <c r="B61" s="85"/>
      <c r="C61" s="85"/>
      <c r="D61" s="85"/>
      <c r="E61" s="504"/>
      <c r="F61" s="84"/>
      <c r="G61" s="84"/>
      <c r="H61" s="490"/>
      <c r="I61" s="490"/>
      <c r="J61" s="490"/>
      <c r="K61" s="490"/>
      <c r="L61" s="490"/>
      <c r="M61" s="84"/>
      <c r="N61" s="84"/>
      <c r="O61" s="84"/>
      <c r="P61" s="84"/>
      <c r="Q61" s="85"/>
      <c r="R61" s="84"/>
      <c r="S61" s="85"/>
      <c r="T61" s="84"/>
      <c r="U61" s="84"/>
      <c r="V61" s="84"/>
      <c r="W61" s="84"/>
      <c r="X61" s="84"/>
      <c r="Y61" s="84"/>
      <c r="Z61" s="84"/>
      <c r="AA61" s="84"/>
      <c r="AB61" s="84"/>
    </row>
    <row r="62" spans="1:28" ht="14.25">
      <c r="A62" s="84"/>
      <c r="B62" s="85"/>
      <c r="C62" s="85"/>
      <c r="D62" s="85"/>
      <c r="E62" s="504"/>
      <c r="F62" s="84"/>
      <c r="G62" s="84"/>
      <c r="H62" s="490"/>
      <c r="I62" s="490"/>
      <c r="J62" s="490"/>
      <c r="K62" s="490"/>
      <c r="L62" s="490"/>
      <c r="M62" s="84"/>
      <c r="N62" s="84"/>
      <c r="O62" s="84"/>
      <c r="P62" s="84"/>
      <c r="Q62" s="85"/>
      <c r="R62" s="84"/>
      <c r="S62" s="85"/>
      <c r="T62" s="84"/>
      <c r="U62" s="84"/>
      <c r="V62" s="84"/>
      <c r="W62" s="84"/>
      <c r="X62" s="84"/>
      <c r="Y62" s="84"/>
      <c r="Z62" s="84"/>
      <c r="AA62" s="84"/>
      <c r="AB62" s="84"/>
    </row>
    <row r="63" spans="1:28" ht="14.25">
      <c r="A63" s="84"/>
      <c r="B63" s="85"/>
      <c r="C63" s="85"/>
      <c r="D63" s="85"/>
      <c r="E63" s="504"/>
      <c r="F63" s="84"/>
      <c r="G63" s="84"/>
      <c r="H63" s="490"/>
      <c r="I63" s="490"/>
      <c r="J63" s="490"/>
      <c r="K63" s="490"/>
      <c r="L63" s="490"/>
      <c r="M63" s="84"/>
      <c r="N63" s="84"/>
      <c r="O63" s="84"/>
      <c r="P63" s="84"/>
      <c r="Q63" s="85"/>
      <c r="R63" s="84"/>
      <c r="S63" s="85"/>
      <c r="T63" s="84"/>
      <c r="U63" s="84"/>
      <c r="V63" s="84"/>
      <c r="W63" s="84"/>
      <c r="X63" s="84"/>
      <c r="Y63" s="84"/>
      <c r="Z63" s="84"/>
      <c r="AA63" s="84"/>
      <c r="AB63" s="84"/>
    </row>
    <row r="64" spans="1:28" ht="14.25">
      <c r="A64" s="84"/>
      <c r="B64" s="85"/>
      <c r="C64" s="85"/>
      <c r="D64" s="85"/>
      <c r="E64" s="504"/>
      <c r="F64" s="84"/>
      <c r="G64" s="84"/>
      <c r="H64" s="490"/>
      <c r="I64" s="490"/>
      <c r="J64" s="490"/>
      <c r="K64" s="490"/>
      <c r="L64" s="490"/>
      <c r="M64" s="84"/>
      <c r="N64" s="84"/>
      <c r="O64" s="84"/>
      <c r="P64" s="84"/>
      <c r="Q64" s="85"/>
      <c r="R64" s="84"/>
      <c r="S64" s="85"/>
      <c r="T64" s="84"/>
      <c r="U64" s="84"/>
      <c r="V64" s="84"/>
      <c r="W64" s="84"/>
      <c r="X64" s="84"/>
      <c r="Y64" s="84"/>
      <c r="Z64" s="84"/>
      <c r="AA64" s="84"/>
      <c r="AB64" s="84"/>
    </row>
    <row r="65" spans="1:28" ht="14.25">
      <c r="A65" s="84"/>
      <c r="B65" s="85"/>
      <c r="C65" s="85"/>
      <c r="D65" s="85"/>
      <c r="E65" s="504"/>
      <c r="F65" s="84"/>
      <c r="G65" s="84"/>
      <c r="H65" s="490"/>
      <c r="I65" s="490"/>
      <c r="J65" s="490"/>
      <c r="K65" s="490"/>
      <c r="L65" s="490"/>
      <c r="M65" s="84"/>
      <c r="N65" s="84"/>
      <c r="O65" s="84"/>
      <c r="P65" s="84"/>
      <c r="Q65" s="85"/>
      <c r="R65" s="84"/>
      <c r="S65" s="85"/>
      <c r="T65" s="84"/>
      <c r="U65" s="84"/>
      <c r="V65" s="84"/>
      <c r="W65" s="84"/>
      <c r="X65" s="84"/>
      <c r="Y65" s="84"/>
      <c r="Z65" s="84"/>
      <c r="AA65" s="84"/>
      <c r="AB65" s="84"/>
    </row>
    <row r="66" spans="1:28" ht="14.25">
      <c r="A66" s="84"/>
      <c r="B66" s="85"/>
      <c r="C66" s="85"/>
      <c r="D66" s="85"/>
      <c r="E66" s="504"/>
      <c r="F66" s="84"/>
      <c r="G66" s="84"/>
      <c r="H66" s="490"/>
      <c r="I66" s="490"/>
      <c r="J66" s="490"/>
      <c r="K66" s="490"/>
      <c r="L66" s="490"/>
      <c r="M66" s="84"/>
      <c r="N66" s="84"/>
      <c r="O66" s="84"/>
      <c r="P66" s="84"/>
      <c r="Q66" s="85"/>
      <c r="R66" s="84"/>
      <c r="S66" s="85"/>
      <c r="T66" s="84"/>
      <c r="U66" s="84"/>
      <c r="V66" s="84"/>
      <c r="W66" s="84"/>
      <c r="X66" s="84"/>
      <c r="Y66" s="84"/>
      <c r="Z66" s="84"/>
      <c r="AA66" s="84"/>
      <c r="AB66" s="84"/>
    </row>
    <row r="67" spans="1:28" ht="14.25">
      <c r="A67" s="84"/>
      <c r="B67" s="85"/>
      <c r="C67" s="85"/>
      <c r="D67" s="85"/>
      <c r="E67" s="504"/>
      <c r="F67" s="84"/>
      <c r="G67" s="84"/>
      <c r="H67" s="490"/>
      <c r="I67" s="490"/>
      <c r="J67" s="490"/>
      <c r="K67" s="490"/>
      <c r="L67" s="490"/>
      <c r="M67" s="84"/>
      <c r="N67" s="84"/>
      <c r="O67" s="84"/>
      <c r="P67" s="84"/>
      <c r="Q67" s="85"/>
      <c r="R67" s="84"/>
      <c r="S67" s="85"/>
      <c r="T67" s="84"/>
      <c r="U67" s="84"/>
      <c r="V67" s="84"/>
      <c r="W67" s="84"/>
      <c r="X67" s="84"/>
      <c r="Y67" s="84"/>
      <c r="Z67" s="84"/>
      <c r="AA67" s="84"/>
      <c r="AB67" s="84"/>
    </row>
    <row r="68" spans="1:28" ht="14.25">
      <c r="A68" s="84"/>
      <c r="B68" s="85"/>
      <c r="C68" s="85"/>
      <c r="D68" s="85"/>
      <c r="E68" s="504"/>
      <c r="F68" s="84"/>
      <c r="G68" s="84"/>
      <c r="H68" s="490"/>
      <c r="I68" s="490"/>
      <c r="J68" s="490"/>
      <c r="K68" s="490"/>
      <c r="L68" s="490"/>
      <c r="M68" s="84"/>
      <c r="N68" s="84"/>
      <c r="O68" s="84"/>
      <c r="P68" s="84"/>
      <c r="Q68" s="85"/>
      <c r="R68" s="84"/>
      <c r="S68" s="85"/>
      <c r="T68" s="84"/>
      <c r="U68" s="84"/>
      <c r="V68" s="84"/>
      <c r="W68" s="84"/>
      <c r="X68" s="84"/>
      <c r="Y68" s="84"/>
      <c r="Z68" s="84"/>
      <c r="AA68" s="84"/>
      <c r="AB68" s="84"/>
    </row>
    <row r="69" spans="1:28" ht="14.25">
      <c r="A69" s="84"/>
      <c r="B69" s="85"/>
      <c r="C69" s="85"/>
      <c r="D69" s="85"/>
      <c r="E69" s="504"/>
      <c r="F69" s="84"/>
      <c r="G69" s="84"/>
      <c r="H69" s="490"/>
      <c r="I69" s="490"/>
      <c r="J69" s="490"/>
      <c r="K69" s="490"/>
      <c r="L69" s="490"/>
      <c r="M69" s="84"/>
      <c r="N69" s="84"/>
      <c r="O69" s="84"/>
      <c r="P69" s="84"/>
      <c r="Q69" s="85"/>
      <c r="R69" s="84"/>
      <c r="S69" s="85"/>
      <c r="T69" s="84"/>
      <c r="U69" s="84"/>
      <c r="V69" s="84"/>
      <c r="W69" s="84"/>
      <c r="X69" s="84"/>
      <c r="Y69" s="84"/>
      <c r="Z69" s="84"/>
      <c r="AA69" s="84"/>
      <c r="AB69" s="84"/>
    </row>
    <row r="70" spans="1:28" ht="14.25">
      <c r="A70" s="84"/>
      <c r="B70" s="85"/>
      <c r="C70" s="85"/>
      <c r="D70" s="85"/>
      <c r="E70" s="504"/>
      <c r="F70" s="84"/>
      <c r="G70" s="84"/>
      <c r="H70" s="490"/>
      <c r="I70" s="490"/>
      <c r="J70" s="490"/>
      <c r="K70" s="490"/>
      <c r="L70" s="490"/>
      <c r="M70" s="84"/>
      <c r="N70" s="84"/>
      <c r="O70" s="84"/>
      <c r="P70" s="84"/>
      <c r="Q70" s="85"/>
      <c r="R70" s="84"/>
      <c r="S70" s="85"/>
      <c r="T70" s="84"/>
      <c r="U70" s="84"/>
      <c r="V70" s="84"/>
      <c r="W70" s="84"/>
      <c r="X70" s="84"/>
      <c r="Y70" s="84"/>
      <c r="Z70" s="84"/>
      <c r="AA70" s="84"/>
      <c r="AB70" s="84"/>
    </row>
    <row r="71" spans="1:28" ht="14.25">
      <c r="A71" s="84"/>
      <c r="B71" s="85"/>
      <c r="C71" s="85"/>
      <c r="D71" s="85"/>
      <c r="E71" s="504"/>
      <c r="F71" s="84"/>
      <c r="G71" s="84"/>
      <c r="H71" s="490"/>
      <c r="I71" s="490"/>
      <c r="J71" s="490"/>
      <c r="K71" s="490"/>
      <c r="L71" s="490"/>
      <c r="M71" s="84"/>
      <c r="N71" s="84"/>
      <c r="O71" s="84"/>
      <c r="P71" s="84"/>
      <c r="Q71" s="85"/>
      <c r="R71" s="84"/>
      <c r="S71" s="85"/>
      <c r="T71" s="84"/>
      <c r="U71" s="84"/>
      <c r="V71" s="84"/>
      <c r="W71" s="84"/>
      <c r="X71" s="84"/>
      <c r="Y71" s="84"/>
      <c r="Z71" s="84"/>
      <c r="AA71" s="84"/>
      <c r="AB71" s="84"/>
    </row>
    <row r="72" spans="1:28" ht="14.25">
      <c r="A72" s="84"/>
      <c r="B72" s="85"/>
      <c r="C72" s="85"/>
      <c r="D72" s="85"/>
      <c r="E72" s="504"/>
      <c r="F72" s="84"/>
      <c r="G72" s="84"/>
      <c r="H72" s="490"/>
      <c r="I72" s="490"/>
      <c r="J72" s="490"/>
      <c r="K72" s="490"/>
      <c r="L72" s="490"/>
      <c r="M72" s="84"/>
      <c r="N72" s="84"/>
      <c r="O72" s="84"/>
      <c r="P72" s="84"/>
      <c r="Q72" s="85"/>
      <c r="R72" s="84"/>
      <c r="S72" s="85"/>
      <c r="T72" s="84"/>
      <c r="U72" s="84"/>
      <c r="V72" s="84"/>
      <c r="W72" s="84"/>
      <c r="X72" s="84"/>
      <c r="Y72" s="84"/>
      <c r="Z72" s="84"/>
      <c r="AA72" s="84"/>
      <c r="AB72" s="84"/>
    </row>
    <row r="73" spans="1:28" ht="14.25">
      <c r="A73" s="84"/>
      <c r="B73" s="85"/>
      <c r="C73" s="85"/>
      <c r="D73" s="85"/>
      <c r="E73" s="504"/>
      <c r="F73" s="84"/>
      <c r="G73" s="84"/>
      <c r="H73" s="490"/>
      <c r="I73" s="490"/>
      <c r="J73" s="490"/>
      <c r="K73" s="490"/>
      <c r="L73" s="490"/>
      <c r="M73" s="84"/>
      <c r="N73" s="84"/>
      <c r="O73" s="84"/>
      <c r="P73" s="84"/>
      <c r="Q73" s="85"/>
      <c r="R73" s="84"/>
      <c r="S73" s="85"/>
      <c r="T73" s="84"/>
      <c r="U73" s="84"/>
      <c r="V73" s="84"/>
      <c r="W73" s="84"/>
      <c r="X73" s="84"/>
      <c r="Y73" s="84"/>
      <c r="Z73" s="84"/>
      <c r="AA73" s="84"/>
      <c r="AB73" s="84"/>
    </row>
    <row r="74" spans="1:28" ht="14.25">
      <c r="A74" s="84"/>
      <c r="B74" s="85"/>
      <c r="C74" s="85"/>
      <c r="D74" s="85"/>
      <c r="E74" s="504"/>
      <c r="F74" s="84"/>
      <c r="G74" s="84"/>
      <c r="H74" s="490"/>
      <c r="I74" s="490"/>
      <c r="J74" s="490"/>
      <c r="K74" s="490"/>
      <c r="L74" s="490"/>
      <c r="M74" s="84"/>
      <c r="N74" s="84"/>
      <c r="O74" s="84"/>
      <c r="P74" s="84"/>
      <c r="Q74" s="85"/>
      <c r="R74" s="84"/>
      <c r="S74" s="85"/>
      <c r="T74" s="84"/>
      <c r="U74" s="84"/>
      <c r="V74" s="84"/>
      <c r="W74" s="84"/>
      <c r="X74" s="84"/>
      <c r="Y74" s="84"/>
      <c r="Z74" s="84"/>
      <c r="AA74" s="84"/>
      <c r="AB74" s="84"/>
    </row>
    <row r="75" spans="1:28" ht="14.25">
      <c r="A75" s="84"/>
      <c r="B75" s="85"/>
      <c r="C75" s="85"/>
      <c r="D75" s="85"/>
      <c r="E75" s="504"/>
      <c r="F75" s="84"/>
      <c r="G75" s="84"/>
      <c r="H75" s="490"/>
      <c r="I75" s="490"/>
      <c r="J75" s="490"/>
      <c r="K75" s="490"/>
      <c r="L75" s="490"/>
      <c r="M75" s="84"/>
      <c r="N75" s="84"/>
      <c r="O75" s="84"/>
      <c r="P75" s="84"/>
      <c r="Q75" s="85"/>
      <c r="R75" s="84"/>
      <c r="S75" s="85"/>
      <c r="T75" s="84"/>
      <c r="U75" s="84"/>
      <c r="V75" s="84"/>
      <c r="W75" s="84"/>
      <c r="X75" s="84"/>
      <c r="Y75" s="84"/>
      <c r="Z75" s="84"/>
      <c r="AA75" s="84"/>
      <c r="AB75" s="84"/>
    </row>
    <row r="76" spans="1:28" ht="14.25">
      <c r="A76" s="84"/>
      <c r="B76" s="85"/>
      <c r="C76" s="85"/>
      <c r="D76" s="85"/>
      <c r="E76" s="504"/>
      <c r="F76" s="84"/>
      <c r="G76" s="84"/>
      <c r="H76" s="490"/>
      <c r="I76" s="490"/>
      <c r="J76" s="490"/>
      <c r="K76" s="490"/>
      <c r="L76" s="490"/>
      <c r="M76" s="84"/>
      <c r="N76" s="84"/>
      <c r="O76" s="84"/>
      <c r="P76" s="84"/>
      <c r="Q76" s="85"/>
      <c r="R76" s="84"/>
      <c r="S76" s="85"/>
      <c r="T76" s="84"/>
      <c r="U76" s="84"/>
      <c r="V76" s="84"/>
      <c r="W76" s="84"/>
      <c r="X76" s="84"/>
      <c r="Y76" s="84"/>
      <c r="Z76" s="84"/>
      <c r="AA76" s="84"/>
      <c r="AB76" s="84"/>
    </row>
    <row r="77" spans="1:28" ht="14.25">
      <c r="A77" s="84"/>
      <c r="B77" s="85"/>
      <c r="C77" s="85"/>
      <c r="D77" s="85"/>
      <c r="E77" s="504"/>
      <c r="F77" s="84"/>
      <c r="G77" s="84"/>
      <c r="H77" s="490"/>
      <c r="I77" s="490"/>
      <c r="J77" s="490"/>
      <c r="K77" s="490"/>
      <c r="L77" s="490"/>
      <c r="M77" s="84"/>
      <c r="N77" s="84"/>
      <c r="O77" s="84"/>
      <c r="P77" s="84"/>
      <c r="Q77" s="85"/>
      <c r="R77" s="84"/>
      <c r="S77" s="85"/>
      <c r="T77" s="84"/>
      <c r="U77" s="84"/>
      <c r="V77" s="84"/>
      <c r="W77" s="84"/>
      <c r="X77" s="84"/>
      <c r="Y77" s="84"/>
      <c r="Z77" s="84"/>
      <c r="AA77" s="84"/>
      <c r="AB77" s="84"/>
    </row>
    <row r="78" spans="1:28" ht="14.25">
      <c r="A78" s="84"/>
      <c r="B78" s="85"/>
      <c r="C78" s="85"/>
      <c r="D78" s="85"/>
      <c r="E78" s="504"/>
      <c r="F78" s="84"/>
      <c r="G78" s="84"/>
      <c r="H78" s="490"/>
      <c r="I78" s="490"/>
      <c r="J78" s="490"/>
      <c r="K78" s="490"/>
      <c r="L78" s="490"/>
      <c r="M78" s="84"/>
      <c r="N78" s="84"/>
      <c r="O78" s="84"/>
      <c r="P78" s="84"/>
      <c r="Q78" s="85"/>
      <c r="R78" s="84"/>
      <c r="S78" s="85"/>
      <c r="T78" s="84"/>
      <c r="U78" s="84"/>
      <c r="V78" s="84"/>
      <c r="W78" s="84"/>
      <c r="X78" s="84"/>
      <c r="Y78" s="84"/>
      <c r="Z78" s="84"/>
      <c r="AA78" s="84"/>
      <c r="AB78" s="84"/>
    </row>
    <row r="79" spans="1:28" ht="14.25">
      <c r="A79" s="84"/>
      <c r="B79" s="85"/>
      <c r="C79" s="85"/>
      <c r="D79" s="85"/>
      <c r="E79" s="504"/>
      <c r="F79" s="84"/>
      <c r="G79" s="84"/>
      <c r="H79" s="490"/>
      <c r="I79" s="490"/>
      <c r="J79" s="490"/>
      <c r="K79" s="490"/>
      <c r="L79" s="490"/>
      <c r="M79" s="84"/>
      <c r="N79" s="84"/>
      <c r="O79" s="84"/>
      <c r="P79" s="84"/>
      <c r="Q79" s="85"/>
      <c r="R79" s="84"/>
      <c r="S79" s="85"/>
      <c r="T79" s="84"/>
      <c r="U79" s="84"/>
      <c r="V79" s="84"/>
      <c r="W79" s="84"/>
      <c r="X79" s="84"/>
      <c r="Y79" s="84"/>
      <c r="Z79" s="84"/>
      <c r="AA79" s="84"/>
      <c r="AB79" s="84"/>
    </row>
    <row r="80" spans="1:28" ht="14.25">
      <c r="A80" s="84"/>
      <c r="B80" s="85"/>
      <c r="C80" s="85"/>
      <c r="D80" s="85"/>
      <c r="E80" s="504"/>
      <c r="F80" s="84"/>
      <c r="G80" s="84"/>
      <c r="H80" s="490"/>
      <c r="I80" s="490"/>
      <c r="J80" s="490"/>
      <c r="K80" s="490"/>
      <c r="L80" s="490"/>
      <c r="M80" s="84"/>
      <c r="N80" s="84"/>
      <c r="O80" s="84"/>
      <c r="P80" s="84"/>
      <c r="Q80" s="85"/>
      <c r="R80" s="84"/>
      <c r="S80" s="85"/>
      <c r="T80" s="84"/>
      <c r="U80" s="84"/>
      <c r="V80" s="84"/>
      <c r="W80" s="84"/>
      <c r="X80" s="84"/>
      <c r="Y80" s="84"/>
      <c r="Z80" s="84"/>
      <c r="AA80" s="84"/>
      <c r="AB80" s="84"/>
    </row>
    <row r="81" spans="1:28" ht="14.25">
      <c r="A81" s="84"/>
      <c r="B81" s="85"/>
      <c r="C81" s="85"/>
      <c r="D81" s="85"/>
      <c r="E81" s="504"/>
      <c r="F81" s="84"/>
      <c r="G81" s="84"/>
      <c r="H81" s="490"/>
      <c r="I81" s="490"/>
      <c r="J81" s="490"/>
      <c r="K81" s="490"/>
      <c r="L81" s="490"/>
      <c r="M81" s="84"/>
      <c r="N81" s="84"/>
      <c r="O81" s="84"/>
      <c r="P81" s="84"/>
      <c r="Q81" s="85"/>
      <c r="R81" s="84"/>
      <c r="S81" s="85"/>
      <c r="T81" s="84"/>
      <c r="U81" s="84"/>
      <c r="V81" s="84"/>
      <c r="W81" s="84"/>
      <c r="X81" s="84"/>
      <c r="Y81" s="84"/>
      <c r="Z81" s="84"/>
      <c r="AA81" s="84"/>
      <c r="AB81" s="84"/>
    </row>
    <row r="82" spans="1:28" ht="14.25">
      <c r="A82" s="84"/>
      <c r="B82" s="85"/>
      <c r="C82" s="85"/>
      <c r="D82" s="85"/>
      <c r="E82" s="504"/>
      <c r="F82" s="84"/>
      <c r="G82" s="84"/>
      <c r="H82" s="490"/>
      <c r="I82" s="490"/>
      <c r="J82" s="490"/>
      <c r="K82" s="490"/>
      <c r="L82" s="490"/>
      <c r="M82" s="84"/>
      <c r="N82" s="84"/>
      <c r="O82" s="84"/>
      <c r="P82" s="84"/>
      <c r="Q82" s="85"/>
      <c r="R82" s="84"/>
      <c r="S82" s="85"/>
      <c r="T82" s="84"/>
      <c r="U82" s="84"/>
      <c r="V82" s="84"/>
      <c r="W82" s="84"/>
      <c r="X82" s="84"/>
      <c r="Y82" s="84"/>
      <c r="Z82" s="84"/>
      <c r="AA82" s="84"/>
      <c r="AB82" s="84"/>
    </row>
    <row r="83" spans="1:28" ht="14.25">
      <c r="A83" s="84"/>
      <c r="B83" s="85"/>
      <c r="C83" s="85"/>
      <c r="D83" s="85"/>
      <c r="E83" s="504"/>
      <c r="F83" s="84"/>
      <c r="G83" s="84"/>
      <c r="H83" s="490"/>
      <c r="I83" s="490"/>
      <c r="J83" s="490"/>
      <c r="K83" s="490"/>
      <c r="L83" s="490"/>
      <c r="M83" s="84"/>
      <c r="N83" s="84"/>
      <c r="O83" s="84"/>
      <c r="P83" s="84"/>
      <c r="Q83" s="85"/>
      <c r="R83" s="84"/>
      <c r="S83" s="85"/>
      <c r="T83" s="84"/>
      <c r="U83" s="84"/>
      <c r="V83" s="84"/>
      <c r="W83" s="84"/>
      <c r="X83" s="84"/>
      <c r="Y83" s="84"/>
      <c r="Z83" s="84"/>
      <c r="AA83" s="84"/>
      <c r="AB83" s="84"/>
    </row>
    <row r="84" spans="1:28" ht="14.25">
      <c r="A84" s="84"/>
      <c r="B84" s="85"/>
      <c r="C84" s="85"/>
      <c r="D84" s="85"/>
      <c r="E84" s="504"/>
      <c r="F84" s="84"/>
      <c r="G84" s="84"/>
      <c r="H84" s="490"/>
      <c r="I84" s="490"/>
      <c r="J84" s="490"/>
      <c r="K84" s="490"/>
      <c r="L84" s="490"/>
      <c r="M84" s="84"/>
      <c r="N84" s="84"/>
      <c r="O84" s="84"/>
      <c r="P84" s="84"/>
      <c r="Q84" s="85"/>
      <c r="R84" s="84"/>
      <c r="S84" s="85"/>
      <c r="T84" s="84"/>
      <c r="U84" s="84"/>
      <c r="V84" s="84"/>
      <c r="W84" s="84"/>
      <c r="X84" s="84"/>
      <c r="Y84" s="84"/>
      <c r="Z84" s="84"/>
      <c r="AA84" s="84"/>
      <c r="AB84" s="84"/>
    </row>
    <row r="85" spans="1:28" ht="14.25">
      <c r="A85" s="84"/>
      <c r="B85" s="85"/>
      <c r="C85" s="85"/>
      <c r="D85" s="85"/>
      <c r="E85" s="504"/>
      <c r="F85" s="84"/>
      <c r="G85" s="84"/>
      <c r="H85" s="490"/>
      <c r="I85" s="490"/>
      <c r="J85" s="490"/>
      <c r="K85" s="490"/>
      <c r="L85" s="490"/>
      <c r="M85" s="84"/>
      <c r="N85" s="84"/>
      <c r="O85" s="84"/>
      <c r="P85" s="84"/>
      <c r="Q85" s="85"/>
      <c r="R85" s="84"/>
      <c r="S85" s="85"/>
      <c r="T85" s="84"/>
      <c r="U85" s="84"/>
      <c r="V85" s="84"/>
      <c r="W85" s="84"/>
      <c r="X85" s="84"/>
      <c r="Y85" s="84"/>
      <c r="Z85" s="84"/>
      <c r="AA85" s="84"/>
      <c r="AB85" s="84"/>
    </row>
    <row r="86" spans="1:28" ht="14.25">
      <c r="A86" s="84"/>
      <c r="B86" s="85"/>
      <c r="C86" s="85"/>
      <c r="D86" s="85"/>
      <c r="E86" s="504"/>
      <c r="F86" s="84"/>
      <c r="G86" s="84"/>
      <c r="H86" s="490"/>
      <c r="I86" s="490"/>
      <c r="J86" s="490"/>
      <c r="K86" s="490"/>
      <c r="L86" s="490"/>
      <c r="M86" s="84"/>
      <c r="N86" s="84"/>
      <c r="O86" s="84"/>
      <c r="P86" s="84"/>
      <c r="Q86" s="85"/>
      <c r="R86" s="84"/>
      <c r="S86" s="85"/>
      <c r="T86" s="84"/>
      <c r="U86" s="84"/>
      <c r="V86" s="84"/>
      <c r="W86" s="84"/>
      <c r="X86" s="84"/>
      <c r="Y86" s="84"/>
      <c r="Z86" s="84"/>
      <c r="AA86" s="84"/>
      <c r="AB86" s="84"/>
    </row>
    <row r="87" spans="1:28" ht="14.25">
      <c r="A87" s="84"/>
      <c r="B87" s="85"/>
      <c r="C87" s="85"/>
      <c r="D87" s="85"/>
      <c r="E87" s="504"/>
      <c r="F87" s="84"/>
      <c r="G87" s="84"/>
      <c r="H87" s="490"/>
      <c r="I87" s="490"/>
      <c r="J87" s="490"/>
      <c r="K87" s="490"/>
      <c r="L87" s="490"/>
      <c r="M87" s="84"/>
      <c r="N87" s="84"/>
      <c r="O87" s="84"/>
      <c r="P87" s="84"/>
      <c r="Q87" s="85"/>
      <c r="R87" s="84"/>
      <c r="S87" s="85"/>
      <c r="T87" s="84"/>
      <c r="U87" s="84"/>
      <c r="V87" s="84"/>
      <c r="W87" s="84"/>
      <c r="X87" s="84"/>
      <c r="Y87" s="84"/>
      <c r="Z87" s="84"/>
      <c r="AA87" s="84"/>
      <c r="AB87" s="84"/>
    </row>
    <row r="88" spans="1:28" ht="14.25">
      <c r="A88" s="84"/>
      <c r="B88" s="85"/>
      <c r="C88" s="85"/>
      <c r="D88" s="85"/>
      <c r="E88" s="504"/>
      <c r="F88" s="84"/>
      <c r="G88" s="84"/>
      <c r="H88" s="490"/>
      <c r="I88" s="490"/>
      <c r="J88" s="490"/>
      <c r="K88" s="490"/>
      <c r="L88" s="490"/>
      <c r="M88" s="84"/>
      <c r="N88" s="84"/>
      <c r="O88" s="84"/>
      <c r="P88" s="84"/>
      <c r="Q88" s="85"/>
      <c r="R88" s="84"/>
      <c r="S88" s="85"/>
      <c r="T88" s="84"/>
      <c r="U88" s="84"/>
      <c r="V88" s="84"/>
      <c r="W88" s="84"/>
      <c r="X88" s="84"/>
      <c r="Y88" s="84"/>
      <c r="Z88" s="84"/>
      <c r="AA88" s="84"/>
      <c r="AB88" s="84"/>
    </row>
    <row r="89" spans="1:28" ht="14.25">
      <c r="A89" s="84"/>
      <c r="B89" s="85"/>
      <c r="C89" s="85"/>
      <c r="D89" s="85"/>
      <c r="E89" s="504"/>
      <c r="F89" s="84"/>
      <c r="G89" s="84"/>
      <c r="H89" s="490"/>
      <c r="I89" s="490"/>
      <c r="J89" s="490"/>
      <c r="K89" s="490"/>
      <c r="L89" s="490"/>
      <c r="M89" s="84"/>
      <c r="N89" s="84"/>
      <c r="O89" s="84"/>
      <c r="P89" s="84"/>
      <c r="Q89" s="85"/>
      <c r="R89" s="84"/>
      <c r="S89" s="85"/>
      <c r="T89" s="84"/>
      <c r="U89" s="84"/>
      <c r="V89" s="84"/>
      <c r="W89" s="84"/>
      <c r="X89" s="84"/>
      <c r="Y89" s="84"/>
      <c r="Z89" s="84"/>
      <c r="AA89" s="84"/>
      <c r="AB89" s="84"/>
    </row>
    <row r="90" spans="1:28" ht="14.25">
      <c r="A90" s="84"/>
      <c r="B90" s="85"/>
      <c r="C90" s="85"/>
      <c r="D90" s="85"/>
      <c r="E90" s="504"/>
      <c r="F90" s="84"/>
      <c r="G90" s="84"/>
      <c r="H90" s="490"/>
      <c r="I90" s="490"/>
      <c r="J90" s="490"/>
      <c r="K90" s="490"/>
      <c r="L90" s="490"/>
      <c r="M90" s="84"/>
      <c r="N90" s="84"/>
      <c r="O90" s="84"/>
      <c r="P90" s="84"/>
      <c r="Q90" s="85"/>
      <c r="R90" s="84"/>
      <c r="S90" s="85"/>
      <c r="T90" s="84"/>
      <c r="U90" s="84"/>
      <c r="V90" s="84"/>
      <c r="W90" s="84"/>
      <c r="X90" s="84"/>
      <c r="Y90" s="84"/>
      <c r="Z90" s="84"/>
      <c r="AA90" s="84"/>
      <c r="AB90" s="84"/>
    </row>
    <row r="91" spans="1:28" ht="14.25">
      <c r="A91" s="84"/>
      <c r="B91" s="85"/>
      <c r="C91" s="85"/>
      <c r="D91" s="85"/>
      <c r="E91" s="504"/>
      <c r="F91" s="84"/>
      <c r="G91" s="84"/>
      <c r="H91" s="490"/>
      <c r="I91" s="490"/>
      <c r="J91" s="490"/>
      <c r="K91" s="490"/>
      <c r="L91" s="490"/>
      <c r="M91" s="84"/>
      <c r="N91" s="84"/>
      <c r="O91" s="84"/>
      <c r="P91" s="84"/>
      <c r="Q91" s="85"/>
      <c r="R91" s="84"/>
      <c r="S91" s="85"/>
      <c r="T91" s="84"/>
      <c r="U91" s="84"/>
      <c r="V91" s="84"/>
      <c r="W91" s="84"/>
      <c r="X91" s="84"/>
      <c r="Y91" s="84"/>
      <c r="Z91" s="84"/>
      <c r="AA91" s="84"/>
      <c r="AB91" s="84"/>
    </row>
    <row r="92" spans="1:28" ht="14.25">
      <c r="A92" s="84"/>
      <c r="B92" s="85"/>
      <c r="C92" s="85"/>
      <c r="D92" s="85"/>
      <c r="E92" s="504"/>
      <c r="F92" s="84"/>
      <c r="G92" s="84"/>
      <c r="H92" s="490"/>
      <c r="I92" s="490"/>
      <c r="J92" s="490"/>
      <c r="K92" s="490"/>
      <c r="L92" s="490"/>
      <c r="M92" s="84"/>
      <c r="N92" s="84"/>
      <c r="O92" s="84"/>
      <c r="P92" s="84"/>
      <c r="Q92" s="85"/>
      <c r="R92" s="84"/>
      <c r="S92" s="85"/>
      <c r="T92" s="84"/>
      <c r="U92" s="84"/>
      <c r="V92" s="84"/>
      <c r="W92" s="84"/>
      <c r="X92" s="84"/>
      <c r="Y92" s="84"/>
      <c r="Z92" s="84"/>
      <c r="AA92" s="84"/>
      <c r="AB92" s="84"/>
    </row>
    <row r="93" spans="1:28" ht="14.25">
      <c r="A93" s="84"/>
      <c r="B93" s="85"/>
      <c r="C93" s="85"/>
      <c r="D93" s="85"/>
      <c r="E93" s="504"/>
      <c r="F93" s="84"/>
      <c r="G93" s="84"/>
      <c r="H93" s="490"/>
      <c r="I93" s="490"/>
      <c r="J93" s="490"/>
      <c r="K93" s="490"/>
      <c r="L93" s="490"/>
      <c r="M93" s="84"/>
      <c r="N93" s="84"/>
      <c r="O93" s="84"/>
      <c r="P93" s="84"/>
      <c r="Q93" s="85"/>
      <c r="R93" s="84"/>
      <c r="S93" s="85"/>
      <c r="T93" s="84"/>
      <c r="U93" s="84"/>
      <c r="V93" s="84"/>
      <c r="W93" s="84"/>
      <c r="X93" s="84"/>
      <c r="Y93" s="84"/>
      <c r="Z93" s="84"/>
      <c r="AA93" s="84"/>
      <c r="AB93" s="84"/>
    </row>
    <row r="94" spans="1:28" ht="14.25">
      <c r="A94" s="84"/>
      <c r="B94" s="85"/>
      <c r="C94" s="85"/>
      <c r="D94" s="85"/>
      <c r="E94" s="504"/>
      <c r="F94" s="84"/>
      <c r="G94" s="84"/>
      <c r="H94" s="490"/>
      <c r="I94" s="490"/>
      <c r="J94" s="490"/>
      <c r="K94" s="490"/>
      <c r="L94" s="490"/>
      <c r="M94" s="84"/>
      <c r="N94" s="84"/>
      <c r="O94" s="84"/>
      <c r="P94" s="84"/>
      <c r="Q94" s="85"/>
      <c r="R94" s="84"/>
      <c r="S94" s="85"/>
      <c r="T94" s="84"/>
      <c r="U94" s="84"/>
      <c r="V94" s="84"/>
      <c r="W94" s="84"/>
      <c r="X94" s="84"/>
      <c r="Y94" s="84"/>
      <c r="Z94" s="84"/>
      <c r="AA94" s="84"/>
      <c r="AB94" s="84"/>
    </row>
    <row r="95" spans="1:28" ht="14.25">
      <c r="A95" s="84"/>
      <c r="B95" s="85"/>
      <c r="C95" s="85"/>
      <c r="D95" s="85"/>
      <c r="E95" s="504"/>
      <c r="F95" s="84"/>
      <c r="G95" s="84"/>
      <c r="H95" s="490"/>
      <c r="I95" s="490"/>
      <c r="J95" s="490"/>
      <c r="K95" s="490"/>
      <c r="L95" s="490"/>
      <c r="M95" s="84"/>
      <c r="N95" s="84"/>
      <c r="O95" s="84"/>
      <c r="P95" s="84"/>
      <c r="Q95" s="85"/>
      <c r="R95" s="84"/>
      <c r="S95" s="85"/>
      <c r="T95" s="84"/>
      <c r="U95" s="84"/>
      <c r="V95" s="84"/>
      <c r="W95" s="84"/>
      <c r="X95" s="84"/>
      <c r="Y95" s="84"/>
      <c r="Z95" s="84"/>
      <c r="AA95" s="84"/>
      <c r="AB95" s="84"/>
    </row>
    <row r="96" spans="1:28" ht="14.25">
      <c r="A96" s="84"/>
      <c r="B96" s="85"/>
      <c r="C96" s="85"/>
      <c r="D96" s="85"/>
      <c r="E96" s="504"/>
      <c r="F96" s="84"/>
      <c r="G96" s="84"/>
      <c r="H96" s="490"/>
      <c r="I96" s="490"/>
      <c r="J96" s="490"/>
      <c r="K96" s="490"/>
      <c r="L96" s="490"/>
      <c r="M96" s="84"/>
      <c r="N96" s="84"/>
      <c r="O96" s="84"/>
      <c r="P96" s="84"/>
      <c r="Q96" s="85"/>
      <c r="R96" s="84"/>
      <c r="S96" s="85"/>
      <c r="T96" s="84"/>
      <c r="U96" s="84"/>
      <c r="V96" s="84"/>
      <c r="W96" s="84"/>
      <c r="X96" s="84"/>
      <c r="Y96" s="84"/>
      <c r="Z96" s="84"/>
      <c r="AA96" s="84"/>
      <c r="AB96" s="84"/>
    </row>
    <row r="97" spans="1:28" ht="14.25">
      <c r="A97" s="84"/>
      <c r="B97" s="85"/>
      <c r="C97" s="85"/>
      <c r="D97" s="85"/>
      <c r="E97" s="504"/>
      <c r="F97" s="84"/>
      <c r="G97" s="84"/>
      <c r="H97" s="490"/>
      <c r="I97" s="490"/>
      <c r="J97" s="490"/>
      <c r="K97" s="490"/>
      <c r="L97" s="490"/>
      <c r="M97" s="84"/>
      <c r="N97" s="84"/>
      <c r="O97" s="84"/>
      <c r="P97" s="84"/>
      <c r="Q97" s="85"/>
      <c r="R97" s="84"/>
      <c r="S97" s="85"/>
      <c r="T97" s="84"/>
      <c r="U97" s="84"/>
      <c r="V97" s="84"/>
      <c r="W97" s="84"/>
      <c r="X97" s="84"/>
      <c r="Y97" s="84"/>
      <c r="Z97" s="84"/>
      <c r="AA97" s="84"/>
      <c r="AB97" s="84"/>
    </row>
    <row r="98" spans="1:28" ht="14.25">
      <c r="A98" s="84"/>
      <c r="B98" s="85"/>
      <c r="C98" s="85"/>
      <c r="D98" s="85"/>
      <c r="E98" s="504"/>
      <c r="F98" s="84"/>
      <c r="G98" s="84"/>
      <c r="H98" s="490"/>
      <c r="I98" s="490"/>
      <c r="J98" s="490"/>
      <c r="K98" s="490"/>
      <c r="L98" s="490"/>
      <c r="M98" s="84"/>
      <c r="N98" s="84"/>
      <c r="O98" s="84"/>
      <c r="P98" s="84"/>
      <c r="Q98" s="85"/>
      <c r="R98" s="84"/>
      <c r="S98" s="85"/>
      <c r="T98" s="84"/>
      <c r="U98" s="84"/>
      <c r="V98" s="84"/>
      <c r="W98" s="84"/>
      <c r="X98" s="84"/>
      <c r="Y98" s="84"/>
      <c r="Z98" s="84"/>
      <c r="AA98" s="84"/>
      <c r="AB98" s="84"/>
    </row>
    <row r="99" spans="1:28" ht="14.25">
      <c r="A99" s="84"/>
      <c r="B99" s="85"/>
      <c r="C99" s="85"/>
      <c r="D99" s="85"/>
      <c r="E99" s="504"/>
      <c r="F99" s="84"/>
      <c r="G99" s="84"/>
      <c r="H99" s="490"/>
      <c r="I99" s="490"/>
      <c r="J99" s="490"/>
      <c r="K99" s="490"/>
      <c r="L99" s="490"/>
      <c r="M99" s="84"/>
      <c r="N99" s="84"/>
      <c r="O99" s="84"/>
      <c r="P99" s="84"/>
      <c r="Q99" s="85"/>
      <c r="R99" s="84"/>
      <c r="S99" s="85"/>
      <c r="T99" s="84"/>
      <c r="U99" s="84"/>
      <c r="V99" s="84"/>
      <c r="W99" s="84"/>
      <c r="X99" s="84"/>
      <c r="Y99" s="84"/>
      <c r="Z99" s="84"/>
      <c r="AA99" s="84"/>
      <c r="AB99" s="84"/>
    </row>
    <row r="100" spans="1:28" ht="14.25">
      <c r="A100" s="84"/>
      <c r="B100" s="85"/>
      <c r="C100" s="85"/>
      <c r="D100" s="85"/>
      <c r="E100" s="504"/>
      <c r="F100" s="84"/>
      <c r="G100" s="84"/>
      <c r="H100" s="490"/>
      <c r="I100" s="490"/>
      <c r="J100" s="490"/>
      <c r="K100" s="490"/>
      <c r="L100" s="490"/>
      <c r="M100" s="84"/>
      <c r="N100" s="84"/>
      <c r="O100" s="84"/>
      <c r="P100" s="84"/>
      <c r="Q100" s="85"/>
      <c r="R100" s="84"/>
      <c r="S100" s="85"/>
      <c r="T100" s="84"/>
      <c r="U100" s="84"/>
      <c r="V100" s="84"/>
      <c r="W100" s="84"/>
      <c r="X100" s="84"/>
      <c r="Y100" s="84"/>
      <c r="Z100" s="84"/>
      <c r="AA100" s="84"/>
      <c r="AB100" s="84"/>
    </row>
    <row r="101" spans="1:28" ht="14.25">
      <c r="A101" s="84"/>
      <c r="B101" s="85"/>
      <c r="C101" s="85"/>
      <c r="D101" s="85"/>
      <c r="E101" s="504"/>
      <c r="F101" s="84"/>
      <c r="G101" s="84"/>
      <c r="H101" s="490"/>
      <c r="I101" s="490"/>
      <c r="J101" s="490"/>
      <c r="K101" s="490"/>
      <c r="L101" s="490"/>
      <c r="M101" s="84"/>
      <c r="N101" s="84"/>
      <c r="O101" s="84"/>
      <c r="P101" s="84"/>
      <c r="Q101" s="85"/>
      <c r="R101" s="84"/>
      <c r="S101" s="85"/>
      <c r="T101" s="84"/>
      <c r="U101" s="84"/>
      <c r="V101" s="84"/>
      <c r="W101" s="84"/>
      <c r="X101" s="84"/>
      <c r="Y101" s="84"/>
      <c r="Z101" s="84"/>
      <c r="AA101" s="84"/>
      <c r="AB101" s="84"/>
    </row>
    <row r="102" spans="1:28" ht="14.25">
      <c r="A102" s="84"/>
      <c r="B102" s="85"/>
      <c r="C102" s="85"/>
      <c r="D102" s="85"/>
      <c r="E102" s="504"/>
      <c r="F102" s="84"/>
      <c r="G102" s="84"/>
      <c r="H102" s="490"/>
      <c r="I102" s="490"/>
      <c r="J102" s="490"/>
      <c r="K102" s="490"/>
      <c r="L102" s="490"/>
      <c r="M102" s="84"/>
      <c r="N102" s="84"/>
      <c r="O102" s="84"/>
      <c r="P102" s="84"/>
      <c r="Q102" s="85"/>
      <c r="R102" s="84"/>
      <c r="S102" s="85"/>
      <c r="T102" s="84"/>
      <c r="U102" s="84"/>
      <c r="V102" s="84"/>
      <c r="W102" s="84"/>
      <c r="X102" s="84"/>
      <c r="Y102" s="84"/>
      <c r="Z102" s="84"/>
      <c r="AA102" s="84"/>
      <c r="AB102" s="84"/>
    </row>
    <row r="103" spans="1:28" ht="14.25">
      <c r="A103" s="84"/>
      <c r="B103" s="85"/>
      <c r="C103" s="85"/>
      <c r="D103" s="85"/>
      <c r="E103" s="504"/>
      <c r="F103" s="84"/>
      <c r="G103" s="84"/>
      <c r="H103" s="490"/>
      <c r="I103" s="490"/>
      <c r="J103" s="490"/>
      <c r="K103" s="490"/>
      <c r="L103" s="490"/>
      <c r="M103" s="84"/>
      <c r="N103" s="84"/>
      <c r="O103" s="84"/>
      <c r="P103" s="84"/>
      <c r="Q103" s="85"/>
      <c r="R103" s="84"/>
      <c r="S103" s="85"/>
      <c r="T103" s="84"/>
      <c r="U103" s="84"/>
      <c r="V103" s="84"/>
      <c r="W103" s="84"/>
      <c r="X103" s="84"/>
      <c r="Y103" s="84"/>
      <c r="Z103" s="84"/>
      <c r="AA103" s="84"/>
      <c r="AB103" s="84"/>
    </row>
    <row r="104" spans="1:28" ht="14.25">
      <c r="A104" s="84"/>
      <c r="B104" s="85"/>
      <c r="C104" s="85"/>
      <c r="D104" s="85"/>
      <c r="E104" s="504"/>
      <c r="F104" s="84"/>
      <c r="G104" s="84"/>
      <c r="H104" s="490"/>
      <c r="I104" s="490"/>
      <c r="J104" s="490"/>
      <c r="K104" s="490"/>
      <c r="L104" s="490"/>
      <c r="M104" s="84"/>
      <c r="N104" s="84"/>
      <c r="O104" s="84"/>
      <c r="P104" s="84"/>
      <c r="Q104" s="85"/>
      <c r="R104" s="84"/>
      <c r="S104" s="85"/>
      <c r="T104" s="84"/>
      <c r="U104" s="84"/>
      <c r="V104" s="84"/>
      <c r="W104" s="84"/>
      <c r="X104" s="84"/>
      <c r="Y104" s="84"/>
      <c r="Z104" s="84"/>
      <c r="AA104" s="84"/>
      <c r="AB104" s="84"/>
    </row>
    <row r="105" spans="1:28" ht="14.25">
      <c r="A105" s="84"/>
      <c r="B105" s="85"/>
      <c r="C105" s="85"/>
      <c r="D105" s="85"/>
      <c r="E105" s="504"/>
      <c r="F105" s="84"/>
      <c r="G105" s="84"/>
      <c r="H105" s="490"/>
      <c r="I105" s="490"/>
      <c r="J105" s="490"/>
      <c r="K105" s="490"/>
      <c r="L105" s="490"/>
      <c r="M105" s="84"/>
      <c r="N105" s="84"/>
      <c r="O105" s="84"/>
      <c r="P105" s="84"/>
      <c r="Q105" s="85"/>
      <c r="R105" s="84"/>
      <c r="S105" s="85"/>
      <c r="T105" s="84"/>
      <c r="U105" s="84"/>
      <c r="V105" s="84"/>
      <c r="W105" s="84"/>
      <c r="X105" s="84"/>
      <c r="Y105" s="84"/>
      <c r="Z105" s="84"/>
      <c r="AA105" s="84"/>
      <c r="AB105" s="84"/>
    </row>
    <row r="106" spans="1:28" ht="14.25">
      <c r="A106" s="84"/>
      <c r="B106" s="85"/>
      <c r="C106" s="85"/>
      <c r="D106" s="85"/>
      <c r="E106" s="504"/>
      <c r="F106" s="84"/>
      <c r="G106" s="84"/>
      <c r="H106" s="490"/>
      <c r="I106" s="490"/>
      <c r="J106" s="490"/>
      <c r="K106" s="490"/>
      <c r="L106" s="490"/>
      <c r="M106" s="84"/>
      <c r="N106" s="84"/>
      <c r="O106" s="84"/>
      <c r="P106" s="84"/>
      <c r="Q106" s="85"/>
      <c r="R106" s="84"/>
      <c r="S106" s="85"/>
      <c r="T106" s="84"/>
      <c r="U106" s="84"/>
      <c r="V106" s="84"/>
      <c r="W106" s="84"/>
      <c r="X106" s="84"/>
      <c r="Y106" s="84"/>
      <c r="Z106" s="84"/>
      <c r="AA106" s="84"/>
      <c r="AB106" s="84"/>
    </row>
    <row r="107" spans="1:28" ht="14.25">
      <c r="A107" s="84"/>
      <c r="B107" s="85"/>
      <c r="C107" s="85"/>
      <c r="D107" s="85"/>
      <c r="E107" s="504"/>
      <c r="F107" s="84"/>
      <c r="G107" s="84"/>
      <c r="H107" s="490"/>
      <c r="I107" s="490"/>
      <c r="J107" s="490"/>
      <c r="K107" s="490"/>
      <c r="L107" s="490"/>
      <c r="M107" s="84"/>
      <c r="N107" s="84"/>
      <c r="O107" s="84"/>
      <c r="P107" s="84"/>
      <c r="Q107" s="85"/>
      <c r="R107" s="84"/>
      <c r="S107" s="85"/>
      <c r="T107" s="84"/>
      <c r="U107" s="84"/>
      <c r="V107" s="84"/>
      <c r="W107" s="84"/>
      <c r="X107" s="84"/>
      <c r="Y107" s="84"/>
      <c r="Z107" s="84"/>
      <c r="AA107" s="84"/>
      <c r="AB107" s="84"/>
    </row>
    <row r="108" spans="1:28" ht="14.25">
      <c r="A108" s="84"/>
      <c r="B108" s="85"/>
      <c r="C108" s="85"/>
      <c r="D108" s="85"/>
      <c r="E108" s="504"/>
      <c r="F108" s="84"/>
      <c r="G108" s="84"/>
      <c r="H108" s="490"/>
      <c r="I108" s="490"/>
      <c r="J108" s="490"/>
      <c r="K108" s="490"/>
      <c r="L108" s="490"/>
      <c r="M108" s="84"/>
      <c r="N108" s="84"/>
      <c r="O108" s="84"/>
      <c r="P108" s="84"/>
      <c r="Q108" s="85"/>
      <c r="R108" s="84"/>
      <c r="S108" s="85"/>
      <c r="T108" s="84"/>
      <c r="U108" s="84"/>
      <c r="V108" s="84"/>
      <c r="W108" s="84"/>
      <c r="X108" s="84"/>
      <c r="Y108" s="84"/>
      <c r="Z108" s="84"/>
      <c r="AA108" s="84"/>
      <c r="AB108" s="84"/>
    </row>
    <row r="109" spans="1:28" ht="14.25">
      <c r="A109" s="84"/>
      <c r="B109" s="85"/>
      <c r="C109" s="85"/>
      <c r="D109" s="85"/>
      <c r="E109" s="504"/>
      <c r="F109" s="84"/>
      <c r="G109" s="84"/>
      <c r="H109" s="490"/>
      <c r="I109" s="490"/>
      <c r="J109" s="490"/>
      <c r="K109" s="490"/>
      <c r="L109" s="490"/>
      <c r="M109" s="84"/>
      <c r="N109" s="84"/>
      <c r="O109" s="84"/>
      <c r="P109" s="84"/>
      <c r="Q109" s="85"/>
      <c r="R109" s="84"/>
      <c r="S109" s="85"/>
      <c r="T109" s="84"/>
      <c r="U109" s="84"/>
      <c r="V109" s="84"/>
      <c r="W109" s="84"/>
      <c r="X109" s="84"/>
      <c r="Y109" s="84"/>
      <c r="Z109" s="84"/>
      <c r="AA109" s="84"/>
      <c r="AB109" s="84"/>
    </row>
    <row r="110" spans="1:28" ht="14.25">
      <c r="A110" s="84"/>
      <c r="B110" s="85"/>
      <c r="C110" s="85"/>
      <c r="D110" s="85"/>
      <c r="E110" s="504"/>
      <c r="F110" s="84"/>
      <c r="G110" s="84"/>
      <c r="H110" s="490"/>
      <c r="I110" s="490"/>
      <c r="J110" s="490"/>
      <c r="K110" s="490"/>
      <c r="L110" s="490"/>
      <c r="M110" s="84"/>
      <c r="N110" s="84"/>
      <c r="O110" s="84"/>
      <c r="P110" s="84"/>
      <c r="Q110" s="85"/>
      <c r="R110" s="84"/>
      <c r="S110" s="85"/>
      <c r="T110" s="84"/>
      <c r="U110" s="84"/>
      <c r="V110" s="84"/>
      <c r="W110" s="84"/>
      <c r="X110" s="84"/>
      <c r="Y110" s="84"/>
      <c r="Z110" s="84"/>
      <c r="AA110" s="84"/>
      <c r="AB110" s="84"/>
    </row>
    <row r="111" spans="1:28" ht="14.25">
      <c r="A111" s="84"/>
      <c r="B111" s="85"/>
      <c r="C111" s="85"/>
      <c r="D111" s="85"/>
      <c r="E111" s="504"/>
      <c r="F111" s="84"/>
      <c r="G111" s="84"/>
      <c r="H111" s="490"/>
      <c r="I111" s="490"/>
      <c r="J111" s="490"/>
      <c r="K111" s="490"/>
      <c r="L111" s="490"/>
      <c r="M111" s="84"/>
      <c r="N111" s="84"/>
      <c r="O111" s="84"/>
      <c r="P111" s="84"/>
      <c r="Q111" s="85"/>
      <c r="R111" s="84"/>
      <c r="S111" s="85"/>
      <c r="T111" s="84"/>
      <c r="U111" s="84"/>
      <c r="V111" s="84"/>
      <c r="W111" s="84"/>
      <c r="X111" s="84"/>
      <c r="Y111" s="84"/>
      <c r="Z111" s="84"/>
      <c r="AA111" s="84"/>
      <c r="AB111" s="84"/>
    </row>
    <row r="112" spans="1:28" ht="14.25">
      <c r="A112" s="84"/>
      <c r="B112" s="85"/>
      <c r="C112" s="85"/>
      <c r="D112" s="85"/>
      <c r="E112" s="504"/>
      <c r="F112" s="84"/>
      <c r="G112" s="84"/>
      <c r="H112" s="490"/>
      <c r="I112" s="490"/>
      <c r="J112" s="490"/>
      <c r="K112" s="490"/>
      <c r="L112" s="490"/>
      <c r="M112" s="84"/>
      <c r="N112" s="84"/>
      <c r="O112" s="84"/>
      <c r="P112" s="84"/>
      <c r="Q112" s="85"/>
      <c r="R112" s="84"/>
      <c r="S112" s="85"/>
      <c r="T112" s="84"/>
      <c r="U112" s="84"/>
      <c r="V112" s="84"/>
      <c r="W112" s="84"/>
      <c r="X112" s="84"/>
      <c r="Y112" s="84"/>
      <c r="Z112" s="84"/>
      <c r="AA112" s="84"/>
      <c r="AB112" s="84"/>
    </row>
    <row r="113" spans="1:28" ht="14.25">
      <c r="A113" s="84"/>
      <c r="B113" s="85"/>
      <c r="C113" s="85"/>
      <c r="D113" s="85"/>
      <c r="E113" s="504"/>
      <c r="F113" s="84"/>
      <c r="G113" s="84"/>
      <c r="H113" s="490"/>
      <c r="I113" s="490"/>
      <c r="J113" s="490"/>
      <c r="K113" s="490"/>
      <c r="L113" s="490"/>
      <c r="M113" s="84"/>
      <c r="N113" s="84"/>
      <c r="O113" s="84"/>
      <c r="P113" s="84"/>
      <c r="Q113" s="85"/>
      <c r="R113" s="84"/>
      <c r="S113" s="85"/>
      <c r="T113" s="84"/>
      <c r="U113" s="84"/>
      <c r="V113" s="84"/>
      <c r="W113" s="84"/>
      <c r="X113" s="84"/>
      <c r="Y113" s="84"/>
      <c r="Z113" s="84"/>
      <c r="AA113" s="84"/>
      <c r="AB113" s="84"/>
    </row>
    <row r="114" spans="1:28" ht="14.25">
      <c r="A114" s="84"/>
      <c r="B114" s="85"/>
      <c r="C114" s="85"/>
      <c r="D114" s="85"/>
      <c r="E114" s="504"/>
      <c r="F114" s="84"/>
      <c r="G114" s="84"/>
      <c r="H114" s="490"/>
      <c r="I114" s="490"/>
      <c r="J114" s="490"/>
      <c r="K114" s="490"/>
      <c r="L114" s="490"/>
      <c r="M114" s="84"/>
      <c r="N114" s="84"/>
      <c r="O114" s="84"/>
      <c r="P114" s="84"/>
      <c r="Q114" s="85"/>
      <c r="R114" s="84"/>
      <c r="S114" s="85"/>
      <c r="T114" s="84"/>
      <c r="U114" s="84"/>
      <c r="V114" s="84"/>
      <c r="W114" s="84"/>
      <c r="X114" s="84"/>
      <c r="Y114" s="84"/>
      <c r="Z114" s="84"/>
      <c r="AA114" s="84"/>
      <c r="AB114" s="84"/>
    </row>
    <row r="115" spans="1:28" ht="14.25">
      <c r="A115" s="84"/>
      <c r="B115" s="85"/>
      <c r="C115" s="85"/>
      <c r="D115" s="85"/>
      <c r="E115" s="504"/>
      <c r="F115" s="84"/>
      <c r="G115" s="84"/>
      <c r="H115" s="490"/>
      <c r="I115" s="490"/>
      <c r="J115" s="490"/>
      <c r="K115" s="490"/>
      <c r="L115" s="490"/>
      <c r="M115" s="84"/>
      <c r="N115" s="84"/>
      <c r="O115" s="84"/>
      <c r="P115" s="84"/>
      <c r="Q115" s="85"/>
      <c r="R115" s="84"/>
      <c r="S115" s="85"/>
      <c r="T115" s="84"/>
      <c r="U115" s="84"/>
      <c r="V115" s="84"/>
      <c r="W115" s="84"/>
      <c r="X115" s="84"/>
      <c r="Y115" s="84"/>
      <c r="Z115" s="84"/>
      <c r="AA115" s="84"/>
      <c r="AB115" s="84"/>
    </row>
    <row r="116" spans="1:28" ht="14.25">
      <c r="A116" s="84"/>
      <c r="B116" s="85"/>
      <c r="C116" s="85"/>
      <c r="D116" s="85"/>
      <c r="E116" s="504"/>
      <c r="F116" s="84"/>
      <c r="G116" s="84"/>
      <c r="H116" s="490"/>
      <c r="I116" s="490"/>
      <c r="J116" s="490"/>
      <c r="K116" s="490"/>
      <c r="L116" s="490"/>
      <c r="M116" s="84"/>
      <c r="N116" s="84"/>
      <c r="O116" s="84"/>
      <c r="P116" s="84"/>
      <c r="Q116" s="85"/>
      <c r="R116" s="84"/>
      <c r="S116" s="85"/>
      <c r="T116" s="84"/>
      <c r="U116" s="84"/>
      <c r="V116" s="84"/>
      <c r="W116" s="84"/>
      <c r="X116" s="84"/>
      <c r="Y116" s="84"/>
      <c r="Z116" s="84"/>
      <c r="AA116" s="84"/>
      <c r="AB116" s="84"/>
    </row>
    <row r="117" spans="1:28" ht="14.25">
      <c r="A117" s="84"/>
      <c r="B117" s="85"/>
      <c r="C117" s="85"/>
      <c r="D117" s="85"/>
      <c r="E117" s="504"/>
      <c r="F117" s="84"/>
      <c r="G117" s="84"/>
      <c r="H117" s="490"/>
      <c r="I117" s="490"/>
      <c r="J117" s="490"/>
      <c r="K117" s="490"/>
      <c r="L117" s="490"/>
      <c r="M117" s="84"/>
      <c r="N117" s="84"/>
      <c r="O117" s="84"/>
      <c r="P117" s="84"/>
      <c r="Q117" s="85"/>
      <c r="R117" s="84"/>
      <c r="S117" s="85"/>
      <c r="T117" s="84"/>
      <c r="U117" s="84"/>
      <c r="V117" s="84"/>
      <c r="W117" s="84"/>
      <c r="X117" s="84"/>
      <c r="Y117" s="84"/>
      <c r="Z117" s="84"/>
      <c r="AA117" s="84"/>
      <c r="AB117" s="84"/>
    </row>
    <row r="118" spans="1:28" ht="14.25">
      <c r="A118" s="84"/>
      <c r="B118" s="85"/>
      <c r="C118" s="85"/>
      <c r="D118" s="85"/>
      <c r="E118" s="504"/>
      <c r="F118" s="84"/>
      <c r="G118" s="84"/>
      <c r="H118" s="490"/>
      <c r="I118" s="490"/>
      <c r="J118" s="490"/>
      <c r="K118" s="490"/>
      <c r="L118" s="490"/>
      <c r="M118" s="84"/>
      <c r="N118" s="84"/>
      <c r="O118" s="84"/>
      <c r="P118" s="84"/>
      <c r="Q118" s="85"/>
      <c r="R118" s="84"/>
      <c r="S118" s="85"/>
      <c r="T118" s="84"/>
      <c r="U118" s="84"/>
      <c r="V118" s="84"/>
      <c r="W118" s="84"/>
      <c r="X118" s="84"/>
      <c r="Y118" s="84"/>
      <c r="Z118" s="84"/>
      <c r="AA118" s="84"/>
      <c r="AB118" s="84"/>
    </row>
    <row r="119" spans="1:28" ht="14.25">
      <c r="A119" s="84"/>
      <c r="B119" s="85"/>
      <c r="C119" s="85"/>
      <c r="D119" s="85"/>
      <c r="E119" s="504"/>
      <c r="F119" s="84"/>
      <c r="G119" s="84"/>
      <c r="H119" s="490"/>
      <c r="I119" s="490"/>
      <c r="J119" s="490"/>
      <c r="K119" s="490"/>
      <c r="L119" s="490"/>
      <c r="M119" s="84"/>
      <c r="N119" s="84"/>
      <c r="O119" s="84"/>
      <c r="P119" s="84"/>
      <c r="Q119" s="85"/>
      <c r="R119" s="84"/>
      <c r="S119" s="85"/>
      <c r="T119" s="84"/>
      <c r="U119" s="84"/>
      <c r="V119" s="84"/>
      <c r="W119" s="84"/>
      <c r="X119" s="84"/>
      <c r="Y119" s="84"/>
      <c r="Z119" s="84"/>
      <c r="AA119" s="84"/>
      <c r="AB119" s="84"/>
    </row>
    <row r="120" spans="1:28" ht="14.25">
      <c r="A120" s="84"/>
      <c r="B120" s="85"/>
      <c r="C120" s="85"/>
      <c r="D120" s="85"/>
      <c r="E120" s="504"/>
      <c r="F120" s="84"/>
      <c r="G120" s="84"/>
      <c r="H120" s="490"/>
      <c r="I120" s="490"/>
      <c r="J120" s="490"/>
      <c r="K120" s="490"/>
      <c r="L120" s="490"/>
      <c r="M120" s="84"/>
      <c r="N120" s="84"/>
      <c r="O120" s="84"/>
      <c r="P120" s="84"/>
      <c r="Q120" s="85"/>
      <c r="R120" s="84"/>
      <c r="S120" s="85"/>
      <c r="T120" s="84"/>
      <c r="U120" s="84"/>
      <c r="V120" s="84"/>
      <c r="W120" s="84"/>
      <c r="X120" s="84"/>
      <c r="Y120" s="84"/>
      <c r="Z120" s="84"/>
      <c r="AA120" s="84"/>
      <c r="AB120" s="84"/>
    </row>
    <row r="121" spans="1:28" ht="14.25">
      <c r="A121" s="84"/>
      <c r="B121" s="85"/>
      <c r="C121" s="85"/>
      <c r="D121" s="85"/>
      <c r="E121" s="504"/>
      <c r="F121" s="84"/>
      <c r="G121" s="84"/>
      <c r="H121" s="490"/>
      <c r="I121" s="490"/>
      <c r="J121" s="490"/>
      <c r="K121" s="490"/>
      <c r="L121" s="490"/>
      <c r="M121" s="84"/>
      <c r="N121" s="84"/>
      <c r="O121" s="84"/>
      <c r="P121" s="84"/>
      <c r="Q121" s="85"/>
      <c r="R121" s="84"/>
      <c r="S121" s="85"/>
      <c r="T121" s="84"/>
      <c r="U121" s="84"/>
      <c r="V121" s="84"/>
      <c r="W121" s="84"/>
      <c r="X121" s="84"/>
      <c r="Y121" s="84"/>
      <c r="Z121" s="84"/>
      <c r="AA121" s="84"/>
      <c r="AB121" s="84"/>
    </row>
    <row r="122" spans="1:28" ht="14.25">
      <c r="A122" s="84"/>
      <c r="B122" s="85"/>
      <c r="C122" s="85"/>
      <c r="D122" s="85"/>
      <c r="E122" s="504"/>
      <c r="F122" s="84"/>
      <c r="G122" s="84"/>
      <c r="H122" s="490"/>
      <c r="I122" s="490"/>
      <c r="J122" s="490"/>
      <c r="K122" s="490"/>
      <c r="L122" s="490"/>
      <c r="M122" s="84"/>
      <c r="N122" s="84"/>
      <c r="O122" s="84"/>
      <c r="P122" s="84"/>
      <c r="Q122" s="85"/>
      <c r="R122" s="84"/>
      <c r="S122" s="85"/>
      <c r="T122" s="84"/>
      <c r="U122" s="84"/>
      <c r="V122" s="84"/>
      <c r="W122" s="84"/>
      <c r="X122" s="84"/>
      <c r="Y122" s="84"/>
      <c r="Z122" s="84"/>
      <c r="AA122" s="84"/>
      <c r="AB122" s="84"/>
    </row>
    <row r="123" spans="1:28" ht="14.25">
      <c r="A123" s="84"/>
      <c r="B123" s="85"/>
      <c r="C123" s="85"/>
      <c r="D123" s="85"/>
      <c r="E123" s="504"/>
      <c r="F123" s="84"/>
      <c r="G123" s="84"/>
      <c r="H123" s="490"/>
      <c r="I123" s="490"/>
      <c r="J123" s="490"/>
      <c r="K123" s="490"/>
      <c r="L123" s="490"/>
      <c r="M123" s="84"/>
      <c r="N123" s="84"/>
      <c r="O123" s="84"/>
      <c r="P123" s="84"/>
      <c r="Q123" s="85"/>
      <c r="R123" s="84"/>
      <c r="S123" s="85"/>
      <c r="T123" s="84"/>
      <c r="U123" s="84"/>
      <c r="V123" s="84"/>
      <c r="W123" s="84"/>
      <c r="X123" s="84"/>
      <c r="Y123" s="84"/>
      <c r="Z123" s="84"/>
      <c r="AA123" s="84"/>
      <c r="AB123" s="84"/>
    </row>
    <row r="124" spans="1:28" ht="14.25">
      <c r="A124" s="84"/>
      <c r="B124" s="85"/>
      <c r="C124" s="85"/>
      <c r="D124" s="85"/>
      <c r="E124" s="504"/>
      <c r="F124" s="84"/>
      <c r="G124" s="84"/>
      <c r="H124" s="490"/>
      <c r="I124" s="490"/>
      <c r="J124" s="490"/>
      <c r="K124" s="490"/>
      <c r="L124" s="490"/>
      <c r="M124" s="84"/>
      <c r="N124" s="84"/>
      <c r="O124" s="84"/>
      <c r="P124" s="84"/>
      <c r="Q124" s="85"/>
      <c r="R124" s="84"/>
      <c r="S124" s="85"/>
      <c r="T124" s="84"/>
      <c r="U124" s="84"/>
      <c r="V124" s="84"/>
      <c r="W124" s="84"/>
      <c r="X124" s="84"/>
      <c r="Y124" s="84"/>
      <c r="Z124" s="84"/>
      <c r="AA124" s="84"/>
      <c r="AB124" s="84"/>
    </row>
    <row r="125" spans="1:28" ht="14.25">
      <c r="A125" s="84"/>
      <c r="B125" s="85"/>
      <c r="C125" s="85"/>
      <c r="D125" s="85"/>
      <c r="E125" s="504"/>
      <c r="F125" s="84"/>
      <c r="G125" s="84"/>
      <c r="H125" s="490"/>
      <c r="I125" s="490"/>
      <c r="J125" s="490"/>
      <c r="K125" s="490"/>
      <c r="L125" s="490"/>
      <c r="M125" s="84"/>
      <c r="N125" s="84"/>
      <c r="O125" s="84"/>
      <c r="P125" s="84"/>
      <c r="Q125" s="85"/>
      <c r="R125" s="84"/>
      <c r="S125" s="85"/>
      <c r="T125" s="84"/>
      <c r="U125" s="84"/>
      <c r="V125" s="84"/>
      <c r="W125" s="84"/>
      <c r="X125" s="84"/>
      <c r="Y125" s="84"/>
      <c r="Z125" s="84"/>
      <c r="AA125" s="84"/>
      <c r="AB125" s="84"/>
    </row>
    <row r="126" spans="1:28" ht="14.25">
      <c r="A126" s="84"/>
      <c r="B126" s="85"/>
      <c r="C126" s="85"/>
      <c r="D126" s="85"/>
      <c r="E126" s="504"/>
      <c r="F126" s="84"/>
      <c r="G126" s="84"/>
      <c r="H126" s="490"/>
      <c r="I126" s="490"/>
      <c r="J126" s="490"/>
      <c r="K126" s="490"/>
      <c r="L126" s="490"/>
      <c r="M126" s="84"/>
      <c r="N126" s="84"/>
      <c r="O126" s="84"/>
      <c r="P126" s="84"/>
      <c r="Q126" s="85"/>
      <c r="R126" s="84"/>
      <c r="S126" s="85"/>
      <c r="T126" s="84"/>
      <c r="U126" s="84"/>
      <c r="V126" s="84"/>
      <c r="W126" s="84"/>
      <c r="X126" s="84"/>
      <c r="Y126" s="84"/>
      <c r="Z126" s="84"/>
      <c r="AA126" s="84"/>
      <c r="AB126" s="84"/>
    </row>
    <row r="127" spans="1:28" ht="14.25">
      <c r="A127" s="84"/>
      <c r="B127" s="85"/>
      <c r="C127" s="85"/>
      <c r="D127" s="85"/>
      <c r="E127" s="504"/>
      <c r="F127" s="84"/>
      <c r="G127" s="84"/>
      <c r="H127" s="490"/>
      <c r="I127" s="490"/>
      <c r="J127" s="490"/>
      <c r="K127" s="490"/>
      <c r="L127" s="490"/>
      <c r="M127" s="84"/>
      <c r="N127" s="84"/>
      <c r="O127" s="84"/>
      <c r="P127" s="84"/>
      <c r="Q127" s="85"/>
      <c r="R127" s="84"/>
      <c r="S127" s="85"/>
      <c r="T127" s="84"/>
      <c r="U127" s="84"/>
      <c r="V127" s="84"/>
      <c r="W127" s="84"/>
      <c r="X127" s="84"/>
      <c r="Y127" s="84"/>
      <c r="Z127" s="84"/>
      <c r="AA127" s="84"/>
      <c r="AB127" s="84"/>
    </row>
    <row r="128" spans="1:28" ht="14.25">
      <c r="A128" s="84"/>
      <c r="B128" s="85"/>
      <c r="C128" s="85"/>
      <c r="D128" s="85"/>
      <c r="E128" s="504"/>
      <c r="F128" s="84"/>
      <c r="G128" s="84"/>
      <c r="H128" s="490"/>
      <c r="I128" s="490"/>
      <c r="J128" s="490"/>
      <c r="K128" s="490"/>
      <c r="L128" s="490"/>
      <c r="M128" s="84"/>
      <c r="N128" s="84"/>
      <c r="O128" s="84"/>
      <c r="P128" s="84"/>
      <c r="Q128" s="85"/>
      <c r="R128" s="84"/>
      <c r="S128" s="85"/>
      <c r="T128" s="84"/>
      <c r="U128" s="84"/>
      <c r="V128" s="84"/>
      <c r="W128" s="84"/>
      <c r="X128" s="84"/>
      <c r="Y128" s="84"/>
      <c r="Z128" s="84"/>
      <c r="AA128" s="84"/>
      <c r="AB128" s="84"/>
    </row>
    <row r="129" spans="1:28" ht="14.25">
      <c r="A129" s="84"/>
      <c r="B129" s="85"/>
      <c r="C129" s="85"/>
      <c r="D129" s="85"/>
      <c r="E129" s="504"/>
      <c r="F129" s="84"/>
      <c r="G129" s="84"/>
      <c r="H129" s="490"/>
      <c r="I129" s="490"/>
      <c r="J129" s="490"/>
      <c r="K129" s="490"/>
      <c r="L129" s="490"/>
      <c r="M129" s="84"/>
      <c r="N129" s="84"/>
      <c r="O129" s="84"/>
      <c r="P129" s="84"/>
      <c r="Q129" s="85"/>
      <c r="R129" s="84"/>
      <c r="S129" s="85"/>
      <c r="T129" s="84"/>
      <c r="U129" s="84"/>
      <c r="V129" s="84"/>
      <c r="W129" s="84"/>
      <c r="X129" s="84"/>
      <c r="Y129" s="84"/>
      <c r="Z129" s="84"/>
      <c r="AA129" s="84"/>
      <c r="AB129" s="84"/>
    </row>
    <row r="130" spans="1:28" ht="14.25">
      <c r="A130" s="84"/>
      <c r="B130" s="85"/>
      <c r="C130" s="85"/>
      <c r="D130" s="85"/>
      <c r="E130" s="504"/>
      <c r="F130" s="84"/>
      <c r="G130" s="84"/>
      <c r="H130" s="490"/>
      <c r="I130" s="490"/>
      <c r="J130" s="490"/>
      <c r="K130" s="490"/>
      <c r="L130" s="490"/>
      <c r="M130" s="84"/>
      <c r="N130" s="84"/>
      <c r="O130" s="84"/>
      <c r="P130" s="84"/>
      <c r="Q130" s="85"/>
      <c r="R130" s="84"/>
      <c r="S130" s="85"/>
      <c r="T130" s="84"/>
      <c r="U130" s="84"/>
      <c r="V130" s="84"/>
      <c r="W130" s="84"/>
      <c r="X130" s="84"/>
      <c r="Y130" s="84"/>
      <c r="Z130" s="84"/>
      <c r="AA130" s="84"/>
      <c r="AB130" s="84"/>
    </row>
    <row r="131" spans="1:28" ht="14.25">
      <c r="A131" s="84"/>
      <c r="B131" s="85"/>
      <c r="C131" s="85"/>
      <c r="D131" s="85"/>
      <c r="E131" s="504"/>
      <c r="F131" s="84"/>
      <c r="G131" s="84"/>
      <c r="H131" s="490"/>
      <c r="I131" s="490"/>
      <c r="J131" s="490"/>
      <c r="K131" s="490"/>
      <c r="L131" s="490"/>
      <c r="M131" s="84"/>
      <c r="N131" s="84"/>
      <c r="O131" s="84"/>
      <c r="P131" s="84"/>
      <c r="Q131" s="85"/>
      <c r="R131" s="84"/>
      <c r="S131" s="85"/>
      <c r="T131" s="84"/>
      <c r="U131" s="84"/>
      <c r="V131" s="84"/>
      <c r="W131" s="84"/>
      <c r="X131" s="84"/>
      <c r="Y131" s="84"/>
      <c r="Z131" s="84"/>
      <c r="AA131" s="84"/>
      <c r="AB131" s="84"/>
    </row>
    <row r="132" spans="1:28" ht="14.25">
      <c r="A132" s="84"/>
      <c r="B132" s="85"/>
      <c r="C132" s="85"/>
      <c r="D132" s="85"/>
      <c r="E132" s="504"/>
      <c r="F132" s="84"/>
      <c r="G132" s="84"/>
      <c r="H132" s="490"/>
      <c r="I132" s="490"/>
      <c r="J132" s="490"/>
      <c r="K132" s="490"/>
      <c r="L132" s="490"/>
      <c r="M132" s="84"/>
      <c r="N132" s="84"/>
      <c r="O132" s="84"/>
      <c r="P132" s="84"/>
      <c r="Q132" s="85"/>
      <c r="R132" s="84"/>
      <c r="S132" s="85"/>
      <c r="T132" s="84"/>
      <c r="U132" s="84"/>
      <c r="V132" s="84"/>
      <c r="W132" s="84"/>
      <c r="X132" s="84"/>
      <c r="Y132" s="84"/>
      <c r="Z132" s="84"/>
      <c r="AA132" s="84"/>
      <c r="AB132" s="84"/>
    </row>
    <row r="133" spans="1:28" ht="14.25">
      <c r="A133" s="84"/>
      <c r="B133" s="85"/>
      <c r="C133" s="85"/>
      <c r="D133" s="85"/>
      <c r="E133" s="504"/>
      <c r="F133" s="84"/>
      <c r="G133" s="84"/>
      <c r="H133" s="490"/>
      <c r="I133" s="490"/>
      <c r="J133" s="490"/>
      <c r="K133" s="490"/>
      <c r="L133" s="490"/>
      <c r="M133" s="84"/>
      <c r="N133" s="84"/>
      <c r="O133" s="84"/>
      <c r="P133" s="84"/>
      <c r="Q133" s="85"/>
      <c r="R133" s="84"/>
      <c r="S133" s="85"/>
      <c r="T133" s="84"/>
      <c r="U133" s="84"/>
      <c r="V133" s="84"/>
      <c r="W133" s="84"/>
      <c r="X133" s="84"/>
      <c r="Y133" s="84"/>
      <c r="Z133" s="84"/>
      <c r="AA133" s="84"/>
      <c r="AB133" s="84"/>
    </row>
    <row r="134" spans="1:28" ht="14.25">
      <c r="A134" s="84"/>
      <c r="B134" s="85"/>
      <c r="C134" s="85"/>
      <c r="D134" s="85"/>
      <c r="E134" s="504"/>
      <c r="F134" s="84"/>
      <c r="G134" s="84"/>
      <c r="H134" s="490"/>
      <c r="I134" s="490"/>
      <c r="J134" s="490"/>
      <c r="K134" s="490"/>
      <c r="L134" s="490"/>
      <c r="M134" s="84"/>
      <c r="N134" s="84"/>
      <c r="O134" s="84"/>
      <c r="P134" s="84"/>
      <c r="Q134" s="85"/>
      <c r="R134" s="84"/>
      <c r="S134" s="85"/>
      <c r="T134" s="84"/>
      <c r="U134" s="84"/>
      <c r="V134" s="84"/>
      <c r="W134" s="84"/>
      <c r="X134" s="84"/>
      <c r="Y134" s="84"/>
      <c r="Z134" s="84"/>
      <c r="AA134" s="84"/>
      <c r="AB134" s="84"/>
    </row>
    <row r="135" spans="1:28" ht="14.25">
      <c r="A135" s="84"/>
      <c r="B135" s="85"/>
      <c r="C135" s="85"/>
      <c r="D135" s="85"/>
      <c r="E135" s="504"/>
      <c r="F135" s="84"/>
      <c r="G135" s="84"/>
      <c r="H135" s="490"/>
      <c r="I135" s="490"/>
      <c r="J135" s="490"/>
      <c r="K135" s="490"/>
      <c r="L135" s="490"/>
      <c r="M135" s="84"/>
      <c r="N135" s="84"/>
      <c r="O135" s="84"/>
      <c r="P135" s="84"/>
      <c r="Q135" s="85"/>
      <c r="R135" s="84"/>
      <c r="S135" s="85"/>
      <c r="T135" s="84"/>
      <c r="U135" s="84"/>
      <c r="V135" s="84"/>
      <c r="W135" s="84"/>
      <c r="X135" s="84"/>
      <c r="Y135" s="84"/>
      <c r="Z135" s="84"/>
      <c r="AA135" s="84"/>
      <c r="AB135" s="84"/>
    </row>
    <row r="136" spans="1:28" ht="14.25">
      <c r="A136" s="84"/>
      <c r="B136" s="85"/>
      <c r="C136" s="85"/>
      <c r="D136" s="85"/>
      <c r="E136" s="504"/>
      <c r="F136" s="84"/>
      <c r="G136" s="84"/>
      <c r="H136" s="490"/>
      <c r="I136" s="490"/>
      <c r="J136" s="490"/>
      <c r="K136" s="490"/>
      <c r="L136" s="490"/>
      <c r="M136" s="84"/>
      <c r="N136" s="84"/>
      <c r="O136" s="84"/>
      <c r="P136" s="84"/>
      <c r="Q136" s="85"/>
      <c r="R136" s="84"/>
      <c r="S136" s="85"/>
      <c r="T136" s="84"/>
      <c r="U136" s="84"/>
      <c r="V136" s="84"/>
      <c r="W136" s="84"/>
      <c r="X136" s="84"/>
      <c r="Y136" s="84"/>
      <c r="Z136" s="84"/>
      <c r="AA136" s="84"/>
      <c r="AB136" s="84"/>
    </row>
    <row r="137" spans="1:28" ht="14.25">
      <c r="A137" s="84"/>
      <c r="B137" s="85"/>
      <c r="C137" s="85"/>
      <c r="D137" s="85"/>
      <c r="E137" s="504"/>
      <c r="F137" s="84"/>
      <c r="G137" s="84"/>
      <c r="H137" s="490"/>
      <c r="I137" s="490"/>
      <c r="J137" s="490"/>
      <c r="K137" s="490"/>
      <c r="L137" s="490"/>
      <c r="M137" s="84"/>
      <c r="N137" s="84"/>
      <c r="O137" s="84"/>
      <c r="P137" s="84"/>
      <c r="Q137" s="85"/>
      <c r="R137" s="84"/>
      <c r="S137" s="85"/>
      <c r="T137" s="84"/>
      <c r="U137" s="84"/>
      <c r="V137" s="84"/>
      <c r="W137" s="84"/>
      <c r="X137" s="84"/>
      <c r="Y137" s="84"/>
      <c r="Z137" s="84"/>
      <c r="AA137" s="84"/>
      <c r="AB137" s="84"/>
    </row>
    <row r="138" spans="1:28" ht="14.25">
      <c r="A138" s="84"/>
      <c r="B138" s="85"/>
      <c r="C138" s="85"/>
      <c r="D138" s="85"/>
      <c r="E138" s="504"/>
      <c r="F138" s="84"/>
      <c r="G138" s="84"/>
      <c r="H138" s="490"/>
      <c r="I138" s="490"/>
      <c r="J138" s="490"/>
      <c r="K138" s="490"/>
      <c r="L138" s="490"/>
      <c r="M138" s="84"/>
      <c r="N138" s="84"/>
      <c r="O138" s="84"/>
      <c r="P138" s="84"/>
      <c r="Q138" s="85"/>
      <c r="R138" s="84"/>
      <c r="S138" s="85"/>
      <c r="T138" s="84"/>
      <c r="U138" s="84"/>
      <c r="V138" s="84"/>
      <c r="W138" s="84"/>
      <c r="X138" s="84"/>
      <c r="Y138" s="84"/>
      <c r="Z138" s="84"/>
      <c r="AA138" s="84"/>
      <c r="AB138" s="84"/>
    </row>
    <row r="139" spans="1:28" ht="14.25">
      <c r="A139" s="84"/>
      <c r="B139" s="85"/>
      <c r="C139" s="85"/>
      <c r="D139" s="85"/>
      <c r="E139" s="504"/>
      <c r="F139" s="84"/>
      <c r="G139" s="84"/>
      <c r="H139" s="490"/>
      <c r="I139" s="490"/>
      <c r="J139" s="490"/>
      <c r="K139" s="490"/>
      <c r="L139" s="490"/>
      <c r="M139" s="84"/>
      <c r="N139" s="84"/>
      <c r="O139" s="84"/>
      <c r="P139" s="84"/>
      <c r="Q139" s="85"/>
      <c r="R139" s="84"/>
      <c r="S139" s="85"/>
      <c r="T139" s="84"/>
      <c r="U139" s="84"/>
      <c r="V139" s="84"/>
      <c r="W139" s="84"/>
      <c r="X139" s="84"/>
      <c r="Y139" s="84"/>
      <c r="Z139" s="84"/>
      <c r="AA139" s="84"/>
      <c r="AB139" s="84"/>
    </row>
    <row r="140" spans="1:28" ht="14.25">
      <c r="A140" s="84"/>
      <c r="B140" s="85"/>
      <c r="C140" s="85"/>
      <c r="D140" s="85"/>
      <c r="E140" s="504"/>
      <c r="F140" s="84"/>
      <c r="G140" s="84"/>
      <c r="H140" s="490"/>
      <c r="I140" s="490"/>
      <c r="J140" s="490"/>
      <c r="K140" s="490"/>
      <c r="L140" s="490"/>
      <c r="M140" s="84"/>
      <c r="N140" s="84"/>
      <c r="O140" s="84"/>
      <c r="P140" s="84"/>
      <c r="Q140" s="85"/>
      <c r="R140" s="84"/>
      <c r="S140" s="85"/>
      <c r="T140" s="84"/>
      <c r="U140" s="84"/>
      <c r="V140" s="84"/>
      <c r="W140" s="84"/>
      <c r="X140" s="84"/>
      <c r="Y140" s="84"/>
      <c r="Z140" s="84"/>
      <c r="AA140" s="84"/>
      <c r="AB140" s="84"/>
    </row>
    <row r="141" spans="1:28" ht="14.25">
      <c r="A141" s="84"/>
      <c r="B141" s="85"/>
      <c r="C141" s="85"/>
      <c r="D141" s="85"/>
      <c r="E141" s="504"/>
      <c r="F141" s="84"/>
      <c r="G141" s="84"/>
      <c r="H141" s="490"/>
      <c r="I141" s="490"/>
      <c r="J141" s="490"/>
      <c r="K141" s="490"/>
      <c r="L141" s="490"/>
      <c r="M141" s="84"/>
      <c r="N141" s="84"/>
      <c r="O141" s="84"/>
      <c r="P141" s="84"/>
      <c r="Q141" s="85"/>
      <c r="R141" s="84"/>
      <c r="S141" s="85"/>
      <c r="T141" s="84"/>
      <c r="U141" s="84"/>
      <c r="V141" s="84"/>
      <c r="W141" s="84"/>
      <c r="X141" s="84"/>
      <c r="Y141" s="84"/>
      <c r="Z141" s="84"/>
      <c r="AA141" s="84"/>
      <c r="AB141" s="84"/>
    </row>
    <row r="142" spans="1:28" ht="14.25">
      <c r="A142" s="84"/>
      <c r="B142" s="85"/>
      <c r="C142" s="85"/>
      <c r="D142" s="85"/>
      <c r="E142" s="504"/>
      <c r="F142" s="84"/>
      <c r="G142" s="84"/>
      <c r="H142" s="490"/>
      <c r="I142" s="490"/>
      <c r="J142" s="490"/>
      <c r="K142" s="490"/>
      <c r="L142" s="490"/>
      <c r="M142" s="84"/>
      <c r="N142" s="84"/>
      <c r="O142" s="84"/>
      <c r="P142" s="84"/>
      <c r="Q142" s="85"/>
      <c r="R142" s="84"/>
      <c r="S142" s="85"/>
      <c r="T142" s="84"/>
      <c r="U142" s="84"/>
      <c r="V142" s="84"/>
      <c r="W142" s="84"/>
      <c r="X142" s="84"/>
      <c r="Y142" s="84"/>
      <c r="Z142" s="84"/>
      <c r="AA142" s="84"/>
      <c r="AB142" s="84"/>
    </row>
    <row r="143" spans="1:28" ht="14.25">
      <c r="A143" s="84"/>
      <c r="B143" s="85"/>
      <c r="C143" s="85"/>
      <c r="D143" s="85"/>
      <c r="E143" s="504"/>
      <c r="F143" s="84"/>
      <c r="G143" s="84"/>
      <c r="H143" s="490"/>
      <c r="I143" s="490"/>
      <c r="J143" s="490"/>
      <c r="K143" s="490"/>
      <c r="L143" s="490"/>
      <c r="M143" s="84"/>
      <c r="N143" s="84"/>
      <c r="O143" s="84"/>
      <c r="P143" s="84"/>
      <c r="Q143" s="85"/>
      <c r="R143" s="84"/>
      <c r="S143" s="85"/>
      <c r="T143" s="84"/>
      <c r="U143" s="84"/>
      <c r="V143" s="84"/>
      <c r="W143" s="84"/>
      <c r="X143" s="84"/>
      <c r="Y143" s="84"/>
      <c r="Z143" s="84"/>
      <c r="AA143" s="84"/>
      <c r="AB143" s="84"/>
    </row>
    <row r="144" spans="1:28" ht="14.25">
      <c r="A144" s="84"/>
      <c r="B144" s="85"/>
      <c r="C144" s="85"/>
      <c r="D144" s="85"/>
      <c r="E144" s="504"/>
      <c r="F144" s="84"/>
      <c r="G144" s="84"/>
      <c r="H144" s="490"/>
      <c r="I144" s="490"/>
      <c r="J144" s="490"/>
      <c r="K144" s="490"/>
      <c r="L144" s="490"/>
      <c r="M144" s="84"/>
      <c r="N144" s="84"/>
      <c r="O144" s="84"/>
      <c r="P144" s="84"/>
      <c r="Q144" s="85"/>
      <c r="R144" s="84"/>
      <c r="S144" s="85"/>
      <c r="T144" s="84"/>
      <c r="U144" s="84"/>
      <c r="V144" s="84"/>
      <c r="W144" s="84"/>
      <c r="X144" s="84"/>
      <c r="Y144" s="84"/>
      <c r="Z144" s="84"/>
      <c r="AA144" s="84"/>
      <c r="AB144" s="84"/>
    </row>
    <row r="145" spans="1:28" ht="14.25">
      <c r="A145" s="84"/>
      <c r="B145" s="85"/>
      <c r="C145" s="85"/>
      <c r="D145" s="85"/>
      <c r="E145" s="504"/>
      <c r="F145" s="84"/>
      <c r="G145" s="84"/>
      <c r="H145" s="490"/>
      <c r="I145" s="490"/>
      <c r="J145" s="490"/>
      <c r="K145" s="490"/>
      <c r="L145" s="490"/>
      <c r="M145" s="84"/>
      <c r="N145" s="84"/>
      <c r="O145" s="84"/>
      <c r="P145" s="84"/>
      <c r="Q145" s="85"/>
      <c r="R145" s="84"/>
      <c r="S145" s="85"/>
      <c r="T145" s="84"/>
      <c r="U145" s="84"/>
      <c r="V145" s="84"/>
      <c r="W145" s="84"/>
      <c r="X145" s="84"/>
      <c r="Y145" s="84"/>
      <c r="Z145" s="84"/>
      <c r="AA145" s="84"/>
      <c r="AB145" s="84"/>
    </row>
    <row r="146" spans="1:28" ht="14.25">
      <c r="A146" s="84"/>
      <c r="B146" s="85"/>
      <c r="C146" s="85"/>
      <c r="D146" s="85"/>
      <c r="E146" s="504"/>
      <c r="F146" s="84"/>
      <c r="G146" s="84"/>
      <c r="H146" s="490"/>
      <c r="I146" s="490"/>
      <c r="J146" s="490"/>
      <c r="K146" s="490"/>
      <c r="L146" s="490"/>
      <c r="M146" s="84"/>
      <c r="N146" s="84"/>
      <c r="O146" s="84"/>
      <c r="P146" s="84"/>
      <c r="Q146" s="85"/>
      <c r="R146" s="84"/>
      <c r="S146" s="85"/>
      <c r="T146" s="84"/>
      <c r="U146" s="84"/>
      <c r="V146" s="84"/>
      <c r="W146" s="84"/>
      <c r="X146" s="84"/>
      <c r="Y146" s="84"/>
      <c r="Z146" s="84"/>
      <c r="AA146" s="84"/>
      <c r="AB146" s="84"/>
    </row>
    <row r="147" spans="1:28" ht="14.25">
      <c r="A147" s="84"/>
      <c r="B147" s="85"/>
      <c r="C147" s="85"/>
      <c r="D147" s="85"/>
      <c r="E147" s="504"/>
      <c r="F147" s="84"/>
      <c r="G147" s="84"/>
      <c r="H147" s="490"/>
      <c r="I147" s="490"/>
      <c r="J147" s="490"/>
      <c r="K147" s="490"/>
      <c r="L147" s="490"/>
      <c r="M147" s="84"/>
      <c r="N147" s="84"/>
      <c r="O147" s="84"/>
      <c r="P147" s="84"/>
      <c r="Q147" s="85"/>
      <c r="R147" s="84"/>
      <c r="S147" s="85"/>
      <c r="T147" s="84"/>
      <c r="U147" s="84"/>
      <c r="V147" s="84"/>
      <c r="W147" s="84"/>
      <c r="X147" s="84"/>
      <c r="Y147" s="84"/>
      <c r="Z147" s="84"/>
      <c r="AA147" s="84"/>
      <c r="AB147" s="84"/>
    </row>
    <row r="148" spans="1:28" ht="14.25">
      <c r="A148" s="84"/>
      <c r="B148" s="85"/>
      <c r="C148" s="85"/>
      <c r="D148" s="85"/>
      <c r="E148" s="504"/>
      <c r="F148" s="84"/>
      <c r="G148" s="84"/>
      <c r="H148" s="490"/>
      <c r="I148" s="490"/>
      <c r="J148" s="490"/>
      <c r="K148" s="490"/>
      <c r="L148" s="490"/>
      <c r="M148" s="84"/>
      <c r="N148" s="84"/>
      <c r="O148" s="84"/>
      <c r="P148" s="84"/>
      <c r="Q148" s="85"/>
      <c r="R148" s="84"/>
      <c r="S148" s="85"/>
      <c r="T148" s="84"/>
      <c r="U148" s="84"/>
      <c r="V148" s="84"/>
      <c r="W148" s="84"/>
      <c r="X148" s="84"/>
      <c r="Y148" s="84"/>
      <c r="Z148" s="84"/>
      <c r="AA148" s="84"/>
      <c r="AB148" s="84"/>
    </row>
    <row r="149" spans="1:28" ht="14.25">
      <c r="A149" s="84"/>
      <c r="B149" s="85"/>
      <c r="C149" s="85"/>
      <c r="D149" s="85"/>
      <c r="E149" s="504"/>
      <c r="F149" s="84"/>
      <c r="G149" s="84"/>
      <c r="H149" s="490"/>
      <c r="I149" s="490"/>
      <c r="J149" s="490"/>
      <c r="K149" s="490"/>
      <c r="L149" s="490"/>
      <c r="M149" s="84"/>
      <c r="N149" s="84"/>
      <c r="O149" s="84"/>
      <c r="P149" s="84"/>
      <c r="Q149" s="85"/>
      <c r="R149" s="84"/>
      <c r="S149" s="85"/>
      <c r="T149" s="84"/>
      <c r="U149" s="84"/>
      <c r="V149" s="84"/>
      <c r="W149" s="84"/>
      <c r="X149" s="84"/>
      <c r="Y149" s="84"/>
      <c r="Z149" s="84"/>
      <c r="AA149" s="84"/>
      <c r="AB149" s="84"/>
    </row>
    <row r="150" spans="1:28" ht="14.25">
      <c r="A150" s="84"/>
      <c r="B150" s="85"/>
      <c r="C150" s="85"/>
      <c r="D150" s="85"/>
      <c r="E150" s="504"/>
      <c r="F150" s="84"/>
      <c r="G150" s="84"/>
      <c r="H150" s="490"/>
      <c r="I150" s="490"/>
      <c r="J150" s="490"/>
      <c r="K150" s="490"/>
      <c r="L150" s="490"/>
      <c r="M150" s="84"/>
      <c r="N150" s="84"/>
      <c r="O150" s="84"/>
      <c r="P150" s="84"/>
      <c r="Q150" s="85"/>
      <c r="R150" s="84"/>
      <c r="S150" s="85"/>
      <c r="T150" s="84"/>
      <c r="U150" s="84"/>
      <c r="V150" s="84"/>
      <c r="W150" s="84"/>
      <c r="X150" s="84"/>
      <c r="Y150" s="84"/>
      <c r="Z150" s="84"/>
      <c r="AA150" s="84"/>
      <c r="AB150" s="84"/>
    </row>
    <row r="151" spans="1:28" ht="14.25">
      <c r="A151" s="84"/>
      <c r="B151" s="85"/>
      <c r="C151" s="85"/>
      <c r="D151" s="85"/>
      <c r="E151" s="504"/>
      <c r="F151" s="84"/>
      <c r="G151" s="84"/>
      <c r="H151" s="490"/>
      <c r="I151" s="490"/>
      <c r="J151" s="490"/>
      <c r="K151" s="490"/>
      <c r="L151" s="490"/>
      <c r="M151" s="84"/>
      <c r="N151" s="84"/>
      <c r="O151" s="84"/>
      <c r="P151" s="84"/>
      <c r="Q151" s="85"/>
      <c r="R151" s="84"/>
      <c r="S151" s="85"/>
      <c r="T151" s="84"/>
      <c r="U151" s="84"/>
      <c r="V151" s="84"/>
      <c r="W151" s="84"/>
      <c r="X151" s="84"/>
      <c r="Y151" s="84"/>
      <c r="Z151" s="84"/>
      <c r="AA151" s="84"/>
      <c r="AB151" s="84"/>
    </row>
    <row r="152" spans="1:28" ht="14.25">
      <c r="A152" s="84"/>
      <c r="B152" s="85"/>
      <c r="C152" s="85"/>
      <c r="D152" s="85"/>
      <c r="E152" s="504"/>
      <c r="F152" s="84"/>
      <c r="G152" s="84"/>
      <c r="H152" s="490"/>
      <c r="I152" s="490"/>
      <c r="J152" s="490"/>
      <c r="K152" s="490"/>
      <c r="L152" s="490"/>
      <c r="M152" s="84"/>
      <c r="N152" s="84"/>
      <c r="O152" s="84"/>
      <c r="P152" s="84"/>
      <c r="Q152" s="85"/>
      <c r="R152" s="84"/>
      <c r="S152" s="85"/>
      <c r="T152" s="84"/>
      <c r="U152" s="84"/>
      <c r="V152" s="84"/>
      <c r="W152" s="84"/>
      <c r="X152" s="84"/>
      <c r="Y152" s="84"/>
      <c r="Z152" s="84"/>
      <c r="AA152" s="84"/>
      <c r="AB152" s="84"/>
    </row>
    <row r="153" spans="1:28" ht="14.25">
      <c r="A153" s="84"/>
      <c r="B153" s="85"/>
      <c r="C153" s="85"/>
      <c r="D153" s="85"/>
      <c r="E153" s="504"/>
      <c r="F153" s="84"/>
      <c r="G153" s="84"/>
      <c r="H153" s="490"/>
      <c r="I153" s="490"/>
      <c r="J153" s="490"/>
      <c r="K153" s="490"/>
      <c r="L153" s="490"/>
      <c r="M153" s="84"/>
      <c r="N153" s="84"/>
      <c r="O153" s="84"/>
      <c r="P153" s="84"/>
      <c r="Q153" s="85"/>
      <c r="R153" s="84"/>
      <c r="S153" s="85"/>
      <c r="T153" s="84"/>
      <c r="U153" s="84"/>
      <c r="V153" s="84"/>
      <c r="W153" s="84"/>
      <c r="X153" s="84"/>
      <c r="Y153" s="84"/>
      <c r="Z153" s="84"/>
      <c r="AA153" s="84"/>
      <c r="AB153" s="84"/>
    </row>
    <row r="154" spans="1:28" ht="14.25">
      <c r="A154" s="84"/>
      <c r="B154" s="85"/>
      <c r="C154" s="85"/>
      <c r="D154" s="85"/>
      <c r="E154" s="504"/>
      <c r="F154" s="84"/>
      <c r="G154" s="84"/>
      <c r="H154" s="490"/>
      <c r="I154" s="490"/>
      <c r="J154" s="490"/>
      <c r="K154" s="490"/>
      <c r="L154" s="490"/>
      <c r="M154" s="84"/>
      <c r="N154" s="84"/>
      <c r="O154" s="84"/>
      <c r="P154" s="84"/>
      <c r="Q154" s="85"/>
      <c r="R154" s="84"/>
      <c r="S154" s="85"/>
      <c r="T154" s="84"/>
      <c r="U154" s="84"/>
      <c r="V154" s="84"/>
      <c r="W154" s="84"/>
      <c r="X154" s="84"/>
      <c r="Y154" s="84"/>
      <c r="Z154" s="84"/>
      <c r="AA154" s="84"/>
      <c r="AB154" s="84"/>
    </row>
    <row r="155" spans="1:28" ht="14.25">
      <c r="A155" s="84"/>
      <c r="B155" s="85"/>
      <c r="C155" s="85"/>
      <c r="D155" s="85"/>
      <c r="E155" s="504"/>
      <c r="F155" s="84"/>
      <c r="G155" s="84"/>
      <c r="H155" s="490"/>
      <c r="I155" s="490"/>
      <c r="J155" s="490"/>
      <c r="K155" s="490"/>
      <c r="L155" s="490"/>
      <c r="M155" s="84"/>
      <c r="N155" s="84"/>
      <c r="O155" s="84"/>
      <c r="P155" s="84"/>
      <c r="Q155" s="85"/>
      <c r="R155" s="84"/>
      <c r="S155" s="85"/>
      <c r="T155" s="84"/>
      <c r="U155" s="84"/>
      <c r="V155" s="84"/>
      <c r="W155" s="84"/>
      <c r="X155" s="84"/>
      <c r="Y155" s="84"/>
      <c r="Z155" s="84"/>
      <c r="AA155" s="84"/>
      <c r="AB155" s="84"/>
    </row>
    <row r="156" spans="1:28" ht="14.25">
      <c r="A156" s="84"/>
      <c r="B156" s="85"/>
      <c r="C156" s="85"/>
      <c r="D156" s="85"/>
      <c r="E156" s="504"/>
      <c r="F156" s="84"/>
      <c r="G156" s="84"/>
      <c r="H156" s="490"/>
      <c r="I156" s="490"/>
      <c r="J156" s="490"/>
      <c r="K156" s="490"/>
      <c r="L156" s="490"/>
      <c r="M156" s="84"/>
      <c r="N156" s="84"/>
      <c r="O156" s="84"/>
      <c r="P156" s="84"/>
      <c r="Q156" s="85"/>
      <c r="R156" s="84"/>
      <c r="S156" s="85"/>
      <c r="T156" s="84"/>
      <c r="U156" s="84"/>
      <c r="V156" s="84"/>
      <c r="W156" s="84"/>
      <c r="X156" s="84"/>
      <c r="Y156" s="84"/>
      <c r="Z156" s="84"/>
      <c r="AA156" s="84"/>
      <c r="AB156" s="84"/>
    </row>
    <row r="157" spans="1:28" ht="14.25">
      <c r="A157" s="84"/>
      <c r="B157" s="85"/>
      <c r="C157" s="85"/>
      <c r="D157" s="85"/>
      <c r="E157" s="504"/>
      <c r="F157" s="84"/>
      <c r="G157" s="84"/>
      <c r="H157" s="490"/>
      <c r="I157" s="490"/>
      <c r="J157" s="490"/>
      <c r="K157" s="490"/>
      <c r="L157" s="490"/>
      <c r="M157" s="84"/>
      <c r="N157" s="84"/>
      <c r="O157" s="84"/>
      <c r="P157" s="84"/>
      <c r="Q157" s="85"/>
      <c r="R157" s="84"/>
      <c r="S157" s="85"/>
      <c r="T157" s="84"/>
      <c r="U157" s="84"/>
      <c r="V157" s="84"/>
      <c r="W157" s="84"/>
      <c r="X157" s="84"/>
      <c r="Y157" s="84"/>
      <c r="Z157" s="84"/>
      <c r="AA157" s="84"/>
      <c r="AB157" s="84"/>
    </row>
    <row r="158" spans="1:28" ht="14.25">
      <c r="A158" s="84"/>
      <c r="B158" s="85"/>
      <c r="C158" s="85"/>
      <c r="D158" s="85"/>
      <c r="E158" s="504"/>
      <c r="F158" s="84"/>
      <c r="G158" s="84"/>
      <c r="H158" s="490"/>
      <c r="I158" s="490"/>
      <c r="J158" s="490"/>
      <c r="K158" s="490"/>
      <c r="L158" s="490"/>
      <c r="M158" s="84"/>
      <c r="N158" s="84"/>
      <c r="O158" s="84"/>
      <c r="P158" s="84"/>
      <c r="Q158" s="85"/>
      <c r="R158" s="84"/>
      <c r="S158" s="85"/>
      <c r="T158" s="84"/>
      <c r="U158" s="84"/>
      <c r="V158" s="84"/>
      <c r="W158" s="84"/>
      <c r="X158" s="84"/>
      <c r="Y158" s="84"/>
      <c r="Z158" s="84"/>
      <c r="AA158" s="84"/>
      <c r="AB158" s="84"/>
    </row>
    <row r="159" spans="1:28" ht="14.25">
      <c r="A159" s="84"/>
      <c r="B159" s="85"/>
      <c r="C159" s="85"/>
      <c r="D159" s="85"/>
      <c r="E159" s="504"/>
      <c r="F159" s="84"/>
      <c r="G159" s="84"/>
      <c r="H159" s="490"/>
      <c r="I159" s="490"/>
      <c r="J159" s="490"/>
      <c r="K159" s="490"/>
      <c r="L159" s="490"/>
      <c r="M159" s="84"/>
      <c r="N159" s="84"/>
      <c r="O159" s="84"/>
      <c r="P159" s="84"/>
      <c r="Q159" s="85"/>
      <c r="R159" s="84"/>
      <c r="S159" s="85"/>
      <c r="T159" s="84"/>
      <c r="U159" s="84"/>
      <c r="V159" s="84"/>
      <c r="W159" s="84"/>
      <c r="X159" s="84"/>
      <c r="Y159" s="84"/>
      <c r="Z159" s="84"/>
      <c r="AA159" s="84"/>
      <c r="AB159" s="84"/>
    </row>
    <row r="160" spans="1:28" ht="14.25">
      <c r="A160" s="84"/>
      <c r="B160" s="85"/>
      <c r="C160" s="85"/>
      <c r="D160" s="85"/>
      <c r="E160" s="504"/>
      <c r="F160" s="84"/>
      <c r="G160" s="84"/>
      <c r="H160" s="490"/>
      <c r="I160" s="490"/>
      <c r="J160" s="490"/>
      <c r="K160" s="490"/>
      <c r="L160" s="490"/>
      <c r="M160" s="84"/>
      <c r="N160" s="84"/>
      <c r="O160" s="84"/>
      <c r="P160" s="84"/>
      <c r="Q160" s="85"/>
      <c r="R160" s="84"/>
      <c r="S160" s="85"/>
      <c r="T160" s="84"/>
      <c r="U160" s="84"/>
      <c r="V160" s="84"/>
      <c r="W160" s="84"/>
      <c r="X160" s="84"/>
      <c r="Y160" s="84"/>
      <c r="Z160" s="84"/>
      <c r="AA160" s="84"/>
      <c r="AB160" s="84"/>
    </row>
    <row r="161" spans="1:28" ht="14.25">
      <c r="A161" s="84"/>
      <c r="B161" s="85"/>
      <c r="C161" s="85"/>
      <c r="D161" s="85"/>
      <c r="E161" s="504"/>
      <c r="F161" s="84"/>
      <c r="G161" s="84"/>
      <c r="H161" s="490"/>
      <c r="I161" s="490"/>
      <c r="J161" s="490"/>
      <c r="K161" s="490"/>
      <c r="L161" s="490"/>
      <c r="M161" s="84"/>
      <c r="N161" s="84"/>
      <c r="O161" s="84"/>
      <c r="P161" s="84"/>
      <c r="Q161" s="85"/>
      <c r="R161" s="84"/>
      <c r="S161" s="85"/>
      <c r="T161" s="84"/>
      <c r="U161" s="84"/>
      <c r="V161" s="84"/>
      <c r="W161" s="84"/>
      <c r="X161" s="84"/>
      <c r="Y161" s="84"/>
      <c r="Z161" s="84"/>
      <c r="AA161" s="84"/>
      <c r="AB161" s="84"/>
    </row>
    <row r="162" spans="1:28" ht="14.25">
      <c r="A162" s="84"/>
      <c r="B162" s="85"/>
      <c r="C162" s="85"/>
      <c r="D162" s="85"/>
      <c r="E162" s="504"/>
      <c r="F162" s="84"/>
      <c r="G162" s="84"/>
      <c r="H162" s="490"/>
      <c r="I162" s="490"/>
      <c r="J162" s="490"/>
      <c r="K162" s="490"/>
      <c r="L162" s="490"/>
      <c r="M162" s="84"/>
      <c r="N162" s="84"/>
      <c r="O162" s="84"/>
      <c r="P162" s="84"/>
      <c r="Q162" s="85"/>
      <c r="R162" s="84"/>
      <c r="S162" s="85"/>
      <c r="T162" s="84"/>
      <c r="U162" s="84"/>
      <c r="V162" s="84"/>
      <c r="W162" s="84"/>
      <c r="X162" s="84"/>
      <c r="Y162" s="84"/>
      <c r="Z162" s="84"/>
      <c r="AA162" s="84"/>
      <c r="AB162" s="84"/>
    </row>
    <row r="163" spans="1:28" ht="14.25">
      <c r="A163" s="84"/>
      <c r="B163" s="85"/>
      <c r="C163" s="85"/>
      <c r="D163" s="85"/>
      <c r="E163" s="504"/>
      <c r="F163" s="84"/>
      <c r="G163" s="84"/>
      <c r="H163" s="490"/>
      <c r="I163" s="490"/>
      <c r="J163" s="490"/>
      <c r="K163" s="490"/>
      <c r="L163" s="490"/>
      <c r="M163" s="84"/>
      <c r="N163" s="84"/>
      <c r="O163" s="84"/>
      <c r="P163" s="84"/>
      <c r="Q163" s="85"/>
      <c r="R163" s="84"/>
      <c r="S163" s="85"/>
      <c r="T163" s="84"/>
      <c r="U163" s="84"/>
      <c r="V163" s="84"/>
      <c r="W163" s="84"/>
      <c r="X163" s="84"/>
      <c r="Y163" s="84"/>
      <c r="Z163" s="84"/>
      <c r="AA163" s="84"/>
      <c r="AB163" s="84"/>
    </row>
    <row r="164" spans="1:28" ht="14.25">
      <c r="A164" s="84"/>
      <c r="B164" s="85"/>
      <c r="C164" s="85"/>
      <c r="D164" s="85"/>
      <c r="E164" s="504"/>
      <c r="F164" s="84"/>
      <c r="G164" s="84"/>
      <c r="H164" s="490"/>
      <c r="I164" s="490"/>
      <c r="J164" s="490"/>
      <c r="K164" s="490"/>
      <c r="L164" s="490"/>
      <c r="M164" s="84"/>
      <c r="N164" s="84"/>
      <c r="O164" s="84"/>
      <c r="P164" s="84"/>
      <c r="Q164" s="85"/>
      <c r="R164" s="84"/>
      <c r="S164" s="85"/>
      <c r="T164" s="84"/>
      <c r="U164" s="84"/>
      <c r="V164" s="84"/>
      <c r="W164" s="84"/>
      <c r="X164" s="84"/>
      <c r="Y164" s="84"/>
      <c r="Z164" s="84"/>
      <c r="AA164" s="84"/>
      <c r="AB164" s="84"/>
    </row>
    <row r="165" spans="1:28" ht="14.25">
      <c r="A165" s="84"/>
      <c r="B165" s="85"/>
      <c r="C165" s="85"/>
      <c r="D165" s="85"/>
      <c r="E165" s="504"/>
      <c r="F165" s="84"/>
      <c r="G165" s="84"/>
      <c r="H165" s="490"/>
      <c r="I165" s="490"/>
      <c r="J165" s="490"/>
      <c r="K165" s="490"/>
      <c r="L165" s="490"/>
      <c r="M165" s="84"/>
      <c r="N165" s="84"/>
      <c r="O165" s="84"/>
      <c r="P165" s="84"/>
      <c r="Q165" s="85"/>
      <c r="R165" s="84"/>
      <c r="S165" s="85"/>
      <c r="T165" s="84"/>
      <c r="U165" s="84"/>
      <c r="V165" s="84"/>
      <c r="W165" s="84"/>
      <c r="X165" s="84"/>
      <c r="Y165" s="84"/>
      <c r="Z165" s="84"/>
      <c r="AA165" s="84"/>
      <c r="AB165" s="84"/>
    </row>
    <row r="166" spans="1:28" ht="14.25">
      <c r="A166" s="84"/>
      <c r="B166" s="85"/>
      <c r="C166" s="85"/>
      <c r="D166" s="85"/>
      <c r="E166" s="504"/>
      <c r="F166" s="84"/>
      <c r="G166" s="84"/>
      <c r="H166" s="490"/>
      <c r="I166" s="490"/>
      <c r="J166" s="490"/>
      <c r="K166" s="490"/>
      <c r="L166" s="490"/>
      <c r="M166" s="84"/>
      <c r="N166" s="84"/>
      <c r="O166" s="84"/>
      <c r="P166" s="84"/>
      <c r="Q166" s="85"/>
      <c r="R166" s="84"/>
      <c r="S166" s="85"/>
      <c r="T166" s="84"/>
      <c r="U166" s="84"/>
      <c r="V166" s="84"/>
      <c r="W166" s="84"/>
      <c r="X166" s="84"/>
      <c r="Y166" s="84"/>
      <c r="Z166" s="84"/>
      <c r="AA166" s="84"/>
      <c r="AB166" s="84"/>
    </row>
    <row r="167" spans="1:28" ht="14.25">
      <c r="A167" s="84"/>
      <c r="B167" s="85"/>
      <c r="C167" s="85"/>
      <c r="D167" s="85"/>
      <c r="E167" s="504"/>
      <c r="F167" s="84"/>
      <c r="G167" s="84"/>
      <c r="H167" s="490"/>
      <c r="I167" s="490"/>
      <c r="J167" s="490"/>
      <c r="K167" s="490"/>
      <c r="L167" s="490"/>
      <c r="M167" s="84"/>
      <c r="N167" s="84"/>
      <c r="O167" s="84"/>
      <c r="P167" s="84"/>
      <c r="Q167" s="85"/>
      <c r="R167" s="84"/>
      <c r="S167" s="85"/>
      <c r="T167" s="84"/>
      <c r="U167" s="84"/>
      <c r="V167" s="84"/>
      <c r="W167" s="84"/>
      <c r="X167" s="84"/>
      <c r="Y167" s="84"/>
      <c r="Z167" s="84"/>
      <c r="AA167" s="84"/>
      <c r="AB167" s="84"/>
    </row>
    <row r="168" spans="1:28" ht="14.25">
      <c r="A168" s="84"/>
      <c r="B168" s="85"/>
      <c r="C168" s="85"/>
      <c r="D168" s="85"/>
      <c r="E168" s="504"/>
      <c r="F168" s="84"/>
      <c r="G168" s="84"/>
      <c r="H168" s="490"/>
      <c r="I168" s="490"/>
      <c r="J168" s="490"/>
      <c r="K168" s="490"/>
      <c r="L168" s="490"/>
      <c r="M168" s="84"/>
      <c r="N168" s="84"/>
      <c r="O168" s="84"/>
      <c r="P168" s="84"/>
      <c r="Q168" s="85"/>
      <c r="R168" s="84"/>
      <c r="S168" s="85"/>
      <c r="T168" s="84"/>
      <c r="U168" s="84"/>
      <c r="V168" s="84"/>
      <c r="W168" s="84"/>
      <c r="X168" s="84"/>
      <c r="Y168" s="84"/>
      <c r="Z168" s="84"/>
      <c r="AA168" s="84"/>
      <c r="AB168" s="84"/>
    </row>
    <row r="169" spans="1:28" ht="14.25">
      <c r="A169" s="84"/>
      <c r="B169" s="85"/>
      <c r="C169" s="85"/>
      <c r="D169" s="85"/>
      <c r="E169" s="504"/>
      <c r="F169" s="84"/>
      <c r="G169" s="84"/>
      <c r="H169" s="490"/>
      <c r="I169" s="490"/>
      <c r="J169" s="490"/>
      <c r="K169" s="490"/>
      <c r="L169" s="490"/>
      <c r="M169" s="84"/>
      <c r="N169" s="84"/>
      <c r="O169" s="84"/>
      <c r="P169" s="84"/>
      <c r="Q169" s="85"/>
      <c r="R169" s="84"/>
      <c r="S169" s="85"/>
      <c r="T169" s="84"/>
      <c r="U169" s="84"/>
      <c r="V169" s="84"/>
      <c r="W169" s="84"/>
      <c r="X169" s="84"/>
      <c r="Y169" s="84"/>
      <c r="Z169" s="84"/>
      <c r="AA169" s="84"/>
      <c r="AB169" s="84"/>
    </row>
    <row r="170" spans="1:28" ht="14.25">
      <c r="A170" s="84"/>
      <c r="B170" s="85"/>
      <c r="C170" s="85"/>
      <c r="D170" s="85"/>
      <c r="E170" s="504"/>
      <c r="F170" s="84"/>
      <c r="G170" s="84"/>
      <c r="H170" s="490"/>
      <c r="I170" s="490"/>
      <c r="J170" s="490"/>
      <c r="K170" s="490"/>
      <c r="L170" s="490"/>
      <c r="M170" s="84"/>
      <c r="N170" s="84"/>
      <c r="O170" s="84"/>
      <c r="P170" s="84"/>
      <c r="Q170" s="85"/>
      <c r="R170" s="84"/>
      <c r="S170" s="85"/>
      <c r="T170" s="84"/>
      <c r="U170" s="84"/>
      <c r="V170" s="84"/>
      <c r="W170" s="84"/>
      <c r="X170" s="84"/>
      <c r="Y170" s="84"/>
      <c r="Z170" s="84"/>
      <c r="AA170" s="84"/>
      <c r="AB170" s="84"/>
    </row>
    <row r="171" spans="1:28" ht="14.25">
      <c r="A171" s="84"/>
      <c r="B171" s="85"/>
      <c r="C171" s="85"/>
      <c r="D171" s="85"/>
      <c r="E171" s="504"/>
      <c r="F171" s="84"/>
      <c r="G171" s="84"/>
      <c r="H171" s="490"/>
      <c r="I171" s="490"/>
      <c r="J171" s="490"/>
      <c r="K171" s="490"/>
      <c r="L171" s="490"/>
      <c r="M171" s="84"/>
      <c r="N171" s="84"/>
      <c r="O171" s="84"/>
      <c r="P171" s="84"/>
      <c r="Q171" s="85"/>
      <c r="R171" s="84"/>
      <c r="S171" s="85"/>
      <c r="T171" s="84"/>
      <c r="U171" s="84"/>
      <c r="V171" s="84"/>
      <c r="W171" s="84"/>
      <c r="X171" s="84"/>
      <c r="Y171" s="84"/>
      <c r="Z171" s="84"/>
      <c r="AA171" s="84"/>
      <c r="AB171" s="84"/>
    </row>
    <row r="172" spans="1:28" ht="14.25">
      <c r="A172" s="84"/>
      <c r="B172" s="85"/>
      <c r="C172" s="85"/>
      <c r="D172" s="85"/>
      <c r="E172" s="504"/>
      <c r="F172" s="84"/>
      <c r="G172" s="84"/>
      <c r="H172" s="490"/>
      <c r="I172" s="490"/>
      <c r="J172" s="490"/>
      <c r="K172" s="490"/>
      <c r="L172" s="490"/>
      <c r="M172" s="84"/>
      <c r="N172" s="84"/>
      <c r="O172" s="84"/>
      <c r="P172" s="84"/>
      <c r="Q172" s="85"/>
      <c r="R172" s="84"/>
      <c r="S172" s="85"/>
      <c r="T172" s="84"/>
      <c r="U172" s="84"/>
      <c r="V172" s="84"/>
      <c r="W172" s="84"/>
      <c r="X172" s="84"/>
      <c r="Y172" s="84"/>
      <c r="Z172" s="84"/>
      <c r="AA172" s="84"/>
      <c r="AB172" s="84"/>
    </row>
    <row r="173" spans="1:28" ht="14.25">
      <c r="A173" s="84"/>
      <c r="B173" s="85"/>
      <c r="C173" s="85"/>
      <c r="D173" s="85"/>
      <c r="E173" s="504"/>
      <c r="F173" s="84"/>
      <c r="G173" s="84"/>
      <c r="H173" s="490"/>
      <c r="I173" s="490"/>
      <c r="J173" s="490"/>
      <c r="K173" s="490"/>
      <c r="L173" s="490"/>
      <c r="M173" s="84"/>
      <c r="N173" s="84"/>
      <c r="O173" s="84"/>
      <c r="P173" s="84"/>
      <c r="Q173" s="85"/>
      <c r="R173" s="84"/>
      <c r="S173" s="85"/>
      <c r="T173" s="84"/>
      <c r="U173" s="84"/>
      <c r="V173" s="84"/>
      <c r="W173" s="84"/>
      <c r="X173" s="84"/>
      <c r="Y173" s="84"/>
      <c r="Z173" s="84"/>
      <c r="AA173" s="84"/>
      <c r="AB173" s="84"/>
    </row>
    <row r="174" spans="1:28" ht="14.25">
      <c r="A174" s="84"/>
      <c r="B174" s="85"/>
      <c r="C174" s="85"/>
      <c r="D174" s="85"/>
      <c r="E174" s="504"/>
      <c r="F174" s="84"/>
      <c r="G174" s="84"/>
      <c r="H174" s="490"/>
      <c r="I174" s="490"/>
      <c r="J174" s="490"/>
      <c r="K174" s="490"/>
      <c r="L174" s="490"/>
      <c r="M174" s="84"/>
      <c r="N174" s="84"/>
      <c r="O174" s="84"/>
      <c r="P174" s="84"/>
      <c r="Q174" s="85"/>
      <c r="R174" s="84"/>
      <c r="S174" s="85"/>
      <c r="T174" s="84"/>
      <c r="U174" s="84"/>
      <c r="V174" s="84"/>
      <c r="W174" s="84"/>
      <c r="X174" s="84"/>
      <c r="Y174" s="84"/>
      <c r="Z174" s="84"/>
      <c r="AA174" s="84"/>
      <c r="AB174" s="84"/>
    </row>
    <row r="175" spans="1:28" ht="14.25">
      <c r="A175" s="84"/>
      <c r="B175" s="85"/>
      <c r="C175" s="85"/>
      <c r="D175" s="85"/>
      <c r="E175" s="504"/>
      <c r="F175" s="84"/>
      <c r="G175" s="84"/>
      <c r="H175" s="490"/>
      <c r="I175" s="490"/>
      <c r="J175" s="490"/>
      <c r="K175" s="490"/>
      <c r="L175" s="490"/>
      <c r="M175" s="84"/>
      <c r="N175" s="84"/>
      <c r="O175" s="84"/>
      <c r="P175" s="84"/>
      <c r="Q175" s="85"/>
      <c r="R175" s="84"/>
      <c r="S175" s="85"/>
      <c r="T175" s="84"/>
      <c r="U175" s="84"/>
      <c r="V175" s="84"/>
      <c r="W175" s="84"/>
      <c r="X175" s="84"/>
      <c r="Y175" s="84"/>
      <c r="Z175" s="84"/>
      <c r="AA175" s="84"/>
      <c r="AB175" s="84"/>
    </row>
    <row r="176" spans="1:28" ht="14.25">
      <c r="A176" s="84"/>
      <c r="B176" s="85"/>
      <c r="C176" s="85"/>
      <c r="D176" s="85"/>
      <c r="E176" s="504"/>
      <c r="F176" s="84"/>
      <c r="G176" s="84"/>
      <c r="H176" s="490"/>
      <c r="I176" s="490"/>
      <c r="J176" s="490"/>
      <c r="K176" s="490"/>
      <c r="L176" s="490"/>
      <c r="M176" s="84"/>
      <c r="N176" s="84"/>
      <c r="O176" s="84"/>
      <c r="P176" s="84"/>
      <c r="Q176" s="85"/>
      <c r="R176" s="84"/>
      <c r="S176" s="85"/>
      <c r="T176" s="84"/>
      <c r="U176" s="84"/>
      <c r="V176" s="84"/>
      <c r="W176" s="84"/>
      <c r="X176" s="84"/>
      <c r="Y176" s="84"/>
      <c r="Z176" s="84"/>
      <c r="AA176" s="84"/>
      <c r="AB176" s="84"/>
    </row>
    <row r="177" spans="1:28" ht="14.25">
      <c r="A177" s="84"/>
      <c r="B177" s="85"/>
      <c r="C177" s="85"/>
      <c r="D177" s="85"/>
      <c r="E177" s="504"/>
      <c r="F177" s="84"/>
      <c r="G177" s="84"/>
      <c r="H177" s="490"/>
      <c r="I177" s="490"/>
      <c r="J177" s="490"/>
      <c r="K177" s="490"/>
      <c r="L177" s="490"/>
      <c r="M177" s="84"/>
      <c r="N177" s="84"/>
      <c r="O177" s="84"/>
      <c r="P177" s="84"/>
      <c r="Q177" s="85"/>
      <c r="R177" s="84"/>
      <c r="S177" s="85"/>
      <c r="T177" s="84"/>
      <c r="U177" s="84"/>
      <c r="V177" s="84"/>
      <c r="W177" s="84"/>
      <c r="X177" s="84"/>
      <c r="Y177" s="84"/>
      <c r="Z177" s="84"/>
      <c r="AA177" s="84"/>
      <c r="AB177" s="84"/>
    </row>
    <row r="178" spans="1:28" ht="14.25">
      <c r="A178" s="84"/>
      <c r="B178" s="85"/>
      <c r="C178" s="85"/>
      <c r="D178" s="85"/>
      <c r="E178" s="504"/>
      <c r="F178" s="84"/>
      <c r="G178" s="84"/>
      <c r="H178" s="490"/>
      <c r="I178" s="490"/>
      <c r="J178" s="490"/>
      <c r="K178" s="490"/>
      <c r="L178" s="490"/>
      <c r="M178" s="84"/>
      <c r="N178" s="84"/>
      <c r="O178" s="84"/>
      <c r="P178" s="84"/>
      <c r="Q178" s="85"/>
      <c r="R178" s="84"/>
      <c r="S178" s="85"/>
      <c r="T178" s="84"/>
      <c r="U178" s="84"/>
      <c r="V178" s="84"/>
      <c r="W178" s="84"/>
      <c r="X178" s="84"/>
      <c r="Y178" s="84"/>
      <c r="Z178" s="84"/>
      <c r="AA178" s="84"/>
      <c r="AB178" s="84"/>
    </row>
    <row r="179" spans="1:28" ht="14.25">
      <c r="A179" s="84"/>
      <c r="B179" s="85"/>
      <c r="C179" s="85"/>
      <c r="D179" s="85"/>
      <c r="E179" s="504"/>
      <c r="F179" s="84"/>
      <c r="G179" s="84"/>
      <c r="H179" s="490"/>
      <c r="I179" s="490"/>
      <c r="J179" s="490"/>
      <c r="K179" s="490"/>
      <c r="L179" s="490"/>
      <c r="M179" s="84"/>
      <c r="N179" s="84"/>
      <c r="O179" s="84"/>
      <c r="P179" s="84"/>
      <c r="Q179" s="85"/>
      <c r="R179" s="84"/>
      <c r="S179" s="85"/>
      <c r="T179" s="84"/>
      <c r="U179" s="84"/>
      <c r="V179" s="84"/>
      <c r="W179" s="84"/>
      <c r="X179" s="84"/>
      <c r="Y179" s="84"/>
      <c r="Z179" s="84"/>
      <c r="AA179" s="84"/>
      <c r="AB179" s="84"/>
    </row>
    <row r="180" spans="1:28" ht="14.25">
      <c r="A180" s="84"/>
      <c r="B180" s="85"/>
      <c r="C180" s="85"/>
      <c r="D180" s="85"/>
      <c r="E180" s="504"/>
      <c r="F180" s="84"/>
      <c r="G180" s="84"/>
      <c r="H180" s="490"/>
      <c r="I180" s="490"/>
      <c r="J180" s="490"/>
      <c r="K180" s="490"/>
      <c r="L180" s="490"/>
      <c r="M180" s="84"/>
      <c r="N180" s="84"/>
      <c r="O180" s="84"/>
      <c r="P180" s="84"/>
      <c r="Q180" s="85"/>
      <c r="R180" s="84"/>
      <c r="S180" s="85"/>
      <c r="T180" s="84"/>
      <c r="U180" s="84"/>
      <c r="V180" s="84"/>
      <c r="W180" s="84"/>
      <c r="X180" s="84"/>
      <c r="Y180" s="84"/>
      <c r="Z180" s="84"/>
      <c r="AA180" s="84"/>
      <c r="AB180" s="84"/>
    </row>
    <row r="181" spans="1:28" ht="14.25">
      <c r="A181" s="84"/>
      <c r="B181" s="85"/>
      <c r="C181" s="85"/>
      <c r="D181" s="85"/>
      <c r="E181" s="504"/>
      <c r="F181" s="84"/>
      <c r="G181" s="84"/>
      <c r="H181" s="490"/>
      <c r="I181" s="490"/>
      <c r="J181" s="490"/>
      <c r="K181" s="490"/>
      <c r="L181" s="490"/>
      <c r="M181" s="84"/>
      <c r="N181" s="84"/>
      <c r="O181" s="84"/>
      <c r="P181" s="84"/>
      <c r="Q181" s="85"/>
      <c r="R181" s="84"/>
      <c r="S181" s="85"/>
      <c r="T181" s="84"/>
      <c r="U181" s="84"/>
      <c r="V181" s="84"/>
      <c r="W181" s="84"/>
      <c r="X181" s="84"/>
      <c r="Y181" s="84"/>
      <c r="Z181" s="84"/>
      <c r="AA181" s="84"/>
      <c r="AB181" s="84"/>
    </row>
    <row r="182" spans="1:28" ht="14.25">
      <c r="A182" s="84"/>
      <c r="B182" s="85"/>
      <c r="C182" s="85"/>
      <c r="D182" s="85"/>
      <c r="E182" s="504"/>
      <c r="F182" s="84"/>
      <c r="G182" s="84"/>
      <c r="H182" s="490"/>
      <c r="I182" s="490"/>
      <c r="J182" s="490"/>
      <c r="K182" s="490"/>
      <c r="L182" s="490"/>
      <c r="M182" s="84"/>
      <c r="N182" s="84"/>
      <c r="O182" s="84"/>
      <c r="P182" s="84"/>
      <c r="Q182" s="85"/>
      <c r="R182" s="84"/>
      <c r="S182" s="85"/>
      <c r="T182" s="84"/>
      <c r="U182" s="84"/>
      <c r="V182" s="84"/>
      <c r="W182" s="84"/>
      <c r="X182" s="84"/>
      <c r="Y182" s="84"/>
      <c r="Z182" s="84"/>
      <c r="AA182" s="84"/>
      <c r="AB182" s="84"/>
    </row>
    <row r="183" spans="1:28" ht="14.25">
      <c r="A183" s="84"/>
      <c r="B183" s="85"/>
      <c r="C183" s="85"/>
      <c r="D183" s="85"/>
      <c r="E183" s="504"/>
      <c r="F183" s="84"/>
      <c r="G183" s="84"/>
      <c r="H183" s="490"/>
      <c r="I183" s="490"/>
      <c r="J183" s="490"/>
      <c r="K183" s="490"/>
      <c r="L183" s="490"/>
      <c r="M183" s="84"/>
      <c r="N183" s="84"/>
      <c r="O183" s="84"/>
      <c r="P183" s="84"/>
      <c r="Q183" s="85"/>
      <c r="R183" s="84"/>
      <c r="S183" s="85"/>
      <c r="T183" s="84"/>
      <c r="U183" s="84"/>
      <c r="V183" s="84"/>
      <c r="W183" s="84"/>
      <c r="X183" s="84"/>
      <c r="Y183" s="84"/>
      <c r="Z183" s="84"/>
      <c r="AA183" s="84"/>
      <c r="AB183" s="84"/>
    </row>
    <row r="184" spans="1:28" ht="14.25">
      <c r="A184" s="84"/>
      <c r="B184" s="85"/>
      <c r="C184" s="85"/>
      <c r="D184" s="85"/>
      <c r="E184" s="504"/>
      <c r="F184" s="84"/>
      <c r="G184" s="84"/>
      <c r="H184" s="490"/>
      <c r="I184" s="490"/>
      <c r="J184" s="490"/>
      <c r="K184" s="490"/>
      <c r="L184" s="490"/>
      <c r="M184" s="84"/>
      <c r="N184" s="84"/>
      <c r="O184" s="84"/>
      <c r="P184" s="84"/>
      <c r="Q184" s="85"/>
      <c r="R184" s="84"/>
      <c r="S184" s="85"/>
      <c r="T184" s="84"/>
      <c r="U184" s="84"/>
      <c r="V184" s="84"/>
      <c r="W184" s="84"/>
      <c r="X184" s="84"/>
      <c r="Y184" s="84"/>
      <c r="Z184" s="84"/>
      <c r="AA184" s="84"/>
      <c r="AB184" s="84"/>
    </row>
    <row r="185" spans="1:28" ht="14.25">
      <c r="A185" s="84"/>
      <c r="B185" s="85"/>
      <c r="C185" s="85"/>
      <c r="D185" s="85"/>
      <c r="E185" s="504"/>
      <c r="F185" s="84"/>
      <c r="G185" s="84"/>
      <c r="H185" s="490"/>
      <c r="I185" s="490"/>
      <c r="J185" s="490"/>
      <c r="K185" s="490"/>
      <c r="L185" s="490"/>
      <c r="M185" s="84"/>
      <c r="N185" s="84"/>
      <c r="O185" s="84"/>
      <c r="P185" s="84"/>
      <c r="Q185" s="85"/>
      <c r="R185" s="84"/>
      <c r="S185" s="85"/>
      <c r="T185" s="84"/>
      <c r="U185" s="84"/>
      <c r="V185" s="84"/>
      <c r="W185" s="84"/>
      <c r="X185" s="84"/>
      <c r="Y185" s="84"/>
      <c r="Z185" s="84"/>
      <c r="AA185" s="84"/>
      <c r="AB185" s="84"/>
    </row>
    <row r="186" spans="1:28" ht="14.25">
      <c r="A186" s="84"/>
      <c r="B186" s="85"/>
      <c r="C186" s="85"/>
      <c r="D186" s="85"/>
      <c r="E186" s="504"/>
      <c r="F186" s="84"/>
      <c r="G186" s="84"/>
      <c r="H186" s="490"/>
      <c r="I186" s="490"/>
      <c r="J186" s="490"/>
      <c r="K186" s="490"/>
      <c r="L186" s="490"/>
      <c r="M186" s="84"/>
      <c r="N186" s="84"/>
      <c r="O186" s="84"/>
      <c r="P186" s="84"/>
      <c r="Q186" s="85"/>
      <c r="R186" s="84"/>
      <c r="S186" s="85"/>
      <c r="T186" s="84"/>
      <c r="U186" s="84"/>
      <c r="V186" s="84"/>
      <c r="W186" s="84"/>
      <c r="X186" s="84"/>
      <c r="Y186" s="84"/>
      <c r="Z186" s="84"/>
      <c r="AA186" s="84"/>
      <c r="AB186" s="84"/>
    </row>
    <row r="187" spans="1:28" ht="14.25">
      <c r="A187" s="84"/>
      <c r="B187" s="85"/>
      <c r="C187" s="85"/>
      <c r="D187" s="85"/>
      <c r="E187" s="504"/>
      <c r="F187" s="84"/>
      <c r="G187" s="84"/>
      <c r="H187" s="490"/>
      <c r="I187" s="490"/>
      <c r="J187" s="490"/>
      <c r="K187" s="490"/>
      <c r="L187" s="490"/>
      <c r="M187" s="84"/>
      <c r="N187" s="84"/>
      <c r="O187" s="84"/>
      <c r="P187" s="84"/>
      <c r="Q187" s="85"/>
      <c r="R187" s="84"/>
      <c r="S187" s="85"/>
      <c r="T187" s="84"/>
      <c r="U187" s="84"/>
      <c r="V187" s="84"/>
      <c r="W187" s="84"/>
      <c r="X187" s="84"/>
      <c r="Y187" s="84"/>
      <c r="Z187" s="84"/>
      <c r="AA187" s="84"/>
      <c r="AB187" s="84"/>
    </row>
    <row r="188" spans="1:28" ht="14.25">
      <c r="A188" s="84"/>
      <c r="B188" s="85"/>
      <c r="C188" s="85"/>
      <c r="D188" s="85"/>
      <c r="E188" s="504"/>
      <c r="F188" s="84"/>
      <c r="G188" s="84"/>
      <c r="H188" s="490"/>
      <c r="I188" s="490"/>
      <c r="J188" s="490"/>
      <c r="K188" s="490"/>
      <c r="L188" s="490"/>
      <c r="M188" s="84"/>
      <c r="N188" s="84"/>
      <c r="O188" s="84"/>
      <c r="P188" s="84"/>
      <c r="Q188" s="85"/>
      <c r="R188" s="84"/>
      <c r="S188" s="85"/>
      <c r="T188" s="84"/>
      <c r="U188" s="84"/>
      <c r="V188" s="84"/>
      <c r="W188" s="84"/>
      <c r="X188" s="84"/>
      <c r="Y188" s="84"/>
      <c r="Z188" s="84"/>
      <c r="AA188" s="84"/>
      <c r="AB188" s="84"/>
    </row>
    <row r="189" spans="1:28" ht="14.25">
      <c r="A189" s="84"/>
      <c r="B189" s="85"/>
      <c r="C189" s="85"/>
      <c r="D189" s="85"/>
      <c r="E189" s="504"/>
      <c r="F189" s="84"/>
      <c r="G189" s="84"/>
      <c r="H189" s="490"/>
      <c r="I189" s="490"/>
      <c r="J189" s="490"/>
      <c r="K189" s="490"/>
      <c r="L189" s="490"/>
      <c r="M189" s="84"/>
      <c r="N189" s="84"/>
      <c r="O189" s="84"/>
      <c r="P189" s="84"/>
      <c r="Q189" s="85"/>
      <c r="R189" s="84"/>
      <c r="S189" s="85"/>
      <c r="T189" s="84"/>
      <c r="U189" s="84"/>
      <c r="V189" s="84"/>
      <c r="W189" s="84"/>
      <c r="X189" s="84"/>
      <c r="Y189" s="84"/>
      <c r="Z189" s="84"/>
      <c r="AA189" s="84"/>
      <c r="AB189" s="84"/>
    </row>
    <row r="190" spans="1:28" ht="14.25">
      <c r="A190" s="84"/>
      <c r="B190" s="85"/>
      <c r="C190" s="85"/>
      <c r="D190" s="85"/>
      <c r="E190" s="504"/>
      <c r="F190" s="84"/>
      <c r="G190" s="84"/>
      <c r="H190" s="490"/>
      <c r="I190" s="490"/>
      <c r="J190" s="490"/>
      <c r="K190" s="490"/>
      <c r="L190" s="490"/>
      <c r="M190" s="84"/>
      <c r="N190" s="84"/>
      <c r="O190" s="84"/>
      <c r="P190" s="84"/>
      <c r="Q190" s="85"/>
      <c r="R190" s="84"/>
      <c r="S190" s="85"/>
      <c r="T190" s="84"/>
      <c r="U190" s="84"/>
      <c r="V190" s="84"/>
      <c r="W190" s="84"/>
      <c r="X190" s="84"/>
      <c r="Y190" s="84"/>
      <c r="Z190" s="84"/>
      <c r="AA190" s="84"/>
      <c r="AB190" s="84"/>
    </row>
    <row r="191" spans="1:28" ht="14.25">
      <c r="A191" s="84"/>
      <c r="B191" s="85"/>
      <c r="C191" s="85"/>
      <c r="D191" s="85"/>
      <c r="E191" s="504"/>
      <c r="F191" s="84"/>
      <c r="G191" s="84"/>
      <c r="H191" s="490"/>
      <c r="I191" s="490"/>
      <c r="J191" s="490"/>
      <c r="K191" s="490"/>
      <c r="L191" s="490"/>
      <c r="M191" s="84"/>
      <c r="N191" s="84"/>
      <c r="O191" s="84"/>
      <c r="P191" s="84"/>
      <c r="Q191" s="85"/>
      <c r="R191" s="84"/>
      <c r="S191" s="85"/>
      <c r="T191" s="84"/>
      <c r="U191" s="84"/>
      <c r="V191" s="84"/>
      <c r="W191" s="84"/>
      <c r="X191" s="84"/>
      <c r="Y191" s="84"/>
      <c r="Z191" s="84"/>
      <c r="AA191" s="84"/>
      <c r="AB191" s="84"/>
    </row>
    <row r="192" spans="1:28" ht="14.25">
      <c r="A192" s="84"/>
      <c r="B192" s="85"/>
      <c r="C192" s="85"/>
      <c r="D192" s="85"/>
      <c r="E192" s="504"/>
      <c r="F192" s="84"/>
      <c r="G192" s="84"/>
      <c r="H192" s="490"/>
      <c r="I192" s="490"/>
      <c r="J192" s="490"/>
      <c r="K192" s="490"/>
      <c r="L192" s="490"/>
      <c r="M192" s="84"/>
      <c r="N192" s="84"/>
      <c r="O192" s="84"/>
      <c r="P192" s="84"/>
      <c r="Q192" s="85"/>
      <c r="R192" s="84"/>
      <c r="S192" s="85"/>
      <c r="T192" s="84"/>
      <c r="U192" s="84"/>
      <c r="V192" s="84"/>
      <c r="W192" s="84"/>
      <c r="X192" s="84"/>
      <c r="Y192" s="84"/>
      <c r="Z192" s="84"/>
      <c r="AA192" s="84"/>
      <c r="AB192" s="84"/>
    </row>
    <row r="193" spans="1:28" ht="14.25">
      <c r="A193" s="84"/>
      <c r="B193" s="85"/>
      <c r="C193" s="85"/>
      <c r="D193" s="85"/>
      <c r="E193" s="504"/>
      <c r="F193" s="84"/>
      <c r="G193" s="84"/>
      <c r="H193" s="490"/>
      <c r="I193" s="490"/>
      <c r="J193" s="490"/>
      <c r="K193" s="490"/>
      <c r="L193" s="490"/>
      <c r="M193" s="84"/>
      <c r="N193" s="84"/>
      <c r="O193" s="84"/>
      <c r="P193" s="84"/>
      <c r="Q193" s="85"/>
      <c r="R193" s="84"/>
      <c r="S193" s="85"/>
      <c r="T193" s="84"/>
      <c r="U193" s="84"/>
      <c r="V193" s="84"/>
      <c r="W193" s="84"/>
      <c r="X193" s="84"/>
      <c r="Y193" s="84"/>
      <c r="Z193" s="84"/>
      <c r="AA193" s="84"/>
      <c r="AB193" s="84"/>
    </row>
    <row r="194" spans="1:28" ht="14.25">
      <c r="A194" s="84"/>
      <c r="B194" s="85"/>
      <c r="C194" s="85"/>
      <c r="D194" s="85"/>
      <c r="E194" s="504"/>
      <c r="F194" s="84"/>
      <c r="G194" s="84"/>
      <c r="H194" s="490"/>
      <c r="I194" s="490"/>
      <c r="J194" s="490"/>
      <c r="K194" s="490"/>
      <c r="L194" s="490"/>
      <c r="M194" s="84"/>
      <c r="N194" s="84"/>
      <c r="O194" s="84"/>
      <c r="P194" s="84"/>
      <c r="Q194" s="85"/>
      <c r="R194" s="84"/>
      <c r="S194" s="85"/>
      <c r="T194" s="84"/>
      <c r="U194" s="84"/>
      <c r="V194" s="84"/>
      <c r="W194" s="84"/>
      <c r="X194" s="84"/>
      <c r="Y194" s="84"/>
      <c r="Z194" s="84"/>
      <c r="AA194" s="84"/>
      <c r="AB194" s="84"/>
    </row>
    <row r="195" spans="1:28" ht="14.25">
      <c r="A195" s="84"/>
      <c r="B195" s="85"/>
      <c r="C195" s="85"/>
      <c r="D195" s="85"/>
      <c r="E195" s="504"/>
      <c r="F195" s="84"/>
      <c r="G195" s="84"/>
      <c r="H195" s="490"/>
      <c r="I195" s="490"/>
      <c r="J195" s="490"/>
      <c r="K195" s="490"/>
      <c r="L195" s="490"/>
      <c r="M195" s="84"/>
      <c r="N195" s="84"/>
      <c r="O195" s="84"/>
      <c r="P195" s="84"/>
      <c r="Q195" s="85"/>
      <c r="R195" s="84"/>
      <c r="S195" s="85"/>
      <c r="T195" s="84"/>
      <c r="U195" s="84"/>
      <c r="V195" s="84"/>
      <c r="W195" s="84"/>
      <c r="X195" s="84"/>
      <c r="Y195" s="84"/>
      <c r="Z195" s="84"/>
      <c r="AA195" s="84"/>
      <c r="AB195" s="84"/>
    </row>
    <row r="196" spans="1:28" ht="14.25">
      <c r="A196" s="84"/>
      <c r="B196" s="85"/>
      <c r="C196" s="85"/>
      <c r="D196" s="85"/>
      <c r="E196" s="504"/>
      <c r="F196" s="84"/>
      <c r="G196" s="84"/>
      <c r="H196" s="490"/>
      <c r="I196" s="490"/>
      <c r="J196" s="490"/>
      <c r="K196" s="490"/>
      <c r="L196" s="490"/>
      <c r="M196" s="84"/>
      <c r="N196" s="84"/>
      <c r="O196" s="84"/>
      <c r="P196" s="84"/>
      <c r="Q196" s="85"/>
      <c r="R196" s="84"/>
      <c r="S196" s="85"/>
      <c r="T196" s="84"/>
      <c r="U196" s="84"/>
      <c r="V196" s="84"/>
      <c r="W196" s="84"/>
      <c r="X196" s="84"/>
      <c r="Y196" s="84"/>
      <c r="Z196" s="84"/>
      <c r="AA196" s="84"/>
      <c r="AB196" s="84"/>
    </row>
    <row r="197" spans="1:28" ht="14.25">
      <c r="A197" s="84"/>
      <c r="B197" s="85"/>
      <c r="C197" s="85"/>
      <c r="D197" s="85"/>
      <c r="E197" s="504"/>
      <c r="F197" s="84"/>
      <c r="G197" s="84"/>
      <c r="H197" s="490"/>
      <c r="I197" s="490"/>
      <c r="J197" s="490"/>
      <c r="K197" s="490"/>
      <c r="L197" s="490"/>
      <c r="M197" s="84"/>
      <c r="N197" s="84"/>
      <c r="O197" s="84"/>
      <c r="P197" s="84"/>
      <c r="Q197" s="85"/>
      <c r="R197" s="84"/>
      <c r="S197" s="85"/>
      <c r="T197" s="84"/>
      <c r="U197" s="84"/>
      <c r="V197" s="84"/>
      <c r="W197" s="84"/>
      <c r="X197" s="84"/>
      <c r="Y197" s="84"/>
      <c r="Z197" s="84"/>
      <c r="AA197" s="84"/>
      <c r="AB197" s="84"/>
    </row>
    <row r="198" spans="1:28" ht="14.25">
      <c r="A198" s="84"/>
      <c r="B198" s="85"/>
      <c r="C198" s="85"/>
      <c r="D198" s="85"/>
      <c r="E198" s="504"/>
      <c r="F198" s="84"/>
      <c r="G198" s="84"/>
      <c r="H198" s="490"/>
      <c r="I198" s="490"/>
      <c r="J198" s="490"/>
      <c r="K198" s="490"/>
      <c r="L198" s="490"/>
      <c r="M198" s="84"/>
      <c r="N198" s="84"/>
      <c r="O198" s="84"/>
      <c r="P198" s="84"/>
      <c r="Q198" s="85"/>
      <c r="R198" s="84"/>
      <c r="S198" s="85"/>
      <c r="T198" s="84"/>
      <c r="U198" s="84"/>
      <c r="V198" s="84"/>
      <c r="W198" s="84"/>
      <c r="X198" s="84"/>
      <c r="Y198" s="84"/>
      <c r="Z198" s="84"/>
      <c r="AA198" s="84"/>
      <c r="AB198" s="84"/>
    </row>
    <row r="199" spans="1:28" ht="14.25">
      <c r="A199" s="84"/>
      <c r="B199" s="85"/>
      <c r="C199" s="85"/>
      <c r="D199" s="85"/>
      <c r="E199" s="504"/>
      <c r="F199" s="84"/>
      <c r="G199" s="84"/>
      <c r="H199" s="490"/>
      <c r="I199" s="490"/>
      <c r="J199" s="490"/>
      <c r="K199" s="490"/>
      <c r="L199" s="490"/>
      <c r="M199" s="84"/>
      <c r="N199" s="84"/>
      <c r="O199" s="84"/>
      <c r="P199" s="84"/>
      <c r="Q199" s="85"/>
      <c r="R199" s="84"/>
      <c r="S199" s="85"/>
      <c r="T199" s="84"/>
      <c r="U199" s="84"/>
      <c r="V199" s="84"/>
      <c r="W199" s="84"/>
      <c r="X199" s="84"/>
      <c r="Y199" s="84"/>
      <c r="Z199" s="84"/>
      <c r="AA199" s="84"/>
      <c r="AB199" s="84"/>
    </row>
    <row r="200" spans="1:28" ht="14.25">
      <c r="A200" s="84"/>
      <c r="B200" s="85"/>
      <c r="C200" s="85"/>
      <c r="D200" s="85"/>
      <c r="E200" s="504"/>
      <c r="F200" s="84"/>
      <c r="G200" s="84"/>
      <c r="H200" s="490"/>
      <c r="I200" s="490"/>
      <c r="J200" s="490"/>
      <c r="K200" s="490"/>
      <c r="L200" s="490"/>
      <c r="M200" s="84"/>
      <c r="N200" s="84"/>
      <c r="O200" s="84"/>
      <c r="P200" s="84"/>
      <c r="Q200" s="85"/>
      <c r="R200" s="84"/>
      <c r="S200" s="85"/>
      <c r="T200" s="84"/>
      <c r="U200" s="84"/>
      <c r="V200" s="84"/>
      <c r="W200" s="84"/>
      <c r="X200" s="84"/>
      <c r="Y200" s="84"/>
      <c r="Z200" s="84"/>
      <c r="AA200" s="84"/>
      <c r="AB200" s="84"/>
    </row>
    <row r="201" spans="1:28" ht="14.25">
      <c r="A201" s="84"/>
      <c r="B201" s="85"/>
      <c r="C201" s="85"/>
      <c r="D201" s="85"/>
      <c r="E201" s="504"/>
      <c r="F201" s="84"/>
      <c r="G201" s="84"/>
      <c r="H201" s="490"/>
      <c r="I201" s="490"/>
      <c r="J201" s="490"/>
      <c r="K201" s="490"/>
      <c r="L201" s="490"/>
      <c r="M201" s="84"/>
      <c r="N201" s="84"/>
      <c r="O201" s="84"/>
      <c r="P201" s="84"/>
      <c r="Q201" s="85"/>
      <c r="R201" s="84"/>
      <c r="S201" s="85"/>
      <c r="T201" s="84"/>
      <c r="U201" s="84"/>
      <c r="V201" s="84"/>
      <c r="W201" s="84"/>
      <c r="X201" s="84"/>
      <c r="Y201" s="84"/>
      <c r="Z201" s="84"/>
      <c r="AA201" s="84"/>
      <c r="AB201" s="84"/>
    </row>
    <row r="202" spans="1:28" ht="14.25">
      <c r="A202" s="84"/>
      <c r="B202" s="85"/>
      <c r="C202" s="85"/>
      <c r="D202" s="85"/>
      <c r="E202" s="504"/>
      <c r="F202" s="84"/>
      <c r="G202" s="84"/>
      <c r="H202" s="490"/>
      <c r="I202" s="490"/>
      <c r="J202" s="490"/>
      <c r="K202" s="490"/>
      <c r="L202" s="490"/>
      <c r="M202" s="84"/>
      <c r="N202" s="84"/>
      <c r="O202" s="84"/>
      <c r="P202" s="84"/>
      <c r="Q202" s="85"/>
      <c r="R202" s="84"/>
      <c r="S202" s="85"/>
      <c r="T202" s="84"/>
      <c r="U202" s="84"/>
      <c r="V202" s="84"/>
      <c r="W202" s="84"/>
      <c r="X202" s="84"/>
      <c r="Y202" s="84"/>
      <c r="Z202" s="84"/>
      <c r="AA202" s="84"/>
      <c r="AB202" s="84"/>
    </row>
    <row r="203" spans="1:28" ht="14.25">
      <c r="A203" s="84"/>
      <c r="B203" s="85"/>
      <c r="C203" s="85"/>
      <c r="D203" s="85"/>
      <c r="E203" s="504"/>
      <c r="F203" s="84"/>
      <c r="G203" s="84"/>
      <c r="H203" s="490"/>
      <c r="I203" s="490"/>
      <c r="J203" s="490"/>
      <c r="K203" s="490"/>
      <c r="L203" s="490"/>
      <c r="M203" s="84"/>
      <c r="N203" s="84"/>
      <c r="O203" s="84"/>
      <c r="P203" s="84"/>
      <c r="Q203" s="85"/>
      <c r="R203" s="84"/>
      <c r="S203" s="85"/>
      <c r="T203" s="84"/>
      <c r="U203" s="84"/>
      <c r="V203" s="84"/>
      <c r="W203" s="84"/>
      <c r="X203" s="84"/>
      <c r="Y203" s="84"/>
      <c r="Z203" s="84"/>
      <c r="AA203" s="84"/>
      <c r="AB203" s="84"/>
    </row>
    <row r="204" spans="1:28" ht="14.25">
      <c r="A204" s="84"/>
      <c r="B204" s="85"/>
      <c r="C204" s="85"/>
      <c r="D204" s="85"/>
      <c r="E204" s="504"/>
      <c r="F204" s="84"/>
      <c r="G204" s="84"/>
      <c r="H204" s="490"/>
      <c r="I204" s="490"/>
      <c r="J204" s="490"/>
      <c r="K204" s="490"/>
      <c r="L204" s="490"/>
      <c r="M204" s="84"/>
      <c r="N204" s="84"/>
      <c r="O204" s="84"/>
      <c r="P204" s="84"/>
      <c r="Q204" s="85"/>
      <c r="R204" s="84"/>
      <c r="S204" s="85"/>
      <c r="T204" s="84"/>
      <c r="U204" s="84"/>
      <c r="V204" s="84"/>
      <c r="W204" s="84"/>
      <c r="X204" s="84"/>
      <c r="Y204" s="84"/>
      <c r="Z204" s="84"/>
      <c r="AA204" s="84"/>
      <c r="AB204" s="84"/>
    </row>
    <row r="205" spans="1:28" ht="14.25">
      <c r="A205" s="84"/>
      <c r="B205" s="85"/>
      <c r="C205" s="85"/>
      <c r="D205" s="85"/>
      <c r="E205" s="504"/>
      <c r="F205" s="84"/>
      <c r="G205" s="84"/>
      <c r="H205" s="490"/>
      <c r="I205" s="490"/>
      <c r="J205" s="490"/>
      <c r="K205" s="490"/>
      <c r="L205" s="490"/>
      <c r="M205" s="84"/>
      <c r="N205" s="84"/>
      <c r="O205" s="84"/>
      <c r="P205" s="84"/>
      <c r="Q205" s="85"/>
      <c r="R205" s="84"/>
      <c r="S205" s="85"/>
      <c r="T205" s="84"/>
      <c r="U205" s="84"/>
      <c r="V205" s="84"/>
      <c r="W205" s="84"/>
      <c r="X205" s="84"/>
      <c r="Y205" s="84"/>
      <c r="Z205" s="84"/>
      <c r="AA205" s="84"/>
      <c r="AB205" s="84"/>
    </row>
    <row r="206" spans="1:28" ht="14.25">
      <c r="A206" s="84"/>
      <c r="B206" s="85"/>
      <c r="C206" s="85"/>
      <c r="D206" s="85"/>
      <c r="E206" s="504"/>
      <c r="F206" s="84"/>
      <c r="G206" s="84"/>
      <c r="H206" s="490"/>
      <c r="I206" s="490"/>
      <c r="J206" s="490"/>
      <c r="K206" s="490"/>
      <c r="L206" s="490"/>
      <c r="M206" s="84"/>
      <c r="N206" s="84"/>
      <c r="O206" s="84"/>
      <c r="P206" s="84"/>
      <c r="Q206" s="85"/>
      <c r="R206" s="84"/>
      <c r="S206" s="85"/>
      <c r="T206" s="84"/>
      <c r="U206" s="84"/>
      <c r="V206" s="84"/>
      <c r="W206" s="84"/>
      <c r="X206" s="84"/>
      <c r="Y206" s="84"/>
      <c r="Z206" s="84"/>
      <c r="AA206" s="84"/>
      <c r="AB206" s="84"/>
    </row>
    <row r="207" spans="1:28" ht="14.25">
      <c r="A207" s="84"/>
      <c r="B207" s="85"/>
      <c r="C207" s="85"/>
      <c r="D207" s="85"/>
      <c r="E207" s="504"/>
      <c r="F207" s="84"/>
      <c r="G207" s="84"/>
      <c r="H207" s="490"/>
      <c r="I207" s="490"/>
      <c r="J207" s="490"/>
      <c r="K207" s="490"/>
      <c r="L207" s="490"/>
      <c r="M207" s="84"/>
      <c r="N207" s="84"/>
      <c r="O207" s="84"/>
      <c r="P207" s="84"/>
      <c r="Q207" s="85"/>
      <c r="R207" s="84"/>
      <c r="S207" s="85"/>
      <c r="T207" s="84"/>
      <c r="U207" s="84"/>
      <c r="V207" s="84"/>
      <c r="W207" s="84"/>
      <c r="X207" s="84"/>
      <c r="Y207" s="84"/>
      <c r="Z207" s="84"/>
      <c r="AA207" s="84"/>
      <c r="AB207" s="84"/>
    </row>
    <row r="208" spans="1:28" ht="14.25">
      <c r="A208" s="84"/>
      <c r="B208" s="85"/>
      <c r="C208" s="85"/>
      <c r="D208" s="85"/>
      <c r="E208" s="504"/>
      <c r="F208" s="84"/>
      <c r="G208" s="84"/>
      <c r="H208" s="490"/>
      <c r="I208" s="490"/>
      <c r="J208" s="490"/>
      <c r="K208" s="490"/>
      <c r="L208" s="490"/>
      <c r="M208" s="84"/>
      <c r="N208" s="84"/>
      <c r="O208" s="84"/>
      <c r="P208" s="84"/>
      <c r="Q208" s="85"/>
      <c r="R208" s="84"/>
      <c r="S208" s="85"/>
      <c r="T208" s="84"/>
      <c r="U208" s="84"/>
      <c r="V208" s="84"/>
      <c r="W208" s="84"/>
      <c r="X208" s="84"/>
      <c r="Y208" s="84"/>
      <c r="Z208" s="84"/>
      <c r="AA208" s="84"/>
      <c r="AB208" s="84"/>
    </row>
    <row r="209" spans="1:28" ht="14.25">
      <c r="A209" s="84"/>
      <c r="B209" s="85"/>
      <c r="C209" s="85"/>
      <c r="D209" s="85"/>
      <c r="E209" s="504"/>
      <c r="F209" s="84"/>
      <c r="G209" s="84"/>
      <c r="H209" s="490"/>
      <c r="I209" s="490"/>
      <c r="J209" s="490"/>
      <c r="K209" s="490"/>
      <c r="L209" s="490"/>
      <c r="M209" s="84"/>
      <c r="N209" s="84"/>
      <c r="O209" s="84"/>
      <c r="P209" s="84"/>
      <c r="Q209" s="85"/>
      <c r="R209" s="84"/>
      <c r="S209" s="85"/>
      <c r="T209" s="84"/>
      <c r="U209" s="84"/>
      <c r="V209" s="84"/>
      <c r="W209" s="84"/>
      <c r="X209" s="84"/>
      <c r="Y209" s="84"/>
      <c r="Z209" s="84"/>
      <c r="AA209" s="84"/>
      <c r="AB209" s="84"/>
    </row>
    <row r="210" spans="1:28" ht="14.25">
      <c r="A210" s="84"/>
      <c r="B210" s="85"/>
      <c r="C210" s="85"/>
      <c r="D210" s="85"/>
      <c r="E210" s="504"/>
      <c r="F210" s="84"/>
      <c r="G210" s="84"/>
      <c r="H210" s="490"/>
      <c r="I210" s="490"/>
      <c r="J210" s="490"/>
      <c r="K210" s="490"/>
      <c r="L210" s="490"/>
      <c r="M210" s="84"/>
      <c r="N210" s="84"/>
      <c r="O210" s="84"/>
      <c r="P210" s="84"/>
      <c r="Q210" s="85"/>
      <c r="R210" s="84"/>
      <c r="S210" s="85"/>
      <c r="T210" s="84"/>
      <c r="U210" s="84"/>
      <c r="V210" s="84"/>
      <c r="W210" s="84"/>
      <c r="X210" s="84"/>
      <c r="Y210" s="84"/>
      <c r="Z210" s="84"/>
      <c r="AA210" s="84"/>
      <c r="AB210" s="84"/>
    </row>
    <row r="211" spans="1:28" ht="14.25">
      <c r="A211" s="84"/>
      <c r="B211" s="85"/>
      <c r="C211" s="85"/>
      <c r="D211" s="85"/>
      <c r="E211" s="504"/>
      <c r="F211" s="84"/>
      <c r="G211" s="84"/>
      <c r="H211" s="490"/>
      <c r="I211" s="490"/>
      <c r="J211" s="490"/>
      <c r="K211" s="490"/>
      <c r="L211" s="490"/>
      <c r="M211" s="84"/>
      <c r="N211" s="84"/>
      <c r="O211" s="84"/>
      <c r="P211" s="84"/>
      <c r="Q211" s="85"/>
      <c r="R211" s="84"/>
      <c r="S211" s="85"/>
      <c r="T211" s="84"/>
      <c r="U211" s="84"/>
      <c r="V211" s="84"/>
      <c r="W211" s="84"/>
      <c r="X211" s="84"/>
      <c r="Y211" s="84"/>
      <c r="Z211" s="84"/>
      <c r="AA211" s="84"/>
      <c r="AB211" s="84"/>
    </row>
    <row r="212" spans="1:28" ht="14.25">
      <c r="A212" s="84"/>
      <c r="B212" s="85"/>
      <c r="C212" s="85"/>
      <c r="D212" s="85"/>
      <c r="E212" s="504"/>
      <c r="F212" s="84"/>
      <c r="G212" s="84"/>
      <c r="H212" s="490"/>
      <c r="I212" s="490"/>
      <c r="J212" s="490"/>
      <c r="K212" s="490"/>
      <c r="L212" s="490"/>
      <c r="M212" s="84"/>
      <c r="N212" s="84"/>
      <c r="O212" s="84"/>
      <c r="P212" s="84"/>
      <c r="Q212" s="85"/>
      <c r="R212" s="84"/>
      <c r="S212" s="85"/>
      <c r="T212" s="84"/>
      <c r="U212" s="84"/>
      <c r="V212" s="84"/>
      <c r="W212" s="84"/>
      <c r="X212" s="84"/>
      <c r="Y212" s="84"/>
      <c r="Z212" s="84"/>
      <c r="AA212" s="84"/>
      <c r="AB212" s="84"/>
    </row>
    <row r="213" spans="1:28" ht="14.25">
      <c r="A213" s="84"/>
      <c r="B213" s="85"/>
      <c r="C213" s="85"/>
      <c r="D213" s="85"/>
      <c r="E213" s="504"/>
      <c r="F213" s="84"/>
      <c r="G213" s="84"/>
      <c r="H213" s="490"/>
      <c r="I213" s="490"/>
      <c r="J213" s="490"/>
      <c r="K213" s="490"/>
      <c r="L213" s="490"/>
      <c r="M213" s="84"/>
      <c r="N213" s="84"/>
      <c r="O213" s="84"/>
      <c r="P213" s="84"/>
      <c r="Q213" s="85"/>
      <c r="R213" s="84"/>
      <c r="S213" s="85"/>
      <c r="T213" s="84"/>
      <c r="U213" s="84"/>
      <c r="V213" s="84"/>
      <c r="W213" s="84"/>
      <c r="X213" s="84"/>
      <c r="Y213" s="84"/>
      <c r="Z213" s="84"/>
      <c r="AA213" s="84"/>
      <c r="AB213" s="84"/>
    </row>
    <row r="214" spans="1:28" ht="14.25">
      <c r="A214" s="84"/>
      <c r="B214" s="85"/>
      <c r="C214" s="85"/>
      <c r="D214" s="85"/>
      <c r="E214" s="504"/>
      <c r="F214" s="84"/>
      <c r="G214" s="84"/>
      <c r="H214" s="490"/>
      <c r="I214" s="490"/>
      <c r="J214" s="490"/>
      <c r="K214" s="490"/>
      <c r="L214" s="490"/>
      <c r="M214" s="84"/>
      <c r="N214" s="84"/>
      <c r="O214" s="84"/>
      <c r="P214" s="84"/>
      <c r="Q214" s="85"/>
      <c r="R214" s="84"/>
      <c r="S214" s="85"/>
      <c r="T214" s="84"/>
      <c r="U214" s="84"/>
      <c r="V214" s="84"/>
      <c r="W214" s="84"/>
      <c r="X214" s="84"/>
      <c r="Y214" s="84"/>
      <c r="Z214" s="84"/>
      <c r="AA214" s="84"/>
      <c r="AB214" s="84"/>
    </row>
    <row r="215" spans="1:28" ht="14.25">
      <c r="A215" s="84"/>
      <c r="B215" s="85"/>
      <c r="C215" s="85"/>
      <c r="D215" s="85"/>
      <c r="E215" s="504"/>
      <c r="F215" s="84"/>
      <c r="G215" s="84"/>
      <c r="H215" s="490"/>
      <c r="I215" s="490"/>
      <c r="J215" s="490"/>
      <c r="K215" s="490"/>
      <c r="L215" s="490"/>
      <c r="M215" s="84"/>
      <c r="N215" s="84"/>
      <c r="O215" s="84"/>
      <c r="P215" s="84"/>
      <c r="Q215" s="85"/>
      <c r="R215" s="84"/>
      <c r="S215" s="85"/>
      <c r="T215" s="84"/>
      <c r="U215" s="84"/>
      <c r="V215" s="84"/>
      <c r="W215" s="84"/>
      <c r="X215" s="84"/>
      <c r="Y215" s="84"/>
      <c r="Z215" s="84"/>
      <c r="AA215" s="84"/>
      <c r="AB215" s="84"/>
    </row>
    <row r="216" spans="1:28" ht="14.25">
      <c r="A216" s="84"/>
      <c r="B216" s="85"/>
      <c r="C216" s="85"/>
      <c r="D216" s="85"/>
      <c r="E216" s="504"/>
      <c r="F216" s="84"/>
      <c r="G216" s="84"/>
      <c r="H216" s="490"/>
      <c r="I216" s="490"/>
      <c r="J216" s="490"/>
      <c r="K216" s="490"/>
      <c r="L216" s="490"/>
      <c r="M216" s="84"/>
      <c r="N216" s="84"/>
      <c r="O216" s="84"/>
      <c r="P216" s="84"/>
      <c r="Q216" s="85"/>
      <c r="R216" s="84"/>
      <c r="S216" s="85"/>
      <c r="T216" s="84"/>
      <c r="U216" s="84"/>
      <c r="V216" s="84"/>
      <c r="W216" s="84"/>
      <c r="X216" s="84"/>
      <c r="Y216" s="84"/>
      <c r="Z216" s="84"/>
      <c r="AA216" s="84"/>
      <c r="AB216" s="84"/>
    </row>
    <row r="217" spans="1:28" ht="14.25">
      <c r="A217" s="84"/>
      <c r="B217" s="85"/>
      <c r="C217" s="85"/>
      <c r="D217" s="85"/>
      <c r="E217" s="504"/>
      <c r="F217" s="84"/>
      <c r="G217" s="84"/>
      <c r="H217" s="490"/>
      <c r="I217" s="490"/>
      <c r="J217" s="490"/>
      <c r="K217" s="490"/>
      <c r="L217" s="490"/>
      <c r="M217" s="84"/>
      <c r="N217" s="84"/>
      <c r="O217" s="84"/>
      <c r="P217" s="84"/>
      <c r="Q217" s="85"/>
      <c r="R217" s="84"/>
      <c r="S217" s="85"/>
      <c r="T217" s="84"/>
      <c r="U217" s="84"/>
      <c r="V217" s="84"/>
      <c r="W217" s="84"/>
      <c r="X217" s="84"/>
      <c r="Y217" s="84"/>
      <c r="Z217" s="84"/>
      <c r="AA217" s="84"/>
      <c r="AB217" s="84"/>
    </row>
    <row r="218" spans="1:28" ht="14.25">
      <c r="A218" s="84"/>
      <c r="B218" s="85"/>
      <c r="C218" s="85"/>
      <c r="D218" s="85"/>
      <c r="E218" s="504"/>
      <c r="F218" s="84"/>
      <c r="G218" s="84"/>
      <c r="H218" s="490"/>
      <c r="I218" s="490"/>
      <c r="J218" s="490"/>
      <c r="K218" s="490"/>
      <c r="L218" s="490"/>
      <c r="M218" s="84"/>
      <c r="N218" s="84"/>
      <c r="O218" s="84"/>
      <c r="P218" s="84"/>
      <c r="Q218" s="85"/>
      <c r="R218" s="84"/>
      <c r="S218" s="85"/>
      <c r="T218" s="84"/>
      <c r="U218" s="84"/>
      <c r="V218" s="84"/>
      <c r="W218" s="84"/>
      <c r="X218" s="84"/>
      <c r="Y218" s="84"/>
      <c r="Z218" s="84"/>
      <c r="AA218" s="84"/>
      <c r="AB218" s="84"/>
    </row>
    <row r="219" spans="1:28" ht="14.25">
      <c r="A219" s="84"/>
      <c r="B219" s="85"/>
      <c r="C219" s="85"/>
      <c r="D219" s="85"/>
      <c r="E219" s="504"/>
      <c r="F219" s="84"/>
      <c r="G219" s="84"/>
      <c r="H219" s="490"/>
      <c r="I219" s="490"/>
      <c r="J219" s="490"/>
      <c r="K219" s="490"/>
      <c r="L219" s="490"/>
      <c r="M219" s="84"/>
      <c r="N219" s="84"/>
      <c r="O219" s="84"/>
      <c r="P219" s="84"/>
      <c r="Q219" s="85"/>
      <c r="R219" s="84"/>
      <c r="S219" s="85"/>
      <c r="T219" s="84"/>
      <c r="U219" s="84"/>
      <c r="V219" s="84"/>
      <c r="W219" s="84"/>
      <c r="X219" s="84"/>
      <c r="Y219" s="84"/>
      <c r="Z219" s="84"/>
      <c r="AA219" s="84"/>
      <c r="AB219" s="84"/>
    </row>
    <row r="220" spans="1:28" ht="14.25">
      <c r="A220" s="84"/>
      <c r="B220" s="85"/>
      <c r="C220" s="85"/>
      <c r="D220" s="85"/>
      <c r="E220" s="504"/>
      <c r="F220" s="84"/>
      <c r="G220" s="84"/>
      <c r="H220" s="490"/>
      <c r="I220" s="490"/>
      <c r="J220" s="490"/>
      <c r="K220" s="490"/>
      <c r="L220" s="490"/>
      <c r="M220" s="84"/>
      <c r="N220" s="84"/>
      <c r="O220" s="84"/>
      <c r="P220" s="84"/>
      <c r="Q220" s="85"/>
      <c r="R220" s="84"/>
      <c r="S220" s="85"/>
      <c r="T220" s="84"/>
      <c r="U220" s="84"/>
      <c r="V220" s="84"/>
      <c r="W220" s="84"/>
      <c r="X220" s="84"/>
      <c r="Y220" s="84"/>
      <c r="Z220" s="84"/>
      <c r="AA220" s="84"/>
      <c r="AB220" s="84"/>
    </row>
    <row r="221" spans="1:28" ht="14.25">
      <c r="A221" s="84"/>
      <c r="B221" s="85"/>
      <c r="C221" s="85"/>
      <c r="D221" s="85"/>
      <c r="E221" s="504"/>
      <c r="F221" s="84"/>
      <c r="G221" s="84"/>
      <c r="H221" s="490"/>
      <c r="I221" s="490"/>
      <c r="J221" s="490"/>
      <c r="K221" s="490"/>
      <c r="L221" s="490"/>
      <c r="M221" s="84"/>
      <c r="N221" s="84"/>
      <c r="O221" s="84"/>
      <c r="P221" s="84"/>
      <c r="Q221" s="85"/>
      <c r="R221" s="84"/>
      <c r="S221" s="85"/>
      <c r="T221" s="84"/>
      <c r="U221" s="84"/>
      <c r="V221" s="84"/>
      <c r="W221" s="84"/>
      <c r="X221" s="84"/>
      <c r="Y221" s="84"/>
      <c r="Z221" s="84"/>
      <c r="AA221" s="84"/>
      <c r="AB221" s="84"/>
    </row>
    <row r="222" spans="1:28" ht="14.25">
      <c r="A222" s="84"/>
      <c r="B222" s="85"/>
      <c r="C222" s="85"/>
      <c r="D222" s="85"/>
      <c r="E222" s="504"/>
      <c r="F222" s="84"/>
      <c r="G222" s="84"/>
      <c r="H222" s="490"/>
      <c r="I222" s="490"/>
      <c r="J222" s="490"/>
      <c r="K222" s="490"/>
      <c r="L222" s="490"/>
      <c r="M222" s="84"/>
      <c r="N222" s="84"/>
      <c r="O222" s="84"/>
      <c r="P222" s="84"/>
      <c r="Q222" s="85"/>
      <c r="R222" s="84"/>
      <c r="S222" s="85"/>
      <c r="T222" s="84"/>
      <c r="U222" s="84"/>
      <c r="V222" s="84"/>
      <c r="W222" s="84"/>
      <c r="X222" s="84"/>
      <c r="Y222" s="84"/>
      <c r="Z222" s="84"/>
      <c r="AA222" s="84"/>
      <c r="AB222" s="84"/>
    </row>
    <row r="223" spans="1:28" ht="14.25">
      <c r="A223" s="84"/>
      <c r="B223" s="85"/>
      <c r="C223" s="85"/>
      <c r="D223" s="85"/>
      <c r="E223" s="504"/>
      <c r="F223" s="84"/>
      <c r="G223" s="84"/>
      <c r="H223" s="490"/>
      <c r="I223" s="490"/>
      <c r="J223" s="490"/>
      <c r="K223" s="490"/>
      <c r="L223" s="490"/>
      <c r="M223" s="84"/>
      <c r="N223" s="84"/>
      <c r="O223" s="84"/>
      <c r="P223" s="84"/>
      <c r="Q223" s="85"/>
      <c r="R223" s="84"/>
      <c r="S223" s="85"/>
      <c r="T223" s="84"/>
      <c r="U223" s="84"/>
      <c r="V223" s="84"/>
      <c r="W223" s="84"/>
      <c r="X223" s="84"/>
      <c r="Y223" s="84"/>
      <c r="Z223" s="84"/>
      <c r="AA223" s="84"/>
      <c r="AB223" s="84"/>
    </row>
    <row r="224" spans="1:28" ht="14.25">
      <c r="A224" s="84"/>
      <c r="B224" s="85"/>
      <c r="C224" s="85"/>
      <c r="D224" s="85"/>
      <c r="E224" s="504"/>
      <c r="F224" s="84"/>
      <c r="G224" s="84"/>
      <c r="H224" s="490"/>
      <c r="I224" s="490"/>
      <c r="J224" s="490"/>
      <c r="K224" s="490"/>
      <c r="L224" s="490"/>
      <c r="M224" s="84"/>
      <c r="N224" s="84"/>
      <c r="O224" s="84"/>
      <c r="P224" s="84"/>
      <c r="Q224" s="85"/>
      <c r="R224" s="84"/>
      <c r="S224" s="85"/>
      <c r="T224" s="84"/>
      <c r="U224" s="84"/>
      <c r="V224" s="84"/>
      <c r="W224" s="84"/>
      <c r="X224" s="84"/>
      <c r="Y224" s="84"/>
      <c r="Z224" s="84"/>
      <c r="AA224" s="84"/>
      <c r="AB224" s="84"/>
    </row>
    <row r="225" spans="1:28" ht="14.25">
      <c r="A225" s="84"/>
      <c r="B225" s="85"/>
      <c r="C225" s="85"/>
      <c r="D225" s="85"/>
      <c r="E225" s="504"/>
      <c r="F225" s="84"/>
      <c r="G225" s="84"/>
      <c r="H225" s="490"/>
      <c r="I225" s="490"/>
      <c r="J225" s="490"/>
      <c r="K225" s="490"/>
      <c r="L225" s="490"/>
      <c r="M225" s="84"/>
      <c r="N225" s="84"/>
      <c r="O225" s="84"/>
      <c r="P225" s="84"/>
      <c r="Q225" s="85"/>
      <c r="R225" s="84"/>
      <c r="S225" s="85"/>
      <c r="T225" s="84"/>
      <c r="U225" s="84"/>
      <c r="V225" s="84"/>
      <c r="W225" s="84"/>
      <c r="X225" s="84"/>
      <c r="Y225" s="84"/>
      <c r="Z225" s="84"/>
      <c r="AA225" s="84"/>
      <c r="AB225" s="84"/>
    </row>
    <row r="226" spans="1:28" ht="14.25">
      <c r="A226" s="84"/>
      <c r="B226" s="85"/>
      <c r="C226" s="85"/>
      <c r="D226" s="85"/>
      <c r="E226" s="504"/>
      <c r="F226" s="84"/>
      <c r="G226" s="84"/>
      <c r="H226" s="490"/>
      <c r="I226" s="490"/>
      <c r="J226" s="490"/>
      <c r="K226" s="490"/>
      <c r="L226" s="490"/>
      <c r="M226" s="84"/>
      <c r="N226" s="84"/>
      <c r="O226" s="84"/>
      <c r="P226" s="84"/>
      <c r="Q226" s="85"/>
      <c r="R226" s="84"/>
      <c r="S226" s="85"/>
      <c r="T226" s="84"/>
      <c r="U226" s="84"/>
      <c r="V226" s="84"/>
      <c r="W226" s="84"/>
      <c r="X226" s="84"/>
      <c r="Y226" s="84"/>
      <c r="Z226" s="84"/>
      <c r="AA226" s="84"/>
      <c r="AB226" s="84"/>
    </row>
    <row r="227" spans="1:28" ht="14.25">
      <c r="A227" s="84"/>
      <c r="B227" s="85"/>
      <c r="C227" s="85"/>
      <c r="D227" s="85"/>
      <c r="E227" s="504"/>
      <c r="F227" s="84"/>
      <c r="G227" s="84"/>
      <c r="H227" s="490"/>
      <c r="I227" s="490"/>
      <c r="J227" s="490"/>
      <c r="K227" s="490"/>
      <c r="L227" s="490"/>
      <c r="M227" s="84"/>
      <c r="N227" s="84"/>
      <c r="O227" s="84"/>
      <c r="P227" s="84"/>
      <c r="Q227" s="85"/>
      <c r="R227" s="84"/>
      <c r="S227" s="85"/>
      <c r="T227" s="84"/>
      <c r="U227" s="84"/>
      <c r="V227" s="84"/>
      <c r="W227" s="84"/>
      <c r="X227" s="84"/>
      <c r="Y227" s="84"/>
      <c r="Z227" s="84"/>
      <c r="AA227" s="84"/>
      <c r="AB227" s="84"/>
    </row>
    <row r="228" spans="1:28" ht="14.25">
      <c r="A228" s="84"/>
      <c r="B228" s="85"/>
      <c r="C228" s="85"/>
      <c r="D228" s="85"/>
      <c r="E228" s="504"/>
      <c r="F228" s="84"/>
      <c r="G228" s="84"/>
      <c r="H228" s="490"/>
      <c r="I228" s="490"/>
      <c r="J228" s="490"/>
      <c r="K228" s="490"/>
      <c r="L228" s="490"/>
      <c r="M228" s="84"/>
      <c r="N228" s="84"/>
      <c r="O228" s="84"/>
      <c r="P228" s="84"/>
      <c r="Q228" s="85"/>
      <c r="R228" s="84"/>
      <c r="S228" s="85"/>
      <c r="T228" s="84"/>
      <c r="U228" s="84"/>
      <c r="V228" s="84"/>
      <c r="W228" s="84"/>
      <c r="X228" s="84"/>
      <c r="Y228" s="84"/>
      <c r="Z228" s="84"/>
      <c r="AA228" s="84"/>
      <c r="AB228" s="84"/>
    </row>
    <row r="229" spans="1:28" ht="14.25">
      <c r="A229" s="84"/>
      <c r="B229" s="85"/>
      <c r="C229" s="85"/>
      <c r="D229" s="85"/>
      <c r="E229" s="504"/>
      <c r="F229" s="84"/>
      <c r="G229" s="84"/>
      <c r="H229" s="490"/>
      <c r="I229" s="490"/>
      <c r="J229" s="490"/>
      <c r="K229" s="490"/>
      <c r="L229" s="490"/>
      <c r="M229" s="84"/>
      <c r="N229" s="84"/>
      <c r="O229" s="84"/>
      <c r="P229" s="84"/>
      <c r="Q229" s="85"/>
      <c r="R229" s="84"/>
      <c r="S229" s="85"/>
      <c r="T229" s="84"/>
      <c r="U229" s="84"/>
      <c r="V229" s="84"/>
      <c r="W229" s="84"/>
      <c r="X229" s="84"/>
      <c r="Y229" s="84"/>
      <c r="Z229" s="84"/>
      <c r="AA229" s="84"/>
      <c r="AB229" s="84"/>
    </row>
    <row r="230" spans="1:28" ht="14.25">
      <c r="A230" s="84"/>
      <c r="B230" s="85"/>
      <c r="C230" s="85"/>
      <c r="D230" s="85"/>
      <c r="E230" s="504"/>
      <c r="F230" s="84"/>
      <c r="G230" s="84"/>
      <c r="H230" s="490"/>
      <c r="I230" s="490"/>
      <c r="J230" s="490"/>
      <c r="K230" s="490"/>
      <c r="L230" s="490"/>
      <c r="M230" s="84"/>
      <c r="N230" s="84"/>
      <c r="O230" s="84"/>
      <c r="P230" s="84"/>
      <c r="Q230" s="85"/>
      <c r="R230" s="84"/>
      <c r="S230" s="85"/>
      <c r="T230" s="84"/>
      <c r="U230" s="84"/>
      <c r="V230" s="84"/>
      <c r="W230" s="84"/>
      <c r="X230" s="84"/>
      <c r="Y230" s="84"/>
      <c r="Z230" s="84"/>
      <c r="AA230" s="84"/>
      <c r="AB230" s="84"/>
    </row>
    <row r="231" spans="1:28" ht="14.25">
      <c r="A231" s="84"/>
      <c r="B231" s="85"/>
      <c r="C231" s="85"/>
      <c r="D231" s="85"/>
      <c r="E231" s="504"/>
      <c r="F231" s="84"/>
      <c r="G231" s="84"/>
      <c r="H231" s="490"/>
      <c r="I231" s="490"/>
      <c r="J231" s="490"/>
      <c r="K231" s="490"/>
      <c r="L231" s="490"/>
      <c r="M231" s="84"/>
      <c r="N231" s="84"/>
      <c r="O231" s="84"/>
      <c r="P231" s="84"/>
      <c r="Q231" s="85"/>
      <c r="R231" s="84"/>
      <c r="S231" s="85"/>
      <c r="T231" s="84"/>
      <c r="U231" s="84"/>
      <c r="V231" s="84"/>
      <c r="W231" s="84"/>
      <c r="X231" s="84"/>
      <c r="Y231" s="84"/>
      <c r="Z231" s="84"/>
      <c r="AA231" s="84"/>
      <c r="AB231" s="84"/>
    </row>
    <row r="232" spans="1:28" ht="14.25">
      <c r="A232" s="84"/>
      <c r="B232" s="85"/>
      <c r="C232" s="85"/>
      <c r="D232" s="85"/>
      <c r="E232" s="504"/>
      <c r="F232" s="84"/>
      <c r="G232" s="84"/>
      <c r="H232" s="490"/>
      <c r="I232" s="490"/>
      <c r="J232" s="490"/>
      <c r="K232" s="490"/>
      <c r="L232" s="490"/>
      <c r="M232" s="84"/>
      <c r="N232" s="84"/>
      <c r="O232" s="84"/>
      <c r="P232" s="84"/>
      <c r="Q232" s="85"/>
      <c r="R232" s="84"/>
      <c r="S232" s="85"/>
      <c r="T232" s="84"/>
      <c r="U232" s="84"/>
      <c r="V232" s="84"/>
      <c r="W232" s="84"/>
      <c r="X232" s="84"/>
      <c r="Y232" s="84"/>
      <c r="Z232" s="84"/>
      <c r="AA232" s="84"/>
      <c r="AB232" s="84"/>
    </row>
    <row r="233" spans="1:28" ht="14.25">
      <c r="A233" s="84"/>
      <c r="B233" s="85"/>
      <c r="C233" s="85"/>
      <c r="D233" s="85"/>
      <c r="E233" s="504"/>
      <c r="F233" s="84"/>
      <c r="G233" s="84"/>
      <c r="H233" s="490"/>
      <c r="I233" s="490"/>
      <c r="J233" s="490"/>
      <c r="K233" s="490"/>
      <c r="L233" s="490"/>
      <c r="M233" s="84"/>
      <c r="N233" s="84"/>
      <c r="O233" s="84"/>
      <c r="P233" s="84"/>
      <c r="Q233" s="85"/>
      <c r="R233" s="84"/>
      <c r="S233" s="85"/>
      <c r="T233" s="84"/>
      <c r="U233" s="84"/>
      <c r="V233" s="84"/>
      <c r="W233" s="84"/>
      <c r="X233" s="84"/>
      <c r="Y233" s="84"/>
      <c r="Z233" s="84"/>
      <c r="AA233" s="84"/>
      <c r="AB233" s="84"/>
    </row>
    <row r="234" spans="1:28" ht="14.25">
      <c r="A234" s="84"/>
      <c r="B234" s="85"/>
      <c r="C234" s="85"/>
      <c r="D234" s="85"/>
      <c r="E234" s="504"/>
      <c r="F234" s="84"/>
      <c r="G234" s="84"/>
      <c r="H234" s="490"/>
      <c r="I234" s="490"/>
      <c r="J234" s="490"/>
      <c r="K234" s="490"/>
      <c r="L234" s="490"/>
      <c r="M234" s="84"/>
      <c r="N234" s="84"/>
      <c r="O234" s="84"/>
      <c r="P234" s="84"/>
      <c r="Q234" s="85"/>
      <c r="R234" s="84"/>
      <c r="S234" s="85"/>
      <c r="T234" s="84"/>
      <c r="U234" s="84"/>
      <c r="V234" s="84"/>
      <c r="W234" s="84"/>
      <c r="X234" s="84"/>
      <c r="Y234" s="84"/>
      <c r="Z234" s="84"/>
      <c r="AA234" s="84"/>
      <c r="AB234" s="84"/>
    </row>
    <row r="235" spans="1:28" ht="14.25">
      <c r="A235" s="84"/>
      <c r="B235" s="85"/>
      <c r="C235" s="85"/>
      <c r="D235" s="85"/>
      <c r="E235" s="504"/>
      <c r="F235" s="84"/>
      <c r="G235" s="84"/>
      <c r="H235" s="490"/>
      <c r="I235" s="490"/>
      <c r="J235" s="490"/>
      <c r="K235" s="490"/>
      <c r="L235" s="490"/>
      <c r="M235" s="84"/>
      <c r="N235" s="84"/>
      <c r="O235" s="84"/>
      <c r="P235" s="84"/>
      <c r="Q235" s="85"/>
      <c r="R235" s="84"/>
      <c r="S235" s="85"/>
      <c r="T235" s="84"/>
      <c r="U235" s="84"/>
      <c r="V235" s="84"/>
      <c r="W235" s="84"/>
      <c r="X235" s="84"/>
      <c r="Y235" s="84"/>
      <c r="Z235" s="84"/>
      <c r="AA235" s="84"/>
      <c r="AB235" s="84"/>
    </row>
    <row r="236" spans="1:28" ht="14.25">
      <c r="A236" s="84"/>
      <c r="B236" s="85"/>
      <c r="C236" s="85"/>
      <c r="D236" s="85"/>
      <c r="E236" s="504"/>
      <c r="F236" s="84"/>
      <c r="G236" s="84"/>
      <c r="H236" s="490"/>
      <c r="I236" s="490"/>
      <c r="J236" s="490"/>
      <c r="K236" s="490"/>
      <c r="L236" s="490"/>
      <c r="M236" s="84"/>
      <c r="N236" s="84"/>
      <c r="O236" s="84"/>
      <c r="P236" s="84"/>
      <c r="Q236" s="85"/>
      <c r="R236" s="84"/>
      <c r="S236" s="85"/>
      <c r="T236" s="84"/>
      <c r="U236" s="84"/>
      <c r="V236" s="84"/>
      <c r="W236" s="84"/>
      <c r="X236" s="84"/>
      <c r="Y236" s="84"/>
      <c r="Z236" s="84"/>
      <c r="AA236" s="84"/>
      <c r="AB236" s="84"/>
    </row>
    <row r="237" spans="1:28" ht="14.25">
      <c r="A237" s="84"/>
      <c r="B237" s="85"/>
      <c r="C237" s="85"/>
      <c r="D237" s="85"/>
      <c r="E237" s="504"/>
      <c r="F237" s="84"/>
      <c r="G237" s="84"/>
      <c r="H237" s="490"/>
      <c r="I237" s="490"/>
      <c r="J237" s="490"/>
      <c r="K237" s="490"/>
      <c r="L237" s="490"/>
      <c r="M237" s="84"/>
      <c r="N237" s="84"/>
      <c r="O237" s="84"/>
      <c r="P237" s="84"/>
      <c r="Q237" s="85"/>
      <c r="R237" s="84"/>
      <c r="S237" s="85"/>
      <c r="T237" s="84"/>
      <c r="U237" s="84"/>
      <c r="V237" s="84"/>
      <c r="W237" s="84"/>
      <c r="X237" s="84"/>
      <c r="Y237" s="84"/>
      <c r="Z237" s="84"/>
      <c r="AA237" s="84"/>
      <c r="AB237" s="84"/>
    </row>
    <row r="238" spans="1:28" ht="14.25">
      <c r="A238" s="84"/>
      <c r="B238" s="85"/>
      <c r="C238" s="85"/>
      <c r="D238" s="85"/>
      <c r="E238" s="504"/>
      <c r="F238" s="84"/>
      <c r="G238" s="84"/>
      <c r="H238" s="490"/>
      <c r="I238" s="490"/>
      <c r="J238" s="490"/>
      <c r="K238" s="490"/>
      <c r="L238" s="490"/>
      <c r="M238" s="84"/>
      <c r="N238" s="84"/>
      <c r="O238" s="84"/>
      <c r="P238" s="84"/>
      <c r="Q238" s="85"/>
      <c r="R238" s="84"/>
      <c r="S238" s="85"/>
      <c r="T238" s="84"/>
      <c r="U238" s="84"/>
      <c r="V238" s="84"/>
      <c r="W238" s="84"/>
      <c r="X238" s="84"/>
      <c r="Y238" s="84"/>
      <c r="Z238" s="84"/>
      <c r="AA238" s="84"/>
      <c r="AB238" s="84"/>
    </row>
    <row r="239" spans="1:28" ht="14.25">
      <c r="A239" s="84"/>
      <c r="B239" s="85"/>
      <c r="C239" s="85"/>
      <c r="D239" s="85"/>
      <c r="E239" s="504"/>
      <c r="F239" s="84"/>
      <c r="G239" s="84"/>
      <c r="H239" s="490"/>
      <c r="I239" s="490"/>
      <c r="J239" s="490"/>
      <c r="K239" s="490"/>
      <c r="L239" s="490"/>
      <c r="M239" s="84"/>
      <c r="N239" s="84"/>
      <c r="O239" s="84"/>
      <c r="P239" s="84"/>
      <c r="Q239" s="85"/>
      <c r="R239" s="84"/>
      <c r="S239" s="85"/>
      <c r="T239" s="84"/>
      <c r="U239" s="84"/>
      <c r="V239" s="84"/>
      <c r="W239" s="84"/>
      <c r="X239" s="84"/>
      <c r="Y239" s="84"/>
      <c r="Z239" s="84"/>
      <c r="AA239" s="84"/>
      <c r="AB239" s="84"/>
    </row>
    <row r="240" spans="1:28" ht="14.25">
      <c r="A240" s="84"/>
      <c r="B240" s="85"/>
      <c r="C240" s="85"/>
      <c r="D240" s="85"/>
      <c r="E240" s="504"/>
      <c r="F240" s="84"/>
      <c r="G240" s="84"/>
      <c r="H240" s="490"/>
      <c r="I240" s="490"/>
      <c r="J240" s="490"/>
      <c r="K240" s="490"/>
      <c r="L240" s="490"/>
      <c r="M240" s="84"/>
      <c r="N240" s="84"/>
      <c r="O240" s="84"/>
      <c r="P240" s="84"/>
      <c r="Q240" s="85"/>
      <c r="R240" s="84"/>
      <c r="S240" s="85"/>
      <c r="T240" s="84"/>
      <c r="U240" s="84"/>
      <c r="V240" s="84"/>
      <c r="W240" s="84"/>
      <c r="X240" s="84"/>
      <c r="Y240" s="84"/>
      <c r="Z240" s="84"/>
      <c r="AA240" s="84"/>
      <c r="AB240" s="84"/>
    </row>
    <row r="241" spans="1:28" ht="14.25">
      <c r="A241" s="84"/>
      <c r="B241" s="85"/>
      <c r="C241" s="85"/>
      <c r="D241" s="85"/>
      <c r="E241" s="504"/>
      <c r="F241" s="84"/>
      <c r="G241" s="84"/>
      <c r="H241" s="490"/>
      <c r="I241" s="490"/>
      <c r="J241" s="490"/>
      <c r="K241" s="490"/>
      <c r="L241" s="490"/>
      <c r="M241" s="84"/>
      <c r="N241" s="84"/>
      <c r="O241" s="84"/>
      <c r="P241" s="84"/>
      <c r="Q241" s="85"/>
      <c r="R241" s="84"/>
      <c r="S241" s="85"/>
      <c r="T241" s="84"/>
      <c r="U241" s="84"/>
      <c r="V241" s="84"/>
      <c r="W241" s="84"/>
      <c r="X241" s="84"/>
      <c r="Y241" s="84"/>
      <c r="Z241" s="84"/>
      <c r="AA241" s="84"/>
      <c r="AB241" s="84"/>
    </row>
    <row r="242" spans="1:28" ht="14.25">
      <c r="A242" s="84"/>
      <c r="B242" s="85"/>
      <c r="C242" s="85"/>
      <c r="D242" s="85"/>
      <c r="E242" s="504"/>
      <c r="F242" s="84"/>
      <c r="G242" s="84"/>
      <c r="H242" s="490"/>
      <c r="I242" s="490"/>
      <c r="J242" s="490"/>
      <c r="K242" s="490"/>
      <c r="L242" s="490"/>
      <c r="M242" s="84"/>
      <c r="N242" s="84"/>
      <c r="O242" s="84"/>
      <c r="P242" s="84"/>
      <c r="Q242" s="85"/>
      <c r="R242" s="84"/>
      <c r="S242" s="85"/>
      <c r="T242" s="84"/>
      <c r="U242" s="84"/>
      <c r="V242" s="84"/>
      <c r="W242" s="84"/>
      <c r="X242" s="84"/>
      <c r="Y242" s="84"/>
      <c r="Z242" s="84"/>
      <c r="AA242" s="84"/>
      <c r="AB242" s="84"/>
    </row>
    <row r="243" spans="1:28" ht="14.25">
      <c r="A243" s="84"/>
      <c r="B243" s="85"/>
      <c r="C243" s="85"/>
      <c r="D243" s="85"/>
      <c r="E243" s="504"/>
      <c r="F243" s="84"/>
      <c r="G243" s="84"/>
      <c r="H243" s="490"/>
      <c r="I243" s="490"/>
      <c r="J243" s="490"/>
      <c r="K243" s="490"/>
      <c r="L243" s="490"/>
      <c r="M243" s="84"/>
      <c r="N243" s="84"/>
      <c r="O243" s="84"/>
      <c r="P243" s="84"/>
      <c r="Q243" s="85"/>
      <c r="R243" s="84"/>
      <c r="S243" s="85"/>
      <c r="T243" s="84"/>
      <c r="U243" s="84"/>
      <c r="V243" s="84"/>
      <c r="W243" s="84"/>
      <c r="X243" s="84"/>
      <c r="Y243" s="84"/>
      <c r="Z243" s="84"/>
      <c r="AA243" s="84"/>
      <c r="AB243" s="84"/>
    </row>
    <row r="244" spans="1:28" ht="14.25">
      <c r="A244" s="84"/>
      <c r="B244" s="85"/>
      <c r="C244" s="85"/>
      <c r="D244" s="85"/>
      <c r="E244" s="504"/>
      <c r="F244" s="84"/>
      <c r="G244" s="84"/>
      <c r="H244" s="490"/>
      <c r="I244" s="490"/>
      <c r="J244" s="490"/>
      <c r="K244" s="490"/>
      <c r="L244" s="490"/>
      <c r="M244" s="84"/>
      <c r="N244" s="84"/>
      <c r="O244" s="84"/>
      <c r="P244" s="84"/>
      <c r="Q244" s="85"/>
      <c r="R244" s="84"/>
      <c r="S244" s="85"/>
      <c r="T244" s="84"/>
      <c r="U244" s="84"/>
      <c r="V244" s="84"/>
      <c r="W244" s="84"/>
      <c r="X244" s="84"/>
      <c r="Y244" s="84"/>
      <c r="Z244" s="84"/>
      <c r="AA244" s="84"/>
      <c r="AB244" s="84"/>
    </row>
    <row r="245" spans="1:28" ht="14.25">
      <c r="A245" s="84"/>
      <c r="B245" s="85"/>
      <c r="C245" s="85"/>
      <c r="D245" s="85"/>
      <c r="E245" s="504"/>
      <c r="F245" s="84"/>
      <c r="G245" s="84"/>
      <c r="H245" s="490"/>
      <c r="I245" s="490"/>
      <c r="J245" s="490"/>
      <c r="K245" s="490"/>
      <c r="L245" s="490"/>
      <c r="M245" s="84"/>
      <c r="N245" s="84"/>
      <c r="O245" s="84"/>
      <c r="P245" s="84"/>
      <c r="Q245" s="85"/>
      <c r="R245" s="84"/>
      <c r="S245" s="85"/>
      <c r="T245" s="84"/>
      <c r="U245" s="84"/>
      <c r="V245" s="84"/>
      <c r="W245" s="84"/>
      <c r="X245" s="84"/>
      <c r="Y245" s="84"/>
      <c r="Z245" s="84"/>
      <c r="AA245" s="84"/>
      <c r="AB245" s="84"/>
    </row>
    <row r="246" spans="1:28" ht="14.25">
      <c r="A246" s="84"/>
      <c r="B246" s="85"/>
      <c r="C246" s="85"/>
      <c r="D246" s="85"/>
      <c r="E246" s="504"/>
      <c r="F246" s="84"/>
      <c r="G246" s="84"/>
      <c r="H246" s="490"/>
      <c r="I246" s="490"/>
      <c r="J246" s="490"/>
      <c r="K246" s="490"/>
      <c r="L246" s="490"/>
      <c r="M246" s="84"/>
      <c r="N246" s="84"/>
      <c r="O246" s="84"/>
      <c r="P246" s="84"/>
      <c r="Q246" s="85"/>
      <c r="R246" s="84"/>
      <c r="S246" s="85"/>
      <c r="T246" s="84"/>
      <c r="U246" s="84"/>
      <c r="V246" s="84"/>
      <c r="W246" s="84"/>
      <c r="X246" s="84"/>
      <c r="Y246" s="84"/>
      <c r="Z246" s="84"/>
      <c r="AA246" s="84"/>
      <c r="AB246" s="84"/>
    </row>
    <row r="247" spans="1:28" ht="14.25">
      <c r="A247" s="84"/>
      <c r="B247" s="85"/>
      <c r="C247" s="85"/>
      <c r="D247" s="85"/>
      <c r="E247" s="504"/>
      <c r="F247" s="84"/>
      <c r="G247" s="84"/>
      <c r="H247" s="490"/>
      <c r="I247" s="490"/>
      <c r="J247" s="490"/>
      <c r="K247" s="490"/>
      <c r="L247" s="490"/>
      <c r="M247" s="84"/>
      <c r="N247" s="84"/>
      <c r="O247" s="84"/>
      <c r="P247" s="84"/>
      <c r="Q247" s="85"/>
      <c r="R247" s="84"/>
      <c r="S247" s="85"/>
      <c r="T247" s="84"/>
      <c r="U247" s="84"/>
      <c r="V247" s="84"/>
      <c r="W247" s="84"/>
      <c r="X247" s="84"/>
      <c r="Y247" s="84"/>
      <c r="Z247" s="84"/>
      <c r="AA247" s="84"/>
      <c r="AB247" s="84"/>
    </row>
    <row r="248" spans="1:28" ht="14.25">
      <c r="A248" s="84"/>
      <c r="B248" s="85"/>
      <c r="C248" s="85"/>
      <c r="D248" s="85"/>
      <c r="E248" s="504"/>
      <c r="F248" s="84"/>
      <c r="G248" s="84"/>
      <c r="H248" s="490"/>
      <c r="I248" s="490"/>
      <c r="J248" s="490"/>
      <c r="K248" s="490"/>
      <c r="L248" s="490"/>
      <c r="M248" s="84"/>
      <c r="N248" s="84"/>
      <c r="O248" s="84"/>
      <c r="P248" s="84"/>
      <c r="Q248" s="85"/>
      <c r="R248" s="84"/>
      <c r="S248" s="85"/>
      <c r="T248" s="84"/>
      <c r="U248" s="84"/>
      <c r="V248" s="84"/>
      <c r="W248" s="84"/>
      <c r="X248" s="84"/>
      <c r="Y248" s="84"/>
      <c r="Z248" s="84"/>
      <c r="AA248" s="84"/>
      <c r="AB248" s="84"/>
    </row>
    <row r="249" spans="1:28" ht="14.25">
      <c r="A249" s="84"/>
      <c r="B249" s="85"/>
      <c r="C249" s="85"/>
      <c r="D249" s="85"/>
      <c r="E249" s="504"/>
      <c r="F249" s="84"/>
      <c r="G249" s="84"/>
      <c r="H249" s="490"/>
      <c r="I249" s="490"/>
      <c r="J249" s="490"/>
      <c r="K249" s="490"/>
      <c r="L249" s="490"/>
      <c r="M249" s="84"/>
      <c r="N249" s="84"/>
      <c r="O249" s="84"/>
      <c r="P249" s="84"/>
      <c r="Q249" s="85"/>
      <c r="R249" s="84"/>
      <c r="S249" s="85"/>
      <c r="T249" s="84"/>
      <c r="U249" s="84"/>
      <c r="V249" s="84"/>
      <c r="W249" s="84"/>
      <c r="X249" s="84"/>
      <c r="Y249" s="84"/>
      <c r="Z249" s="84"/>
      <c r="AA249" s="84"/>
      <c r="AB249" s="84"/>
    </row>
    <row r="250" spans="1:28" ht="14.25">
      <c r="A250" s="84"/>
      <c r="B250" s="85"/>
      <c r="C250" s="85"/>
      <c r="D250" s="85"/>
      <c r="E250" s="504"/>
      <c r="F250" s="84"/>
      <c r="G250" s="84"/>
      <c r="H250" s="490"/>
      <c r="I250" s="490"/>
      <c r="J250" s="490"/>
      <c r="K250" s="490"/>
      <c r="L250" s="490"/>
      <c r="M250" s="84"/>
      <c r="N250" s="84"/>
      <c r="O250" s="84"/>
      <c r="P250" s="84"/>
      <c r="Q250" s="85"/>
      <c r="R250" s="84"/>
      <c r="S250" s="85"/>
      <c r="T250" s="84"/>
      <c r="U250" s="84"/>
      <c r="V250" s="84"/>
      <c r="W250" s="84"/>
      <c r="X250" s="84"/>
      <c r="Y250" s="84"/>
      <c r="Z250" s="84"/>
      <c r="AA250" s="84"/>
      <c r="AB250" s="84"/>
    </row>
    <row r="251" spans="1:28" ht="14.25">
      <c r="A251" s="84"/>
      <c r="B251" s="85"/>
      <c r="C251" s="85"/>
      <c r="D251" s="85"/>
      <c r="E251" s="504"/>
      <c r="F251" s="84"/>
      <c r="G251" s="84"/>
      <c r="H251" s="490"/>
      <c r="I251" s="490"/>
      <c r="J251" s="490"/>
      <c r="K251" s="490"/>
      <c r="L251" s="490"/>
      <c r="M251" s="84"/>
      <c r="N251" s="84"/>
      <c r="O251" s="84"/>
      <c r="P251" s="84"/>
      <c r="Q251" s="85"/>
      <c r="R251" s="84"/>
      <c r="S251" s="85"/>
      <c r="T251" s="84"/>
      <c r="U251" s="84"/>
      <c r="V251" s="84"/>
      <c r="W251" s="84"/>
      <c r="X251" s="84"/>
      <c r="Y251" s="84"/>
      <c r="Z251" s="84"/>
      <c r="AA251" s="84"/>
      <c r="AB251" s="84"/>
    </row>
    <row r="252" spans="1:28" ht="14.25">
      <c r="A252" s="84"/>
      <c r="B252" s="85"/>
      <c r="C252" s="85"/>
      <c r="D252" s="85"/>
      <c r="E252" s="504"/>
      <c r="F252" s="84"/>
      <c r="G252" s="84"/>
      <c r="H252" s="490"/>
      <c r="I252" s="490"/>
      <c r="J252" s="490"/>
      <c r="K252" s="490"/>
      <c r="L252" s="490"/>
      <c r="M252" s="84"/>
      <c r="N252" s="84"/>
      <c r="O252" s="84"/>
      <c r="P252" s="84"/>
      <c r="Q252" s="85"/>
      <c r="R252" s="84"/>
      <c r="S252" s="85"/>
      <c r="T252" s="84"/>
      <c r="U252" s="84"/>
      <c r="V252" s="84"/>
      <c r="W252" s="84"/>
      <c r="X252" s="84"/>
      <c r="Y252" s="84"/>
      <c r="Z252" s="84"/>
      <c r="AA252" s="84"/>
      <c r="AB252" s="84"/>
    </row>
    <row r="253" spans="1:28" ht="14.25">
      <c r="A253" s="84"/>
      <c r="B253" s="85"/>
      <c r="C253" s="85"/>
      <c r="D253" s="85"/>
      <c r="E253" s="504"/>
      <c r="F253" s="84"/>
      <c r="G253" s="84"/>
      <c r="H253" s="490"/>
      <c r="I253" s="490"/>
      <c r="J253" s="490"/>
      <c r="K253" s="490"/>
      <c r="L253" s="490"/>
      <c r="M253" s="84"/>
      <c r="N253" s="84"/>
      <c r="O253" s="84"/>
      <c r="P253" s="84"/>
      <c r="Q253" s="85"/>
      <c r="R253" s="84"/>
      <c r="S253" s="85"/>
      <c r="T253" s="84"/>
      <c r="U253" s="84"/>
      <c r="V253" s="84"/>
      <c r="W253" s="84"/>
      <c r="X253" s="84"/>
      <c r="Y253" s="84"/>
      <c r="Z253" s="84"/>
      <c r="AA253" s="84"/>
      <c r="AB253" s="84"/>
    </row>
    <row r="254" spans="1:28" ht="14.25">
      <c r="A254" s="84"/>
      <c r="B254" s="85"/>
      <c r="C254" s="85"/>
      <c r="D254" s="85"/>
      <c r="E254" s="504"/>
      <c r="F254" s="84"/>
      <c r="G254" s="84"/>
      <c r="H254" s="490"/>
      <c r="I254" s="490"/>
      <c r="J254" s="490"/>
      <c r="K254" s="490"/>
      <c r="L254" s="490"/>
      <c r="M254" s="84"/>
      <c r="N254" s="84"/>
      <c r="O254" s="84"/>
      <c r="P254" s="84"/>
      <c r="Q254" s="85"/>
      <c r="R254" s="84"/>
      <c r="S254" s="85"/>
      <c r="T254" s="84"/>
      <c r="U254" s="84"/>
      <c r="V254" s="84"/>
      <c r="W254" s="84"/>
      <c r="X254" s="84"/>
      <c r="Y254" s="84"/>
      <c r="Z254" s="84"/>
      <c r="AA254" s="84"/>
      <c r="AB254" s="84"/>
    </row>
    <row r="255" spans="1:28" ht="14.25">
      <c r="A255" s="84"/>
      <c r="B255" s="85"/>
      <c r="C255" s="85"/>
      <c r="D255" s="85"/>
      <c r="E255" s="504"/>
      <c r="F255" s="84"/>
      <c r="G255" s="84"/>
      <c r="H255" s="490"/>
      <c r="I255" s="490"/>
      <c r="J255" s="490"/>
      <c r="K255" s="490"/>
      <c r="L255" s="490"/>
      <c r="M255" s="84"/>
      <c r="N255" s="84"/>
      <c r="O255" s="84"/>
      <c r="P255" s="84"/>
      <c r="Q255" s="85"/>
      <c r="R255" s="84"/>
      <c r="S255" s="85"/>
      <c r="T255" s="84"/>
      <c r="U255" s="84"/>
      <c r="V255" s="84"/>
      <c r="W255" s="84"/>
      <c r="X255" s="84"/>
      <c r="Y255" s="84"/>
      <c r="Z255" s="84"/>
      <c r="AA255" s="84"/>
      <c r="AB255" s="84"/>
    </row>
    <row r="256" spans="1:28" ht="14.25">
      <c r="A256" s="84"/>
      <c r="B256" s="85"/>
      <c r="C256" s="85"/>
      <c r="D256" s="85"/>
      <c r="E256" s="504"/>
      <c r="F256" s="84"/>
      <c r="G256" s="84"/>
      <c r="H256" s="490"/>
      <c r="I256" s="490"/>
      <c r="J256" s="490"/>
      <c r="K256" s="490"/>
      <c r="L256" s="490"/>
      <c r="M256" s="84"/>
      <c r="N256" s="84"/>
      <c r="O256" s="84"/>
      <c r="P256" s="84"/>
      <c r="Q256" s="85"/>
      <c r="R256" s="84"/>
      <c r="S256" s="85"/>
      <c r="T256" s="84"/>
      <c r="U256" s="84"/>
      <c r="V256" s="84"/>
      <c r="W256" s="84"/>
      <c r="X256" s="84"/>
      <c r="Y256" s="84"/>
      <c r="Z256" s="84"/>
      <c r="AA256" s="84"/>
      <c r="AB256" s="84"/>
    </row>
    <row r="257" spans="1:28" ht="14.25">
      <c r="A257" s="84"/>
      <c r="B257" s="85"/>
      <c r="C257" s="85"/>
      <c r="D257" s="85"/>
      <c r="E257" s="504"/>
      <c r="F257" s="84"/>
      <c r="G257" s="84"/>
      <c r="H257" s="490"/>
      <c r="I257" s="490"/>
      <c r="J257" s="490"/>
      <c r="K257" s="490"/>
      <c r="L257" s="490"/>
      <c r="M257" s="84"/>
      <c r="N257" s="84"/>
      <c r="O257" s="84"/>
      <c r="P257" s="84"/>
      <c r="Q257" s="85"/>
      <c r="R257" s="84"/>
      <c r="S257" s="85"/>
      <c r="T257" s="84"/>
      <c r="U257" s="84"/>
      <c r="V257" s="84"/>
      <c r="W257" s="84"/>
      <c r="X257" s="84"/>
      <c r="Y257" s="84"/>
      <c r="Z257" s="84"/>
      <c r="AA257" s="84"/>
      <c r="AB257" s="84"/>
    </row>
    <row r="258" spans="1:28" ht="14.25">
      <c r="A258" s="84"/>
      <c r="B258" s="85"/>
      <c r="C258" s="85"/>
      <c r="D258" s="85"/>
      <c r="E258" s="504"/>
      <c r="F258" s="84"/>
      <c r="G258" s="84"/>
      <c r="H258" s="490"/>
      <c r="I258" s="490"/>
      <c r="J258" s="490"/>
      <c r="K258" s="490"/>
      <c r="L258" s="490"/>
      <c r="M258" s="84"/>
      <c r="N258" s="84"/>
      <c r="O258" s="84"/>
      <c r="P258" s="84"/>
      <c r="Q258" s="85"/>
      <c r="R258" s="84"/>
      <c r="S258" s="85"/>
      <c r="T258" s="84"/>
      <c r="U258" s="84"/>
      <c r="V258" s="84"/>
      <c r="W258" s="84"/>
      <c r="X258" s="84"/>
      <c r="Y258" s="84"/>
      <c r="Z258" s="84"/>
      <c r="AA258" s="84"/>
      <c r="AB258" s="84"/>
    </row>
    <row r="259" spans="1:28" ht="14.25">
      <c r="A259" s="84"/>
      <c r="B259" s="85"/>
      <c r="C259" s="85"/>
      <c r="D259" s="85"/>
      <c r="E259" s="504"/>
      <c r="F259" s="84"/>
      <c r="G259" s="84"/>
      <c r="H259" s="490"/>
      <c r="I259" s="490"/>
      <c r="J259" s="490"/>
      <c r="K259" s="490"/>
      <c r="L259" s="490"/>
      <c r="M259" s="84"/>
      <c r="N259" s="84"/>
      <c r="O259" s="84"/>
      <c r="P259" s="84"/>
      <c r="Q259" s="85"/>
      <c r="R259" s="84"/>
      <c r="S259" s="85"/>
      <c r="T259" s="84"/>
      <c r="U259" s="84"/>
      <c r="V259" s="84"/>
      <c r="W259" s="84"/>
      <c r="X259" s="84"/>
      <c r="Y259" s="84"/>
      <c r="Z259" s="84"/>
      <c r="AA259" s="84"/>
      <c r="AB259" s="84"/>
    </row>
    <row r="260" spans="1:28" ht="14.25">
      <c r="A260" s="84"/>
      <c r="B260" s="85"/>
      <c r="C260" s="85"/>
      <c r="D260" s="85"/>
      <c r="E260" s="504"/>
      <c r="F260" s="84"/>
      <c r="G260" s="84"/>
      <c r="H260" s="490"/>
      <c r="I260" s="490"/>
      <c r="J260" s="490"/>
      <c r="K260" s="490"/>
      <c r="L260" s="490"/>
      <c r="M260" s="84"/>
      <c r="N260" s="84"/>
      <c r="O260" s="84"/>
      <c r="P260" s="84"/>
      <c r="Q260" s="85"/>
      <c r="R260" s="84"/>
      <c r="S260" s="85"/>
      <c r="T260" s="84"/>
      <c r="U260" s="84"/>
      <c r="V260" s="84"/>
      <c r="W260" s="84"/>
      <c r="X260" s="84"/>
      <c r="Y260" s="84"/>
      <c r="Z260" s="84"/>
      <c r="AA260" s="84"/>
      <c r="AB260" s="84"/>
    </row>
    <row r="261" spans="1:28" ht="14.25">
      <c r="A261" s="84"/>
      <c r="B261" s="85"/>
      <c r="C261" s="85"/>
      <c r="D261" s="85"/>
      <c r="E261" s="504"/>
      <c r="F261" s="84"/>
      <c r="G261" s="84"/>
      <c r="H261" s="490"/>
      <c r="I261" s="490"/>
      <c r="J261" s="490"/>
      <c r="K261" s="490"/>
      <c r="L261" s="490"/>
      <c r="M261" s="84"/>
      <c r="N261" s="84"/>
      <c r="O261" s="84"/>
      <c r="P261" s="84"/>
      <c r="Q261" s="85"/>
      <c r="R261" s="84"/>
      <c r="S261" s="85"/>
      <c r="T261" s="84"/>
      <c r="U261" s="84"/>
      <c r="V261" s="84"/>
      <c r="W261" s="84"/>
      <c r="X261" s="84"/>
      <c r="Y261" s="84"/>
      <c r="Z261" s="84"/>
      <c r="AA261" s="84"/>
      <c r="AB261" s="84"/>
    </row>
    <row r="262" spans="1:28" ht="14.25">
      <c r="A262" s="84"/>
      <c r="B262" s="85"/>
      <c r="C262" s="85"/>
      <c r="D262" s="85"/>
      <c r="E262" s="504"/>
      <c r="F262" s="84"/>
      <c r="G262" s="84"/>
      <c r="H262" s="490"/>
      <c r="I262" s="490"/>
      <c r="J262" s="490"/>
      <c r="K262" s="490"/>
      <c r="L262" s="490"/>
      <c r="M262" s="84"/>
      <c r="N262" s="84"/>
      <c r="O262" s="84"/>
      <c r="P262" s="84"/>
      <c r="Q262" s="85"/>
      <c r="R262" s="84"/>
      <c r="S262" s="85"/>
      <c r="T262" s="84"/>
      <c r="U262" s="84"/>
      <c r="V262" s="84"/>
      <c r="W262" s="84"/>
      <c r="X262" s="84"/>
      <c r="Y262" s="84"/>
      <c r="Z262" s="84"/>
      <c r="AA262" s="84"/>
      <c r="AB262" s="84"/>
    </row>
    <row r="263" spans="1:28" ht="14.25">
      <c r="A263" s="84"/>
      <c r="B263" s="85"/>
      <c r="C263" s="85"/>
      <c r="D263" s="85"/>
      <c r="E263" s="504"/>
      <c r="F263" s="84"/>
      <c r="G263" s="84"/>
      <c r="H263" s="490"/>
      <c r="I263" s="490"/>
      <c r="J263" s="490"/>
      <c r="K263" s="490"/>
      <c r="L263" s="490"/>
      <c r="M263" s="84"/>
      <c r="N263" s="84"/>
      <c r="O263" s="84"/>
      <c r="P263" s="84"/>
      <c r="Q263" s="85"/>
      <c r="R263" s="84"/>
      <c r="S263" s="85"/>
      <c r="T263" s="84"/>
      <c r="U263" s="84"/>
      <c r="V263" s="84"/>
      <c r="W263" s="84"/>
      <c r="X263" s="84"/>
      <c r="Y263" s="84"/>
      <c r="Z263" s="84"/>
      <c r="AA263" s="84"/>
      <c r="AB263" s="84"/>
    </row>
    <row r="264" spans="1:28" ht="14.25">
      <c r="A264" s="84"/>
      <c r="B264" s="85"/>
      <c r="C264" s="85"/>
      <c r="D264" s="85"/>
      <c r="E264" s="504"/>
      <c r="F264" s="84"/>
      <c r="G264" s="84"/>
      <c r="H264" s="490"/>
      <c r="I264" s="490"/>
      <c r="J264" s="490"/>
      <c r="K264" s="490"/>
      <c r="L264" s="490"/>
      <c r="M264" s="84"/>
      <c r="N264" s="84"/>
      <c r="O264" s="84"/>
      <c r="P264" s="84"/>
      <c r="Q264" s="85"/>
      <c r="R264" s="84"/>
      <c r="S264" s="85"/>
      <c r="T264" s="84"/>
      <c r="U264" s="84"/>
      <c r="V264" s="84"/>
      <c r="W264" s="84"/>
      <c r="X264" s="84"/>
      <c r="Y264" s="84"/>
      <c r="Z264" s="84"/>
      <c r="AA264" s="84"/>
      <c r="AB264" s="84"/>
    </row>
    <row r="265" spans="1:28" ht="14.25">
      <c r="A265" s="84"/>
      <c r="B265" s="85"/>
      <c r="C265" s="85"/>
      <c r="D265" s="85"/>
      <c r="E265" s="504"/>
      <c r="F265" s="84"/>
      <c r="G265" s="84"/>
      <c r="H265" s="490"/>
      <c r="I265" s="490"/>
      <c r="J265" s="490"/>
      <c r="K265" s="490"/>
      <c r="L265" s="490"/>
      <c r="M265" s="84"/>
      <c r="N265" s="84"/>
      <c r="O265" s="84"/>
      <c r="P265" s="84"/>
      <c r="Q265" s="85"/>
      <c r="R265" s="84"/>
      <c r="S265" s="85"/>
      <c r="T265" s="84"/>
      <c r="U265" s="84"/>
      <c r="V265" s="84"/>
      <c r="W265" s="84"/>
      <c r="X265" s="84"/>
      <c r="Y265" s="84"/>
      <c r="Z265" s="84"/>
      <c r="AA265" s="84"/>
      <c r="AB265" s="84"/>
    </row>
    <row r="266" spans="1:28" ht="14.25">
      <c r="A266" s="84"/>
      <c r="B266" s="85"/>
      <c r="C266" s="85"/>
      <c r="D266" s="85"/>
      <c r="E266" s="504"/>
      <c r="F266" s="84"/>
      <c r="G266" s="84"/>
      <c r="H266" s="490"/>
      <c r="I266" s="490"/>
      <c r="J266" s="490"/>
      <c r="K266" s="490"/>
      <c r="L266" s="490"/>
      <c r="M266" s="84"/>
      <c r="N266" s="84"/>
      <c r="O266" s="84"/>
      <c r="P266" s="84"/>
      <c r="Q266" s="85"/>
      <c r="R266" s="84"/>
      <c r="S266" s="85"/>
      <c r="T266" s="84"/>
      <c r="U266" s="84"/>
      <c r="V266" s="84"/>
      <c r="W266" s="84"/>
      <c r="X266" s="84"/>
      <c r="Y266" s="84"/>
      <c r="Z266" s="84"/>
      <c r="AA266" s="84"/>
      <c r="AB266" s="84"/>
    </row>
    <row r="267" spans="1:28" ht="14.25">
      <c r="A267" s="84"/>
      <c r="B267" s="85"/>
      <c r="C267" s="85"/>
      <c r="D267" s="85"/>
      <c r="E267" s="504"/>
      <c r="F267" s="84"/>
      <c r="G267" s="84"/>
      <c r="H267" s="490"/>
      <c r="I267" s="490"/>
      <c r="J267" s="490"/>
      <c r="K267" s="490"/>
      <c r="L267" s="490"/>
      <c r="M267" s="84"/>
      <c r="N267" s="84"/>
      <c r="O267" s="84"/>
      <c r="P267" s="84"/>
      <c r="Q267" s="85"/>
      <c r="R267" s="84"/>
      <c r="S267" s="85"/>
      <c r="T267" s="84"/>
      <c r="U267" s="84"/>
      <c r="V267" s="84"/>
      <c r="W267" s="84"/>
      <c r="X267" s="84"/>
      <c r="Y267" s="84"/>
      <c r="Z267" s="84"/>
      <c r="AA267" s="84"/>
      <c r="AB267" s="84"/>
    </row>
    <row r="268" spans="1:28" ht="14.25">
      <c r="A268" s="84"/>
      <c r="B268" s="85"/>
      <c r="C268" s="85"/>
      <c r="D268" s="85"/>
      <c r="E268" s="504"/>
      <c r="F268" s="84"/>
      <c r="G268" s="84"/>
      <c r="H268" s="490"/>
      <c r="I268" s="490"/>
      <c r="J268" s="490"/>
      <c r="K268" s="490"/>
      <c r="L268" s="490"/>
      <c r="M268" s="84"/>
      <c r="N268" s="84"/>
      <c r="O268" s="84"/>
      <c r="P268" s="84"/>
      <c r="Q268" s="85"/>
      <c r="R268" s="84"/>
      <c r="S268" s="85"/>
      <c r="T268" s="84"/>
      <c r="U268" s="84"/>
      <c r="V268" s="84"/>
      <c r="W268" s="84"/>
      <c r="X268" s="84"/>
      <c r="Y268" s="84"/>
      <c r="Z268" s="84"/>
      <c r="AA268" s="84"/>
      <c r="AB268" s="84"/>
    </row>
    <row r="269" spans="1:28" ht="14.25">
      <c r="A269" s="84"/>
      <c r="B269" s="85"/>
      <c r="C269" s="85"/>
      <c r="D269" s="85"/>
      <c r="E269" s="504"/>
      <c r="F269" s="84"/>
      <c r="G269" s="84"/>
      <c r="H269" s="490"/>
      <c r="I269" s="490"/>
      <c r="J269" s="490"/>
      <c r="K269" s="490"/>
      <c r="L269" s="490"/>
      <c r="M269" s="84"/>
      <c r="N269" s="84"/>
      <c r="O269" s="84"/>
      <c r="P269" s="84"/>
      <c r="Q269" s="85"/>
      <c r="R269" s="84"/>
      <c r="S269" s="85"/>
      <c r="T269" s="84"/>
      <c r="U269" s="84"/>
      <c r="V269" s="84"/>
      <c r="W269" s="84"/>
      <c r="X269" s="84"/>
      <c r="Y269" s="84"/>
      <c r="Z269" s="84"/>
      <c r="AA269" s="84"/>
      <c r="AB269" s="84"/>
    </row>
    <row r="270" spans="1:28" ht="14.25">
      <c r="A270" s="84"/>
      <c r="B270" s="85"/>
      <c r="C270" s="85"/>
      <c r="D270" s="85"/>
      <c r="E270" s="504"/>
      <c r="F270" s="84"/>
      <c r="G270" s="84"/>
      <c r="H270" s="490"/>
      <c r="I270" s="490"/>
      <c r="J270" s="490"/>
      <c r="K270" s="490"/>
      <c r="L270" s="490"/>
      <c r="M270" s="84"/>
      <c r="N270" s="84"/>
      <c r="O270" s="84"/>
      <c r="P270" s="84"/>
      <c r="Q270" s="85"/>
      <c r="R270" s="84"/>
      <c r="S270" s="85"/>
      <c r="T270" s="84"/>
      <c r="U270" s="84"/>
      <c r="V270" s="84"/>
      <c r="W270" s="84"/>
      <c r="X270" s="84"/>
      <c r="Y270" s="84"/>
      <c r="Z270" s="84"/>
      <c r="AA270" s="84"/>
      <c r="AB270" s="84"/>
    </row>
    <row r="271" spans="1:28" ht="14.25">
      <c r="A271" s="84"/>
      <c r="B271" s="85"/>
      <c r="C271" s="85"/>
      <c r="D271" s="85"/>
      <c r="E271" s="504"/>
      <c r="F271" s="84"/>
      <c r="G271" s="84"/>
      <c r="H271" s="490"/>
      <c r="I271" s="490"/>
      <c r="J271" s="490"/>
      <c r="K271" s="490"/>
      <c r="L271" s="490"/>
      <c r="M271" s="84"/>
      <c r="N271" s="84"/>
      <c r="O271" s="84"/>
      <c r="P271" s="84"/>
      <c r="Q271" s="85"/>
      <c r="R271" s="84"/>
      <c r="S271" s="85"/>
      <c r="T271" s="84"/>
      <c r="U271" s="84"/>
      <c r="V271" s="84"/>
      <c r="W271" s="84"/>
      <c r="X271" s="84"/>
      <c r="Y271" s="84"/>
      <c r="Z271" s="84"/>
      <c r="AA271" s="84"/>
      <c r="AB271" s="84"/>
    </row>
    <row r="272" spans="1:28" ht="14.25">
      <c r="A272" s="84"/>
      <c r="B272" s="85"/>
      <c r="C272" s="85"/>
      <c r="D272" s="85"/>
      <c r="E272" s="504"/>
      <c r="F272" s="84"/>
      <c r="G272" s="84"/>
      <c r="H272" s="490"/>
      <c r="I272" s="490"/>
      <c r="J272" s="490"/>
      <c r="K272" s="490"/>
      <c r="L272" s="490"/>
      <c r="M272" s="84"/>
      <c r="N272" s="84"/>
      <c r="O272" s="84"/>
      <c r="P272" s="84"/>
      <c r="Q272" s="85"/>
      <c r="R272" s="84"/>
      <c r="S272" s="85"/>
      <c r="T272" s="84"/>
      <c r="U272" s="84"/>
      <c r="V272" s="84"/>
      <c r="W272" s="84"/>
      <c r="X272" s="84"/>
      <c r="Y272" s="84"/>
      <c r="Z272" s="84"/>
      <c r="AA272" s="84"/>
      <c r="AB272" s="84"/>
    </row>
    <row r="273" spans="1:28" ht="14.25">
      <c r="A273" s="84"/>
      <c r="B273" s="85"/>
      <c r="C273" s="85"/>
      <c r="D273" s="85"/>
      <c r="E273" s="504"/>
      <c r="F273" s="84"/>
      <c r="G273" s="84"/>
      <c r="H273" s="490"/>
      <c r="I273" s="490"/>
      <c r="J273" s="490"/>
      <c r="K273" s="490"/>
      <c r="L273" s="490"/>
      <c r="M273" s="84"/>
      <c r="N273" s="84"/>
      <c r="O273" s="84"/>
      <c r="P273" s="84"/>
      <c r="Q273" s="85"/>
      <c r="R273" s="84"/>
      <c r="S273" s="85"/>
      <c r="T273" s="84"/>
      <c r="U273" s="84"/>
      <c r="V273" s="84"/>
      <c r="W273" s="84"/>
      <c r="X273" s="84"/>
      <c r="Y273" s="84"/>
      <c r="Z273" s="84"/>
      <c r="AA273" s="84"/>
      <c r="AB273" s="84"/>
    </row>
    <row r="274" spans="1:28" ht="14.25">
      <c r="A274" s="84"/>
      <c r="B274" s="85"/>
      <c r="C274" s="85"/>
      <c r="D274" s="85"/>
      <c r="E274" s="504"/>
      <c r="F274" s="84"/>
      <c r="G274" s="84"/>
      <c r="H274" s="490"/>
      <c r="I274" s="490"/>
      <c r="J274" s="490"/>
      <c r="K274" s="490"/>
      <c r="L274" s="490"/>
      <c r="M274" s="84"/>
      <c r="N274" s="84"/>
      <c r="O274" s="84"/>
      <c r="P274" s="84"/>
      <c r="Q274" s="85"/>
      <c r="R274" s="84"/>
      <c r="S274" s="85"/>
      <c r="T274" s="84"/>
      <c r="U274" s="84"/>
      <c r="V274" s="84"/>
      <c r="W274" s="84"/>
      <c r="X274" s="84"/>
      <c r="Y274" s="84"/>
      <c r="Z274" s="84"/>
      <c r="AA274" s="84"/>
      <c r="AB274" s="84"/>
    </row>
    <row r="275" spans="1:28" ht="14.25">
      <c r="A275" s="84"/>
      <c r="B275" s="85"/>
      <c r="C275" s="85"/>
      <c r="D275" s="85"/>
      <c r="E275" s="504"/>
      <c r="F275" s="84"/>
      <c r="G275" s="84"/>
      <c r="H275" s="490"/>
      <c r="I275" s="490"/>
      <c r="J275" s="490"/>
      <c r="K275" s="490"/>
      <c r="L275" s="490"/>
      <c r="M275" s="84"/>
      <c r="N275" s="84"/>
      <c r="O275" s="84"/>
      <c r="P275" s="84"/>
      <c r="Q275" s="85"/>
      <c r="R275" s="84"/>
      <c r="S275" s="85"/>
      <c r="T275" s="84"/>
      <c r="U275" s="84"/>
      <c r="V275" s="84"/>
      <c r="W275" s="84"/>
      <c r="X275" s="84"/>
      <c r="Y275" s="84"/>
      <c r="Z275" s="84"/>
      <c r="AA275" s="84"/>
      <c r="AB275" s="84"/>
    </row>
    <row r="276" spans="1:28" ht="14.25">
      <c r="A276" s="84"/>
      <c r="B276" s="85"/>
      <c r="C276" s="85"/>
      <c r="D276" s="85"/>
      <c r="E276" s="504"/>
      <c r="F276" s="84"/>
      <c r="G276" s="84"/>
      <c r="H276" s="490"/>
      <c r="I276" s="490"/>
      <c r="J276" s="490"/>
      <c r="K276" s="490"/>
      <c r="L276" s="490"/>
      <c r="M276" s="84"/>
      <c r="N276" s="84"/>
      <c r="O276" s="84"/>
      <c r="P276" s="84"/>
      <c r="Q276" s="85"/>
      <c r="R276" s="84"/>
      <c r="S276" s="85"/>
      <c r="T276" s="84"/>
      <c r="U276" s="84"/>
      <c r="V276" s="84"/>
      <c r="W276" s="84"/>
      <c r="X276" s="84"/>
      <c r="Y276" s="84"/>
      <c r="Z276" s="84"/>
      <c r="AA276" s="84"/>
      <c r="AB276" s="84"/>
    </row>
    <row r="277" spans="1:28" ht="14.25">
      <c r="A277" s="84"/>
      <c r="B277" s="85"/>
      <c r="C277" s="85"/>
      <c r="D277" s="85"/>
      <c r="E277" s="504"/>
      <c r="F277" s="84"/>
      <c r="G277" s="84"/>
      <c r="H277" s="490"/>
      <c r="I277" s="490"/>
      <c r="J277" s="490"/>
      <c r="K277" s="490"/>
      <c r="L277" s="490"/>
      <c r="M277" s="84"/>
      <c r="N277" s="84"/>
      <c r="O277" s="84"/>
      <c r="P277" s="84"/>
      <c r="Q277" s="85"/>
      <c r="R277" s="84"/>
      <c r="S277" s="85"/>
      <c r="T277" s="84"/>
      <c r="U277" s="84"/>
      <c r="V277" s="84"/>
      <c r="W277" s="84"/>
      <c r="X277" s="84"/>
      <c r="Y277" s="84"/>
      <c r="Z277" s="84"/>
      <c r="AA277" s="84"/>
      <c r="AB277" s="84"/>
    </row>
    <row r="278" spans="1:28" ht="14.25">
      <c r="A278" s="84"/>
      <c r="B278" s="85"/>
      <c r="C278" s="85"/>
      <c r="D278" s="85"/>
      <c r="E278" s="504"/>
      <c r="F278" s="84"/>
      <c r="G278" s="84"/>
      <c r="H278" s="490"/>
      <c r="I278" s="490"/>
      <c r="J278" s="490"/>
      <c r="K278" s="490"/>
      <c r="L278" s="490"/>
      <c r="M278" s="84"/>
      <c r="N278" s="84"/>
      <c r="O278" s="84"/>
      <c r="P278" s="84"/>
      <c r="Q278" s="85"/>
      <c r="R278" s="84"/>
      <c r="S278" s="85"/>
      <c r="T278" s="84"/>
      <c r="U278" s="84"/>
      <c r="V278" s="84"/>
      <c r="W278" s="84"/>
      <c r="X278" s="84"/>
      <c r="Y278" s="84"/>
      <c r="Z278" s="84"/>
      <c r="AA278" s="84"/>
      <c r="AB278" s="84"/>
    </row>
    <row r="279" spans="1:28" ht="14.25">
      <c r="A279" s="84"/>
      <c r="B279" s="85"/>
      <c r="C279" s="85"/>
      <c r="D279" s="85"/>
      <c r="E279" s="504"/>
      <c r="F279" s="84"/>
      <c r="G279" s="84"/>
      <c r="H279" s="490"/>
      <c r="I279" s="490"/>
      <c r="J279" s="490"/>
      <c r="K279" s="490"/>
      <c r="L279" s="490"/>
      <c r="M279" s="84"/>
      <c r="N279" s="84"/>
      <c r="O279" s="84"/>
      <c r="P279" s="84"/>
      <c r="Q279" s="85"/>
      <c r="R279" s="84"/>
      <c r="S279" s="85"/>
      <c r="T279" s="84"/>
      <c r="U279" s="84"/>
      <c r="V279" s="84"/>
      <c r="W279" s="84"/>
      <c r="X279" s="84"/>
      <c r="Y279" s="84"/>
      <c r="Z279" s="84"/>
      <c r="AA279" s="84"/>
      <c r="AB279" s="84"/>
    </row>
    <row r="280" spans="1:28" ht="14.25">
      <c r="A280" s="84"/>
      <c r="B280" s="85"/>
      <c r="C280" s="85"/>
      <c r="D280" s="85"/>
      <c r="E280" s="504"/>
      <c r="F280" s="84"/>
      <c r="G280" s="84"/>
      <c r="H280" s="490"/>
      <c r="I280" s="490"/>
      <c r="J280" s="490"/>
      <c r="K280" s="490"/>
      <c r="L280" s="490"/>
      <c r="M280" s="84"/>
      <c r="N280" s="84"/>
      <c r="O280" s="84"/>
      <c r="P280" s="84"/>
      <c r="Q280" s="85"/>
      <c r="R280" s="84"/>
      <c r="S280" s="85"/>
      <c r="T280" s="84"/>
      <c r="U280" s="84"/>
      <c r="V280" s="84"/>
      <c r="W280" s="84"/>
      <c r="X280" s="84"/>
      <c r="Y280" s="84"/>
      <c r="Z280" s="84"/>
      <c r="AA280" s="84"/>
      <c r="AB280" s="84"/>
    </row>
    <row r="281" spans="1:28" ht="14.25">
      <c r="A281" s="84"/>
      <c r="B281" s="85"/>
      <c r="C281" s="85"/>
      <c r="D281" s="85"/>
      <c r="E281" s="504"/>
      <c r="F281" s="84"/>
      <c r="G281" s="84"/>
      <c r="H281" s="490"/>
      <c r="I281" s="490"/>
      <c r="J281" s="490"/>
      <c r="K281" s="490"/>
      <c r="L281" s="490"/>
      <c r="M281" s="84"/>
      <c r="N281" s="84"/>
      <c r="O281" s="84"/>
      <c r="P281" s="84"/>
      <c r="Q281" s="85"/>
      <c r="R281" s="84"/>
      <c r="S281" s="85"/>
      <c r="T281" s="84"/>
      <c r="U281" s="84"/>
      <c r="V281" s="84"/>
      <c r="W281" s="84"/>
      <c r="X281" s="84"/>
      <c r="Y281" s="84"/>
      <c r="Z281" s="84"/>
      <c r="AA281" s="84"/>
      <c r="AB281" s="84"/>
    </row>
    <row r="282" spans="1:28" ht="14.25">
      <c r="A282" s="84"/>
      <c r="B282" s="85"/>
      <c r="C282" s="85"/>
      <c r="D282" s="85"/>
      <c r="E282" s="504"/>
      <c r="F282" s="84"/>
      <c r="G282" s="84"/>
      <c r="H282" s="490"/>
      <c r="I282" s="490"/>
      <c r="J282" s="490"/>
      <c r="K282" s="490"/>
      <c r="L282" s="490"/>
      <c r="M282" s="84"/>
      <c r="N282" s="84"/>
      <c r="O282" s="84"/>
      <c r="P282" s="84"/>
      <c r="Q282" s="85"/>
      <c r="R282" s="84"/>
      <c r="S282" s="85"/>
      <c r="T282" s="84"/>
      <c r="U282" s="84"/>
      <c r="V282" s="84"/>
      <c r="W282" s="84"/>
      <c r="X282" s="84"/>
      <c r="Y282" s="84"/>
      <c r="Z282" s="84"/>
      <c r="AA282" s="84"/>
      <c r="AB282" s="84"/>
    </row>
    <row r="283" spans="1:28" ht="14.25">
      <c r="A283" s="84"/>
      <c r="B283" s="85"/>
      <c r="C283" s="85"/>
      <c r="D283" s="85"/>
      <c r="E283" s="504"/>
      <c r="F283" s="84"/>
      <c r="G283" s="84"/>
      <c r="H283" s="490"/>
      <c r="I283" s="490"/>
      <c r="J283" s="490"/>
      <c r="K283" s="490"/>
      <c r="L283" s="490"/>
      <c r="M283" s="84"/>
      <c r="N283" s="84"/>
      <c r="O283" s="84"/>
      <c r="P283" s="84"/>
      <c r="Q283" s="85"/>
      <c r="R283" s="84"/>
      <c r="S283" s="85"/>
      <c r="T283" s="84"/>
      <c r="U283" s="84"/>
      <c r="V283" s="84"/>
      <c r="W283" s="84"/>
      <c r="X283" s="84"/>
      <c r="Y283" s="84"/>
      <c r="Z283" s="84"/>
      <c r="AA283" s="84"/>
      <c r="AB283" s="84"/>
    </row>
    <row r="284" spans="1:28" ht="14.25">
      <c r="A284" s="84"/>
      <c r="B284" s="85"/>
      <c r="C284" s="85"/>
      <c r="D284" s="85"/>
      <c r="E284" s="504"/>
      <c r="F284" s="84"/>
      <c r="G284" s="84"/>
      <c r="H284" s="490"/>
      <c r="I284" s="490"/>
      <c r="J284" s="490"/>
      <c r="K284" s="490"/>
      <c r="L284" s="490"/>
      <c r="M284" s="84"/>
      <c r="N284" s="84"/>
      <c r="O284" s="84"/>
      <c r="P284" s="84"/>
      <c r="Q284" s="85"/>
      <c r="R284" s="84"/>
      <c r="S284" s="85"/>
      <c r="T284" s="84"/>
      <c r="U284" s="84"/>
      <c r="V284" s="84"/>
      <c r="W284" s="84"/>
      <c r="X284" s="84"/>
      <c r="Y284" s="84"/>
      <c r="Z284" s="84"/>
      <c r="AA284" s="84"/>
      <c r="AB284" s="84"/>
    </row>
    <row r="285" spans="1:28" ht="14.25">
      <c r="A285" s="84"/>
      <c r="B285" s="85"/>
      <c r="C285" s="85"/>
      <c r="D285" s="85"/>
      <c r="E285" s="504"/>
      <c r="F285" s="84"/>
      <c r="G285" s="84"/>
      <c r="H285" s="490"/>
      <c r="I285" s="490"/>
      <c r="J285" s="490"/>
      <c r="K285" s="490"/>
      <c r="L285" s="490"/>
      <c r="M285" s="84"/>
      <c r="N285" s="84"/>
      <c r="O285" s="84"/>
      <c r="P285" s="84"/>
      <c r="Q285" s="85"/>
      <c r="R285" s="84"/>
      <c r="S285" s="85"/>
      <c r="T285" s="84"/>
      <c r="U285" s="84"/>
      <c r="V285" s="84"/>
      <c r="W285" s="84"/>
      <c r="X285" s="84"/>
      <c r="Y285" s="84"/>
      <c r="Z285" s="84"/>
      <c r="AA285" s="84"/>
      <c r="AB285" s="84"/>
    </row>
    <row r="286" spans="1:28" ht="14.25">
      <c r="A286" s="84"/>
      <c r="B286" s="85"/>
      <c r="C286" s="85"/>
      <c r="D286" s="85"/>
      <c r="E286" s="504"/>
      <c r="F286" s="84"/>
      <c r="G286" s="84"/>
      <c r="H286" s="490"/>
      <c r="I286" s="490"/>
      <c r="J286" s="490"/>
      <c r="K286" s="490"/>
      <c r="L286" s="490"/>
      <c r="M286" s="84"/>
      <c r="N286" s="84"/>
      <c r="O286" s="84"/>
      <c r="P286" s="84"/>
      <c r="Q286" s="85"/>
      <c r="R286" s="84"/>
      <c r="S286" s="85"/>
      <c r="T286" s="84"/>
      <c r="U286" s="84"/>
      <c r="V286" s="84"/>
      <c r="W286" s="84"/>
      <c r="X286" s="84"/>
      <c r="Y286" s="84"/>
      <c r="Z286" s="84"/>
      <c r="AA286" s="84"/>
      <c r="AB286" s="84"/>
    </row>
    <row r="287" spans="1:28" ht="14.25">
      <c r="A287" s="84"/>
      <c r="B287" s="85"/>
      <c r="C287" s="85"/>
      <c r="D287" s="85"/>
      <c r="E287" s="504"/>
      <c r="F287" s="84"/>
      <c r="G287" s="84"/>
      <c r="H287" s="490"/>
      <c r="I287" s="490"/>
      <c r="J287" s="490"/>
      <c r="K287" s="490"/>
      <c r="L287" s="490"/>
      <c r="M287" s="84"/>
      <c r="N287" s="84"/>
      <c r="O287" s="84"/>
      <c r="P287" s="84"/>
      <c r="Q287" s="85"/>
      <c r="R287" s="84"/>
      <c r="S287" s="85"/>
      <c r="T287" s="84"/>
      <c r="U287" s="84"/>
      <c r="V287" s="84"/>
      <c r="W287" s="84"/>
      <c r="X287" s="84"/>
      <c r="Y287" s="84"/>
      <c r="Z287" s="84"/>
      <c r="AA287" s="84"/>
      <c r="AB287" s="84"/>
    </row>
    <row r="288" spans="1:28" ht="14.25">
      <c r="A288" s="84"/>
      <c r="B288" s="85"/>
      <c r="C288" s="85"/>
      <c r="D288" s="85"/>
      <c r="E288" s="504"/>
      <c r="F288" s="84"/>
      <c r="G288" s="84"/>
      <c r="H288" s="490"/>
      <c r="I288" s="490"/>
      <c r="J288" s="490"/>
      <c r="K288" s="490"/>
      <c r="L288" s="490"/>
      <c r="M288" s="84"/>
      <c r="N288" s="84"/>
      <c r="O288" s="84"/>
      <c r="P288" s="84"/>
      <c r="Q288" s="85"/>
      <c r="R288" s="84"/>
      <c r="S288" s="85"/>
      <c r="T288" s="84"/>
      <c r="U288" s="84"/>
      <c r="V288" s="84"/>
      <c r="W288" s="84"/>
      <c r="X288" s="84"/>
      <c r="Y288" s="84"/>
      <c r="Z288" s="84"/>
      <c r="AA288" s="84"/>
      <c r="AB288" s="84"/>
    </row>
    <row r="289" spans="1:28" ht="14.25">
      <c r="A289" s="84"/>
      <c r="B289" s="85"/>
      <c r="C289" s="85"/>
      <c r="D289" s="85"/>
      <c r="E289" s="504"/>
      <c r="F289" s="84"/>
      <c r="G289" s="84"/>
      <c r="H289" s="490"/>
      <c r="I289" s="490"/>
      <c r="J289" s="490"/>
      <c r="K289" s="490"/>
      <c r="L289" s="490"/>
      <c r="M289" s="84"/>
      <c r="N289" s="84"/>
      <c r="O289" s="84"/>
      <c r="P289" s="84"/>
      <c r="Q289" s="85"/>
      <c r="R289" s="84"/>
      <c r="S289" s="85"/>
      <c r="T289" s="84"/>
      <c r="U289" s="84"/>
      <c r="V289" s="84"/>
      <c r="W289" s="84"/>
      <c r="X289" s="84"/>
      <c r="Y289" s="84"/>
      <c r="Z289" s="84"/>
      <c r="AA289" s="84"/>
      <c r="AB289" s="84"/>
    </row>
    <row r="290" spans="1:28" ht="14.25">
      <c r="A290" s="84"/>
      <c r="B290" s="85"/>
      <c r="C290" s="85"/>
      <c r="D290" s="85"/>
      <c r="E290" s="504"/>
      <c r="F290" s="84"/>
      <c r="G290" s="84"/>
      <c r="H290" s="490"/>
      <c r="I290" s="490"/>
      <c r="J290" s="490"/>
      <c r="K290" s="490"/>
      <c r="L290" s="490"/>
      <c r="M290" s="84"/>
      <c r="N290" s="84"/>
      <c r="O290" s="84"/>
      <c r="P290" s="84"/>
      <c r="Q290" s="85"/>
      <c r="R290" s="84"/>
      <c r="S290" s="85"/>
      <c r="T290" s="84"/>
      <c r="U290" s="84"/>
      <c r="V290" s="84"/>
      <c r="W290" s="84"/>
      <c r="X290" s="84"/>
      <c r="Y290" s="84"/>
      <c r="Z290" s="84"/>
      <c r="AA290" s="84"/>
      <c r="AB290" s="84"/>
    </row>
    <row r="291" spans="1:28" ht="14.25">
      <c r="A291" s="84"/>
      <c r="B291" s="85"/>
      <c r="C291" s="85"/>
      <c r="D291" s="85"/>
      <c r="E291" s="504"/>
      <c r="F291" s="84"/>
      <c r="G291" s="84"/>
      <c r="H291" s="490"/>
      <c r="I291" s="490"/>
      <c r="J291" s="490"/>
      <c r="K291" s="490"/>
      <c r="L291" s="490"/>
      <c r="M291" s="84"/>
      <c r="N291" s="84"/>
      <c r="O291" s="84"/>
      <c r="P291" s="84"/>
      <c r="Q291" s="85"/>
      <c r="R291" s="84"/>
      <c r="S291" s="85"/>
      <c r="T291" s="84"/>
      <c r="U291" s="84"/>
      <c r="V291" s="84"/>
      <c r="W291" s="84"/>
      <c r="X291" s="84"/>
      <c r="Y291" s="84"/>
      <c r="Z291" s="84"/>
      <c r="AA291" s="84"/>
      <c r="AB291" s="84"/>
    </row>
    <row r="292" spans="1:28" ht="14.25">
      <c r="A292" s="84"/>
      <c r="B292" s="85"/>
      <c r="C292" s="85"/>
      <c r="D292" s="85"/>
      <c r="E292" s="504"/>
      <c r="F292" s="84"/>
      <c r="G292" s="84"/>
      <c r="H292" s="490"/>
      <c r="I292" s="490"/>
      <c r="J292" s="490"/>
      <c r="K292" s="490"/>
      <c r="L292" s="490"/>
      <c r="M292" s="84"/>
      <c r="N292" s="84"/>
      <c r="O292" s="84"/>
      <c r="P292" s="84"/>
      <c r="Q292" s="85"/>
      <c r="R292" s="84"/>
      <c r="S292" s="85"/>
      <c r="T292" s="84"/>
      <c r="U292" s="84"/>
      <c r="V292" s="84"/>
      <c r="W292" s="84"/>
      <c r="X292" s="84"/>
      <c r="Y292" s="84"/>
      <c r="Z292" s="84"/>
      <c r="AA292" s="84"/>
      <c r="AB292" s="84"/>
    </row>
    <row r="293" spans="1:28" ht="14.25">
      <c r="A293" s="84"/>
      <c r="B293" s="85"/>
      <c r="C293" s="85"/>
      <c r="D293" s="85"/>
      <c r="E293" s="504"/>
      <c r="F293" s="84"/>
      <c r="G293" s="84"/>
      <c r="H293" s="490"/>
      <c r="I293" s="490"/>
      <c r="J293" s="490"/>
      <c r="K293" s="490"/>
      <c r="L293" s="490"/>
      <c r="M293" s="84"/>
      <c r="N293" s="84"/>
      <c r="O293" s="84"/>
      <c r="P293" s="84"/>
      <c r="Q293" s="85"/>
      <c r="R293" s="84"/>
      <c r="S293" s="85"/>
      <c r="T293" s="84"/>
      <c r="U293" s="84"/>
      <c r="V293" s="84"/>
      <c r="W293" s="84"/>
      <c r="X293" s="84"/>
      <c r="Y293" s="84"/>
      <c r="Z293" s="84"/>
      <c r="AA293" s="84"/>
      <c r="AB293" s="84"/>
    </row>
    <row r="294" spans="1:28" ht="14.25">
      <c r="A294" s="84"/>
      <c r="B294" s="85"/>
      <c r="C294" s="85"/>
      <c r="D294" s="85"/>
      <c r="E294" s="504"/>
      <c r="F294" s="84"/>
      <c r="G294" s="84"/>
      <c r="H294" s="490"/>
      <c r="I294" s="490"/>
      <c r="J294" s="490"/>
      <c r="K294" s="490"/>
      <c r="L294" s="490"/>
      <c r="M294" s="84"/>
      <c r="N294" s="84"/>
      <c r="O294" s="84"/>
      <c r="P294" s="84"/>
      <c r="Q294" s="85"/>
      <c r="R294" s="84"/>
      <c r="S294" s="85"/>
      <c r="T294" s="84"/>
      <c r="U294" s="84"/>
      <c r="V294" s="84"/>
      <c r="W294" s="84"/>
      <c r="X294" s="84"/>
      <c r="Y294" s="84"/>
      <c r="Z294" s="84"/>
      <c r="AA294" s="84"/>
      <c r="AB294" s="84"/>
    </row>
    <row r="295" spans="1:28" ht="14.25">
      <c r="A295" s="84"/>
      <c r="B295" s="85"/>
      <c r="C295" s="85"/>
      <c r="D295" s="85"/>
      <c r="E295" s="504"/>
      <c r="F295" s="84"/>
      <c r="G295" s="84"/>
      <c r="H295" s="490"/>
      <c r="I295" s="490"/>
      <c r="J295" s="490"/>
      <c r="K295" s="490"/>
      <c r="L295" s="490"/>
      <c r="M295" s="84"/>
      <c r="N295" s="84"/>
      <c r="O295" s="84"/>
      <c r="P295" s="84"/>
      <c r="Q295" s="85"/>
      <c r="R295" s="84"/>
      <c r="S295" s="85"/>
      <c r="T295" s="84"/>
      <c r="U295" s="84"/>
      <c r="V295" s="84"/>
      <c r="W295" s="84"/>
      <c r="X295" s="84"/>
      <c r="Y295" s="84"/>
      <c r="Z295" s="84"/>
      <c r="AA295" s="84"/>
      <c r="AB295" s="84"/>
    </row>
    <row r="296" spans="1:28" ht="14.25">
      <c r="A296" s="84"/>
      <c r="B296" s="85"/>
      <c r="C296" s="85"/>
      <c r="D296" s="85"/>
      <c r="E296" s="504"/>
      <c r="F296" s="84"/>
      <c r="G296" s="84"/>
      <c r="H296" s="490"/>
      <c r="I296" s="490"/>
      <c r="J296" s="490"/>
      <c r="K296" s="490"/>
      <c r="L296" s="490"/>
      <c r="M296" s="84"/>
      <c r="N296" s="84"/>
      <c r="O296" s="84"/>
      <c r="P296" s="84"/>
      <c r="Q296" s="85"/>
      <c r="R296" s="84"/>
      <c r="S296" s="85"/>
      <c r="T296" s="84"/>
      <c r="U296" s="84"/>
      <c r="V296" s="84"/>
      <c r="W296" s="84"/>
      <c r="X296" s="84"/>
      <c r="Y296" s="84"/>
      <c r="Z296" s="84"/>
      <c r="AA296" s="84"/>
      <c r="AB296" s="84"/>
    </row>
    <row r="297" spans="1:28" ht="14.25">
      <c r="A297" s="84"/>
      <c r="B297" s="85"/>
      <c r="C297" s="85"/>
      <c r="D297" s="85"/>
      <c r="E297" s="504"/>
      <c r="F297" s="84"/>
      <c r="G297" s="84"/>
      <c r="H297" s="490"/>
      <c r="I297" s="490"/>
      <c r="J297" s="490"/>
      <c r="K297" s="490"/>
      <c r="L297" s="490"/>
      <c r="M297" s="84"/>
      <c r="N297" s="84"/>
      <c r="O297" s="84"/>
      <c r="P297" s="84"/>
      <c r="Q297" s="85"/>
      <c r="R297" s="84"/>
      <c r="S297" s="85"/>
      <c r="T297" s="84"/>
      <c r="U297" s="84"/>
      <c r="V297" s="84"/>
      <c r="W297" s="84"/>
      <c r="X297" s="84"/>
      <c r="Y297" s="84"/>
      <c r="Z297" s="84"/>
      <c r="AA297" s="84"/>
      <c r="AB297" s="84"/>
    </row>
    <row r="298" spans="1:28" ht="14.25">
      <c r="A298" s="84"/>
      <c r="B298" s="85"/>
      <c r="C298" s="85"/>
      <c r="D298" s="85"/>
      <c r="E298" s="504"/>
      <c r="F298" s="84"/>
      <c r="G298" s="84"/>
      <c r="H298" s="490"/>
      <c r="I298" s="490"/>
      <c r="J298" s="490"/>
      <c r="K298" s="490"/>
      <c r="L298" s="490"/>
      <c r="M298" s="84"/>
      <c r="N298" s="84"/>
      <c r="O298" s="84"/>
      <c r="P298" s="84"/>
      <c r="Q298" s="85"/>
      <c r="R298" s="84"/>
      <c r="S298" s="85"/>
      <c r="T298" s="84"/>
      <c r="U298" s="84"/>
      <c r="V298" s="84"/>
      <c r="W298" s="84"/>
      <c r="X298" s="84"/>
      <c r="Y298" s="84"/>
      <c r="Z298" s="84"/>
      <c r="AA298" s="84"/>
      <c r="AB298" s="84"/>
    </row>
    <row r="299" spans="1:28" ht="14.25">
      <c r="A299" s="84"/>
      <c r="B299" s="85"/>
      <c r="C299" s="85"/>
      <c r="D299" s="85"/>
      <c r="E299" s="504"/>
      <c r="F299" s="84"/>
      <c r="G299" s="84"/>
      <c r="H299" s="490"/>
      <c r="I299" s="490"/>
      <c r="J299" s="490"/>
      <c r="K299" s="490"/>
      <c r="L299" s="490"/>
      <c r="M299" s="84"/>
      <c r="N299" s="84"/>
      <c r="O299" s="84"/>
      <c r="P299" s="84"/>
      <c r="Q299" s="85"/>
      <c r="R299" s="84"/>
      <c r="S299" s="85"/>
      <c r="T299" s="84"/>
      <c r="U299" s="84"/>
      <c r="V299" s="84"/>
      <c r="W299" s="84"/>
      <c r="X299" s="84"/>
      <c r="Y299" s="84"/>
      <c r="Z299" s="84"/>
      <c r="AA299" s="84"/>
      <c r="AB299" s="84"/>
    </row>
    <row r="300" spans="1:28" ht="14.25">
      <c r="A300" s="84"/>
      <c r="B300" s="85"/>
      <c r="C300" s="85"/>
      <c r="D300" s="85"/>
      <c r="E300" s="504"/>
      <c r="F300" s="84"/>
      <c r="G300" s="84"/>
      <c r="H300" s="490"/>
      <c r="I300" s="490"/>
      <c r="J300" s="490"/>
      <c r="K300" s="490"/>
      <c r="L300" s="490"/>
      <c r="M300" s="84"/>
      <c r="N300" s="84"/>
      <c r="O300" s="84"/>
      <c r="P300" s="84"/>
      <c r="Q300" s="85"/>
      <c r="R300" s="84"/>
      <c r="S300" s="85"/>
      <c r="T300" s="84"/>
      <c r="U300" s="84"/>
      <c r="V300" s="84"/>
      <c r="W300" s="84"/>
      <c r="X300" s="84"/>
      <c r="Y300" s="84"/>
      <c r="Z300" s="84"/>
      <c r="AA300" s="84"/>
      <c r="AB300" s="84"/>
    </row>
    <row r="301" spans="1:28" ht="14.25">
      <c r="A301" s="84"/>
      <c r="B301" s="85"/>
      <c r="C301" s="85"/>
      <c r="D301" s="85"/>
      <c r="E301" s="504"/>
      <c r="F301" s="84"/>
      <c r="G301" s="84"/>
      <c r="H301" s="490"/>
      <c r="I301" s="490"/>
      <c r="J301" s="490"/>
      <c r="K301" s="490"/>
      <c r="L301" s="490"/>
      <c r="M301" s="84"/>
      <c r="N301" s="84"/>
      <c r="O301" s="84"/>
      <c r="P301" s="84"/>
      <c r="Q301" s="85"/>
      <c r="R301" s="84"/>
      <c r="S301" s="85"/>
      <c r="T301" s="84"/>
      <c r="U301" s="84"/>
      <c r="V301" s="84"/>
      <c r="W301" s="84"/>
      <c r="X301" s="84"/>
      <c r="Y301" s="84"/>
      <c r="Z301" s="84"/>
      <c r="AA301" s="84"/>
      <c r="AB301" s="84"/>
    </row>
    <row r="302" spans="1:28" ht="14.25">
      <c r="A302" s="84"/>
      <c r="B302" s="85"/>
      <c r="C302" s="85"/>
      <c r="D302" s="85"/>
      <c r="E302" s="504"/>
      <c r="F302" s="84"/>
      <c r="G302" s="84"/>
      <c r="H302" s="490"/>
      <c r="I302" s="490"/>
      <c r="J302" s="490"/>
      <c r="K302" s="490"/>
      <c r="L302" s="490"/>
      <c r="M302" s="84"/>
      <c r="N302" s="84"/>
      <c r="O302" s="84"/>
      <c r="P302" s="84"/>
      <c r="Q302" s="85"/>
      <c r="R302" s="84"/>
      <c r="S302" s="85"/>
      <c r="T302" s="84"/>
      <c r="U302" s="84"/>
      <c r="V302" s="84"/>
      <c r="W302" s="84"/>
      <c r="X302" s="84"/>
      <c r="Y302" s="84"/>
      <c r="Z302" s="84"/>
      <c r="AA302" s="84"/>
      <c r="AB302" s="84"/>
    </row>
    <row r="303" spans="1:28" ht="14.25">
      <c r="A303" s="84"/>
      <c r="B303" s="85"/>
      <c r="C303" s="85"/>
      <c r="D303" s="85"/>
      <c r="E303" s="504"/>
      <c r="F303" s="84"/>
      <c r="G303" s="84"/>
      <c r="H303" s="490"/>
      <c r="I303" s="490"/>
      <c r="J303" s="490"/>
      <c r="K303" s="490"/>
      <c r="L303" s="490"/>
      <c r="M303" s="84"/>
      <c r="N303" s="84"/>
      <c r="O303" s="84"/>
      <c r="P303" s="84"/>
      <c r="Q303" s="85"/>
      <c r="R303" s="84"/>
      <c r="S303" s="85"/>
      <c r="T303" s="84"/>
      <c r="U303" s="84"/>
      <c r="V303" s="84"/>
      <c r="W303" s="84"/>
      <c r="X303" s="84"/>
      <c r="Y303" s="84"/>
      <c r="Z303" s="84"/>
      <c r="AA303" s="84"/>
      <c r="AB303" s="84"/>
    </row>
    <row r="304" spans="1:28" ht="14.25">
      <c r="A304" s="84"/>
      <c r="B304" s="85"/>
      <c r="C304" s="85"/>
      <c r="D304" s="85"/>
      <c r="E304" s="504"/>
      <c r="F304" s="84"/>
      <c r="G304" s="84"/>
      <c r="H304" s="490"/>
      <c r="I304" s="490"/>
      <c r="J304" s="490"/>
      <c r="K304" s="490"/>
      <c r="L304" s="490"/>
      <c r="M304" s="84"/>
      <c r="N304" s="84"/>
      <c r="O304" s="84"/>
      <c r="P304" s="84"/>
      <c r="Q304" s="85"/>
      <c r="R304" s="84"/>
      <c r="S304" s="85"/>
      <c r="T304" s="84"/>
      <c r="U304" s="84"/>
      <c r="V304" s="84"/>
      <c r="W304" s="84"/>
      <c r="X304" s="84"/>
      <c r="Y304" s="84"/>
      <c r="Z304" s="84"/>
      <c r="AA304" s="84"/>
      <c r="AB304" s="84"/>
    </row>
    <row r="305" spans="1:28" ht="14.25">
      <c r="A305" s="84"/>
      <c r="B305" s="85"/>
      <c r="C305" s="85"/>
      <c r="D305" s="85"/>
      <c r="E305" s="504"/>
      <c r="F305" s="84"/>
      <c r="G305" s="84"/>
      <c r="H305" s="490"/>
      <c r="I305" s="490"/>
      <c r="J305" s="490"/>
      <c r="K305" s="490"/>
      <c r="L305" s="490"/>
      <c r="M305" s="84"/>
      <c r="N305" s="84"/>
      <c r="O305" s="84"/>
      <c r="P305" s="84"/>
      <c r="Q305" s="85"/>
      <c r="R305" s="84"/>
      <c r="S305" s="85"/>
      <c r="T305" s="84"/>
      <c r="U305" s="84"/>
      <c r="V305" s="84"/>
      <c r="W305" s="84"/>
      <c r="X305" s="84"/>
      <c r="Y305" s="84"/>
      <c r="Z305" s="84"/>
      <c r="AA305" s="84"/>
      <c r="AB305" s="84"/>
    </row>
    <row r="306" spans="1:28" ht="14.25">
      <c r="A306" s="84"/>
      <c r="B306" s="85"/>
      <c r="C306" s="85"/>
      <c r="D306" s="85"/>
      <c r="E306" s="504"/>
      <c r="F306" s="84"/>
      <c r="G306" s="84"/>
      <c r="H306" s="490"/>
      <c r="I306" s="490"/>
      <c r="J306" s="490"/>
      <c r="K306" s="490"/>
      <c r="L306" s="490"/>
      <c r="M306" s="84"/>
      <c r="N306" s="84"/>
      <c r="O306" s="84"/>
      <c r="P306" s="84"/>
      <c r="Q306" s="85"/>
      <c r="R306" s="84"/>
      <c r="S306" s="85"/>
      <c r="T306" s="84"/>
      <c r="U306" s="84"/>
      <c r="V306" s="84"/>
      <c r="W306" s="84"/>
      <c r="X306" s="84"/>
      <c r="Y306" s="84"/>
      <c r="Z306" s="84"/>
      <c r="AA306" s="84"/>
      <c r="AB306" s="84"/>
    </row>
    <row r="307" spans="1:28" ht="14.25">
      <c r="A307" s="84"/>
      <c r="B307" s="85"/>
      <c r="C307" s="85"/>
      <c r="D307" s="85"/>
      <c r="E307" s="504"/>
      <c r="F307" s="84"/>
      <c r="G307" s="84"/>
      <c r="H307" s="490"/>
      <c r="I307" s="490"/>
      <c r="J307" s="490"/>
      <c r="K307" s="490"/>
      <c r="L307" s="490"/>
      <c r="M307" s="84"/>
      <c r="N307" s="84"/>
      <c r="O307" s="84"/>
      <c r="P307" s="84"/>
      <c r="Q307" s="85"/>
      <c r="R307" s="84"/>
      <c r="S307" s="85"/>
      <c r="T307" s="84"/>
      <c r="U307" s="84"/>
      <c r="V307" s="84"/>
      <c r="W307" s="84"/>
      <c r="X307" s="84"/>
      <c r="Y307" s="84"/>
      <c r="Z307" s="84"/>
      <c r="AA307" s="84"/>
      <c r="AB307" s="84"/>
    </row>
    <row r="308" spans="1:28" ht="14.25">
      <c r="A308" s="84"/>
      <c r="B308" s="85"/>
      <c r="C308" s="85"/>
      <c r="D308" s="85"/>
      <c r="E308" s="504"/>
      <c r="F308" s="84"/>
      <c r="G308" s="84"/>
      <c r="H308" s="490"/>
      <c r="I308" s="490"/>
      <c r="J308" s="490"/>
      <c r="K308" s="490"/>
      <c r="L308" s="490"/>
      <c r="M308" s="84"/>
      <c r="N308" s="84"/>
      <c r="O308" s="84"/>
      <c r="P308" s="84"/>
      <c r="Q308" s="85"/>
      <c r="R308" s="84"/>
      <c r="S308" s="85"/>
      <c r="T308" s="84"/>
      <c r="U308" s="84"/>
      <c r="V308" s="84"/>
      <c r="W308" s="84"/>
      <c r="X308" s="84"/>
      <c r="Y308" s="84"/>
      <c r="Z308" s="84"/>
      <c r="AA308" s="84"/>
      <c r="AB308" s="84"/>
    </row>
    <row r="309" spans="1:28" ht="14.25">
      <c r="A309" s="84"/>
      <c r="B309" s="85"/>
      <c r="C309" s="85"/>
      <c r="D309" s="85"/>
      <c r="E309" s="504"/>
      <c r="F309" s="84"/>
      <c r="G309" s="84"/>
      <c r="H309" s="490"/>
      <c r="I309" s="490"/>
      <c r="J309" s="490"/>
      <c r="K309" s="490"/>
      <c r="L309" s="490"/>
      <c r="M309" s="84"/>
      <c r="N309" s="84"/>
      <c r="O309" s="84"/>
      <c r="P309" s="84"/>
      <c r="Q309" s="85"/>
      <c r="R309" s="84"/>
      <c r="S309" s="85"/>
      <c r="T309" s="84"/>
      <c r="U309" s="84"/>
      <c r="V309" s="84"/>
      <c r="W309" s="84"/>
      <c r="X309" s="84"/>
      <c r="Y309" s="84"/>
      <c r="Z309" s="84"/>
      <c r="AA309" s="84"/>
      <c r="AB309" s="84"/>
    </row>
    <row r="310" spans="1:28" ht="14.25">
      <c r="A310" s="84"/>
      <c r="B310" s="85"/>
      <c r="C310" s="85"/>
      <c r="D310" s="85"/>
      <c r="E310" s="504"/>
      <c r="F310" s="84"/>
      <c r="G310" s="84"/>
      <c r="H310" s="490"/>
      <c r="I310" s="490"/>
      <c r="J310" s="490"/>
      <c r="K310" s="490"/>
      <c r="L310" s="490"/>
      <c r="M310" s="84"/>
      <c r="N310" s="84"/>
      <c r="O310" s="84"/>
      <c r="P310" s="84"/>
      <c r="Q310" s="85"/>
      <c r="R310" s="84"/>
      <c r="S310" s="85"/>
      <c r="T310" s="84"/>
      <c r="U310" s="84"/>
      <c r="V310" s="84"/>
      <c r="W310" s="84"/>
      <c r="X310" s="84"/>
      <c r="Y310" s="84"/>
      <c r="Z310" s="84"/>
      <c r="AA310" s="84"/>
      <c r="AB310" s="84"/>
    </row>
    <row r="311" spans="1:28" ht="14.25">
      <c r="A311" s="84"/>
      <c r="B311" s="85"/>
      <c r="C311" s="85"/>
      <c r="D311" s="85"/>
      <c r="E311" s="504"/>
      <c r="F311" s="84"/>
      <c r="G311" s="84"/>
      <c r="H311" s="490"/>
      <c r="I311" s="490"/>
      <c r="J311" s="490"/>
      <c r="K311" s="490"/>
      <c r="L311" s="490"/>
      <c r="M311" s="84"/>
      <c r="N311" s="84"/>
      <c r="O311" s="84"/>
      <c r="P311" s="84"/>
      <c r="Q311" s="85"/>
      <c r="R311" s="84"/>
      <c r="S311" s="85"/>
      <c r="T311" s="84"/>
      <c r="U311" s="84"/>
      <c r="V311" s="84"/>
      <c r="W311" s="84"/>
      <c r="X311" s="84"/>
      <c r="Y311" s="84"/>
      <c r="Z311" s="84"/>
      <c r="AA311" s="84"/>
      <c r="AB311" s="84"/>
    </row>
    <row r="312" spans="1:28" ht="14.25">
      <c r="A312" s="84"/>
      <c r="B312" s="85"/>
      <c r="C312" s="85"/>
      <c r="D312" s="85"/>
      <c r="E312" s="504"/>
      <c r="F312" s="84"/>
      <c r="G312" s="84"/>
      <c r="H312" s="490"/>
      <c r="I312" s="490"/>
      <c r="J312" s="490"/>
      <c r="K312" s="490"/>
      <c r="L312" s="490"/>
      <c r="M312" s="84"/>
      <c r="N312" s="84"/>
      <c r="O312" s="84"/>
      <c r="P312" s="84"/>
      <c r="Q312" s="85"/>
      <c r="R312" s="84"/>
      <c r="S312" s="85"/>
      <c r="T312" s="84"/>
      <c r="U312" s="84"/>
      <c r="V312" s="84"/>
      <c r="W312" s="84"/>
      <c r="X312" s="84"/>
      <c r="Y312" s="84"/>
      <c r="Z312" s="84"/>
      <c r="AA312" s="84"/>
      <c r="AB312" s="84"/>
    </row>
    <row r="313" spans="1:28" ht="14.25">
      <c r="A313" s="84"/>
      <c r="B313" s="85"/>
      <c r="C313" s="85"/>
      <c r="D313" s="85"/>
      <c r="E313" s="504"/>
      <c r="F313" s="84"/>
      <c r="G313" s="84"/>
      <c r="H313" s="490"/>
      <c r="I313" s="490"/>
      <c r="J313" s="490"/>
      <c r="K313" s="490"/>
      <c r="L313" s="490"/>
      <c r="M313" s="84"/>
      <c r="N313" s="84"/>
      <c r="O313" s="84"/>
      <c r="P313" s="84"/>
      <c r="Q313" s="85"/>
      <c r="R313" s="84"/>
      <c r="S313" s="85"/>
      <c r="T313" s="84"/>
      <c r="U313" s="84"/>
      <c r="V313" s="84"/>
      <c r="W313" s="84"/>
      <c r="X313" s="84"/>
      <c r="Y313" s="84"/>
      <c r="Z313" s="84"/>
      <c r="AA313" s="84"/>
      <c r="AB313" s="84"/>
    </row>
    <row r="314" spans="1:28" ht="14.25">
      <c r="A314" s="84"/>
      <c r="B314" s="85"/>
      <c r="C314" s="85"/>
      <c r="D314" s="85"/>
      <c r="E314" s="504"/>
      <c r="F314" s="84"/>
      <c r="G314" s="84"/>
      <c r="H314" s="490"/>
      <c r="I314" s="490"/>
      <c r="J314" s="490"/>
      <c r="K314" s="490"/>
      <c r="L314" s="490"/>
      <c r="M314" s="84"/>
      <c r="N314" s="84"/>
      <c r="O314" s="84"/>
      <c r="P314" s="84"/>
      <c r="Q314" s="85"/>
      <c r="R314" s="84"/>
      <c r="S314" s="85"/>
      <c r="T314" s="84"/>
      <c r="U314" s="84"/>
      <c r="V314" s="84"/>
      <c r="W314" s="84"/>
      <c r="X314" s="84"/>
      <c r="Y314" s="84"/>
      <c r="Z314" s="84"/>
      <c r="AA314" s="84"/>
      <c r="AB314" s="84"/>
    </row>
    <row r="315" spans="1:28" ht="14.25">
      <c r="A315" s="84"/>
      <c r="B315" s="85"/>
      <c r="C315" s="85"/>
      <c r="D315" s="85"/>
      <c r="E315" s="504"/>
      <c r="F315" s="84"/>
      <c r="G315" s="84"/>
      <c r="H315" s="490"/>
      <c r="I315" s="490"/>
      <c r="J315" s="490"/>
      <c r="K315" s="490"/>
      <c r="L315" s="490"/>
      <c r="M315" s="84"/>
      <c r="N315" s="84"/>
      <c r="O315" s="84"/>
      <c r="P315" s="84"/>
      <c r="Q315" s="85"/>
      <c r="R315" s="84"/>
      <c r="S315" s="85"/>
      <c r="T315" s="84"/>
      <c r="U315" s="84"/>
      <c r="V315" s="84"/>
      <c r="W315" s="84"/>
      <c r="X315" s="84"/>
      <c r="Y315" s="84"/>
      <c r="Z315" s="84"/>
      <c r="AA315" s="84"/>
      <c r="AB315" s="84"/>
    </row>
    <row r="316" spans="1:28" ht="14.25">
      <c r="A316" s="84"/>
      <c r="B316" s="85"/>
      <c r="C316" s="85"/>
      <c r="D316" s="85"/>
      <c r="E316" s="504"/>
      <c r="F316" s="84"/>
      <c r="G316" s="84"/>
      <c r="H316" s="490"/>
      <c r="I316" s="490"/>
      <c r="J316" s="490"/>
      <c r="K316" s="490"/>
      <c r="L316" s="490"/>
      <c r="M316" s="84"/>
      <c r="N316" s="84"/>
      <c r="O316" s="84"/>
      <c r="P316" s="84"/>
      <c r="Q316" s="85"/>
      <c r="R316" s="84"/>
      <c r="S316" s="85"/>
      <c r="T316" s="84"/>
      <c r="U316" s="84"/>
      <c r="V316" s="84"/>
      <c r="W316" s="84"/>
      <c r="X316" s="84"/>
      <c r="Y316" s="84"/>
      <c r="Z316" s="84"/>
      <c r="AA316" s="84"/>
      <c r="AB316" s="84"/>
    </row>
    <row r="317" spans="1:28" ht="14.25">
      <c r="A317" s="84"/>
      <c r="B317" s="85"/>
      <c r="C317" s="85"/>
      <c r="D317" s="85"/>
      <c r="E317" s="504"/>
      <c r="F317" s="84"/>
      <c r="G317" s="84"/>
      <c r="H317" s="490"/>
      <c r="I317" s="490"/>
      <c r="J317" s="490"/>
      <c r="K317" s="490"/>
      <c r="L317" s="490"/>
      <c r="M317" s="84"/>
      <c r="N317" s="84"/>
      <c r="O317" s="84"/>
      <c r="P317" s="84"/>
      <c r="Q317" s="85"/>
      <c r="R317" s="84"/>
      <c r="S317" s="85"/>
      <c r="T317" s="84"/>
      <c r="U317" s="84"/>
      <c r="V317" s="84"/>
      <c r="W317" s="84"/>
      <c r="X317" s="84"/>
      <c r="Y317" s="84"/>
      <c r="Z317" s="84"/>
      <c r="AA317" s="84"/>
      <c r="AB317" s="84"/>
    </row>
    <row r="318" spans="1:28" ht="14.25">
      <c r="A318" s="84"/>
      <c r="B318" s="85"/>
      <c r="C318" s="85"/>
      <c r="D318" s="85"/>
      <c r="E318" s="504"/>
      <c r="F318" s="84"/>
      <c r="G318" s="84"/>
      <c r="H318" s="490"/>
      <c r="I318" s="490"/>
      <c r="J318" s="490"/>
      <c r="K318" s="490"/>
      <c r="L318" s="490"/>
      <c r="M318" s="84"/>
      <c r="N318" s="84"/>
      <c r="O318" s="84"/>
      <c r="P318" s="84"/>
      <c r="Q318" s="85"/>
      <c r="R318" s="84"/>
      <c r="S318" s="85"/>
      <c r="T318" s="84"/>
      <c r="U318" s="84"/>
      <c r="V318" s="84"/>
      <c r="W318" s="84"/>
      <c r="X318" s="84"/>
      <c r="Y318" s="84"/>
      <c r="Z318" s="84"/>
      <c r="AA318" s="84"/>
      <c r="AB318" s="84"/>
    </row>
    <row r="319" spans="1:28" ht="14.25">
      <c r="A319" s="84"/>
      <c r="B319" s="85"/>
      <c r="C319" s="85"/>
      <c r="D319" s="85"/>
      <c r="E319" s="504"/>
      <c r="F319" s="84"/>
      <c r="G319" s="84"/>
      <c r="H319" s="490"/>
      <c r="I319" s="490"/>
      <c r="J319" s="490"/>
      <c r="K319" s="490"/>
      <c r="L319" s="490"/>
      <c r="M319" s="84"/>
      <c r="N319" s="84"/>
      <c r="O319" s="84"/>
      <c r="P319" s="84"/>
      <c r="Q319" s="85"/>
      <c r="R319" s="84"/>
      <c r="S319" s="85"/>
      <c r="T319" s="84"/>
      <c r="U319" s="84"/>
      <c r="V319" s="84"/>
      <c r="W319" s="84"/>
      <c r="X319" s="84"/>
      <c r="Y319" s="84"/>
      <c r="Z319" s="84"/>
      <c r="AA319" s="84"/>
      <c r="AB319" s="84"/>
    </row>
    <row r="320" spans="1:28" ht="14.25">
      <c r="A320" s="84"/>
      <c r="B320" s="85"/>
      <c r="C320" s="85"/>
      <c r="D320" s="85"/>
      <c r="E320" s="504"/>
      <c r="F320" s="84"/>
      <c r="G320" s="84"/>
      <c r="H320" s="490"/>
      <c r="I320" s="490"/>
      <c r="J320" s="490"/>
      <c r="K320" s="490"/>
      <c r="L320" s="490"/>
      <c r="M320" s="84"/>
      <c r="N320" s="84"/>
      <c r="O320" s="84"/>
      <c r="P320" s="84"/>
      <c r="Q320" s="85"/>
      <c r="R320" s="84"/>
      <c r="S320" s="85"/>
      <c r="T320" s="84"/>
      <c r="U320" s="84"/>
      <c r="V320" s="84"/>
      <c r="W320" s="84"/>
      <c r="X320" s="84"/>
      <c r="Y320" s="84"/>
      <c r="Z320" s="84"/>
      <c r="AA320" s="84"/>
      <c r="AB320" s="84"/>
    </row>
    <row r="321" spans="1:28" ht="14.25">
      <c r="A321" s="84"/>
      <c r="B321" s="85"/>
      <c r="C321" s="85"/>
      <c r="D321" s="85"/>
      <c r="E321" s="504"/>
      <c r="F321" s="84"/>
      <c r="G321" s="84"/>
      <c r="H321" s="490"/>
      <c r="I321" s="490"/>
      <c r="J321" s="490"/>
      <c r="K321" s="490"/>
      <c r="L321" s="490"/>
      <c r="M321" s="84"/>
      <c r="N321" s="84"/>
      <c r="O321" s="84"/>
      <c r="P321" s="84"/>
      <c r="Q321" s="85"/>
      <c r="R321" s="84"/>
      <c r="S321" s="85"/>
      <c r="T321" s="84"/>
      <c r="U321" s="84"/>
      <c r="V321" s="84"/>
      <c r="W321" s="84"/>
      <c r="X321" s="84"/>
      <c r="Y321" s="84"/>
      <c r="Z321" s="84"/>
      <c r="AA321" s="84"/>
      <c r="AB321" s="84"/>
    </row>
    <row r="322" spans="1:28" ht="14.25">
      <c r="A322" s="84"/>
      <c r="B322" s="85"/>
      <c r="C322" s="85"/>
      <c r="D322" s="85"/>
      <c r="E322" s="504"/>
      <c r="F322" s="84"/>
      <c r="G322" s="84"/>
      <c r="H322" s="490"/>
      <c r="I322" s="490"/>
      <c r="J322" s="490"/>
      <c r="K322" s="490"/>
      <c r="L322" s="490"/>
      <c r="M322" s="84"/>
      <c r="N322" s="84"/>
      <c r="O322" s="84"/>
      <c r="P322" s="84"/>
      <c r="Q322" s="85"/>
      <c r="R322" s="84"/>
      <c r="S322" s="85"/>
      <c r="T322" s="84"/>
      <c r="U322" s="84"/>
      <c r="V322" s="84"/>
      <c r="W322" s="84"/>
      <c r="X322" s="84"/>
      <c r="Y322" s="84"/>
      <c r="Z322" s="84"/>
      <c r="AA322" s="84"/>
      <c r="AB322" s="84"/>
    </row>
    <row r="323" spans="1:28" ht="14.25">
      <c r="A323" s="84"/>
      <c r="B323" s="85"/>
      <c r="C323" s="85"/>
      <c r="D323" s="85"/>
      <c r="E323" s="504"/>
      <c r="F323" s="84"/>
      <c r="G323" s="84"/>
      <c r="H323" s="490"/>
      <c r="I323" s="490"/>
      <c r="J323" s="490"/>
      <c r="K323" s="490"/>
      <c r="L323" s="490"/>
      <c r="M323" s="84"/>
      <c r="N323" s="84"/>
      <c r="O323" s="84"/>
      <c r="P323" s="84"/>
      <c r="Q323" s="85"/>
      <c r="R323" s="84"/>
      <c r="S323" s="85"/>
      <c r="T323" s="84"/>
      <c r="U323" s="84"/>
      <c r="V323" s="84"/>
      <c r="W323" s="84"/>
      <c r="X323" s="84"/>
      <c r="Y323" s="84"/>
      <c r="Z323" s="84"/>
      <c r="AA323" s="84"/>
      <c r="AB323" s="84"/>
    </row>
    <row r="324" spans="1:28" ht="14.25">
      <c r="A324" s="84"/>
      <c r="B324" s="85"/>
      <c r="C324" s="85"/>
      <c r="D324" s="85"/>
      <c r="E324" s="504"/>
      <c r="F324" s="84"/>
      <c r="G324" s="84"/>
      <c r="H324" s="490"/>
      <c r="I324" s="490"/>
      <c r="J324" s="490"/>
      <c r="K324" s="490"/>
      <c r="L324" s="490"/>
      <c r="M324" s="84"/>
      <c r="N324" s="84"/>
      <c r="O324" s="84"/>
      <c r="P324" s="84"/>
      <c r="Q324" s="85"/>
      <c r="R324" s="84"/>
      <c r="S324" s="85"/>
      <c r="T324" s="84"/>
      <c r="U324" s="84"/>
      <c r="V324" s="84"/>
      <c r="W324" s="84"/>
      <c r="X324" s="84"/>
      <c r="Y324" s="84"/>
      <c r="Z324" s="84"/>
      <c r="AA324" s="84"/>
      <c r="AB324" s="84"/>
    </row>
    <row r="325" spans="1:28" ht="14.25">
      <c r="A325" s="84"/>
      <c r="B325" s="85"/>
      <c r="C325" s="85"/>
      <c r="D325" s="85"/>
      <c r="E325" s="504"/>
      <c r="F325" s="84"/>
      <c r="G325" s="84"/>
      <c r="H325" s="490"/>
      <c r="I325" s="490"/>
      <c r="J325" s="490"/>
      <c r="K325" s="490"/>
      <c r="L325" s="490"/>
      <c r="M325" s="84"/>
      <c r="N325" s="84"/>
      <c r="O325" s="84"/>
      <c r="P325" s="84"/>
      <c r="Q325" s="85"/>
      <c r="R325" s="84"/>
      <c r="S325" s="85"/>
      <c r="T325" s="84"/>
      <c r="U325" s="84"/>
      <c r="V325" s="84"/>
      <c r="W325" s="84"/>
      <c r="X325" s="84"/>
      <c r="Y325" s="84"/>
      <c r="Z325" s="84"/>
      <c r="AA325" s="84"/>
      <c r="AB325" s="84"/>
    </row>
    <row r="326" spans="1:28" ht="14.25">
      <c r="A326" s="84"/>
      <c r="B326" s="85"/>
      <c r="C326" s="85"/>
      <c r="D326" s="85"/>
      <c r="E326" s="504"/>
      <c r="F326" s="84"/>
      <c r="G326" s="84"/>
      <c r="H326" s="490"/>
      <c r="I326" s="490"/>
      <c r="J326" s="490"/>
      <c r="K326" s="490"/>
      <c r="L326" s="490"/>
      <c r="M326" s="84"/>
      <c r="N326" s="84"/>
      <c r="O326" s="84"/>
      <c r="P326" s="84"/>
      <c r="Q326" s="85"/>
      <c r="R326" s="84"/>
      <c r="S326" s="85"/>
      <c r="T326" s="84"/>
      <c r="U326" s="84"/>
      <c r="V326" s="84"/>
      <c r="W326" s="84"/>
      <c r="X326" s="84"/>
      <c r="Y326" s="84"/>
      <c r="Z326" s="84"/>
      <c r="AA326" s="84"/>
      <c r="AB326" s="84"/>
    </row>
    <row r="327" spans="1:28" ht="14.25">
      <c r="A327" s="84"/>
      <c r="B327" s="85"/>
      <c r="C327" s="85"/>
      <c r="D327" s="85"/>
      <c r="E327" s="504"/>
      <c r="F327" s="84"/>
      <c r="G327" s="84"/>
      <c r="H327" s="490"/>
      <c r="I327" s="490"/>
      <c r="J327" s="490"/>
      <c r="K327" s="490"/>
      <c r="L327" s="490"/>
      <c r="M327" s="84"/>
      <c r="N327" s="84"/>
      <c r="O327" s="84"/>
      <c r="P327" s="84"/>
      <c r="Q327" s="85"/>
      <c r="R327" s="84"/>
      <c r="S327" s="85"/>
      <c r="T327" s="84"/>
      <c r="U327" s="84"/>
      <c r="V327" s="84"/>
      <c r="W327" s="84"/>
      <c r="X327" s="84"/>
      <c r="Y327" s="84"/>
      <c r="Z327" s="84"/>
      <c r="AA327" s="84"/>
      <c r="AB327" s="84"/>
    </row>
    <row r="328" spans="1:28" ht="14.25">
      <c r="A328" s="84"/>
      <c r="B328" s="85"/>
      <c r="C328" s="85"/>
      <c r="D328" s="85"/>
      <c r="E328" s="504"/>
      <c r="F328" s="84"/>
      <c r="G328" s="84"/>
      <c r="H328" s="490"/>
      <c r="I328" s="490"/>
      <c r="J328" s="490"/>
      <c r="K328" s="490"/>
      <c r="L328" s="490"/>
      <c r="M328" s="84"/>
      <c r="N328" s="84"/>
      <c r="O328" s="84"/>
      <c r="P328" s="84"/>
      <c r="Q328" s="85"/>
      <c r="R328" s="84"/>
      <c r="S328" s="85"/>
      <c r="T328" s="84"/>
      <c r="U328" s="84"/>
      <c r="V328" s="84"/>
      <c r="W328" s="84"/>
      <c r="X328" s="84"/>
      <c r="Y328" s="84"/>
      <c r="Z328" s="84"/>
      <c r="AA328" s="84"/>
      <c r="AB328" s="84"/>
    </row>
    <row r="329" spans="1:28" ht="14.25">
      <c r="A329" s="84"/>
      <c r="B329" s="85"/>
      <c r="C329" s="85"/>
      <c r="D329" s="85"/>
      <c r="E329" s="504"/>
      <c r="F329" s="84"/>
      <c r="G329" s="84"/>
      <c r="H329" s="490"/>
      <c r="I329" s="490"/>
      <c r="J329" s="490"/>
      <c r="K329" s="490"/>
      <c r="L329" s="490"/>
      <c r="M329" s="84"/>
      <c r="N329" s="84"/>
      <c r="O329" s="84"/>
      <c r="P329" s="84"/>
      <c r="Q329" s="85"/>
      <c r="R329" s="84"/>
      <c r="S329" s="85"/>
      <c r="T329" s="84"/>
      <c r="U329" s="84"/>
      <c r="V329" s="84"/>
      <c r="W329" s="84"/>
      <c r="X329" s="84"/>
      <c r="Y329" s="84"/>
      <c r="Z329" s="84"/>
      <c r="AA329" s="84"/>
      <c r="AB329" s="84"/>
    </row>
    <row r="330" spans="1:28" ht="14.25">
      <c r="A330" s="84"/>
      <c r="B330" s="85"/>
      <c r="C330" s="85"/>
      <c r="D330" s="85"/>
      <c r="E330" s="504"/>
      <c r="F330" s="84"/>
      <c r="G330" s="84"/>
      <c r="H330" s="490"/>
      <c r="I330" s="490"/>
      <c r="J330" s="490"/>
      <c r="K330" s="490"/>
      <c r="L330" s="490"/>
      <c r="M330" s="84"/>
      <c r="N330" s="84"/>
      <c r="O330" s="84"/>
      <c r="P330" s="84"/>
      <c r="Q330" s="85"/>
      <c r="R330" s="84"/>
      <c r="S330" s="85"/>
      <c r="T330" s="84"/>
      <c r="U330" s="84"/>
      <c r="V330" s="84"/>
      <c r="W330" s="84"/>
      <c r="X330" s="84"/>
      <c r="Y330" s="84"/>
      <c r="Z330" s="84"/>
      <c r="AA330" s="84"/>
      <c r="AB330" s="84"/>
    </row>
    <row r="331" spans="1:28" ht="14.25">
      <c r="A331" s="84"/>
      <c r="B331" s="85"/>
      <c r="C331" s="85"/>
      <c r="D331" s="85"/>
      <c r="E331" s="504"/>
      <c r="F331" s="84"/>
      <c r="G331" s="84"/>
      <c r="H331" s="490"/>
      <c r="I331" s="490"/>
      <c r="J331" s="490"/>
      <c r="K331" s="490"/>
      <c r="L331" s="490"/>
      <c r="M331" s="84"/>
      <c r="N331" s="84"/>
      <c r="O331" s="84"/>
      <c r="P331" s="84"/>
      <c r="Q331" s="85"/>
      <c r="R331" s="84"/>
      <c r="S331" s="85"/>
      <c r="T331" s="84"/>
      <c r="U331" s="84"/>
      <c r="V331" s="84"/>
      <c r="W331" s="84"/>
      <c r="X331" s="84"/>
      <c r="Y331" s="84"/>
      <c r="Z331" s="84"/>
      <c r="AA331" s="84"/>
      <c r="AB331" s="84"/>
    </row>
    <row r="332" spans="1:28" ht="14.25">
      <c r="A332" s="84"/>
      <c r="B332" s="85"/>
      <c r="C332" s="85"/>
      <c r="D332" s="85"/>
      <c r="E332" s="504"/>
      <c r="F332" s="84"/>
      <c r="G332" s="84"/>
      <c r="H332" s="490"/>
      <c r="I332" s="490"/>
      <c r="J332" s="490"/>
      <c r="K332" s="490"/>
      <c r="L332" s="490"/>
      <c r="M332" s="84"/>
      <c r="N332" s="84"/>
      <c r="O332" s="84"/>
      <c r="P332" s="84"/>
      <c r="Q332" s="85"/>
      <c r="R332" s="84"/>
      <c r="S332" s="85"/>
      <c r="T332" s="84"/>
      <c r="U332" s="84"/>
      <c r="V332" s="84"/>
      <c r="W332" s="84"/>
      <c r="X332" s="84"/>
      <c r="Y332" s="84"/>
      <c r="Z332" s="84"/>
      <c r="AA332" s="84"/>
      <c r="AB332" s="84"/>
    </row>
    <row r="333" spans="1:28" ht="14.25">
      <c r="A333" s="84"/>
      <c r="B333" s="85"/>
      <c r="C333" s="85"/>
      <c r="D333" s="85"/>
      <c r="E333" s="504"/>
      <c r="F333" s="84"/>
      <c r="G333" s="84"/>
      <c r="H333" s="490"/>
      <c r="I333" s="490"/>
      <c r="J333" s="490"/>
      <c r="K333" s="490"/>
      <c r="L333" s="490"/>
      <c r="M333" s="84"/>
      <c r="N333" s="84"/>
      <c r="O333" s="84"/>
      <c r="P333" s="84"/>
      <c r="Q333" s="85"/>
      <c r="R333" s="84"/>
      <c r="S333" s="85"/>
      <c r="T333" s="84"/>
      <c r="U333" s="84"/>
      <c r="V333" s="84"/>
      <c r="W333" s="84"/>
      <c r="X333" s="84"/>
      <c r="Y333" s="84"/>
      <c r="Z333" s="84"/>
      <c r="AA333" s="84"/>
      <c r="AB333" s="84"/>
    </row>
    <row r="334" spans="1:28" ht="14.25">
      <c r="A334" s="84"/>
      <c r="B334" s="85"/>
      <c r="C334" s="85"/>
      <c r="D334" s="85"/>
      <c r="E334" s="504"/>
      <c r="F334" s="84"/>
      <c r="G334" s="84"/>
      <c r="H334" s="490"/>
      <c r="I334" s="490"/>
      <c r="J334" s="490"/>
      <c r="K334" s="490"/>
      <c r="L334" s="490"/>
      <c r="M334" s="84"/>
      <c r="N334" s="84"/>
      <c r="O334" s="84"/>
      <c r="P334" s="84"/>
      <c r="Q334" s="85"/>
      <c r="R334" s="84"/>
      <c r="S334" s="85"/>
      <c r="T334" s="84"/>
      <c r="U334" s="84"/>
      <c r="V334" s="84"/>
      <c r="W334" s="84"/>
      <c r="X334" s="84"/>
      <c r="Y334" s="84"/>
      <c r="Z334" s="84"/>
      <c r="AA334" s="84"/>
      <c r="AB334" s="84"/>
    </row>
    <row r="335" spans="1:28" ht="14.25">
      <c r="A335" s="84"/>
      <c r="B335" s="85"/>
      <c r="C335" s="85"/>
      <c r="D335" s="85"/>
      <c r="E335" s="504"/>
      <c r="F335" s="84"/>
      <c r="G335" s="84"/>
      <c r="H335" s="490"/>
      <c r="I335" s="490"/>
      <c r="J335" s="490"/>
      <c r="K335" s="490"/>
      <c r="L335" s="490"/>
      <c r="M335" s="84"/>
      <c r="N335" s="84"/>
      <c r="O335" s="84"/>
      <c r="P335" s="84"/>
      <c r="Q335" s="85"/>
      <c r="R335" s="84"/>
      <c r="S335" s="85"/>
      <c r="T335" s="84"/>
      <c r="U335" s="84"/>
      <c r="V335" s="84"/>
      <c r="W335" s="84"/>
      <c r="X335" s="84"/>
      <c r="Y335" s="84"/>
      <c r="Z335" s="84"/>
      <c r="AA335" s="84"/>
      <c r="AB335" s="84"/>
    </row>
    <row r="336" spans="1:28" ht="14.25">
      <c r="A336" s="84"/>
      <c r="B336" s="85"/>
      <c r="C336" s="85"/>
      <c r="D336" s="85"/>
      <c r="E336" s="504"/>
      <c r="F336" s="84"/>
      <c r="G336" s="84"/>
      <c r="H336" s="490"/>
      <c r="I336" s="490"/>
      <c r="J336" s="490"/>
      <c r="K336" s="490"/>
      <c r="L336" s="490"/>
      <c r="M336" s="84"/>
      <c r="N336" s="84"/>
      <c r="O336" s="84"/>
      <c r="P336" s="84"/>
      <c r="Q336" s="85"/>
      <c r="R336" s="84"/>
      <c r="S336" s="85"/>
      <c r="T336" s="84"/>
      <c r="U336" s="84"/>
      <c r="V336" s="84"/>
      <c r="W336" s="84"/>
      <c r="X336" s="84"/>
      <c r="Y336" s="84"/>
      <c r="Z336" s="84"/>
      <c r="AA336" s="84"/>
      <c r="AB336" s="84"/>
    </row>
    <row r="337" spans="1:28" ht="14.25">
      <c r="A337" s="84"/>
      <c r="B337" s="85"/>
      <c r="C337" s="85"/>
      <c r="D337" s="85"/>
      <c r="E337" s="504"/>
      <c r="F337" s="84"/>
      <c r="G337" s="84"/>
      <c r="H337" s="490"/>
      <c r="I337" s="490"/>
      <c r="J337" s="490"/>
      <c r="K337" s="490"/>
      <c r="L337" s="490"/>
      <c r="M337" s="84"/>
      <c r="N337" s="84"/>
      <c r="O337" s="84"/>
      <c r="P337" s="84"/>
      <c r="Q337" s="85"/>
      <c r="R337" s="84"/>
      <c r="S337" s="85"/>
      <c r="T337" s="84"/>
      <c r="U337" s="84"/>
      <c r="V337" s="84"/>
      <c r="W337" s="84"/>
      <c r="X337" s="84"/>
      <c r="Y337" s="84"/>
      <c r="Z337" s="84"/>
      <c r="AA337" s="84"/>
      <c r="AB337" s="84"/>
    </row>
    <row r="338" spans="1:28" ht="14.25">
      <c r="A338" s="84"/>
      <c r="B338" s="85"/>
      <c r="C338" s="85"/>
      <c r="D338" s="85"/>
      <c r="E338" s="504"/>
      <c r="F338" s="84"/>
      <c r="G338" s="84"/>
      <c r="H338" s="490"/>
      <c r="I338" s="490"/>
      <c r="J338" s="490"/>
      <c r="K338" s="490"/>
      <c r="L338" s="490"/>
      <c r="M338" s="84"/>
      <c r="N338" s="84"/>
      <c r="O338" s="84"/>
      <c r="P338" s="84"/>
      <c r="Q338" s="85"/>
      <c r="R338" s="84"/>
      <c r="S338" s="85"/>
      <c r="T338" s="84"/>
      <c r="U338" s="84"/>
      <c r="V338" s="84"/>
      <c r="W338" s="84"/>
      <c r="X338" s="84"/>
      <c r="Y338" s="84"/>
      <c r="Z338" s="84"/>
      <c r="AA338" s="84"/>
      <c r="AB338" s="84"/>
    </row>
    <row r="339" spans="1:28" ht="14.25">
      <c r="A339" s="84"/>
      <c r="B339" s="85"/>
      <c r="C339" s="85"/>
      <c r="D339" s="85"/>
      <c r="E339" s="504"/>
      <c r="F339" s="84"/>
      <c r="G339" s="84"/>
      <c r="H339" s="490"/>
      <c r="I339" s="490"/>
      <c r="J339" s="490"/>
      <c r="K339" s="490"/>
      <c r="L339" s="490"/>
      <c r="M339" s="84"/>
      <c r="N339" s="84"/>
      <c r="O339" s="84"/>
      <c r="P339" s="84"/>
      <c r="Q339" s="85"/>
      <c r="R339" s="84"/>
      <c r="S339" s="85"/>
      <c r="T339" s="84"/>
      <c r="U339" s="84"/>
      <c r="V339" s="84"/>
      <c r="W339" s="84"/>
      <c r="X339" s="84"/>
      <c r="Y339" s="84"/>
      <c r="Z339" s="84"/>
      <c r="AA339" s="84"/>
      <c r="AB339" s="84"/>
    </row>
    <row r="340" spans="1:28" ht="14.25">
      <c r="A340" s="84"/>
      <c r="B340" s="85"/>
      <c r="C340" s="85"/>
      <c r="D340" s="85"/>
      <c r="E340" s="504"/>
      <c r="F340" s="84"/>
      <c r="G340" s="84"/>
      <c r="H340" s="490"/>
      <c r="I340" s="490"/>
      <c r="J340" s="490"/>
      <c r="K340" s="490"/>
      <c r="L340" s="490"/>
      <c r="M340" s="84"/>
      <c r="N340" s="84"/>
      <c r="O340" s="84"/>
      <c r="P340" s="84"/>
      <c r="Q340" s="85"/>
      <c r="R340" s="84"/>
      <c r="S340" s="85"/>
      <c r="T340" s="84"/>
      <c r="U340" s="84"/>
      <c r="V340" s="84"/>
      <c r="W340" s="84"/>
      <c r="X340" s="84"/>
      <c r="Y340" s="84"/>
      <c r="Z340" s="84"/>
      <c r="AA340" s="84"/>
      <c r="AB340" s="84"/>
    </row>
    <row r="341" spans="1:28" ht="14.25">
      <c r="A341" s="84"/>
      <c r="B341" s="85"/>
      <c r="C341" s="85"/>
      <c r="D341" s="85"/>
      <c r="E341" s="504"/>
      <c r="F341" s="84"/>
      <c r="G341" s="84"/>
      <c r="H341" s="490"/>
      <c r="I341" s="490"/>
      <c r="J341" s="490"/>
      <c r="K341" s="490"/>
      <c r="L341" s="490"/>
      <c r="M341" s="84"/>
      <c r="N341" s="84"/>
      <c r="O341" s="84"/>
      <c r="P341" s="84"/>
      <c r="Q341" s="85"/>
      <c r="R341" s="84"/>
      <c r="S341" s="85"/>
      <c r="T341" s="84"/>
      <c r="U341" s="84"/>
      <c r="V341" s="84"/>
      <c r="W341" s="84"/>
      <c r="X341" s="84"/>
      <c r="Y341" s="84"/>
      <c r="Z341" s="84"/>
      <c r="AA341" s="84"/>
      <c r="AB341" s="84"/>
    </row>
    <row r="342" spans="1:28" ht="14.25">
      <c r="A342" s="84"/>
      <c r="B342" s="85"/>
      <c r="C342" s="85"/>
      <c r="D342" s="85"/>
      <c r="E342" s="504"/>
      <c r="F342" s="84"/>
      <c r="G342" s="84"/>
      <c r="H342" s="490"/>
      <c r="I342" s="490"/>
      <c r="J342" s="490"/>
      <c r="K342" s="490"/>
      <c r="L342" s="490"/>
      <c r="M342" s="84"/>
      <c r="N342" s="84"/>
      <c r="O342" s="84"/>
      <c r="P342" s="84"/>
      <c r="Q342" s="85"/>
      <c r="R342" s="84"/>
      <c r="S342" s="85"/>
      <c r="T342" s="84"/>
      <c r="U342" s="84"/>
      <c r="V342" s="84"/>
      <c r="W342" s="84"/>
      <c r="X342" s="84"/>
      <c r="Y342" s="84"/>
      <c r="Z342" s="84"/>
      <c r="AA342" s="84"/>
      <c r="AB342" s="84"/>
    </row>
    <row r="343" spans="1:28" ht="14.25">
      <c r="A343" s="84"/>
      <c r="B343" s="85"/>
      <c r="C343" s="85"/>
      <c r="D343" s="85"/>
      <c r="E343" s="504"/>
      <c r="F343" s="84"/>
      <c r="G343" s="84"/>
      <c r="H343" s="490"/>
      <c r="I343" s="490"/>
      <c r="J343" s="490"/>
      <c r="K343" s="490"/>
      <c r="L343" s="490"/>
      <c r="M343" s="84"/>
      <c r="N343" s="84"/>
      <c r="O343" s="84"/>
      <c r="P343" s="84"/>
      <c r="Q343" s="85"/>
      <c r="R343" s="84"/>
      <c r="S343" s="85"/>
      <c r="T343" s="84"/>
      <c r="U343" s="84"/>
      <c r="V343" s="84"/>
      <c r="W343" s="84"/>
      <c r="X343" s="84"/>
      <c r="Y343" s="84"/>
      <c r="Z343" s="84"/>
      <c r="AA343" s="84"/>
      <c r="AB343" s="84"/>
    </row>
    <row r="344" spans="1:28" ht="14.25">
      <c r="A344" s="84"/>
      <c r="B344" s="85"/>
      <c r="C344" s="85"/>
      <c r="D344" s="85"/>
      <c r="E344" s="504"/>
      <c r="F344" s="84"/>
      <c r="G344" s="84"/>
      <c r="H344" s="490"/>
      <c r="I344" s="490"/>
      <c r="J344" s="490"/>
      <c r="K344" s="490"/>
      <c r="L344" s="490"/>
      <c r="M344" s="84"/>
      <c r="N344" s="84"/>
      <c r="O344" s="84"/>
      <c r="P344" s="84"/>
      <c r="Q344" s="85"/>
      <c r="R344" s="84"/>
      <c r="S344" s="85"/>
      <c r="T344" s="84"/>
      <c r="U344" s="84"/>
      <c r="V344" s="84"/>
      <c r="W344" s="84"/>
      <c r="X344" s="84"/>
      <c r="Y344" s="84"/>
      <c r="Z344" s="84"/>
      <c r="AA344" s="84"/>
      <c r="AB344" s="84"/>
    </row>
    <row r="345" spans="1:28" ht="14.25">
      <c r="A345" s="84"/>
      <c r="B345" s="85"/>
      <c r="C345" s="85"/>
      <c r="D345" s="85"/>
      <c r="E345" s="504"/>
      <c r="F345" s="84"/>
      <c r="G345" s="84"/>
      <c r="H345" s="490"/>
      <c r="I345" s="490"/>
      <c r="J345" s="490"/>
      <c r="K345" s="490"/>
      <c r="L345" s="490"/>
      <c r="M345" s="84"/>
      <c r="N345" s="84"/>
      <c r="O345" s="84"/>
      <c r="P345" s="84"/>
      <c r="Q345" s="85"/>
      <c r="R345" s="84"/>
      <c r="S345" s="85"/>
      <c r="T345" s="84"/>
      <c r="U345" s="84"/>
      <c r="V345" s="84"/>
      <c r="W345" s="84"/>
      <c r="X345" s="84"/>
      <c r="Y345" s="84"/>
      <c r="Z345" s="84"/>
      <c r="AA345" s="84"/>
      <c r="AB345" s="84"/>
    </row>
    <row r="346" spans="1:28" ht="14.25">
      <c r="A346" s="84"/>
      <c r="B346" s="85"/>
      <c r="C346" s="85"/>
      <c r="D346" s="85"/>
      <c r="E346" s="504"/>
      <c r="F346" s="84"/>
      <c r="G346" s="84"/>
      <c r="H346" s="490"/>
      <c r="I346" s="490"/>
      <c r="J346" s="490"/>
      <c r="K346" s="490"/>
      <c r="L346" s="490"/>
      <c r="M346" s="84"/>
      <c r="N346" s="84"/>
      <c r="O346" s="84"/>
      <c r="P346" s="84"/>
      <c r="Q346" s="85"/>
      <c r="R346" s="84"/>
      <c r="S346" s="85"/>
      <c r="T346" s="84"/>
      <c r="U346" s="84"/>
      <c r="V346" s="84"/>
      <c r="W346" s="84"/>
      <c r="X346" s="84"/>
      <c r="Y346" s="84"/>
      <c r="Z346" s="84"/>
      <c r="AA346" s="84"/>
      <c r="AB346" s="84"/>
    </row>
    <row r="347" spans="1:28" ht="14.25">
      <c r="A347" s="84"/>
      <c r="B347" s="85"/>
      <c r="C347" s="85"/>
      <c r="D347" s="85"/>
      <c r="E347" s="504"/>
      <c r="F347" s="84"/>
      <c r="G347" s="84"/>
      <c r="H347" s="490"/>
      <c r="I347" s="490"/>
      <c r="J347" s="490"/>
      <c r="K347" s="490"/>
      <c r="L347" s="490"/>
      <c r="M347" s="84"/>
      <c r="N347" s="84"/>
      <c r="O347" s="84"/>
      <c r="P347" s="84"/>
      <c r="Q347" s="85"/>
      <c r="R347" s="84"/>
      <c r="S347" s="85"/>
      <c r="T347" s="84"/>
      <c r="U347" s="84"/>
      <c r="V347" s="84"/>
      <c r="W347" s="84"/>
      <c r="X347" s="84"/>
      <c r="Y347" s="84"/>
      <c r="Z347" s="84"/>
      <c r="AA347" s="84"/>
      <c r="AB347" s="84"/>
    </row>
    <row r="348" spans="1:28" ht="14.25">
      <c r="A348" s="84"/>
      <c r="B348" s="85"/>
      <c r="C348" s="85"/>
      <c r="D348" s="85"/>
      <c r="E348" s="504"/>
      <c r="F348" s="84"/>
      <c r="G348" s="84"/>
      <c r="H348" s="490"/>
      <c r="I348" s="490"/>
      <c r="J348" s="490"/>
      <c r="K348" s="490"/>
      <c r="L348" s="490"/>
      <c r="M348" s="84"/>
      <c r="N348" s="84"/>
      <c r="O348" s="84"/>
      <c r="P348" s="84"/>
      <c r="Q348" s="85"/>
      <c r="R348" s="84"/>
      <c r="S348" s="85"/>
      <c r="T348" s="84"/>
      <c r="U348" s="84"/>
      <c r="V348" s="84"/>
      <c r="W348" s="84"/>
      <c r="X348" s="84"/>
      <c r="Y348" s="84"/>
      <c r="Z348" s="84"/>
      <c r="AA348" s="84"/>
      <c r="AB348" s="84"/>
    </row>
    <row r="349" spans="1:28" ht="14.25">
      <c r="A349" s="84"/>
      <c r="B349" s="85"/>
      <c r="C349" s="85"/>
      <c r="D349" s="85"/>
      <c r="E349" s="504"/>
      <c r="F349" s="84"/>
      <c r="G349" s="84"/>
      <c r="H349" s="490"/>
      <c r="I349" s="490"/>
      <c r="J349" s="490"/>
      <c r="K349" s="490"/>
      <c r="L349" s="490"/>
      <c r="M349" s="84"/>
      <c r="N349" s="84"/>
      <c r="O349" s="84"/>
      <c r="P349" s="84"/>
      <c r="Q349" s="85"/>
      <c r="R349" s="84"/>
      <c r="S349" s="85"/>
      <c r="T349" s="84"/>
      <c r="U349" s="84"/>
      <c r="V349" s="84"/>
      <c r="W349" s="84"/>
      <c r="X349" s="84"/>
      <c r="Y349" s="84"/>
      <c r="Z349" s="84"/>
      <c r="AA349" s="84"/>
      <c r="AB349" s="84"/>
    </row>
    <row r="350" spans="1:28" ht="14.25">
      <c r="A350" s="84"/>
      <c r="B350" s="85"/>
      <c r="C350" s="85"/>
      <c r="D350" s="85"/>
      <c r="E350" s="504"/>
      <c r="F350" s="84"/>
      <c r="G350" s="84"/>
      <c r="H350" s="490"/>
      <c r="I350" s="490"/>
      <c r="J350" s="490"/>
      <c r="K350" s="490"/>
      <c r="L350" s="490"/>
      <c r="M350" s="84"/>
      <c r="N350" s="84"/>
      <c r="O350" s="84"/>
      <c r="P350" s="84"/>
      <c r="Q350" s="85"/>
      <c r="R350" s="84"/>
      <c r="S350" s="85"/>
      <c r="T350" s="84"/>
      <c r="U350" s="84"/>
      <c r="V350" s="84"/>
      <c r="W350" s="84"/>
      <c r="X350" s="84"/>
      <c r="Y350" s="84"/>
      <c r="Z350" s="84"/>
      <c r="AA350" s="84"/>
      <c r="AB350" s="84"/>
    </row>
    <row r="351" spans="1:28" ht="14.25">
      <c r="A351" s="84"/>
      <c r="B351" s="85"/>
      <c r="C351" s="85"/>
      <c r="D351" s="85"/>
      <c r="E351" s="504"/>
      <c r="F351" s="84"/>
      <c r="G351" s="84"/>
      <c r="H351" s="490"/>
      <c r="I351" s="490"/>
      <c r="J351" s="490"/>
      <c r="K351" s="490"/>
      <c r="L351" s="490"/>
      <c r="M351" s="84"/>
      <c r="N351" s="84"/>
      <c r="O351" s="84"/>
      <c r="P351" s="84"/>
      <c r="Q351" s="85"/>
      <c r="R351" s="84"/>
      <c r="S351" s="85"/>
      <c r="T351" s="84"/>
      <c r="U351" s="84"/>
      <c r="V351" s="84"/>
      <c r="W351" s="84"/>
      <c r="X351" s="84"/>
      <c r="Y351" s="84"/>
      <c r="Z351" s="84"/>
      <c r="AA351" s="84"/>
      <c r="AB351" s="84"/>
    </row>
    <row r="352" spans="1:28" ht="14.25">
      <c r="A352" s="84"/>
      <c r="B352" s="85"/>
      <c r="C352" s="85"/>
      <c r="D352" s="85"/>
      <c r="E352" s="504"/>
      <c r="F352" s="84"/>
      <c r="G352" s="84"/>
      <c r="H352" s="490"/>
      <c r="I352" s="490"/>
      <c r="J352" s="490"/>
      <c r="K352" s="490"/>
      <c r="L352" s="490"/>
      <c r="M352" s="84"/>
      <c r="N352" s="84"/>
      <c r="O352" s="84"/>
      <c r="P352" s="84"/>
      <c r="Q352" s="85"/>
      <c r="R352" s="84"/>
      <c r="S352" s="85"/>
      <c r="T352" s="84"/>
      <c r="U352" s="84"/>
      <c r="V352" s="84"/>
      <c r="W352" s="84"/>
      <c r="X352" s="84"/>
      <c r="Y352" s="84"/>
      <c r="Z352" s="84"/>
      <c r="AA352" s="84"/>
      <c r="AB352" s="84"/>
    </row>
    <row r="353" spans="1:28" ht="14.25">
      <c r="A353" s="84"/>
      <c r="B353" s="85"/>
      <c r="C353" s="85"/>
      <c r="D353" s="85"/>
      <c r="E353" s="504"/>
      <c r="F353" s="84"/>
      <c r="G353" s="84"/>
      <c r="H353" s="490"/>
      <c r="I353" s="490"/>
      <c r="J353" s="490"/>
      <c r="K353" s="490"/>
      <c r="L353" s="490"/>
      <c r="M353" s="84"/>
      <c r="N353" s="84"/>
      <c r="O353" s="84"/>
      <c r="P353" s="84"/>
      <c r="Q353" s="85"/>
      <c r="R353" s="84"/>
      <c r="S353" s="85"/>
      <c r="T353" s="84"/>
      <c r="U353" s="84"/>
      <c r="V353" s="84"/>
      <c r="W353" s="84"/>
      <c r="X353" s="84"/>
      <c r="Y353" s="84"/>
      <c r="Z353" s="84"/>
      <c r="AA353" s="84"/>
      <c r="AB353" s="84"/>
    </row>
    <row r="354" spans="1:28" ht="14.25">
      <c r="A354" s="84"/>
      <c r="B354" s="85"/>
      <c r="C354" s="85"/>
      <c r="D354" s="85"/>
      <c r="E354" s="504"/>
      <c r="F354" s="84"/>
      <c r="G354" s="84"/>
      <c r="H354" s="490"/>
      <c r="I354" s="490"/>
      <c r="J354" s="490"/>
      <c r="K354" s="490"/>
      <c r="L354" s="490"/>
      <c r="M354" s="84"/>
      <c r="N354" s="84"/>
      <c r="O354" s="84"/>
      <c r="P354" s="84"/>
      <c r="Q354" s="85"/>
      <c r="R354" s="84"/>
      <c r="S354" s="85"/>
      <c r="T354" s="84"/>
      <c r="U354" s="84"/>
      <c r="V354" s="84"/>
      <c r="W354" s="84"/>
      <c r="X354" s="84"/>
      <c r="Y354" s="84"/>
      <c r="Z354" s="84"/>
      <c r="AA354" s="84"/>
      <c r="AB354" s="84"/>
    </row>
    <row r="355" spans="1:28" ht="14.25">
      <c r="A355" s="84"/>
      <c r="B355" s="85"/>
      <c r="C355" s="85"/>
      <c r="D355" s="85"/>
      <c r="E355" s="504"/>
      <c r="F355" s="84"/>
      <c r="G355" s="84"/>
      <c r="H355" s="490"/>
      <c r="I355" s="490"/>
      <c r="J355" s="490"/>
      <c r="K355" s="490"/>
      <c r="L355" s="490"/>
      <c r="M355" s="84"/>
      <c r="N355" s="84"/>
      <c r="O355" s="84"/>
      <c r="P355" s="84"/>
      <c r="Q355" s="85"/>
      <c r="R355" s="84"/>
      <c r="S355" s="85"/>
      <c r="T355" s="84"/>
      <c r="U355" s="84"/>
      <c r="V355" s="84"/>
      <c r="W355" s="84"/>
      <c r="X355" s="84"/>
      <c r="Y355" s="84"/>
      <c r="Z355" s="84"/>
      <c r="AA355" s="84"/>
      <c r="AB355" s="84"/>
    </row>
    <row r="356" spans="1:28" ht="14.25">
      <c r="A356" s="84"/>
      <c r="B356" s="85"/>
      <c r="C356" s="85"/>
      <c r="D356" s="85"/>
      <c r="E356" s="504"/>
      <c r="F356" s="84"/>
      <c r="G356" s="84"/>
      <c r="H356" s="490"/>
      <c r="I356" s="490"/>
      <c r="J356" s="490"/>
      <c r="K356" s="490"/>
      <c r="L356" s="490"/>
      <c r="M356" s="84"/>
      <c r="N356" s="84"/>
      <c r="O356" s="84"/>
      <c r="P356" s="84"/>
      <c r="Q356" s="85"/>
      <c r="R356" s="84"/>
      <c r="S356" s="85"/>
      <c r="T356" s="84"/>
      <c r="U356" s="84"/>
      <c r="V356" s="84"/>
      <c r="W356" s="84"/>
      <c r="X356" s="84"/>
      <c r="Y356" s="84"/>
      <c r="Z356" s="84"/>
      <c r="AA356" s="84"/>
      <c r="AB356" s="84"/>
    </row>
    <row r="357" spans="1:28" ht="14.25">
      <c r="A357" s="84"/>
      <c r="B357" s="85"/>
      <c r="C357" s="85"/>
      <c r="D357" s="85"/>
      <c r="E357" s="504"/>
      <c r="F357" s="84"/>
      <c r="G357" s="84"/>
      <c r="H357" s="490"/>
      <c r="I357" s="490"/>
      <c r="J357" s="490"/>
      <c r="K357" s="490"/>
      <c r="L357" s="490"/>
      <c r="M357" s="84"/>
      <c r="N357" s="84"/>
      <c r="O357" s="84"/>
      <c r="P357" s="84"/>
      <c r="Q357" s="85"/>
      <c r="R357" s="84"/>
      <c r="S357" s="85"/>
      <c r="T357" s="84"/>
      <c r="U357" s="84"/>
      <c r="V357" s="84"/>
      <c r="W357" s="84"/>
      <c r="X357" s="84"/>
      <c r="Y357" s="84"/>
      <c r="Z357" s="84"/>
      <c r="AA357" s="84"/>
      <c r="AB357" s="84"/>
    </row>
    <row r="358" spans="1:28" ht="14.25">
      <c r="A358" s="84"/>
      <c r="B358" s="85"/>
      <c r="C358" s="85"/>
      <c r="D358" s="85"/>
      <c r="E358" s="504"/>
      <c r="F358" s="84"/>
      <c r="G358" s="84"/>
      <c r="H358" s="490"/>
      <c r="I358" s="490"/>
      <c r="J358" s="490"/>
      <c r="K358" s="490"/>
      <c r="L358" s="490"/>
      <c r="M358" s="84"/>
      <c r="N358" s="84"/>
      <c r="O358" s="84"/>
      <c r="P358" s="84"/>
      <c r="Q358" s="85"/>
      <c r="R358" s="84"/>
      <c r="S358" s="85"/>
      <c r="T358" s="84"/>
      <c r="U358" s="84"/>
      <c r="V358" s="84"/>
      <c r="W358" s="84"/>
      <c r="X358" s="84"/>
      <c r="Y358" s="84"/>
      <c r="Z358" s="84"/>
      <c r="AA358" s="84"/>
      <c r="AB358" s="84"/>
    </row>
    <row r="359" spans="1:28" ht="14.25">
      <c r="A359" s="84"/>
      <c r="B359" s="85"/>
      <c r="C359" s="85"/>
      <c r="D359" s="85"/>
      <c r="E359" s="504"/>
      <c r="F359" s="84"/>
      <c r="G359" s="84"/>
      <c r="H359" s="490"/>
      <c r="I359" s="490"/>
      <c r="J359" s="490"/>
      <c r="K359" s="490"/>
      <c r="L359" s="490"/>
      <c r="M359" s="84"/>
      <c r="N359" s="84"/>
      <c r="O359" s="84"/>
      <c r="P359" s="84"/>
      <c r="Q359" s="85"/>
      <c r="R359" s="84"/>
      <c r="S359" s="85"/>
      <c r="T359" s="84"/>
      <c r="U359" s="84"/>
      <c r="V359" s="84"/>
      <c r="W359" s="84"/>
      <c r="X359" s="84"/>
      <c r="Y359" s="84"/>
      <c r="Z359" s="84"/>
      <c r="AA359" s="84"/>
      <c r="AB359" s="84"/>
    </row>
    <row r="360" spans="1:28" ht="14.25">
      <c r="A360" s="84"/>
      <c r="B360" s="85"/>
      <c r="C360" s="85"/>
      <c r="D360" s="85"/>
      <c r="E360" s="504"/>
      <c r="F360" s="84"/>
      <c r="G360" s="84"/>
      <c r="H360" s="490"/>
      <c r="I360" s="490"/>
      <c r="J360" s="490"/>
      <c r="K360" s="490"/>
      <c r="L360" s="490"/>
      <c r="M360" s="84"/>
      <c r="N360" s="84"/>
      <c r="O360" s="84"/>
      <c r="P360" s="84"/>
      <c r="Q360" s="85"/>
      <c r="R360" s="84"/>
      <c r="S360" s="85"/>
      <c r="T360" s="84"/>
      <c r="U360" s="84"/>
      <c r="V360" s="84"/>
      <c r="W360" s="84"/>
      <c r="X360" s="84"/>
      <c r="Y360" s="84"/>
      <c r="Z360" s="84"/>
      <c r="AA360" s="84"/>
      <c r="AB360" s="84"/>
    </row>
    <row r="361" spans="1:28" ht="14.25">
      <c r="A361" s="84"/>
      <c r="B361" s="85"/>
      <c r="C361" s="85"/>
      <c r="D361" s="85"/>
      <c r="E361" s="504"/>
      <c r="F361" s="84"/>
      <c r="G361" s="84"/>
      <c r="H361" s="490"/>
      <c r="I361" s="490"/>
      <c r="J361" s="490"/>
      <c r="K361" s="490"/>
      <c r="L361" s="490"/>
      <c r="M361" s="84"/>
      <c r="N361" s="84"/>
      <c r="O361" s="84"/>
      <c r="P361" s="84"/>
      <c r="Q361" s="85"/>
      <c r="R361" s="84"/>
      <c r="S361" s="85"/>
      <c r="T361" s="84"/>
      <c r="U361" s="84"/>
      <c r="V361" s="84"/>
      <c r="W361" s="84"/>
      <c r="X361" s="84"/>
      <c r="Y361" s="84"/>
      <c r="Z361" s="84"/>
      <c r="AA361" s="84"/>
      <c r="AB361" s="84"/>
    </row>
    <row r="362" spans="1:28" ht="14.25">
      <c r="A362" s="84"/>
      <c r="B362" s="85"/>
      <c r="C362" s="85"/>
      <c r="D362" s="85"/>
      <c r="E362" s="504"/>
      <c r="F362" s="84"/>
      <c r="G362" s="84"/>
      <c r="H362" s="490"/>
      <c r="I362" s="490"/>
      <c r="J362" s="490"/>
      <c r="K362" s="490"/>
      <c r="L362" s="490"/>
      <c r="M362" s="84"/>
      <c r="N362" s="84"/>
      <c r="O362" s="84"/>
      <c r="P362" s="84"/>
      <c r="Q362" s="85"/>
      <c r="R362" s="84"/>
      <c r="S362" s="85"/>
      <c r="T362" s="84"/>
      <c r="U362" s="84"/>
      <c r="V362" s="84"/>
      <c r="W362" s="84"/>
      <c r="X362" s="84"/>
      <c r="Y362" s="84"/>
      <c r="Z362" s="84"/>
      <c r="AA362" s="84"/>
      <c r="AB362" s="84"/>
    </row>
    <row r="363" spans="1:28" ht="14.25">
      <c r="A363" s="84"/>
      <c r="B363" s="85"/>
      <c r="C363" s="85"/>
      <c r="D363" s="85"/>
      <c r="E363" s="504"/>
      <c r="F363" s="84"/>
      <c r="G363" s="84"/>
      <c r="H363" s="490"/>
      <c r="I363" s="490"/>
      <c r="J363" s="490"/>
      <c r="K363" s="490"/>
      <c r="L363" s="490"/>
      <c r="M363" s="84"/>
      <c r="N363" s="84"/>
      <c r="O363" s="84"/>
      <c r="P363" s="84"/>
      <c r="Q363" s="85"/>
      <c r="R363" s="84"/>
      <c r="S363" s="85"/>
      <c r="T363" s="84"/>
      <c r="U363" s="84"/>
      <c r="V363" s="84"/>
      <c r="W363" s="84"/>
      <c r="X363" s="84"/>
      <c r="Y363" s="84"/>
      <c r="Z363" s="84"/>
      <c r="AA363" s="84"/>
      <c r="AB363" s="84"/>
    </row>
    <row r="364" spans="1:28" ht="14.25">
      <c r="A364" s="84"/>
      <c r="B364" s="85"/>
      <c r="C364" s="85"/>
      <c r="D364" s="85"/>
      <c r="E364" s="504"/>
      <c r="F364" s="84"/>
      <c r="G364" s="84"/>
      <c r="H364" s="490"/>
      <c r="I364" s="490"/>
      <c r="J364" s="490"/>
      <c r="K364" s="490"/>
      <c r="L364" s="490"/>
      <c r="M364" s="84"/>
      <c r="N364" s="84"/>
      <c r="O364" s="84"/>
      <c r="P364" s="84"/>
      <c r="Q364" s="85"/>
      <c r="R364" s="84"/>
      <c r="S364" s="85"/>
      <c r="T364" s="84"/>
      <c r="U364" s="84"/>
      <c r="V364" s="84"/>
      <c r="W364" s="84"/>
      <c r="X364" s="84"/>
      <c r="Y364" s="84"/>
      <c r="Z364" s="84"/>
      <c r="AA364" s="84"/>
      <c r="AB364" s="84"/>
    </row>
    <row r="365" spans="1:28" ht="14.25">
      <c r="A365" s="84"/>
      <c r="B365" s="85"/>
      <c r="C365" s="85"/>
      <c r="D365" s="85"/>
      <c r="E365" s="504"/>
      <c r="F365" s="84"/>
      <c r="G365" s="84"/>
      <c r="H365" s="490"/>
      <c r="I365" s="490"/>
      <c r="J365" s="490"/>
      <c r="K365" s="490"/>
      <c r="L365" s="490"/>
      <c r="M365" s="84"/>
      <c r="N365" s="84"/>
      <c r="O365" s="84"/>
      <c r="P365" s="84"/>
      <c r="Q365" s="85"/>
      <c r="R365" s="84"/>
      <c r="S365" s="85"/>
      <c r="T365" s="84"/>
      <c r="U365" s="84"/>
      <c r="V365" s="84"/>
      <c r="W365" s="84"/>
      <c r="X365" s="84"/>
      <c r="Y365" s="84"/>
      <c r="Z365" s="84"/>
      <c r="AA365" s="84"/>
      <c r="AB365" s="84"/>
    </row>
    <row r="366" spans="1:28" ht="14.25">
      <c r="A366" s="84"/>
      <c r="B366" s="85"/>
      <c r="C366" s="85"/>
      <c r="D366" s="85"/>
      <c r="E366" s="504"/>
      <c r="F366" s="84"/>
      <c r="G366" s="84"/>
      <c r="H366" s="490"/>
      <c r="I366" s="490"/>
      <c r="J366" s="490"/>
      <c r="K366" s="490"/>
      <c r="L366" s="490"/>
      <c r="M366" s="84"/>
      <c r="N366" s="84"/>
      <c r="O366" s="84"/>
      <c r="P366" s="84"/>
      <c r="Q366" s="85"/>
      <c r="R366" s="84"/>
      <c r="S366" s="85"/>
      <c r="T366" s="84"/>
      <c r="U366" s="84"/>
      <c r="V366" s="84"/>
      <c r="W366" s="84"/>
      <c r="X366" s="84"/>
      <c r="Y366" s="84"/>
      <c r="Z366" s="84"/>
      <c r="AA366" s="84"/>
      <c r="AB366" s="84"/>
    </row>
    <row r="367" spans="1:28" ht="14.25">
      <c r="A367" s="84"/>
      <c r="B367" s="85"/>
      <c r="C367" s="85"/>
      <c r="D367" s="85"/>
      <c r="E367" s="504"/>
      <c r="F367" s="84"/>
      <c r="G367" s="84"/>
      <c r="H367" s="490"/>
      <c r="I367" s="490"/>
      <c r="J367" s="490"/>
      <c r="K367" s="490"/>
      <c r="L367" s="490"/>
      <c r="M367" s="84"/>
      <c r="N367" s="84"/>
      <c r="O367" s="84"/>
      <c r="P367" s="84"/>
      <c r="Q367" s="85"/>
      <c r="R367" s="84"/>
      <c r="S367" s="85"/>
      <c r="T367" s="84"/>
      <c r="U367" s="84"/>
      <c r="V367" s="84"/>
      <c r="W367" s="84"/>
      <c r="X367" s="84"/>
      <c r="Y367" s="84"/>
      <c r="Z367" s="84"/>
      <c r="AA367" s="84"/>
      <c r="AB367" s="84"/>
    </row>
    <row r="368" spans="1:28" ht="14.25">
      <c r="A368" s="84"/>
      <c r="B368" s="85"/>
      <c r="C368" s="85"/>
      <c r="D368" s="85"/>
      <c r="E368" s="504"/>
      <c r="F368" s="84"/>
      <c r="G368" s="84"/>
      <c r="H368" s="490"/>
      <c r="I368" s="490"/>
      <c r="J368" s="490"/>
      <c r="K368" s="490"/>
      <c r="L368" s="490"/>
      <c r="M368" s="84"/>
      <c r="N368" s="84"/>
      <c r="O368" s="84"/>
      <c r="P368" s="84"/>
      <c r="Q368" s="85"/>
      <c r="R368" s="84"/>
      <c r="S368" s="85"/>
      <c r="T368" s="84"/>
      <c r="U368" s="84"/>
      <c r="V368" s="84"/>
      <c r="W368" s="84"/>
      <c r="X368" s="84"/>
      <c r="Y368" s="84"/>
      <c r="Z368" s="84"/>
      <c r="AA368" s="84"/>
      <c r="AB368" s="84"/>
    </row>
    <row r="369" spans="1:28" ht="14.25">
      <c r="A369" s="84"/>
      <c r="B369" s="85"/>
      <c r="C369" s="85"/>
      <c r="D369" s="85"/>
      <c r="E369" s="504"/>
      <c r="F369" s="84"/>
      <c r="G369" s="84"/>
      <c r="H369" s="490"/>
      <c r="I369" s="490"/>
      <c r="J369" s="490"/>
      <c r="K369" s="490"/>
      <c r="L369" s="490"/>
      <c r="M369" s="84"/>
      <c r="N369" s="84"/>
      <c r="O369" s="84"/>
      <c r="P369" s="84"/>
      <c r="Q369" s="85"/>
      <c r="R369" s="84"/>
      <c r="S369" s="85"/>
      <c r="T369" s="84"/>
      <c r="U369" s="84"/>
      <c r="V369" s="84"/>
      <c r="W369" s="84"/>
      <c r="X369" s="84"/>
      <c r="Y369" s="84"/>
      <c r="Z369" s="84"/>
      <c r="AA369" s="84"/>
      <c r="AB369" s="84"/>
    </row>
    <row r="370" spans="1:28" ht="14.25">
      <c r="A370" s="84"/>
      <c r="B370" s="85"/>
      <c r="C370" s="85"/>
      <c r="D370" s="85"/>
      <c r="E370" s="504"/>
      <c r="F370" s="84"/>
      <c r="G370" s="84"/>
      <c r="H370" s="490"/>
      <c r="I370" s="490"/>
      <c r="J370" s="490"/>
      <c r="K370" s="490"/>
      <c r="L370" s="490"/>
      <c r="M370" s="84"/>
      <c r="N370" s="84"/>
      <c r="O370" s="84"/>
      <c r="P370" s="84"/>
      <c r="Q370" s="85"/>
      <c r="R370" s="84"/>
      <c r="S370" s="85"/>
      <c r="T370" s="84"/>
      <c r="U370" s="84"/>
      <c r="V370" s="84"/>
      <c r="W370" s="84"/>
      <c r="X370" s="84"/>
      <c r="Y370" s="84"/>
      <c r="Z370" s="84"/>
      <c r="AA370" s="84"/>
      <c r="AB370" s="84"/>
    </row>
    <row r="371" spans="1:28" ht="14.25">
      <c r="A371" s="84"/>
      <c r="B371" s="85"/>
      <c r="C371" s="85"/>
      <c r="D371" s="85"/>
      <c r="E371" s="504"/>
      <c r="F371" s="84"/>
      <c r="G371" s="84"/>
      <c r="H371" s="490"/>
      <c r="I371" s="490"/>
      <c r="J371" s="490"/>
      <c r="K371" s="490"/>
      <c r="L371" s="490"/>
      <c r="M371" s="84"/>
      <c r="N371" s="84"/>
      <c r="O371" s="84"/>
      <c r="P371" s="84"/>
      <c r="Q371" s="85"/>
      <c r="R371" s="84"/>
      <c r="S371" s="85"/>
      <c r="T371" s="84"/>
      <c r="U371" s="84"/>
      <c r="V371" s="84"/>
      <c r="W371" s="84"/>
      <c r="X371" s="84"/>
      <c r="Y371" s="84"/>
      <c r="Z371" s="84"/>
      <c r="AA371" s="84"/>
      <c r="AB371" s="84"/>
    </row>
    <row r="372" spans="1:28" ht="14.25">
      <c r="A372" s="84"/>
      <c r="B372" s="85"/>
      <c r="C372" s="85"/>
      <c r="D372" s="85"/>
      <c r="E372" s="504"/>
      <c r="F372" s="84"/>
      <c r="G372" s="84"/>
      <c r="H372" s="490"/>
      <c r="I372" s="490"/>
      <c r="J372" s="490"/>
      <c r="K372" s="490"/>
      <c r="L372" s="490"/>
      <c r="M372" s="84"/>
      <c r="N372" s="84"/>
      <c r="O372" s="84"/>
      <c r="P372" s="84"/>
      <c r="Q372" s="85"/>
      <c r="R372" s="84"/>
      <c r="S372" s="85"/>
      <c r="T372" s="84"/>
      <c r="U372" s="84"/>
      <c r="V372" s="84"/>
      <c r="W372" s="84"/>
      <c r="X372" s="84"/>
      <c r="Y372" s="84"/>
      <c r="Z372" s="84"/>
      <c r="AA372" s="84"/>
      <c r="AB372" s="84"/>
    </row>
    <row r="373" spans="1:28" ht="14.25">
      <c r="A373" s="84"/>
      <c r="B373" s="85"/>
      <c r="C373" s="85"/>
      <c r="D373" s="85"/>
      <c r="E373" s="504"/>
      <c r="F373" s="84"/>
      <c r="G373" s="84"/>
      <c r="H373" s="490"/>
      <c r="I373" s="490"/>
      <c r="J373" s="490"/>
      <c r="K373" s="490"/>
      <c r="L373" s="490"/>
      <c r="M373" s="84"/>
      <c r="N373" s="84"/>
      <c r="O373" s="84"/>
      <c r="P373" s="84"/>
      <c r="Q373" s="85"/>
      <c r="R373" s="84"/>
      <c r="S373" s="85"/>
      <c r="T373" s="84"/>
      <c r="U373" s="84"/>
      <c r="V373" s="84"/>
      <c r="W373" s="84"/>
      <c r="X373" s="84"/>
      <c r="Y373" s="84"/>
      <c r="Z373" s="84"/>
      <c r="AA373" s="84"/>
      <c r="AB373" s="84"/>
    </row>
    <row r="374" spans="1:28" ht="14.25">
      <c r="A374" s="84"/>
      <c r="B374" s="85"/>
      <c r="C374" s="85"/>
      <c r="D374" s="85"/>
      <c r="E374" s="504"/>
      <c r="F374" s="84"/>
      <c r="G374" s="84"/>
      <c r="H374" s="490"/>
      <c r="I374" s="490"/>
      <c r="J374" s="490"/>
      <c r="K374" s="490"/>
      <c r="L374" s="490"/>
      <c r="M374" s="84"/>
      <c r="N374" s="84"/>
      <c r="O374" s="84"/>
      <c r="P374" s="84"/>
      <c r="Q374" s="85"/>
      <c r="R374" s="84"/>
      <c r="S374" s="85"/>
      <c r="T374" s="84"/>
      <c r="U374" s="84"/>
      <c r="V374" s="84"/>
      <c r="W374" s="84"/>
      <c r="X374" s="84"/>
      <c r="Y374" s="84"/>
      <c r="Z374" s="84"/>
      <c r="AA374" s="84"/>
      <c r="AB374" s="84"/>
    </row>
    <row r="375" spans="1:28" ht="14.25">
      <c r="A375" s="84"/>
      <c r="B375" s="85"/>
      <c r="C375" s="85"/>
      <c r="D375" s="85"/>
      <c r="E375" s="504"/>
      <c r="F375" s="84"/>
      <c r="G375" s="84"/>
      <c r="H375" s="490"/>
      <c r="I375" s="490"/>
      <c r="J375" s="490"/>
      <c r="K375" s="490"/>
      <c r="L375" s="490"/>
      <c r="M375" s="84"/>
      <c r="N375" s="84"/>
      <c r="O375" s="84"/>
      <c r="P375" s="84"/>
      <c r="Q375" s="85"/>
      <c r="R375" s="84"/>
      <c r="S375" s="85"/>
      <c r="T375" s="84"/>
      <c r="U375" s="84"/>
      <c r="V375" s="84"/>
      <c r="W375" s="84"/>
      <c r="X375" s="84"/>
      <c r="Y375" s="84"/>
      <c r="Z375" s="84"/>
      <c r="AA375" s="84"/>
      <c r="AB375" s="84"/>
    </row>
    <row r="376" spans="1:28" ht="14.25">
      <c r="A376" s="84"/>
      <c r="B376" s="85"/>
      <c r="C376" s="85"/>
      <c r="D376" s="85"/>
      <c r="E376" s="504"/>
      <c r="F376" s="84"/>
      <c r="G376" s="84"/>
      <c r="H376" s="490"/>
      <c r="I376" s="490"/>
      <c r="J376" s="490"/>
      <c r="K376" s="490"/>
      <c r="L376" s="490"/>
      <c r="M376" s="84"/>
      <c r="N376" s="84"/>
      <c r="O376" s="84"/>
      <c r="P376" s="84"/>
      <c r="Q376" s="85"/>
      <c r="R376" s="84"/>
      <c r="S376" s="85"/>
      <c r="T376" s="84"/>
      <c r="U376" s="84"/>
      <c r="V376" s="84"/>
      <c r="W376" s="84"/>
      <c r="X376" s="84"/>
      <c r="Y376" s="84"/>
      <c r="Z376" s="84"/>
      <c r="AA376" s="84"/>
      <c r="AB376" s="84"/>
    </row>
    <row r="377" spans="1:28" ht="14.25">
      <c r="A377" s="84"/>
      <c r="B377" s="85"/>
      <c r="C377" s="85"/>
      <c r="D377" s="85"/>
      <c r="E377" s="504"/>
      <c r="F377" s="84"/>
      <c r="G377" s="84"/>
      <c r="H377" s="490"/>
      <c r="I377" s="490"/>
      <c r="J377" s="490"/>
      <c r="K377" s="490"/>
      <c r="L377" s="490"/>
      <c r="M377" s="84"/>
      <c r="N377" s="84"/>
      <c r="O377" s="84"/>
      <c r="P377" s="84"/>
      <c r="Q377" s="85"/>
      <c r="R377" s="84"/>
      <c r="S377" s="85"/>
      <c r="T377" s="84"/>
      <c r="U377" s="84"/>
      <c r="V377" s="84"/>
      <c r="W377" s="84"/>
      <c r="X377" s="84"/>
      <c r="Y377" s="84"/>
      <c r="Z377" s="84"/>
      <c r="AA377" s="84"/>
      <c r="AB377" s="84"/>
    </row>
    <row r="378" spans="1:28" ht="14.25">
      <c r="A378" s="84"/>
      <c r="B378" s="85"/>
      <c r="C378" s="85"/>
      <c r="D378" s="85"/>
      <c r="E378" s="504"/>
      <c r="F378" s="84"/>
      <c r="G378" s="84"/>
      <c r="H378" s="490"/>
      <c r="I378" s="490"/>
      <c r="J378" s="490"/>
      <c r="K378" s="490"/>
      <c r="L378" s="490"/>
      <c r="M378" s="84"/>
      <c r="N378" s="84"/>
      <c r="O378" s="84"/>
      <c r="P378" s="84"/>
      <c r="Q378" s="85"/>
      <c r="R378" s="84"/>
      <c r="S378" s="85"/>
      <c r="T378" s="84"/>
      <c r="U378" s="84"/>
      <c r="V378" s="84"/>
      <c r="W378" s="84"/>
      <c r="X378" s="84"/>
      <c r="Y378" s="84"/>
      <c r="Z378" s="84"/>
      <c r="AA378" s="84"/>
      <c r="AB378" s="84"/>
    </row>
    <row r="379" spans="1:28" ht="14.25">
      <c r="A379" s="84"/>
      <c r="B379" s="85"/>
      <c r="C379" s="85"/>
      <c r="D379" s="85"/>
      <c r="E379" s="504"/>
      <c r="F379" s="84"/>
      <c r="G379" s="84"/>
      <c r="H379" s="490"/>
      <c r="I379" s="490"/>
      <c r="J379" s="490"/>
      <c r="K379" s="490"/>
      <c r="L379" s="490"/>
      <c r="M379" s="84"/>
      <c r="N379" s="84"/>
      <c r="O379" s="84"/>
      <c r="P379" s="84"/>
      <c r="Q379" s="85"/>
      <c r="R379" s="84"/>
      <c r="S379" s="85"/>
      <c r="T379" s="84"/>
      <c r="U379" s="84"/>
      <c r="V379" s="84"/>
      <c r="W379" s="84"/>
      <c r="X379" s="84"/>
      <c r="Y379" s="84"/>
      <c r="Z379" s="84"/>
      <c r="AA379" s="84"/>
      <c r="AB379" s="84"/>
    </row>
    <row r="380" spans="1:28" ht="14.25">
      <c r="A380" s="84"/>
      <c r="B380" s="85"/>
      <c r="C380" s="85"/>
      <c r="D380" s="85"/>
      <c r="E380" s="504"/>
      <c r="F380" s="84"/>
      <c r="G380" s="84"/>
      <c r="H380" s="490"/>
      <c r="I380" s="490"/>
      <c r="J380" s="490"/>
      <c r="K380" s="490"/>
      <c r="L380" s="490"/>
      <c r="M380" s="84"/>
      <c r="N380" s="84"/>
      <c r="O380" s="84"/>
      <c r="P380" s="84"/>
      <c r="Q380" s="85"/>
      <c r="R380" s="84"/>
      <c r="S380" s="85"/>
      <c r="T380" s="84"/>
      <c r="U380" s="84"/>
      <c r="V380" s="84"/>
      <c r="W380" s="84"/>
      <c r="X380" s="84"/>
      <c r="Y380" s="84"/>
      <c r="Z380" s="84"/>
      <c r="AA380" s="84"/>
      <c r="AB380" s="84"/>
    </row>
    <row r="381" spans="1:28" ht="14.25">
      <c r="A381" s="84"/>
      <c r="B381" s="85"/>
      <c r="C381" s="85"/>
      <c r="D381" s="85"/>
      <c r="E381" s="504"/>
      <c r="F381" s="84"/>
      <c r="G381" s="84"/>
      <c r="H381" s="490"/>
      <c r="I381" s="490"/>
      <c r="J381" s="490"/>
      <c r="K381" s="490"/>
      <c r="L381" s="490"/>
      <c r="M381" s="84"/>
      <c r="N381" s="84"/>
      <c r="O381" s="84"/>
      <c r="P381" s="84"/>
      <c r="Q381" s="85"/>
      <c r="R381" s="84"/>
      <c r="S381" s="85"/>
      <c r="T381" s="84"/>
      <c r="U381" s="84"/>
      <c r="V381" s="84"/>
      <c r="W381" s="84"/>
      <c r="X381" s="84"/>
      <c r="Y381" s="84"/>
      <c r="Z381" s="84"/>
      <c r="AA381" s="84"/>
      <c r="AB381" s="84"/>
    </row>
    <row r="382" spans="1:28" ht="14.25">
      <c r="A382" s="84"/>
      <c r="B382" s="85"/>
      <c r="C382" s="85"/>
      <c r="D382" s="85"/>
      <c r="E382" s="504"/>
      <c r="F382" s="84"/>
      <c r="G382" s="84"/>
      <c r="H382" s="490"/>
      <c r="I382" s="490"/>
      <c r="J382" s="490"/>
      <c r="K382" s="490"/>
      <c r="L382" s="490"/>
      <c r="M382" s="84"/>
      <c r="N382" s="84"/>
      <c r="O382" s="84"/>
      <c r="P382" s="84"/>
      <c r="Q382" s="85"/>
      <c r="R382" s="84"/>
      <c r="S382" s="85"/>
      <c r="T382" s="84"/>
      <c r="U382" s="84"/>
      <c r="V382" s="84"/>
      <c r="W382" s="84"/>
      <c r="X382" s="84"/>
      <c r="Y382" s="84"/>
      <c r="Z382" s="84"/>
      <c r="AA382" s="84"/>
      <c r="AB382" s="84"/>
    </row>
    <row r="383" spans="1:28" ht="14.25">
      <c r="A383" s="84"/>
      <c r="B383" s="85"/>
      <c r="C383" s="85"/>
      <c r="D383" s="85"/>
      <c r="E383" s="504"/>
      <c r="F383" s="84"/>
      <c r="G383" s="84"/>
      <c r="H383" s="490"/>
      <c r="I383" s="490"/>
      <c r="J383" s="490"/>
      <c r="K383" s="490"/>
      <c r="L383" s="490"/>
      <c r="M383" s="84"/>
      <c r="N383" s="84"/>
      <c r="O383" s="84"/>
      <c r="P383" s="84"/>
      <c r="Q383" s="85"/>
      <c r="R383" s="84"/>
      <c r="S383" s="85"/>
      <c r="T383" s="84"/>
      <c r="U383" s="84"/>
      <c r="V383" s="84"/>
      <c r="W383" s="84"/>
      <c r="X383" s="84"/>
      <c r="Y383" s="84"/>
      <c r="Z383" s="84"/>
      <c r="AA383" s="84"/>
      <c r="AB383" s="84"/>
    </row>
    <row r="384" spans="1:28" ht="14.25">
      <c r="A384" s="84"/>
      <c r="B384" s="85"/>
      <c r="C384" s="85"/>
      <c r="D384" s="85"/>
      <c r="E384" s="504"/>
      <c r="F384" s="84"/>
      <c r="G384" s="84"/>
      <c r="H384" s="490"/>
      <c r="I384" s="490"/>
      <c r="J384" s="490"/>
      <c r="K384" s="490"/>
      <c r="L384" s="490"/>
      <c r="M384" s="84"/>
      <c r="N384" s="84"/>
      <c r="O384" s="84"/>
      <c r="P384" s="84"/>
      <c r="Q384" s="85"/>
      <c r="R384" s="84"/>
      <c r="S384" s="85"/>
      <c r="T384" s="84"/>
      <c r="U384" s="84"/>
      <c r="V384" s="84"/>
      <c r="W384" s="84"/>
      <c r="X384" s="84"/>
      <c r="Y384" s="84"/>
      <c r="Z384" s="84"/>
      <c r="AA384" s="84"/>
      <c r="AB384" s="84"/>
    </row>
    <row r="385" spans="1:28" ht="14.25">
      <c r="A385" s="84"/>
      <c r="B385" s="85"/>
      <c r="C385" s="85"/>
      <c r="D385" s="85"/>
      <c r="E385" s="504"/>
      <c r="F385" s="84"/>
      <c r="G385" s="84"/>
      <c r="H385" s="490"/>
      <c r="I385" s="490"/>
      <c r="J385" s="490"/>
      <c r="K385" s="490"/>
      <c r="L385" s="490"/>
      <c r="M385" s="84"/>
      <c r="N385" s="84"/>
      <c r="O385" s="84"/>
      <c r="P385" s="84"/>
      <c r="Q385" s="85"/>
      <c r="R385" s="84"/>
      <c r="S385" s="85"/>
      <c r="T385" s="84"/>
      <c r="U385" s="84"/>
      <c r="V385" s="84"/>
      <c r="W385" s="84"/>
      <c r="X385" s="84"/>
      <c r="Y385" s="84"/>
      <c r="Z385" s="84"/>
      <c r="AA385" s="84"/>
      <c r="AB385" s="84"/>
    </row>
    <row r="386" spans="1:28" ht="14.25">
      <c r="A386" s="84"/>
      <c r="B386" s="85"/>
      <c r="C386" s="85"/>
      <c r="D386" s="85"/>
      <c r="E386" s="504"/>
      <c r="F386" s="84"/>
      <c r="G386" s="84"/>
      <c r="H386" s="490"/>
      <c r="I386" s="490"/>
      <c r="J386" s="490"/>
      <c r="K386" s="490"/>
      <c r="L386" s="490"/>
      <c r="M386" s="84"/>
      <c r="N386" s="84"/>
      <c r="O386" s="84"/>
      <c r="P386" s="84"/>
      <c r="Q386" s="85"/>
      <c r="R386" s="84"/>
      <c r="S386" s="85"/>
      <c r="T386" s="84"/>
      <c r="U386" s="84"/>
      <c r="V386" s="84"/>
      <c r="W386" s="84"/>
      <c r="X386" s="84"/>
      <c r="Y386" s="84"/>
      <c r="Z386" s="84"/>
      <c r="AA386" s="84"/>
      <c r="AB386" s="84"/>
    </row>
    <row r="387" spans="1:28" ht="14.25">
      <c r="A387" s="84"/>
      <c r="B387" s="85"/>
      <c r="C387" s="85"/>
      <c r="D387" s="85"/>
      <c r="E387" s="504"/>
      <c r="F387" s="84"/>
      <c r="G387" s="84"/>
      <c r="H387" s="490"/>
      <c r="I387" s="490"/>
      <c r="J387" s="490"/>
      <c r="K387" s="490"/>
      <c r="L387" s="490"/>
      <c r="M387" s="84"/>
      <c r="N387" s="84"/>
      <c r="O387" s="84"/>
      <c r="P387" s="84"/>
      <c r="Q387" s="85"/>
      <c r="R387" s="84"/>
      <c r="S387" s="85"/>
      <c r="T387" s="84"/>
      <c r="U387" s="84"/>
      <c r="V387" s="84"/>
      <c r="W387" s="84"/>
      <c r="X387" s="84"/>
      <c r="Y387" s="84"/>
      <c r="Z387" s="84"/>
      <c r="AA387" s="84"/>
      <c r="AB387" s="84"/>
    </row>
    <row r="388" spans="1:28" ht="14.25">
      <c r="A388" s="84"/>
      <c r="B388" s="85"/>
      <c r="C388" s="85"/>
      <c r="D388" s="85"/>
      <c r="E388" s="504"/>
      <c r="F388" s="84"/>
      <c r="G388" s="84"/>
      <c r="H388" s="490"/>
      <c r="I388" s="490"/>
      <c r="J388" s="490"/>
      <c r="K388" s="490"/>
      <c r="L388" s="490"/>
      <c r="M388" s="84"/>
      <c r="N388" s="84"/>
      <c r="O388" s="84"/>
      <c r="P388" s="84"/>
      <c r="Q388" s="85"/>
      <c r="R388" s="84"/>
      <c r="S388" s="85"/>
      <c r="T388" s="84"/>
      <c r="U388" s="84"/>
      <c r="V388" s="84"/>
      <c r="W388" s="84"/>
      <c r="X388" s="84"/>
      <c r="Y388" s="84"/>
      <c r="Z388" s="84"/>
      <c r="AA388" s="84"/>
      <c r="AB388" s="84"/>
    </row>
    <row r="389" spans="1:28" ht="14.25">
      <c r="A389" s="84"/>
      <c r="B389" s="85"/>
      <c r="C389" s="85"/>
      <c r="D389" s="85"/>
      <c r="E389" s="504"/>
      <c r="F389" s="84"/>
      <c r="G389" s="84"/>
      <c r="H389" s="490"/>
      <c r="I389" s="490"/>
      <c r="J389" s="490"/>
      <c r="K389" s="490"/>
      <c r="L389" s="490"/>
      <c r="M389" s="84"/>
      <c r="N389" s="84"/>
      <c r="O389" s="84"/>
      <c r="P389" s="84"/>
      <c r="Q389" s="85"/>
      <c r="R389" s="84"/>
      <c r="S389" s="85"/>
      <c r="T389" s="84"/>
      <c r="U389" s="84"/>
      <c r="V389" s="84"/>
      <c r="W389" s="84"/>
      <c r="X389" s="84"/>
      <c r="Y389" s="84"/>
      <c r="Z389" s="84"/>
      <c r="AA389" s="84"/>
      <c r="AB389" s="84"/>
    </row>
    <row r="390" spans="1:28" ht="14.25">
      <c r="A390" s="84"/>
      <c r="B390" s="85"/>
      <c r="C390" s="85"/>
      <c r="D390" s="85"/>
      <c r="E390" s="504"/>
      <c r="F390" s="84"/>
      <c r="G390" s="84"/>
      <c r="H390" s="490"/>
      <c r="I390" s="490"/>
      <c r="J390" s="490"/>
      <c r="K390" s="490"/>
      <c r="L390" s="490"/>
      <c r="M390" s="84"/>
      <c r="N390" s="84"/>
      <c r="O390" s="84"/>
      <c r="P390" s="84"/>
      <c r="Q390" s="85"/>
      <c r="R390" s="84"/>
      <c r="S390" s="85"/>
      <c r="T390" s="84"/>
      <c r="U390" s="84"/>
      <c r="V390" s="84"/>
      <c r="W390" s="84"/>
      <c r="X390" s="84"/>
      <c r="Y390" s="84"/>
      <c r="Z390" s="84"/>
      <c r="AA390" s="84"/>
      <c r="AB390" s="84"/>
    </row>
    <row r="391" spans="1:28" ht="14.25">
      <c r="A391" s="84"/>
      <c r="B391" s="85"/>
      <c r="C391" s="85"/>
      <c r="D391" s="85"/>
      <c r="E391" s="504"/>
      <c r="F391" s="84"/>
      <c r="G391" s="84"/>
      <c r="H391" s="490"/>
      <c r="I391" s="490"/>
      <c r="J391" s="490"/>
      <c r="K391" s="490"/>
      <c r="L391" s="490"/>
      <c r="M391" s="84"/>
      <c r="N391" s="84"/>
      <c r="O391" s="84"/>
      <c r="P391" s="84"/>
      <c r="Q391" s="85"/>
      <c r="R391" s="84"/>
      <c r="S391" s="85"/>
      <c r="T391" s="84"/>
      <c r="U391" s="84"/>
      <c r="V391" s="84"/>
      <c r="W391" s="84"/>
      <c r="X391" s="84"/>
      <c r="Y391" s="84"/>
      <c r="Z391" s="84"/>
      <c r="AA391" s="84"/>
      <c r="AB391" s="84"/>
    </row>
    <row r="392" spans="1:28" ht="14.25">
      <c r="A392" s="84"/>
      <c r="B392" s="85"/>
      <c r="C392" s="85"/>
      <c r="D392" s="85"/>
      <c r="E392" s="504"/>
      <c r="F392" s="84"/>
      <c r="G392" s="84"/>
      <c r="H392" s="490"/>
      <c r="I392" s="490"/>
      <c r="J392" s="490"/>
      <c r="K392" s="490"/>
      <c r="L392" s="490"/>
      <c r="M392" s="84"/>
      <c r="N392" s="84"/>
      <c r="O392" s="84"/>
      <c r="P392" s="84"/>
      <c r="Q392" s="85"/>
      <c r="R392" s="84"/>
      <c r="S392" s="85"/>
      <c r="T392" s="84"/>
      <c r="U392" s="84"/>
      <c r="V392" s="84"/>
      <c r="W392" s="84"/>
      <c r="X392" s="84"/>
      <c r="Y392" s="84"/>
      <c r="Z392" s="84"/>
      <c r="AA392" s="84"/>
      <c r="AB392" s="84"/>
    </row>
    <row r="393" spans="1:28" ht="14.25">
      <c r="A393" s="84"/>
      <c r="B393" s="85"/>
      <c r="C393" s="85"/>
      <c r="D393" s="85"/>
      <c r="E393" s="504"/>
      <c r="F393" s="84"/>
      <c r="G393" s="84"/>
      <c r="H393" s="490"/>
      <c r="I393" s="490"/>
      <c r="J393" s="490"/>
      <c r="K393" s="490"/>
      <c r="L393" s="490"/>
      <c r="M393" s="84"/>
      <c r="N393" s="84"/>
      <c r="O393" s="84"/>
      <c r="P393" s="84"/>
      <c r="Q393" s="85"/>
      <c r="R393" s="84"/>
      <c r="S393" s="85"/>
      <c r="T393" s="84"/>
      <c r="U393" s="84"/>
      <c r="V393" s="84"/>
      <c r="W393" s="84"/>
      <c r="X393" s="84"/>
      <c r="Y393" s="84"/>
      <c r="Z393" s="84"/>
      <c r="AA393" s="84"/>
      <c r="AB393" s="84"/>
    </row>
    <row r="394" spans="1:28" ht="14.25">
      <c r="A394" s="84"/>
      <c r="B394" s="85"/>
      <c r="C394" s="85"/>
      <c r="D394" s="85"/>
      <c r="E394" s="504"/>
      <c r="F394" s="84"/>
      <c r="G394" s="84"/>
      <c r="H394" s="490"/>
      <c r="I394" s="490"/>
      <c r="J394" s="490"/>
      <c r="K394" s="490"/>
      <c r="L394" s="490"/>
      <c r="M394" s="84"/>
      <c r="N394" s="84"/>
      <c r="O394" s="84"/>
      <c r="P394" s="84"/>
      <c r="Q394" s="85"/>
      <c r="R394" s="84"/>
      <c r="S394" s="85"/>
      <c r="T394" s="84"/>
      <c r="U394" s="84"/>
      <c r="V394" s="84"/>
      <c r="W394" s="84"/>
      <c r="X394" s="84"/>
      <c r="Y394" s="84"/>
      <c r="Z394" s="84"/>
      <c r="AA394" s="84"/>
      <c r="AB394" s="84"/>
    </row>
    <row r="395" spans="1:28" ht="14.25">
      <c r="A395" s="84"/>
      <c r="B395" s="85"/>
      <c r="C395" s="85"/>
      <c r="D395" s="85"/>
      <c r="E395" s="504"/>
      <c r="F395" s="84"/>
      <c r="G395" s="84"/>
      <c r="H395" s="490"/>
      <c r="I395" s="490"/>
      <c r="J395" s="490"/>
      <c r="K395" s="490"/>
      <c r="L395" s="490"/>
      <c r="M395" s="84"/>
      <c r="N395" s="84"/>
      <c r="O395" s="84"/>
      <c r="P395" s="84"/>
      <c r="Q395" s="85"/>
      <c r="R395" s="84"/>
      <c r="S395" s="85"/>
      <c r="T395" s="84"/>
      <c r="U395" s="84"/>
      <c r="V395" s="84"/>
      <c r="W395" s="84"/>
      <c r="X395" s="84"/>
      <c r="Y395" s="84"/>
      <c r="Z395" s="84"/>
      <c r="AA395" s="84"/>
      <c r="AB395" s="84"/>
    </row>
    <row r="396" spans="1:28" ht="14.25">
      <c r="A396" s="84"/>
      <c r="B396" s="85"/>
      <c r="C396" s="85"/>
      <c r="D396" s="85"/>
      <c r="E396" s="504"/>
      <c r="F396" s="84"/>
      <c r="G396" s="84"/>
      <c r="H396" s="490"/>
      <c r="I396" s="490"/>
      <c r="J396" s="490"/>
      <c r="K396" s="490"/>
      <c r="L396" s="490"/>
      <c r="M396" s="84"/>
      <c r="N396" s="84"/>
      <c r="O396" s="84"/>
      <c r="P396" s="84"/>
      <c r="Q396" s="85"/>
      <c r="R396" s="84"/>
      <c r="S396" s="85"/>
      <c r="T396" s="84"/>
      <c r="U396" s="84"/>
      <c r="V396" s="84"/>
      <c r="W396" s="84"/>
      <c r="X396" s="84"/>
      <c r="Y396" s="84"/>
      <c r="Z396" s="84"/>
      <c r="AA396" s="84"/>
      <c r="AB396" s="84"/>
    </row>
    <row r="397" spans="1:28" ht="14.25">
      <c r="A397" s="84"/>
      <c r="B397" s="85"/>
      <c r="C397" s="85"/>
      <c r="D397" s="85"/>
      <c r="E397" s="504"/>
      <c r="F397" s="84"/>
      <c r="G397" s="84"/>
      <c r="H397" s="490"/>
      <c r="I397" s="490"/>
      <c r="J397" s="490"/>
      <c r="K397" s="490"/>
      <c r="L397" s="490"/>
      <c r="M397" s="84"/>
      <c r="N397" s="84"/>
      <c r="O397" s="84"/>
      <c r="P397" s="84"/>
      <c r="Q397" s="85"/>
      <c r="R397" s="84"/>
      <c r="S397" s="85"/>
      <c r="T397" s="84"/>
      <c r="U397" s="84"/>
      <c r="V397" s="84"/>
      <c r="W397" s="84"/>
      <c r="X397" s="84"/>
      <c r="Y397" s="84"/>
      <c r="Z397" s="84"/>
      <c r="AA397" s="84"/>
      <c r="AB397" s="84"/>
    </row>
    <row r="398" spans="1:28" ht="14.25">
      <c r="A398" s="84"/>
      <c r="B398" s="85"/>
      <c r="C398" s="85"/>
      <c r="D398" s="85"/>
      <c r="E398" s="504"/>
      <c r="F398" s="84"/>
      <c r="G398" s="84"/>
      <c r="H398" s="490"/>
      <c r="I398" s="490"/>
      <c r="J398" s="490"/>
      <c r="K398" s="490"/>
      <c r="L398" s="490"/>
      <c r="M398" s="84"/>
      <c r="N398" s="84"/>
      <c r="O398" s="84"/>
      <c r="P398" s="84"/>
      <c r="Q398" s="85"/>
      <c r="R398" s="84"/>
      <c r="S398" s="85"/>
      <c r="T398" s="84"/>
      <c r="U398" s="84"/>
      <c r="V398" s="84"/>
      <c r="W398" s="84"/>
      <c r="X398" s="84"/>
      <c r="Y398" s="84"/>
      <c r="Z398" s="84"/>
      <c r="AA398" s="84"/>
      <c r="AB398" s="84"/>
    </row>
    <row r="399" spans="1:28" ht="14.25">
      <c r="A399" s="84"/>
      <c r="B399" s="85"/>
      <c r="C399" s="85"/>
      <c r="D399" s="85"/>
      <c r="E399" s="504"/>
      <c r="F399" s="84"/>
      <c r="G399" s="84"/>
      <c r="H399" s="490"/>
      <c r="I399" s="490"/>
      <c r="J399" s="490"/>
      <c r="K399" s="490"/>
      <c r="L399" s="490"/>
      <c r="M399" s="84"/>
      <c r="N399" s="84"/>
      <c r="O399" s="84"/>
      <c r="P399" s="84"/>
      <c r="Q399" s="85"/>
      <c r="R399" s="84"/>
      <c r="S399" s="85"/>
      <c r="T399" s="84"/>
      <c r="U399" s="84"/>
      <c r="V399" s="84"/>
      <c r="W399" s="84"/>
      <c r="X399" s="84"/>
      <c r="Y399" s="84"/>
      <c r="Z399" s="84"/>
      <c r="AA399" s="84"/>
      <c r="AB399" s="84"/>
    </row>
    <row r="400" spans="1:28" ht="14.25">
      <c r="A400" s="84"/>
      <c r="B400" s="85"/>
      <c r="C400" s="85"/>
      <c r="D400" s="85"/>
      <c r="E400" s="504"/>
      <c r="F400" s="84"/>
      <c r="G400" s="84"/>
      <c r="H400" s="490"/>
      <c r="I400" s="490"/>
      <c r="J400" s="490"/>
      <c r="K400" s="490"/>
      <c r="L400" s="490"/>
      <c r="M400" s="84"/>
      <c r="N400" s="84"/>
      <c r="O400" s="84"/>
      <c r="P400" s="84"/>
      <c r="Q400" s="85"/>
      <c r="R400" s="84"/>
      <c r="S400" s="85"/>
      <c r="T400" s="84"/>
      <c r="U400" s="84"/>
      <c r="V400" s="84"/>
      <c r="W400" s="84"/>
      <c r="X400" s="84"/>
      <c r="Y400" s="84"/>
      <c r="Z400" s="84"/>
      <c r="AA400" s="84"/>
      <c r="AB400" s="84"/>
    </row>
    <row r="401" spans="1:28" ht="14.25">
      <c r="A401" s="84"/>
      <c r="B401" s="85"/>
      <c r="C401" s="85"/>
      <c r="D401" s="85"/>
      <c r="E401" s="504"/>
      <c r="F401" s="84"/>
      <c r="G401" s="84"/>
      <c r="H401" s="490"/>
      <c r="I401" s="490"/>
      <c r="J401" s="490"/>
      <c r="K401" s="490"/>
      <c r="L401" s="490"/>
      <c r="M401" s="84"/>
      <c r="N401" s="84"/>
      <c r="O401" s="84"/>
      <c r="P401" s="84"/>
      <c r="Q401" s="85"/>
      <c r="R401" s="84"/>
      <c r="S401" s="85"/>
      <c r="T401" s="84"/>
      <c r="U401" s="84"/>
      <c r="V401" s="84"/>
      <c r="W401" s="84"/>
      <c r="X401" s="84"/>
      <c r="Y401" s="84"/>
      <c r="Z401" s="84"/>
      <c r="AA401" s="84"/>
      <c r="AB401" s="84"/>
    </row>
    <row r="402" spans="1:28" ht="14.25">
      <c r="A402" s="84"/>
      <c r="B402" s="85"/>
      <c r="C402" s="85"/>
      <c r="D402" s="85"/>
      <c r="E402" s="504"/>
      <c r="F402" s="84"/>
      <c r="G402" s="84"/>
      <c r="H402" s="490"/>
      <c r="I402" s="490"/>
      <c r="J402" s="490"/>
      <c r="K402" s="490"/>
      <c r="L402" s="490"/>
      <c r="M402" s="84"/>
      <c r="N402" s="84"/>
      <c r="O402" s="84"/>
      <c r="P402" s="84"/>
      <c r="Q402" s="85"/>
      <c r="R402" s="84"/>
      <c r="S402" s="85"/>
      <c r="T402" s="84"/>
      <c r="U402" s="84"/>
      <c r="V402" s="84"/>
      <c r="W402" s="84"/>
      <c r="X402" s="84"/>
      <c r="Y402" s="84"/>
      <c r="Z402" s="84"/>
      <c r="AA402" s="84"/>
      <c r="AB402" s="84"/>
    </row>
    <row r="403" spans="1:28" ht="14.25">
      <c r="A403" s="84"/>
      <c r="B403" s="85"/>
      <c r="C403" s="85"/>
      <c r="D403" s="85"/>
      <c r="E403" s="504"/>
      <c r="F403" s="84"/>
      <c r="G403" s="84"/>
      <c r="H403" s="490"/>
      <c r="I403" s="490"/>
      <c r="J403" s="490"/>
      <c r="K403" s="490"/>
      <c r="L403" s="490"/>
      <c r="M403" s="84"/>
      <c r="N403" s="84"/>
      <c r="O403" s="84"/>
      <c r="P403" s="84"/>
      <c r="Q403" s="85"/>
      <c r="R403" s="84"/>
      <c r="S403" s="85"/>
      <c r="T403" s="84"/>
      <c r="U403" s="84"/>
      <c r="V403" s="84"/>
      <c r="W403" s="84"/>
      <c r="X403" s="84"/>
      <c r="Y403" s="84"/>
      <c r="Z403" s="84"/>
      <c r="AA403" s="84"/>
      <c r="AB403" s="84"/>
    </row>
    <row r="404" spans="1:28" ht="14.25">
      <c r="A404" s="84"/>
      <c r="B404" s="85"/>
      <c r="C404" s="85"/>
      <c r="D404" s="85"/>
      <c r="E404" s="504"/>
      <c r="F404" s="84"/>
      <c r="G404" s="84"/>
      <c r="H404" s="490"/>
      <c r="I404" s="490"/>
      <c r="J404" s="490"/>
      <c r="K404" s="490"/>
      <c r="L404" s="490"/>
      <c r="M404" s="84"/>
      <c r="N404" s="84"/>
      <c r="O404" s="84"/>
      <c r="P404" s="84"/>
      <c r="Q404" s="85"/>
      <c r="R404" s="84"/>
      <c r="S404" s="85"/>
      <c r="T404" s="84"/>
      <c r="U404" s="84"/>
      <c r="V404" s="84"/>
      <c r="W404" s="84"/>
      <c r="X404" s="84"/>
      <c r="Y404" s="84"/>
      <c r="Z404" s="84"/>
      <c r="AA404" s="84"/>
      <c r="AB404" s="84"/>
    </row>
    <row r="405" spans="1:28" ht="14.25">
      <c r="A405" s="84"/>
      <c r="B405" s="85"/>
      <c r="C405" s="85"/>
      <c r="D405" s="85"/>
      <c r="E405" s="504"/>
      <c r="F405" s="84"/>
      <c r="G405" s="84"/>
      <c r="H405" s="490"/>
      <c r="I405" s="490"/>
      <c r="J405" s="490"/>
      <c r="K405" s="490"/>
      <c r="L405" s="490"/>
      <c r="M405" s="84"/>
      <c r="N405" s="84"/>
      <c r="O405" s="84"/>
      <c r="P405" s="84"/>
      <c r="Q405" s="85"/>
      <c r="R405" s="84"/>
      <c r="S405" s="85"/>
      <c r="T405" s="84"/>
      <c r="U405" s="84"/>
      <c r="V405" s="84"/>
      <c r="W405" s="84"/>
      <c r="X405" s="84"/>
      <c r="Y405" s="84"/>
      <c r="Z405" s="84"/>
      <c r="AA405" s="84"/>
      <c r="AB405" s="84"/>
    </row>
    <row r="406" spans="1:28" ht="14.25">
      <c r="A406" s="84"/>
      <c r="B406" s="85"/>
      <c r="C406" s="85"/>
      <c r="D406" s="85"/>
      <c r="E406" s="504"/>
      <c r="F406" s="84"/>
      <c r="G406" s="84"/>
      <c r="H406" s="490"/>
      <c r="I406" s="490"/>
      <c r="J406" s="490"/>
      <c r="K406" s="490"/>
      <c r="L406" s="490"/>
      <c r="M406" s="84"/>
      <c r="N406" s="84"/>
      <c r="O406" s="84"/>
      <c r="P406" s="84"/>
      <c r="Q406" s="85"/>
      <c r="R406" s="84"/>
      <c r="S406" s="85"/>
      <c r="T406" s="84"/>
      <c r="U406" s="84"/>
      <c r="V406" s="84"/>
      <c r="W406" s="84"/>
      <c r="X406" s="84"/>
      <c r="Y406" s="84"/>
      <c r="Z406" s="84"/>
      <c r="AA406" s="84"/>
      <c r="AB406" s="84"/>
    </row>
    <row r="407" spans="1:28" ht="14.25">
      <c r="A407" s="84"/>
      <c r="B407" s="85"/>
      <c r="C407" s="85"/>
      <c r="D407" s="85"/>
      <c r="E407" s="504"/>
      <c r="F407" s="84"/>
      <c r="G407" s="84"/>
      <c r="H407" s="490"/>
      <c r="I407" s="490"/>
      <c r="J407" s="490"/>
      <c r="K407" s="490"/>
      <c r="L407" s="490"/>
      <c r="M407" s="84"/>
      <c r="N407" s="84"/>
      <c r="O407" s="84"/>
      <c r="P407" s="84"/>
      <c r="Q407" s="85"/>
      <c r="R407" s="84"/>
      <c r="S407" s="85"/>
      <c r="T407" s="84"/>
      <c r="U407" s="84"/>
      <c r="V407" s="84"/>
      <c r="W407" s="84"/>
      <c r="X407" s="84"/>
      <c r="Y407" s="84"/>
      <c r="Z407" s="84"/>
      <c r="AA407" s="84"/>
      <c r="AB407" s="84"/>
    </row>
    <row r="408" spans="1:28" ht="14.25">
      <c r="A408" s="84"/>
      <c r="B408" s="85"/>
      <c r="C408" s="85"/>
      <c r="D408" s="85"/>
      <c r="E408" s="504"/>
      <c r="F408" s="84"/>
      <c r="G408" s="84"/>
      <c r="H408" s="490"/>
      <c r="I408" s="490"/>
      <c r="J408" s="490"/>
      <c r="K408" s="490"/>
      <c r="L408" s="490"/>
      <c r="M408" s="84"/>
      <c r="N408" s="84"/>
      <c r="O408" s="84"/>
      <c r="P408" s="84"/>
      <c r="Q408" s="85"/>
      <c r="R408" s="84"/>
      <c r="S408" s="85"/>
      <c r="T408" s="84"/>
      <c r="U408" s="84"/>
      <c r="V408" s="84"/>
      <c r="W408" s="84"/>
      <c r="X408" s="84"/>
      <c r="Y408" s="84"/>
      <c r="Z408" s="84"/>
      <c r="AA408" s="84"/>
      <c r="AB408" s="84"/>
    </row>
    <row r="409" spans="1:28" ht="14.25">
      <c r="A409" s="84"/>
      <c r="B409" s="85"/>
      <c r="C409" s="85"/>
      <c r="D409" s="85"/>
      <c r="E409" s="504"/>
      <c r="F409" s="84"/>
      <c r="G409" s="84"/>
      <c r="H409" s="490"/>
      <c r="I409" s="490"/>
      <c r="J409" s="490"/>
      <c r="K409" s="490"/>
      <c r="L409" s="490"/>
      <c r="M409" s="84"/>
      <c r="N409" s="84"/>
      <c r="O409" s="84"/>
      <c r="P409" s="84"/>
      <c r="Q409" s="85"/>
      <c r="R409" s="84"/>
      <c r="S409" s="85"/>
      <c r="T409" s="84"/>
      <c r="U409" s="84"/>
      <c r="V409" s="84"/>
      <c r="W409" s="84"/>
      <c r="X409" s="84"/>
      <c r="Y409" s="84"/>
      <c r="Z409" s="84"/>
      <c r="AA409" s="84"/>
      <c r="AB409" s="84"/>
    </row>
    <row r="410" spans="1:28" ht="14.25">
      <c r="A410" s="84"/>
      <c r="B410" s="85"/>
      <c r="C410" s="85"/>
      <c r="D410" s="85"/>
      <c r="E410" s="504"/>
      <c r="F410" s="84"/>
      <c r="G410" s="84"/>
      <c r="H410" s="490"/>
      <c r="I410" s="490"/>
      <c r="J410" s="490"/>
      <c r="K410" s="490"/>
      <c r="L410" s="490"/>
      <c r="M410" s="84"/>
      <c r="N410" s="84"/>
      <c r="O410" s="84"/>
      <c r="P410" s="84"/>
      <c r="Q410" s="85"/>
      <c r="R410" s="84"/>
      <c r="S410" s="85"/>
      <c r="T410" s="84"/>
      <c r="U410" s="84"/>
      <c r="V410" s="84"/>
      <c r="W410" s="84"/>
      <c r="X410" s="84"/>
      <c r="Y410" s="84"/>
      <c r="Z410" s="84"/>
      <c r="AA410" s="84"/>
      <c r="AB410" s="84"/>
    </row>
    <row r="411" spans="1:28" ht="14.25">
      <c r="A411" s="84"/>
      <c r="B411" s="85"/>
      <c r="C411" s="85"/>
      <c r="D411" s="85"/>
      <c r="E411" s="504"/>
      <c r="F411" s="84"/>
      <c r="G411" s="84"/>
      <c r="H411" s="490"/>
      <c r="I411" s="490"/>
      <c r="J411" s="490"/>
      <c r="K411" s="490"/>
      <c r="L411" s="490"/>
      <c r="M411" s="84"/>
      <c r="N411" s="84"/>
      <c r="O411" s="84"/>
      <c r="P411" s="84"/>
      <c r="Q411" s="85"/>
      <c r="R411" s="84"/>
      <c r="S411" s="85"/>
      <c r="T411" s="84"/>
      <c r="U411" s="84"/>
      <c r="V411" s="84"/>
      <c r="W411" s="84"/>
      <c r="X411" s="84"/>
      <c r="Y411" s="84"/>
      <c r="Z411" s="84"/>
      <c r="AA411" s="84"/>
      <c r="AB411" s="84"/>
    </row>
    <row r="412" spans="1:28" ht="14.25">
      <c r="A412" s="84"/>
      <c r="B412" s="85"/>
      <c r="C412" s="85"/>
      <c r="D412" s="85"/>
      <c r="E412" s="504"/>
      <c r="F412" s="84"/>
      <c r="G412" s="84"/>
      <c r="H412" s="490"/>
      <c r="I412" s="490"/>
      <c r="J412" s="490"/>
      <c r="K412" s="490"/>
      <c r="L412" s="490"/>
      <c r="M412" s="84"/>
      <c r="N412" s="84"/>
      <c r="O412" s="84"/>
      <c r="P412" s="84"/>
      <c r="Q412" s="85"/>
      <c r="R412" s="84"/>
      <c r="S412" s="85"/>
      <c r="T412" s="84"/>
      <c r="U412" s="84"/>
      <c r="V412" s="84"/>
      <c r="W412" s="84"/>
      <c r="X412" s="84"/>
      <c r="Y412" s="84"/>
      <c r="Z412" s="84"/>
      <c r="AA412" s="84"/>
      <c r="AB412" s="84"/>
    </row>
    <row r="413" spans="1:28" ht="14.25">
      <c r="A413" s="84"/>
      <c r="B413" s="85"/>
      <c r="C413" s="85"/>
      <c r="D413" s="85"/>
      <c r="E413" s="504"/>
      <c r="F413" s="84"/>
      <c r="G413" s="84"/>
      <c r="H413" s="490"/>
      <c r="I413" s="490"/>
      <c r="J413" s="490"/>
      <c r="K413" s="490"/>
      <c r="L413" s="490"/>
      <c r="M413" s="84"/>
      <c r="N413" s="84"/>
      <c r="O413" s="84"/>
      <c r="P413" s="84"/>
      <c r="Q413" s="85"/>
      <c r="R413" s="84"/>
      <c r="S413" s="85"/>
      <c r="T413" s="84"/>
      <c r="U413" s="84"/>
      <c r="V413" s="84"/>
      <c r="W413" s="84"/>
      <c r="X413" s="84"/>
      <c r="Y413" s="84"/>
      <c r="Z413" s="84"/>
      <c r="AA413" s="84"/>
      <c r="AB413" s="84"/>
    </row>
    <row r="414" spans="1:28" ht="14.25">
      <c r="A414" s="84"/>
      <c r="B414" s="85"/>
      <c r="C414" s="85"/>
      <c r="D414" s="85"/>
      <c r="E414" s="504"/>
      <c r="F414" s="84"/>
      <c r="G414" s="84"/>
      <c r="H414" s="490"/>
      <c r="I414" s="490"/>
      <c r="J414" s="490"/>
      <c r="K414" s="490"/>
      <c r="L414" s="490"/>
      <c r="M414" s="84"/>
      <c r="N414" s="84"/>
      <c r="O414" s="84"/>
      <c r="P414" s="84"/>
      <c r="Q414" s="85"/>
      <c r="R414" s="84"/>
      <c r="S414" s="85"/>
      <c r="T414" s="84"/>
      <c r="U414" s="84"/>
      <c r="V414" s="84"/>
      <c r="W414" s="84"/>
      <c r="X414" s="84"/>
      <c r="Y414" s="84"/>
      <c r="Z414" s="84"/>
      <c r="AA414" s="84"/>
      <c r="AB414" s="84"/>
    </row>
    <row r="415" spans="1:28" ht="14.25">
      <c r="A415" s="84"/>
      <c r="B415" s="85"/>
      <c r="C415" s="85"/>
      <c r="D415" s="85"/>
      <c r="E415" s="504"/>
      <c r="F415" s="84"/>
      <c r="G415" s="84"/>
      <c r="H415" s="490"/>
      <c r="I415" s="490"/>
      <c r="J415" s="490"/>
      <c r="K415" s="490"/>
      <c r="L415" s="490"/>
      <c r="M415" s="84"/>
      <c r="N415" s="84"/>
      <c r="O415" s="84"/>
      <c r="P415" s="84"/>
      <c r="Q415" s="85"/>
      <c r="R415" s="84"/>
      <c r="S415" s="85"/>
      <c r="T415" s="84"/>
      <c r="U415" s="84"/>
      <c r="V415" s="84"/>
      <c r="W415" s="84"/>
      <c r="X415" s="84"/>
      <c r="Y415" s="84"/>
      <c r="Z415" s="84"/>
      <c r="AA415" s="84"/>
      <c r="AB415" s="84"/>
    </row>
    <row r="416" spans="1:28" ht="14.25">
      <c r="A416" s="84"/>
      <c r="B416" s="85"/>
      <c r="C416" s="85"/>
      <c r="D416" s="85"/>
      <c r="E416" s="504"/>
      <c r="F416" s="84"/>
      <c r="G416" s="84"/>
      <c r="H416" s="490"/>
      <c r="I416" s="490"/>
      <c r="J416" s="490"/>
      <c r="K416" s="490"/>
      <c r="L416" s="490"/>
      <c r="M416" s="84"/>
      <c r="N416" s="84"/>
      <c r="O416" s="84"/>
      <c r="P416" s="84"/>
      <c r="Q416" s="85"/>
      <c r="R416" s="84"/>
      <c r="S416" s="85"/>
      <c r="T416" s="84"/>
      <c r="U416" s="84"/>
      <c r="V416" s="84"/>
      <c r="W416" s="84"/>
      <c r="X416" s="84"/>
      <c r="Y416" s="84"/>
      <c r="Z416" s="84"/>
      <c r="AA416" s="84"/>
      <c r="AB416" s="84"/>
    </row>
    <row r="417" spans="1:28" ht="14.25">
      <c r="A417" s="84"/>
      <c r="B417" s="85"/>
      <c r="C417" s="85"/>
      <c r="D417" s="85"/>
      <c r="E417" s="504"/>
      <c r="F417" s="84"/>
      <c r="G417" s="84"/>
      <c r="H417" s="490"/>
      <c r="I417" s="490"/>
      <c r="J417" s="490"/>
      <c r="K417" s="490"/>
      <c r="L417" s="490"/>
      <c r="M417" s="84"/>
      <c r="N417" s="84"/>
      <c r="O417" s="84"/>
      <c r="P417" s="84"/>
      <c r="Q417" s="85"/>
      <c r="R417" s="84"/>
      <c r="S417" s="85"/>
      <c r="T417" s="84"/>
      <c r="U417" s="84"/>
      <c r="V417" s="84"/>
      <c r="W417" s="84"/>
      <c r="X417" s="84"/>
      <c r="Y417" s="84"/>
      <c r="Z417" s="84"/>
      <c r="AA417" s="84"/>
      <c r="AB417" s="84"/>
    </row>
    <row r="418" spans="1:28" ht="14.25">
      <c r="A418" s="84"/>
      <c r="B418" s="85"/>
      <c r="C418" s="85"/>
      <c r="D418" s="85"/>
      <c r="E418" s="504"/>
      <c r="F418" s="84"/>
      <c r="G418" s="84"/>
      <c r="H418" s="490"/>
      <c r="I418" s="490"/>
      <c r="J418" s="490"/>
      <c r="K418" s="490"/>
      <c r="L418" s="490"/>
      <c r="M418" s="84"/>
      <c r="N418" s="84"/>
      <c r="O418" s="84"/>
      <c r="P418" s="84"/>
      <c r="Q418" s="85"/>
      <c r="R418" s="84"/>
      <c r="S418" s="85"/>
      <c r="T418" s="84"/>
      <c r="U418" s="84"/>
      <c r="V418" s="84"/>
      <c r="W418" s="84"/>
      <c r="X418" s="84"/>
      <c r="Y418" s="84"/>
      <c r="Z418" s="84"/>
      <c r="AA418" s="84"/>
      <c r="AB418" s="84"/>
    </row>
    <row r="419" spans="1:28" ht="14.25">
      <c r="A419" s="84"/>
      <c r="B419" s="85"/>
      <c r="C419" s="85"/>
      <c r="D419" s="85"/>
      <c r="E419" s="504"/>
      <c r="F419" s="84"/>
      <c r="G419" s="84"/>
      <c r="H419" s="490"/>
      <c r="I419" s="490"/>
      <c r="J419" s="490"/>
      <c r="K419" s="490"/>
      <c r="L419" s="490"/>
      <c r="M419" s="84"/>
      <c r="N419" s="84"/>
      <c r="O419" s="84"/>
      <c r="P419" s="84"/>
      <c r="Q419" s="85"/>
      <c r="R419" s="84"/>
      <c r="S419" s="85"/>
      <c r="T419" s="84"/>
      <c r="U419" s="84"/>
      <c r="V419" s="84"/>
      <c r="W419" s="84"/>
      <c r="X419" s="84"/>
      <c r="Y419" s="84"/>
      <c r="Z419" s="84"/>
      <c r="AA419" s="84"/>
      <c r="AB419" s="84"/>
    </row>
    <row r="420" spans="1:28" ht="14.25">
      <c r="A420" s="84"/>
      <c r="B420" s="85"/>
      <c r="C420" s="85"/>
      <c r="D420" s="85"/>
      <c r="E420" s="504"/>
      <c r="F420" s="84"/>
      <c r="G420" s="84"/>
      <c r="H420" s="490"/>
      <c r="I420" s="490"/>
      <c r="J420" s="490"/>
      <c r="K420" s="490"/>
      <c r="L420" s="490"/>
      <c r="M420" s="84"/>
      <c r="N420" s="84"/>
      <c r="O420" s="84"/>
      <c r="P420" s="84"/>
      <c r="Q420" s="85"/>
      <c r="R420" s="84"/>
      <c r="S420" s="85"/>
      <c r="T420" s="84"/>
      <c r="U420" s="84"/>
      <c r="V420" s="84"/>
      <c r="W420" s="84"/>
      <c r="X420" s="84"/>
      <c r="Y420" s="84"/>
      <c r="Z420" s="84"/>
      <c r="AA420" s="84"/>
      <c r="AB420" s="84"/>
    </row>
    <row r="421" spans="1:28" ht="14.25">
      <c r="A421" s="84"/>
      <c r="B421" s="85"/>
      <c r="C421" s="85"/>
      <c r="D421" s="85"/>
      <c r="E421" s="504"/>
      <c r="F421" s="84"/>
      <c r="G421" s="84"/>
      <c r="H421" s="490"/>
      <c r="I421" s="490"/>
      <c r="J421" s="490"/>
      <c r="K421" s="490"/>
      <c r="L421" s="490"/>
      <c r="M421" s="84"/>
      <c r="N421" s="84"/>
      <c r="O421" s="84"/>
      <c r="P421" s="84"/>
      <c r="Q421" s="85"/>
      <c r="R421" s="84"/>
      <c r="S421" s="85"/>
      <c r="T421" s="84"/>
      <c r="U421" s="84"/>
      <c r="V421" s="84"/>
      <c r="W421" s="84"/>
      <c r="X421" s="84"/>
      <c r="Y421" s="84"/>
      <c r="Z421" s="84"/>
      <c r="AA421" s="84"/>
      <c r="AB421" s="84"/>
    </row>
    <row r="422" spans="1:28" ht="14.25">
      <c r="A422" s="84"/>
      <c r="B422" s="85"/>
      <c r="C422" s="85"/>
      <c r="D422" s="85"/>
      <c r="E422" s="504"/>
      <c r="F422" s="84"/>
      <c r="G422" s="84"/>
      <c r="H422" s="490"/>
      <c r="I422" s="490"/>
      <c r="J422" s="490"/>
      <c r="K422" s="490"/>
      <c r="L422" s="490"/>
      <c r="M422" s="84"/>
      <c r="N422" s="84"/>
      <c r="O422" s="84"/>
      <c r="P422" s="84"/>
      <c r="Q422" s="85"/>
      <c r="R422" s="84"/>
      <c r="S422" s="85"/>
      <c r="T422" s="84"/>
      <c r="U422" s="84"/>
      <c r="V422" s="84"/>
      <c r="W422" s="84"/>
      <c r="X422" s="84"/>
      <c r="Y422" s="84"/>
      <c r="Z422" s="84"/>
      <c r="AA422" s="84"/>
      <c r="AB422" s="84"/>
    </row>
  </sheetData>
  <mergeCells count="11">
    <mergeCell ref="Q15:Q16"/>
    <mergeCell ref="R15:R16"/>
    <mergeCell ref="S15:S16"/>
    <mergeCell ref="F15:F16"/>
    <mergeCell ref="E15:E16"/>
    <mergeCell ref="A15:A16"/>
    <mergeCell ref="B15:B16"/>
    <mergeCell ref="G15:G16"/>
    <mergeCell ref="L15:P15"/>
    <mergeCell ref="I15:K15"/>
    <mergeCell ref="C15:C16"/>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99"/>
  <sheetViews>
    <sheetView topLeftCell="A5" workbookViewId="0">
      <selection activeCell="C18" sqref="C18"/>
    </sheetView>
  </sheetViews>
  <sheetFormatPr defaultColWidth="11" defaultRowHeight="13.5"/>
  <cols>
    <col min="2" max="2" width="40.125" customWidth="1"/>
    <col min="7" max="7" width="13.125" customWidth="1"/>
    <col min="8" max="8" width="13.3125" customWidth="1"/>
    <col min="10" max="10" width="17.875" customWidth="1"/>
    <col min="17" max="17" width="19.4375" customWidth="1"/>
  </cols>
  <sheetData>
    <row r="1" spans="2:24" ht="14.25">
      <c r="J1" s="106"/>
      <c r="K1" s="106"/>
      <c r="L1" s="106"/>
    </row>
    <row r="2" spans="2:24" ht="25.5">
      <c r="B2" s="172"/>
      <c r="C2" s="82"/>
      <c r="D2" s="82"/>
      <c r="E2" s="82"/>
      <c r="F2" s="109"/>
      <c r="G2" s="109"/>
      <c r="J2" s="110"/>
      <c r="K2" s="106"/>
      <c r="L2" s="106"/>
    </row>
    <row r="3" spans="2:24" ht="14.65" thickBot="1">
      <c r="B3" s="111"/>
      <c r="C3" s="111"/>
      <c r="D3" s="111"/>
      <c r="E3" s="111"/>
      <c r="J3" s="110"/>
      <c r="K3" s="112" t="s">
        <v>145</v>
      </c>
      <c r="L3" s="106"/>
    </row>
    <row r="4" spans="2:24" ht="71" customHeight="1" thickBot="1">
      <c r="C4" s="729" t="s">
        <v>37</v>
      </c>
      <c r="D4" s="730"/>
      <c r="E4" s="729" t="s">
        <v>38</v>
      </c>
      <c r="F4" s="730"/>
      <c r="G4" s="731" t="s">
        <v>39</v>
      </c>
      <c r="H4" s="732"/>
      <c r="I4" s="733" t="s">
        <v>40</v>
      </c>
      <c r="J4" s="734"/>
      <c r="K4" s="727" t="s">
        <v>41</v>
      </c>
      <c r="L4" s="728"/>
      <c r="M4" s="727" t="s">
        <v>42</v>
      </c>
      <c r="N4" s="728"/>
      <c r="O4" s="725" t="s">
        <v>43</v>
      </c>
      <c r="P4" s="726"/>
      <c r="R4" s="110"/>
      <c r="S4" s="106"/>
      <c r="T4" s="106"/>
    </row>
    <row r="5" spans="2:24" ht="63" customHeight="1">
      <c r="B5" s="113" t="s">
        <v>44</v>
      </c>
      <c r="C5" s="114"/>
      <c r="D5" s="115"/>
      <c r="E5" s="114"/>
      <c r="F5" s="106"/>
      <c r="G5" s="428"/>
      <c r="H5" s="429"/>
      <c r="I5" s="106"/>
      <c r="J5" s="115"/>
      <c r="K5" s="114"/>
      <c r="L5" s="115"/>
      <c r="M5" s="114"/>
      <c r="N5" s="115"/>
      <c r="O5" s="116"/>
      <c r="P5" s="117"/>
      <c r="R5" s="110"/>
      <c r="S5" s="106"/>
      <c r="T5" s="106"/>
      <c r="U5" s="106"/>
      <c r="V5" s="106"/>
      <c r="W5" s="106"/>
      <c r="X5" s="106"/>
    </row>
    <row r="6" spans="2:24" ht="14.25">
      <c r="B6" s="106" t="s">
        <v>45</v>
      </c>
      <c r="C6" s="118" t="e">
        <f ca="1">SUM($D$31:$D$49)</f>
        <v>#REF!</v>
      </c>
      <c r="D6" s="115"/>
      <c r="E6" s="118" t="e">
        <f ca="1">SUM(D56:D73)</f>
        <v>#REF!</v>
      </c>
      <c r="F6" s="106"/>
      <c r="G6" s="430">
        <f>COUNTIF('Six months follow-up_Virtual'!$S$17:$S$4704,"No")</f>
        <v>0</v>
      </c>
      <c r="H6" s="431"/>
      <c r="I6" s="138">
        <f>COUNTIF('One year follow-up_Virtual'!$Q$13:$Q$4905,"Yes")</f>
        <v>0</v>
      </c>
      <c r="J6" s="115"/>
      <c r="K6" s="114">
        <f>COUNTIF('Six months follow-up_Virtual'!$S$17:$S$3694,"Yes")</f>
        <v>0</v>
      </c>
      <c r="L6" s="115"/>
      <c r="M6" s="114">
        <f>COUNTIF('One year follow-up_Virtual'!$Q$13:$Q$3895,"No")</f>
        <v>0</v>
      </c>
      <c r="N6" s="115"/>
      <c r="O6" s="118" t="e">
        <f ca="1">C6+E6</f>
        <v>#REF!</v>
      </c>
      <c r="P6" s="115"/>
      <c r="R6" s="110"/>
      <c r="S6" s="106"/>
      <c r="T6" s="106"/>
      <c r="U6" s="106"/>
      <c r="V6" s="106"/>
      <c r="W6" s="106"/>
      <c r="X6" s="106"/>
    </row>
    <row r="7" spans="2:24" ht="14.25">
      <c r="C7" s="119"/>
      <c r="D7" s="115"/>
      <c r="E7" s="114"/>
      <c r="F7" s="106"/>
      <c r="G7" s="430"/>
      <c r="H7" s="431"/>
      <c r="I7" s="106"/>
      <c r="J7" s="115"/>
      <c r="K7" s="114"/>
      <c r="L7" s="115"/>
      <c r="M7" s="114"/>
      <c r="N7" s="115"/>
      <c r="O7" s="114"/>
      <c r="P7" s="115"/>
      <c r="R7" s="110"/>
      <c r="S7" s="106"/>
      <c r="T7" s="106"/>
      <c r="U7" s="106"/>
      <c r="V7" s="106"/>
      <c r="W7" s="106"/>
      <c r="X7" s="106"/>
    </row>
    <row r="8" spans="2:24" ht="14.25">
      <c r="B8" s="106" t="s">
        <v>46</v>
      </c>
      <c r="C8" s="120" t="e">
        <f>COUNTIF('Six months follow-up_Virtual'!#REF!,"Yes")</f>
        <v>#REF!</v>
      </c>
      <c r="D8" s="121" t="e">
        <f ca="1">C8/C6</f>
        <v>#REF!</v>
      </c>
      <c r="E8" s="114" t="e">
        <f>COUNTIF('One year follow-up_Virtual'!#REF!,"Yes")</f>
        <v>#REF!</v>
      </c>
      <c r="F8" s="129" t="e">
        <f ca="1">E8/E6</f>
        <v>#REF!</v>
      </c>
      <c r="G8" s="430" t="e">
        <f>COUNTIFS('Six months follow-up_Virtual'!#REF!, "Yes",'Six months follow-up_Virtual'!#REF!,"No")</f>
        <v>#REF!</v>
      </c>
      <c r="H8" s="432" t="e">
        <f>G8/G6</f>
        <v>#REF!</v>
      </c>
      <c r="I8" s="138" t="e">
        <f>COUNTIFS('One year follow-up_Virtual'!#REF!, "Yes",'One year follow-up_Virtual'!#REF!,"Yes")</f>
        <v>#REF!</v>
      </c>
      <c r="J8" s="122" t="e">
        <f>I8/$I$6</f>
        <v>#REF!</v>
      </c>
      <c r="K8" s="118" t="e">
        <f>COUNTIFS('Six months follow-up_Virtual'!#REF!, "Yes",'Six months follow-up_Virtual'!#REF!,"Yes")</f>
        <v>#REF!</v>
      </c>
      <c r="L8" s="122" t="e">
        <f>K8/$K$6</f>
        <v>#REF!</v>
      </c>
      <c r="M8" s="118" t="e">
        <f>COUNTIFS('One year follow-up_Virtual'!#REF!,"Yes",'One year follow-up_Virtual'!#REF!,"No")</f>
        <v>#REF!</v>
      </c>
      <c r="N8" s="122" t="e">
        <f>M8/M6</f>
        <v>#REF!</v>
      </c>
      <c r="O8" s="118" t="e">
        <f>SUM(E8,G8)</f>
        <v>#REF!</v>
      </c>
      <c r="P8" s="359" t="e">
        <f ca="1">O8/$O$6</f>
        <v>#REF!</v>
      </c>
      <c r="R8" s="110"/>
      <c r="S8" s="106"/>
      <c r="T8" s="106"/>
      <c r="U8" s="106"/>
      <c r="V8" s="106"/>
      <c r="W8" s="106"/>
      <c r="X8" s="106"/>
    </row>
    <row r="9" spans="2:24" ht="14.25">
      <c r="B9" s="106" t="s">
        <v>47</v>
      </c>
      <c r="C9" s="123" t="e">
        <f>COUNTIF('Six months follow-up_Virtual'!#REF!,"No")</f>
        <v>#REF!</v>
      </c>
      <c r="D9" s="124" t="e">
        <f ca="1">C9/C6</f>
        <v>#REF!</v>
      </c>
      <c r="E9" s="125" t="e">
        <f>COUNTIF('One year follow-up_Virtual'!#REF!,"No")</f>
        <v>#REF!</v>
      </c>
      <c r="F9" s="143" t="e">
        <f ca="1">E9/E6</f>
        <v>#REF!</v>
      </c>
      <c r="G9" s="433" t="e">
        <f>COUNTIFS('Six months follow-up_Virtual'!#REF!, "No",'Six months follow-up_Virtual'!#REF!,"No")</f>
        <v>#REF!</v>
      </c>
      <c r="H9" s="434" t="e">
        <f>G9/G6</f>
        <v>#REF!</v>
      </c>
      <c r="I9" s="142" t="e">
        <f>COUNTIFS('One year follow-up_Virtual'!#REF!, "No",'One year follow-up_Virtual'!#REF!,"Yes")</f>
        <v>#REF!</v>
      </c>
      <c r="J9" s="126" t="e">
        <f>I9/$I$6</f>
        <v>#REF!</v>
      </c>
      <c r="K9" s="127" t="e">
        <f>COUNTIFS('Six months follow-up_Virtual'!#REF!, "No",'Six months follow-up_Virtual'!#REF!,"Yes")</f>
        <v>#REF!</v>
      </c>
      <c r="L9" s="126" t="e">
        <f>K9/$K$6</f>
        <v>#REF!</v>
      </c>
      <c r="M9" s="127" t="e">
        <f>COUNTIFS('One year follow-up_Virtual'!#REF!, "No",'One year follow-up_Virtual'!#REF!,"No")</f>
        <v>#REF!</v>
      </c>
      <c r="N9" s="126" t="e">
        <f>M9/M6</f>
        <v>#REF!</v>
      </c>
      <c r="O9" s="127" t="e">
        <f>SUM(E9,G9)</f>
        <v>#REF!</v>
      </c>
      <c r="P9" s="126" t="e">
        <f ca="1">O9/$O$6</f>
        <v>#REF!</v>
      </c>
      <c r="R9" s="110"/>
      <c r="S9" s="106"/>
      <c r="T9" s="106"/>
      <c r="U9" s="106"/>
      <c r="V9" s="106"/>
      <c r="W9" s="106"/>
      <c r="X9" s="106"/>
    </row>
    <row r="10" spans="2:24" ht="14.25">
      <c r="D10" s="128"/>
      <c r="F10" s="129"/>
      <c r="R10" s="110"/>
      <c r="S10" s="106"/>
      <c r="T10" s="106"/>
      <c r="U10" s="106"/>
      <c r="V10" s="106"/>
      <c r="W10" s="106"/>
      <c r="X10" s="106"/>
    </row>
    <row r="11" spans="2:24" ht="14.25">
      <c r="D11" s="128"/>
      <c r="F11" s="129"/>
      <c r="R11" s="110"/>
      <c r="S11" s="106"/>
      <c r="T11" s="106"/>
      <c r="U11" s="106"/>
      <c r="V11" s="106"/>
      <c r="W11" s="106"/>
      <c r="X11" s="106"/>
    </row>
    <row r="12" spans="2:24" ht="35" customHeight="1">
      <c r="B12" s="113" t="s">
        <v>48</v>
      </c>
      <c r="C12" s="116"/>
      <c r="D12" s="130"/>
      <c r="E12" s="116"/>
      <c r="F12" s="131"/>
      <c r="G12" s="116"/>
      <c r="H12" s="117"/>
      <c r="I12" s="116"/>
      <c r="J12" s="117"/>
      <c r="K12" s="132"/>
      <c r="L12" s="133"/>
      <c r="M12" s="133"/>
      <c r="N12" s="133"/>
      <c r="O12" s="116"/>
      <c r="P12" s="117"/>
      <c r="R12" s="134"/>
      <c r="S12" s="106"/>
      <c r="T12" s="106"/>
      <c r="U12" s="173"/>
      <c r="V12" s="82"/>
      <c r="W12" s="106"/>
      <c r="X12" s="106"/>
    </row>
    <row r="13" spans="2:24" ht="14.25">
      <c r="B13" s="106" t="s">
        <v>49</v>
      </c>
      <c r="C13" s="135" t="e">
        <f>COUNTIF('Six months follow-up_Virtual'!#REF!, 1)</f>
        <v>#REF!</v>
      </c>
      <c r="D13" s="136" t="e">
        <f ca="1">C13/E50</f>
        <v>#REF!</v>
      </c>
      <c r="E13" s="135" t="e">
        <f>COUNTIF('One year follow-up_Virtual'!#REF!, 1)</f>
        <v>#REF!</v>
      </c>
      <c r="F13" s="136" t="e">
        <f ca="1">E13/E74</f>
        <v>#REF!</v>
      </c>
      <c r="G13" s="137" t="e">
        <f>COUNTIFS('Six months follow-up_Virtual'!#REF!, 1,'Six months follow-up_Virtual'!#REF!,"No")</f>
        <v>#REF!</v>
      </c>
      <c r="H13" s="122" t="e">
        <f ca="1">G13/M50</f>
        <v>#REF!</v>
      </c>
      <c r="I13" s="118" t="e">
        <f>COUNTIFS('One year follow-up_Virtual'!#REF!, 1,'One year follow-up_Virtual'!#REF!,"Yes")</f>
        <v>#REF!</v>
      </c>
      <c r="J13" s="122" t="e">
        <f>I13/M74</f>
        <v>#REF!</v>
      </c>
      <c r="K13" s="138" t="e">
        <f>COUNTIFS('Six months follow-up_Virtual'!#REF!, 1,'Six months follow-up_Virtual'!#REF!,"Yes")</f>
        <v>#REF!</v>
      </c>
      <c r="L13" s="129" t="e">
        <f ca="1">K13/T50</f>
        <v>#REF!</v>
      </c>
      <c r="M13" s="138" t="e">
        <f>COUNTIFS('One year follow-up_Virtual'!#REF!, 1,'One year follow-up_Virtual'!#REF!,"No")</f>
        <v>#REF!</v>
      </c>
      <c r="N13" s="129" t="e">
        <f>M13/T74</f>
        <v>#REF!</v>
      </c>
      <c r="O13" s="118" t="e">
        <f t="shared" ref="O13:O18" si="0">SUM(E13,G13)</f>
        <v>#REF!</v>
      </c>
      <c r="P13" s="122" t="e">
        <f ca="1">O13/(SUM($E$74,$M$50))</f>
        <v>#REF!</v>
      </c>
      <c r="R13" s="110"/>
      <c r="S13" s="129"/>
      <c r="T13" s="139"/>
      <c r="U13" s="138"/>
      <c r="V13" s="129"/>
      <c r="W13" s="129"/>
      <c r="X13" s="106"/>
    </row>
    <row r="14" spans="2:24" ht="14.25">
      <c r="B14" s="106" t="s">
        <v>50</v>
      </c>
      <c r="C14" s="135" t="e">
        <f>COUNTIF('Six months follow-up_Virtual'!#REF!, 1)</f>
        <v>#REF!</v>
      </c>
      <c r="D14" s="121" t="e">
        <f ca="1">C14/C6</f>
        <v>#REF!</v>
      </c>
      <c r="E14" s="135" t="e">
        <f>COUNTIF('One year follow-up_Virtual'!#REF!, "1")</f>
        <v>#REF!</v>
      </c>
      <c r="F14" s="121" t="e">
        <f ca="1">E14/E6</f>
        <v>#REF!</v>
      </c>
      <c r="G14" s="137" t="e">
        <f>COUNTIFS('Six months follow-up_Virtual'!#REF!, 1,'Six months follow-up_Virtual'!#REF!,"No")</f>
        <v>#REF!</v>
      </c>
      <c r="H14" s="122" t="e">
        <f>G14/G6</f>
        <v>#REF!</v>
      </c>
      <c r="I14" s="118" t="e">
        <f>COUNTIFS('One year follow-up_Virtual'!#REF!, 1,'One year follow-up_Virtual'!#REF!,"Yes")</f>
        <v>#REF!</v>
      </c>
      <c r="J14" s="122" t="e">
        <f>I14/I6</f>
        <v>#REF!</v>
      </c>
      <c r="K14" s="138" t="e">
        <f>COUNTIFS('Six months follow-up_Virtual'!#REF!, 1,'Six months follow-up_Virtual'!#REF!,"Yes")</f>
        <v>#REF!</v>
      </c>
      <c r="L14" s="129" t="e">
        <f>K14/K6</f>
        <v>#REF!</v>
      </c>
      <c r="M14" s="138" t="e">
        <f>COUNTIFS('One year follow-up_Virtual'!#REF!, 1,'One year follow-up_Virtual'!#REF!,"No")</f>
        <v>#REF!</v>
      </c>
      <c r="N14" s="129" t="e">
        <f>M14/V74</f>
        <v>#REF!</v>
      </c>
      <c r="O14" s="118" t="e">
        <f t="shared" si="0"/>
        <v>#REF!</v>
      </c>
      <c r="P14" s="122" t="e">
        <f ca="1">O14/SUM(G74,O50)</f>
        <v>#REF!</v>
      </c>
      <c r="R14" s="110"/>
      <c r="S14" s="129"/>
      <c r="T14" s="129"/>
      <c r="U14" s="138"/>
      <c r="V14" s="129"/>
      <c r="W14" s="129"/>
      <c r="X14" s="106"/>
    </row>
    <row r="15" spans="2:24" ht="14.25">
      <c r="B15" s="106" t="s">
        <v>51</v>
      </c>
      <c r="C15" s="135" t="e">
        <f>COUNTIF('Six months follow-up_Virtual'!#REF!, 1)</f>
        <v>#REF!</v>
      </c>
      <c r="D15" s="136" t="e">
        <f ca="1">C15/F50</f>
        <v>#REF!</v>
      </c>
      <c r="E15" s="135" t="e">
        <f>COUNTIF('One year follow-up_Virtual'!#REF!, "1")</f>
        <v>#REF!</v>
      </c>
      <c r="F15" s="136" t="e">
        <f>E15/F74</f>
        <v>#REF!</v>
      </c>
      <c r="G15" s="137" t="e">
        <f>COUNTIFS('Six months follow-up_Virtual'!#REF!, 1,'Six months follow-up_Virtual'!#REF!,"No")</f>
        <v>#REF!</v>
      </c>
      <c r="H15" s="122" t="e">
        <f ca="1">G15/N50</f>
        <v>#REF!</v>
      </c>
      <c r="I15" s="118" t="e">
        <f>COUNTIFS('One year follow-up_Virtual'!#REF!, 1,'One year follow-up_Virtual'!#REF!,"Yes")</f>
        <v>#REF!</v>
      </c>
      <c r="J15" s="122" t="e">
        <f>I15/N74</f>
        <v>#REF!</v>
      </c>
      <c r="K15" s="138" t="e">
        <f>COUNTIFS('Six months follow-up_Virtual'!#REF!, 1,'Six months follow-up_Virtual'!#REF!,"Yes")</f>
        <v>#REF!</v>
      </c>
      <c r="L15" s="129" t="e">
        <f ca="1">K15/U50</f>
        <v>#REF!</v>
      </c>
      <c r="M15" s="138" t="e">
        <f>COUNTIFS('One year follow-up_Virtual'!#REF!, 1,'One year follow-up_Virtual'!#REF!,"No")</f>
        <v>#REF!</v>
      </c>
      <c r="N15" s="129" t="e">
        <f>M15/U74</f>
        <v>#REF!</v>
      </c>
      <c r="O15" s="118" t="e">
        <f t="shared" si="0"/>
        <v>#REF!</v>
      </c>
      <c r="P15" s="122" t="e">
        <f ca="1">O15/SUM(F74,N50)</f>
        <v>#REF!</v>
      </c>
      <c r="R15" s="110"/>
      <c r="S15" s="129"/>
      <c r="T15" s="129"/>
      <c r="U15" s="138"/>
      <c r="V15" s="129"/>
      <c r="W15" s="129"/>
      <c r="X15" s="106"/>
    </row>
    <row r="16" spans="2:24" ht="14.25">
      <c r="B16" s="106" t="s">
        <v>85</v>
      </c>
      <c r="C16" s="135" t="e">
        <f>COUNTIF('Six months follow-up_Virtual'!#REF!, 1)</f>
        <v>#REF!</v>
      </c>
      <c r="D16" s="121" t="e">
        <f ca="1">C16/C6</f>
        <v>#REF!</v>
      </c>
      <c r="E16" s="135" t="e">
        <f>COUNTIF('One year follow-up_Virtual'!#REF!, "1")</f>
        <v>#REF!</v>
      </c>
      <c r="F16" s="121" t="e">
        <f ca="1">E16/E6</f>
        <v>#REF!</v>
      </c>
      <c r="G16" s="137" t="e">
        <f>COUNTIFS('Six months follow-up_Virtual'!#REF!, 1,'Six months follow-up_Virtual'!#REF!,"No")</f>
        <v>#REF!</v>
      </c>
      <c r="H16" s="122" t="e">
        <f>G16/G6</f>
        <v>#REF!</v>
      </c>
      <c r="I16" s="118" t="e">
        <f>COUNTIFS('One year follow-up_Virtual'!#REF!, 1,'One year follow-up_Virtual'!#REF!,"Yes")</f>
        <v>#REF!</v>
      </c>
      <c r="J16" s="122" t="e">
        <f>I16/I6</f>
        <v>#REF!</v>
      </c>
      <c r="K16" s="138" t="e">
        <f>COUNTIFS('Six months follow-up_Virtual'!#REF!, 1,'Six months follow-up_Virtual'!#REF!,"Yes")</f>
        <v>#REF!</v>
      </c>
      <c r="L16" s="129" t="e">
        <f>K16/K6</f>
        <v>#REF!</v>
      </c>
      <c r="M16" s="138" t="e">
        <f>COUNTIFS('One year follow-up_Virtual'!#REF!, 1,'One year follow-up_Virtual'!#REF!,"No")</f>
        <v>#REF!</v>
      </c>
      <c r="N16" s="129" t="e">
        <f>M16/M6</f>
        <v>#REF!</v>
      </c>
      <c r="O16" s="118" t="e">
        <f t="shared" si="0"/>
        <v>#REF!</v>
      </c>
      <c r="P16" s="122" t="e">
        <f ca="1">O16/O6</f>
        <v>#REF!</v>
      </c>
      <c r="Q16" s="129"/>
      <c r="R16" s="110"/>
      <c r="S16" s="129"/>
      <c r="T16" s="129"/>
      <c r="U16" s="138"/>
      <c r="V16" s="129"/>
      <c r="W16" s="106"/>
      <c r="X16" s="106"/>
    </row>
    <row r="17" spans="1:26" ht="14.25">
      <c r="B17" s="106" t="s">
        <v>86</v>
      </c>
      <c r="C17" s="135" t="e">
        <f>COUNTIF('Six months follow-up_Virtual'!#REF!, 1)</f>
        <v>#REF!</v>
      </c>
      <c r="D17" s="121" t="e">
        <f ca="1">C17/C6</f>
        <v>#REF!</v>
      </c>
      <c r="E17" s="135" t="e">
        <f>COUNTIF('One year follow-up_Virtual'!#REF!, "1")</f>
        <v>#REF!</v>
      </c>
      <c r="F17" s="121" t="e">
        <f ca="1">E17/E6</f>
        <v>#REF!</v>
      </c>
      <c r="G17" s="137" t="e">
        <f>COUNTIFS('Six months follow-up_Virtual'!#REF!, 1,'Six months follow-up_Virtual'!#REF!,"No")</f>
        <v>#REF!</v>
      </c>
      <c r="H17" s="122" t="e">
        <f>G17/G6</f>
        <v>#REF!</v>
      </c>
      <c r="I17" s="118" t="e">
        <f>COUNTIFS('One year follow-up_Virtual'!#REF!, 1,'One year follow-up_Virtual'!#REF!,"Yes")</f>
        <v>#REF!</v>
      </c>
      <c r="J17" s="122" t="e">
        <f>I17/I6</f>
        <v>#REF!</v>
      </c>
      <c r="K17" s="138" t="e">
        <f>COUNTIFS('Six months follow-up_Virtual'!#REF!, 1,'Six months follow-up_Virtual'!#REF!,"Yes")</f>
        <v>#REF!</v>
      </c>
      <c r="L17" s="129" t="e">
        <f>K17/K6</f>
        <v>#REF!</v>
      </c>
      <c r="M17" s="138" t="e">
        <f>COUNTIFS('One year follow-up_Virtual'!#REF!, 1,'One year follow-up_Virtual'!#REF!,"No")</f>
        <v>#REF!</v>
      </c>
      <c r="N17" s="129" t="e">
        <f>M17/M6</f>
        <v>#REF!</v>
      </c>
      <c r="O17" s="118" t="e">
        <f t="shared" si="0"/>
        <v>#REF!</v>
      </c>
      <c r="P17" s="122" t="e">
        <f ca="1">O17/O6</f>
        <v>#REF!</v>
      </c>
      <c r="Q17" s="129"/>
      <c r="R17" s="110"/>
      <c r="S17" s="129"/>
      <c r="T17" s="129"/>
      <c r="U17" s="138"/>
      <c r="V17" s="129"/>
      <c r="W17" s="106"/>
      <c r="X17" s="106"/>
    </row>
    <row r="18" spans="1:26" ht="14.25">
      <c r="B18" s="106" t="s">
        <v>52</v>
      </c>
      <c r="C18" s="140" t="e">
        <f>COUNTIF('Six months follow-up_Virtual'!#REF!, 1)</f>
        <v>#REF!</v>
      </c>
      <c r="D18" s="124" t="e">
        <f ca="1">C18/C6</f>
        <v>#REF!</v>
      </c>
      <c r="E18" s="140" t="e">
        <f>COUNTIF('One year follow-up_Virtual'!#REF!, "1")</f>
        <v>#REF!</v>
      </c>
      <c r="F18" s="124" t="e">
        <f ca="1">E18/E6</f>
        <v>#REF!</v>
      </c>
      <c r="G18" s="141" t="e">
        <f>COUNTIFS('Six months follow-up_Virtual'!#REF!, 1,'Six months follow-up_Virtual'!#REF!,"No")</f>
        <v>#REF!</v>
      </c>
      <c r="H18" s="126" t="e">
        <f>G18/G6</f>
        <v>#REF!</v>
      </c>
      <c r="I18" s="127" t="e">
        <f>COUNTIFS('One year follow-up_Virtual'!#REF!, 1,'One year follow-up_Virtual'!#REF!,"Yes")</f>
        <v>#REF!</v>
      </c>
      <c r="J18" s="126" t="e">
        <f>I18/I6</f>
        <v>#REF!</v>
      </c>
      <c r="K18" s="142" t="e">
        <f>COUNTIFS('Six months follow-up_Virtual'!#REF!, 1,'Six months follow-up_Virtual'!#REF!,"Yes")</f>
        <v>#REF!</v>
      </c>
      <c r="L18" s="143" t="e">
        <f>K18/K6</f>
        <v>#REF!</v>
      </c>
      <c r="M18" s="142" t="e">
        <f>COUNTIFS('One year follow-up_Virtual'!#REF!, 1,'One year follow-up_Virtual'!#REF!,"No")</f>
        <v>#REF!</v>
      </c>
      <c r="N18" s="143" t="e">
        <f>M18/M6</f>
        <v>#REF!</v>
      </c>
      <c r="O18" s="127" t="e">
        <f t="shared" si="0"/>
        <v>#REF!</v>
      </c>
      <c r="P18" s="358" t="e">
        <f ca="1">O18/O6</f>
        <v>#REF!</v>
      </c>
      <c r="R18" s="110"/>
      <c r="S18" s="129"/>
      <c r="T18" s="129"/>
      <c r="U18" s="138"/>
      <c r="V18" s="129"/>
      <c r="W18" s="106"/>
      <c r="X18" s="106"/>
    </row>
    <row r="19" spans="1:26" ht="14.25">
      <c r="J19" s="106"/>
      <c r="K19" s="106"/>
      <c r="L19" s="106"/>
      <c r="R19" s="106"/>
      <c r="S19" s="106"/>
      <c r="T19" s="106"/>
      <c r="U19" s="106"/>
      <c r="V19" s="106"/>
      <c r="W19" s="106"/>
      <c r="X19" s="106"/>
    </row>
    <row r="20" spans="1:26" ht="14.25">
      <c r="J20" s="106"/>
      <c r="K20" s="106"/>
      <c r="L20" s="106"/>
      <c r="R20" s="106"/>
      <c r="S20" s="106"/>
      <c r="T20" s="106"/>
      <c r="U20" s="106"/>
      <c r="V20" s="106"/>
      <c r="W20" s="106"/>
      <c r="X20" s="106"/>
    </row>
    <row r="21" spans="1:26" ht="14.25">
      <c r="G21" s="82"/>
      <c r="H21" s="144"/>
      <c r="I21" s="82"/>
      <c r="J21" s="145"/>
      <c r="K21" s="106"/>
      <c r="L21" s="106"/>
      <c r="R21" s="106"/>
      <c r="S21" s="106"/>
      <c r="T21" s="106"/>
      <c r="U21" s="106"/>
      <c r="V21" s="106"/>
      <c r="W21" s="106"/>
      <c r="X21" s="106"/>
    </row>
    <row r="22" spans="1:26" ht="14.25">
      <c r="G22" s="82"/>
      <c r="H22" s="144"/>
      <c r="I22" s="82"/>
      <c r="J22" s="145"/>
      <c r="K22" s="138"/>
      <c r="L22" s="106"/>
    </row>
    <row r="23" spans="1:26" ht="14.25">
      <c r="G23" s="82"/>
      <c r="H23" s="144"/>
      <c r="I23" s="82"/>
      <c r="J23" s="145"/>
      <c r="K23" s="106"/>
      <c r="L23" s="106"/>
    </row>
    <row r="24" spans="1:26" ht="14.25">
      <c r="C24" s="82"/>
      <c r="D24" s="144"/>
      <c r="E24" s="82"/>
      <c r="F24" s="144"/>
      <c r="J24" s="106"/>
      <c r="K24" s="106"/>
      <c r="L24" s="106"/>
    </row>
    <row r="25" spans="1:26" ht="14.25">
      <c r="C25" s="82"/>
      <c r="D25" s="144"/>
      <c r="E25" s="82"/>
      <c r="F25" s="144"/>
      <c r="J25" s="106"/>
      <c r="K25" s="106"/>
      <c r="L25" s="106"/>
    </row>
    <row r="26" spans="1:26" ht="14.25">
      <c r="A26" s="106"/>
      <c r="B26" s="106"/>
      <c r="C26" s="138"/>
      <c r="D26" s="138"/>
      <c r="E26" s="138"/>
      <c r="F26" s="138"/>
      <c r="G26" s="138"/>
      <c r="H26" s="106"/>
      <c r="I26" s="106"/>
      <c r="J26" s="106"/>
      <c r="K26" s="106"/>
      <c r="L26" s="106"/>
      <c r="M26" s="106"/>
      <c r="N26" s="106"/>
      <c r="O26" s="106"/>
      <c r="P26" s="106"/>
      <c r="Q26" s="106"/>
      <c r="R26" s="106"/>
      <c r="S26" s="106"/>
      <c r="T26" s="106"/>
      <c r="U26" s="106"/>
      <c r="V26" s="106"/>
      <c r="W26" s="106"/>
      <c r="X26" s="106"/>
      <c r="Y26" s="106"/>
      <c r="Z26" s="106"/>
    </row>
    <row r="27" spans="1:26" ht="14.25">
      <c r="A27" s="106"/>
      <c r="B27" s="106"/>
      <c r="C27" s="138"/>
      <c r="D27" s="138"/>
      <c r="E27" s="138"/>
      <c r="F27" s="138"/>
      <c r="G27" s="138"/>
      <c r="H27" s="106"/>
      <c r="I27" s="106"/>
      <c r="J27" s="106"/>
      <c r="K27" s="106"/>
      <c r="L27" s="106"/>
      <c r="M27" s="106"/>
      <c r="N27" s="106"/>
      <c r="O27" s="106"/>
      <c r="P27" s="106"/>
      <c r="Q27" s="106"/>
      <c r="R27" s="106"/>
      <c r="S27" s="106"/>
      <c r="T27" s="106"/>
      <c r="U27" s="106"/>
      <c r="V27" s="106"/>
      <c r="W27" s="106"/>
      <c r="X27" s="106"/>
      <c r="Y27" s="106"/>
      <c r="Z27" s="106"/>
    </row>
    <row r="28" spans="1:26" ht="14.65" thickBot="1">
      <c r="A28" s="106"/>
      <c r="B28" s="146" t="s">
        <v>53</v>
      </c>
      <c r="C28" s="138"/>
      <c r="D28" s="138"/>
      <c r="E28" s="138"/>
      <c r="F28" s="138"/>
      <c r="G28" s="138"/>
      <c r="H28" s="106"/>
      <c r="I28" s="106"/>
      <c r="J28" s="106"/>
      <c r="K28" s="129"/>
      <c r="L28" s="106"/>
      <c r="M28" s="106"/>
      <c r="N28" s="106"/>
      <c r="O28" s="106"/>
      <c r="P28" s="106"/>
      <c r="Q28" s="106"/>
      <c r="R28" s="106"/>
      <c r="S28" s="106"/>
      <c r="T28" s="106"/>
      <c r="U28" s="106"/>
      <c r="V28" s="106"/>
      <c r="W28" s="106"/>
      <c r="X28" s="106"/>
      <c r="Y28" s="106"/>
      <c r="Z28" s="106"/>
    </row>
    <row r="29" spans="1:26" ht="14.25">
      <c r="A29" s="171" t="s">
        <v>54</v>
      </c>
      <c r="B29" s="221" t="s">
        <v>55</v>
      </c>
      <c r="C29" s="222"/>
      <c r="D29" s="222"/>
      <c r="E29" s="222"/>
      <c r="F29" s="222"/>
      <c r="G29" s="222"/>
      <c r="H29" s="223"/>
      <c r="I29" s="223"/>
      <c r="J29" s="221" t="s">
        <v>56</v>
      </c>
      <c r="K29" s="224"/>
      <c r="L29" s="223"/>
      <c r="M29" s="223"/>
      <c r="N29" s="223"/>
      <c r="O29" s="225"/>
      <c r="P29" s="106"/>
      <c r="Q29" s="304" t="s">
        <v>57</v>
      </c>
      <c r="R29" s="305"/>
      <c r="S29" s="305"/>
      <c r="T29" s="305"/>
      <c r="U29" s="305"/>
      <c r="V29" s="306"/>
      <c r="W29" s="106"/>
      <c r="X29" s="106"/>
      <c r="Y29" s="106"/>
      <c r="Z29" s="106"/>
    </row>
    <row r="30" spans="1:26" ht="14.25">
      <c r="A30" s="226"/>
      <c r="B30" s="106"/>
      <c r="C30" s="227" t="s">
        <v>58</v>
      </c>
      <c r="D30" s="227" t="s">
        <v>59</v>
      </c>
      <c r="E30" s="228" t="s">
        <v>60</v>
      </c>
      <c r="F30" s="228" t="s">
        <v>61</v>
      </c>
      <c r="G30" s="219" t="s">
        <v>104</v>
      </c>
      <c r="H30" s="318" t="s">
        <v>113</v>
      </c>
      <c r="I30" s="106"/>
      <c r="J30" s="146" t="s">
        <v>62</v>
      </c>
      <c r="K30" s="227" t="s">
        <v>58</v>
      </c>
      <c r="L30" s="227" t="s">
        <v>59</v>
      </c>
      <c r="M30" s="228" t="s">
        <v>60</v>
      </c>
      <c r="N30" s="228" t="s">
        <v>61</v>
      </c>
      <c r="O30" s="229" t="s">
        <v>104</v>
      </c>
      <c r="Q30" s="307"/>
      <c r="R30" s="227" t="s">
        <v>58</v>
      </c>
      <c r="S30" s="227" t="s">
        <v>59</v>
      </c>
      <c r="T30" s="228" t="s">
        <v>60</v>
      </c>
      <c r="U30" s="228" t="s">
        <v>61</v>
      </c>
      <c r="V30" s="229" t="s">
        <v>104</v>
      </c>
    </row>
    <row r="31" spans="1:26" ht="14.25">
      <c r="A31" s="226"/>
      <c r="B31" s="106" t="str">
        <f>'Six months follow-up_Virtual'!F2</f>
        <v>Power Her</v>
      </c>
      <c r="C31" s="230" t="str">
        <f ca="1">IFERROR(__xludf.DUMMYFUNCTION("""COMPUTED_VALUE"""),"239")</f>
        <v>239</v>
      </c>
      <c r="D31" s="230" t="e">
        <f ca="1">COUNTIF('Six months follow-up_Virtual'!#REF!,C31)</f>
        <v>#REF!</v>
      </c>
      <c r="E31" s="231" t="s">
        <v>5</v>
      </c>
      <c r="F31" s="177" t="s">
        <v>5</v>
      </c>
      <c r="G31" s="231" t="s">
        <v>5</v>
      </c>
      <c r="H31" s="318" t="e">
        <f ca="1">D31='Six months follow-up_Virtual'!H2</f>
        <v>#REF!</v>
      </c>
      <c r="I31" s="106"/>
      <c r="J31" s="106" t="str">
        <f>'Six months follow-up_Virtual'!F2</f>
        <v>Power Her</v>
      </c>
      <c r="K31" s="84" t="str">
        <f ca="1">IFERROR(__xludf.DUMMYFUNCTION("ARRAY_CONSTRAIN(ARRAYFORMULA(UNIQUE('six months follow-up'!$B10:$B136)), 21, 1)"),"239")</f>
        <v>239</v>
      </c>
      <c r="L31" s="230" t="e">
        <f ca="1">COUNTIFS('Six months follow-up_Virtual'!#REF!,K31,'Six months follow-up_Virtual'!#REF!,"No")</f>
        <v>#REF!</v>
      </c>
      <c r="M31" s="231" t="s">
        <v>3</v>
      </c>
      <c r="N31" s="177" t="s">
        <v>32</v>
      </c>
      <c r="O31" s="232" t="s">
        <v>3</v>
      </c>
      <c r="Q31" s="308" t="str">
        <f>'Six months follow-up_Virtual'!F2</f>
        <v>Power Her</v>
      </c>
      <c r="R31" s="84" t="str">
        <f ca="1">IFERROR(__xludf.DUMMYFUNCTION("ARRAY_CONSTRAIN(ARRAYFORMULA(UNIQUE('six months follow-up'!$B10:$B136)), 21, 1)"),"120")</f>
        <v>120</v>
      </c>
      <c r="S31" s="230" t="e">
        <f ca="1">COUNTIFS('Six months follow-up_Virtual'!#REF!,R31,'Six months follow-up_Virtual'!#REF!,"Yes")</f>
        <v>#REF!</v>
      </c>
      <c r="T31" s="231" t="s">
        <v>3</v>
      </c>
      <c r="U31" s="177" t="s">
        <v>32</v>
      </c>
      <c r="V31" s="232" t="s">
        <v>3</v>
      </c>
    </row>
    <row r="32" spans="1:26" ht="14.25">
      <c r="A32" s="226"/>
      <c r="B32" s="106">
        <f>'Six months follow-up_Virtual'!F3</f>
        <v>0</v>
      </c>
      <c r="C32" s="230" t="str">
        <f ca="1">IFERROR(__xludf.DUMMYFUNCTION("""COMPUTED_VALUE"""),"188")</f>
        <v>188</v>
      </c>
      <c r="D32" s="230" t="e">
        <f ca="1">COUNTIF('Six months follow-up_Virtual'!#REF!,C32)</f>
        <v>#REF!</v>
      </c>
      <c r="E32" s="231" t="s">
        <v>3</v>
      </c>
      <c r="F32" s="231" t="s">
        <v>5</v>
      </c>
      <c r="G32" s="233" t="s">
        <v>3</v>
      </c>
      <c r="H32" s="318" t="e">
        <f ca="1">D32='Six months follow-up_Virtual'!H3</f>
        <v>#REF!</v>
      </c>
      <c r="I32" s="106"/>
      <c r="J32" s="106">
        <f>'Six months follow-up_Virtual'!F3</f>
        <v>0</v>
      </c>
      <c r="K32" s="84" t="str">
        <f ca="1">IFERROR(__xludf.DUMMYFUNCTION("""COMPUTED_VALUE"""),"188")</f>
        <v>188</v>
      </c>
      <c r="L32" s="230" t="e">
        <f ca="1">COUNTIFS('Six months follow-up_Virtual'!#REF!,K32,'Six months follow-up_Virtual'!#REF!,"No")</f>
        <v>#REF!</v>
      </c>
      <c r="M32" s="231" t="s">
        <v>3</v>
      </c>
      <c r="N32" s="231" t="s">
        <v>5</v>
      </c>
      <c r="O32" s="234" t="s">
        <v>3</v>
      </c>
      <c r="Q32" s="308">
        <f>'Six months follow-up_Virtual'!F3</f>
        <v>0</v>
      </c>
      <c r="R32" s="84" t="str">
        <f ca="1">IFERROR(__xludf.DUMMYFUNCTION("""COMPUTED_VALUE"""),"131")</f>
        <v>131</v>
      </c>
      <c r="S32" s="230" t="e">
        <f ca="1">COUNTIFS('Six months follow-up_Virtual'!#REF!,R32,'Six months follow-up_Virtual'!#REF!,"Yes")</f>
        <v>#REF!</v>
      </c>
      <c r="T32" s="231" t="s">
        <v>3</v>
      </c>
      <c r="U32" s="231" t="s">
        <v>5</v>
      </c>
      <c r="V32" s="234" t="s">
        <v>5</v>
      </c>
    </row>
    <row r="33" spans="1:22" ht="14.25">
      <c r="A33" s="226"/>
      <c r="B33" s="106">
        <f>'Six months follow-up_Virtual'!F4</f>
        <v>0</v>
      </c>
      <c r="C33" s="230" t="str">
        <f ca="1">IFERROR(__xludf.DUMMYFUNCTION("""COMPUTED_VALUE"""),"169")</f>
        <v>169</v>
      </c>
      <c r="D33" s="230" t="e">
        <f ca="1">COUNTIF('Six months follow-up_Virtual'!#REF!,C33)</f>
        <v>#REF!</v>
      </c>
      <c r="E33" s="231" t="s">
        <v>3</v>
      </c>
      <c r="F33" s="231" t="s">
        <v>3</v>
      </c>
      <c r="G33" s="231" t="s">
        <v>3</v>
      </c>
      <c r="H33" s="318" t="e">
        <f ca="1">D33='Six months follow-up_Virtual'!H4</f>
        <v>#REF!</v>
      </c>
      <c r="I33" s="106"/>
      <c r="J33" s="106">
        <f>'Six months follow-up_Virtual'!F4</f>
        <v>0</v>
      </c>
      <c r="K33" s="84" t="str">
        <f ca="1">IFERROR(__xludf.DUMMYFUNCTION("""COMPUTED_VALUE"""),"169")</f>
        <v>169</v>
      </c>
      <c r="L33" s="230" t="e">
        <f ca="1">COUNTIFS('Six months follow-up_Virtual'!#REF!,K33,'Six months follow-up_Virtual'!#REF!,"No")</f>
        <v>#REF!</v>
      </c>
      <c r="M33" s="231" t="s">
        <v>3</v>
      </c>
      <c r="N33" s="231" t="s">
        <v>3</v>
      </c>
      <c r="O33" s="232" t="s">
        <v>3</v>
      </c>
      <c r="Q33" s="308">
        <f>'Six months follow-up_Virtual'!F4</f>
        <v>0</v>
      </c>
      <c r="R33" s="84" t="str">
        <f ca="1">IFERROR(__xludf.DUMMYFUNCTION("""COMPUTED_VALUE"""),"134")</f>
        <v>134</v>
      </c>
      <c r="S33" s="230" t="e">
        <f ca="1">COUNTIFS('Six months follow-up_Virtual'!#REF!,R33,'Six months follow-up_Virtual'!#REF!,"Yes")</f>
        <v>#REF!</v>
      </c>
      <c r="T33" s="231" t="s">
        <v>3</v>
      </c>
      <c r="U33" s="231" t="s">
        <v>3</v>
      </c>
      <c r="V33" s="232" t="s">
        <v>3</v>
      </c>
    </row>
    <row r="34" spans="1:22" ht="14.25">
      <c r="A34" s="226"/>
      <c r="B34" s="106">
        <f>'Six months follow-up_Virtual'!F5</f>
        <v>0</v>
      </c>
      <c r="C34" s="230" t="str">
        <f ca="1">IFERROR(__xludf.DUMMYFUNCTION("""COMPUTED_VALUE"""),"146")</f>
        <v>146</v>
      </c>
      <c r="D34" s="230" t="e">
        <f ca="1">COUNTIF('Six months follow-up_Virtual'!#REF!,C34)</f>
        <v>#REF!</v>
      </c>
      <c r="E34" s="231" t="s">
        <v>3</v>
      </c>
      <c r="F34" s="231" t="s">
        <v>32</v>
      </c>
      <c r="G34" s="231" t="s">
        <v>3</v>
      </c>
      <c r="H34" s="318" t="e">
        <f ca="1">D34='Six months follow-up_Virtual'!H5</f>
        <v>#REF!</v>
      </c>
      <c r="I34" s="106"/>
      <c r="J34" s="106">
        <f>'Six months follow-up_Virtual'!F5</f>
        <v>0</v>
      </c>
      <c r="K34" s="84" t="str">
        <f ca="1">IFERROR(__xludf.DUMMYFUNCTION("""COMPUTED_VALUE"""),"146")</f>
        <v>146</v>
      </c>
      <c r="L34" s="230">
        <f ca="1">COUNTIFS('Six months follow-up_Virtual'!$B$17:$B$4704,K34,'Six months follow-up_Virtual'!$S$17:$S$4704,"No")</f>
        <v>0</v>
      </c>
      <c r="M34" s="231" t="s">
        <v>3</v>
      </c>
      <c r="N34" s="231" t="s">
        <v>32</v>
      </c>
      <c r="O34" s="232" t="s">
        <v>3</v>
      </c>
      <c r="Q34" s="308">
        <f>'Six months follow-up_Virtual'!F5</f>
        <v>0</v>
      </c>
      <c r="R34" s="84" t="str">
        <f ca="1">IFERROR(__xludf.DUMMYFUNCTION("""COMPUTED_VALUE"""),"136")</f>
        <v>136</v>
      </c>
      <c r="S34" s="230" t="e">
        <f ca="1">COUNTIFS('Six months follow-up_Virtual'!#REF!,R34,'Six months follow-up_Virtual'!#REF!,"Yes")</f>
        <v>#REF!</v>
      </c>
      <c r="T34" s="231" t="s">
        <v>3</v>
      </c>
      <c r="U34" s="231" t="s">
        <v>32</v>
      </c>
      <c r="V34" s="232" t="s">
        <v>3</v>
      </c>
    </row>
    <row r="35" spans="1:22" ht="14.25">
      <c r="A35" s="226"/>
      <c r="B35" s="106">
        <f>'Six months follow-up_Virtual'!F6</f>
        <v>0</v>
      </c>
      <c r="C35" s="230" t="str">
        <f ca="1">IFERROR(__xludf.DUMMYFUNCTION("""COMPUTED_VALUE"""),"144")</f>
        <v>144</v>
      </c>
      <c r="D35" s="230" t="e">
        <f ca="1">COUNTIF('Six months follow-up_Virtual'!#REF!,C35)</f>
        <v>#REF!</v>
      </c>
      <c r="E35" s="231" t="s">
        <v>3</v>
      </c>
      <c r="F35" s="231" t="s">
        <v>5</v>
      </c>
      <c r="G35" s="231" t="s">
        <v>3</v>
      </c>
      <c r="H35" s="318" t="e">
        <f ca="1">D35='Six months follow-up_Virtual'!H6</f>
        <v>#REF!</v>
      </c>
      <c r="I35" s="106"/>
      <c r="J35" s="106">
        <f>'Six months follow-up_Virtual'!F6</f>
        <v>0</v>
      </c>
      <c r="K35" s="84" t="str">
        <f ca="1">IFERROR(__xludf.DUMMYFUNCTION("""COMPUTED_VALUE"""),"144")</f>
        <v>144</v>
      </c>
      <c r="L35" s="230">
        <f ca="1">COUNTIFS('Six months follow-up_Virtual'!$B$17:$B$4704,K35,'Six months follow-up_Virtual'!$S$17:$S$4704,"No")</f>
        <v>0</v>
      </c>
      <c r="M35" s="231" t="s">
        <v>3</v>
      </c>
      <c r="N35" s="231" t="s">
        <v>5</v>
      </c>
      <c r="O35" s="232" t="s">
        <v>3</v>
      </c>
      <c r="Q35" s="308">
        <f>'Six months follow-up_Virtual'!F6</f>
        <v>0</v>
      </c>
      <c r="R35" s="84" t="str">
        <f ca="1">IFERROR(__xludf.DUMMYFUNCTION("""COMPUTED_VALUE"""),"142")</f>
        <v>142</v>
      </c>
      <c r="S35" s="230" t="e">
        <f ca="1">COUNTIFS('Six months follow-up_Virtual'!#REF!,R35,'Six months follow-up_Virtual'!#REF!,"Yes")</f>
        <v>#REF!</v>
      </c>
      <c r="T35" s="231" t="s">
        <v>3</v>
      </c>
      <c r="U35" s="231" t="s">
        <v>5</v>
      </c>
      <c r="V35" s="232" t="s">
        <v>3</v>
      </c>
    </row>
    <row r="36" spans="1:22" ht="14.25">
      <c r="A36" s="226"/>
      <c r="B36" s="106">
        <f>'Six months follow-up_Virtual'!F7</f>
        <v>0</v>
      </c>
      <c r="C36" s="230" t="str">
        <f ca="1">IFERROR(__xludf.DUMMYFUNCTION("""COMPUTED_VALUE"""),"204")</f>
        <v>204</v>
      </c>
      <c r="D36" s="230" t="e">
        <f ca="1">COUNTIF('Six months follow-up_Virtual'!#REF!,C36)</f>
        <v>#REF!</v>
      </c>
      <c r="E36" s="231" t="s">
        <v>3</v>
      </c>
      <c r="F36" s="231" t="s">
        <v>5</v>
      </c>
      <c r="G36" s="231" t="s">
        <v>3</v>
      </c>
      <c r="H36" s="318" t="e">
        <f ca="1">D36='Six months follow-up_Virtual'!H7</f>
        <v>#REF!</v>
      </c>
      <c r="I36" s="106"/>
      <c r="J36" s="106">
        <f>'Six months follow-up_Virtual'!F7</f>
        <v>0</v>
      </c>
      <c r="K36" s="84" t="str">
        <f ca="1">IFERROR(__xludf.DUMMYFUNCTION("""COMPUTED_VALUE"""),"204")</f>
        <v>204</v>
      </c>
      <c r="L36" s="230">
        <f ca="1">COUNTIFS('Six months follow-up_Virtual'!$B$17:$B$4704,K36,'Six months follow-up_Virtual'!$S$17:$S$4704,"No")</f>
        <v>0</v>
      </c>
      <c r="M36" s="231" t="s">
        <v>3</v>
      </c>
      <c r="N36" s="231" t="s">
        <v>5</v>
      </c>
      <c r="O36" s="232" t="s">
        <v>3</v>
      </c>
      <c r="Q36" s="308">
        <f>'Six months follow-up_Virtual'!F7</f>
        <v>0</v>
      </c>
      <c r="R36" s="84" t="str">
        <f ca="1">IFERROR(__xludf.DUMMYFUNCTION("""COMPUTED_VALUE"""),"204")</f>
        <v>204</v>
      </c>
      <c r="S36" s="230" t="e">
        <f ca="1">COUNTIFS('Six months follow-up_Virtual'!#REF!,R36,'Six months follow-up_Virtual'!#REF!,"Yes")</f>
        <v>#REF!</v>
      </c>
      <c r="T36" s="231" t="s">
        <v>3</v>
      </c>
      <c r="U36" s="231" t="s">
        <v>3</v>
      </c>
      <c r="V36" s="232" t="s">
        <v>3</v>
      </c>
    </row>
    <row r="37" spans="1:22" ht="14.25">
      <c r="A37" s="226"/>
      <c r="B37" s="106">
        <f>'Six months follow-up_Virtual'!F8</f>
        <v>0</v>
      </c>
      <c r="C37" s="230" t="str">
        <f ca="1">IFERROR(__xludf.DUMMYFUNCTION("""COMPUTED_VALUE"""),"209")</f>
        <v>209</v>
      </c>
      <c r="D37" s="230" t="e">
        <f ca="1">COUNTIF('Six months follow-up_Virtual'!#REF!,C37)</f>
        <v>#REF!</v>
      </c>
      <c r="E37" s="231" t="s">
        <v>3</v>
      </c>
      <c r="F37" s="177" t="s">
        <v>5</v>
      </c>
      <c r="G37" s="231" t="s">
        <v>3</v>
      </c>
      <c r="H37" s="318" t="e">
        <f ca="1">D37='Six months follow-up_Virtual'!H8</f>
        <v>#REF!</v>
      </c>
      <c r="I37" s="106"/>
      <c r="J37" s="106">
        <f>'Six months follow-up_Virtual'!F8</f>
        <v>0</v>
      </c>
      <c r="K37" s="84" t="str">
        <f ca="1">IFERROR(__xludf.DUMMYFUNCTION("""COMPUTED_VALUE"""),"209")</f>
        <v>209</v>
      </c>
      <c r="L37" s="230">
        <f ca="1">COUNTIFS('Six months follow-up_Virtual'!$B$17:$B$4704,K37,'Six months follow-up_Virtual'!$S$17:$S$4704,"No")</f>
        <v>0</v>
      </c>
      <c r="M37" s="231" t="s">
        <v>3</v>
      </c>
      <c r="N37" s="177" t="s">
        <v>5</v>
      </c>
      <c r="O37" s="232" t="s">
        <v>3</v>
      </c>
      <c r="Q37" s="308">
        <f>'Six months follow-up_Virtual'!F8</f>
        <v>0</v>
      </c>
      <c r="R37" s="84" t="str">
        <f ca="1">IFERROR(__xludf.DUMMYFUNCTION("""COMPUTED_VALUE"""),"209")</f>
        <v>209</v>
      </c>
      <c r="S37" s="230" t="e">
        <f ca="1">COUNTIFS('Six months follow-up_Virtual'!#REF!,R37,'Six months follow-up_Virtual'!#REF!,"Yes")</f>
        <v>#REF!</v>
      </c>
      <c r="T37" s="231" t="s">
        <v>5</v>
      </c>
      <c r="U37" s="177" t="s">
        <v>32</v>
      </c>
      <c r="V37" s="232" t="s">
        <v>3</v>
      </c>
    </row>
    <row r="38" spans="1:22" ht="14.25">
      <c r="A38" s="226"/>
      <c r="B38" s="106">
        <v>10</v>
      </c>
      <c r="C38" s="230"/>
      <c r="D38" s="230" t="e">
        <f>COUNTIF('Six months follow-up_Virtual'!#REF!,C38)</f>
        <v>#REF!</v>
      </c>
      <c r="E38" s="177"/>
      <c r="F38" s="177"/>
      <c r="G38" s="228"/>
      <c r="H38" s="228"/>
      <c r="I38" s="219"/>
      <c r="J38" s="106">
        <v>10</v>
      </c>
      <c r="K38" s="84"/>
      <c r="L38" s="230" t="e">
        <f>COUNTIFS('Six months follow-up_Virtual'!#REF!,K38,'Six months follow-up_Virtual'!#REF!,"No")</f>
        <v>#REF!</v>
      </c>
      <c r="M38" s="177"/>
      <c r="N38" s="177"/>
      <c r="O38" s="235"/>
      <c r="Q38" s="308">
        <v>10</v>
      </c>
      <c r="R38" s="84"/>
      <c r="S38" s="230" t="e">
        <f>COUNTIFS('Six months follow-up_Virtual'!#REF!,R38,'Six months follow-up_Virtual'!#REF!,"Yes")</f>
        <v>#REF!</v>
      </c>
      <c r="T38" s="177"/>
      <c r="U38" s="177"/>
      <c r="V38" s="235"/>
    </row>
    <row r="39" spans="1:22" ht="14.25">
      <c r="A39" s="226"/>
      <c r="B39" s="106">
        <v>11</v>
      </c>
      <c r="C39" s="230"/>
      <c r="D39" s="230" t="e">
        <f>COUNTIF('Six months follow-up_Virtual'!#REF!,C39)</f>
        <v>#REF!</v>
      </c>
      <c r="E39" s="177"/>
      <c r="F39" s="177"/>
      <c r="G39" s="176"/>
      <c r="H39" s="138"/>
      <c r="I39" s="106"/>
      <c r="J39" s="106">
        <v>11</v>
      </c>
      <c r="K39" s="84"/>
      <c r="L39" s="230" t="e">
        <f>COUNTIFS('Six months follow-up_Virtual'!#REF!,K39,'Six months follow-up_Virtual'!#REF!,"No")</f>
        <v>#REF!</v>
      </c>
      <c r="M39" s="177"/>
      <c r="N39" s="177"/>
      <c r="O39" s="235"/>
      <c r="Q39" s="308">
        <v>11</v>
      </c>
      <c r="R39" s="84"/>
      <c r="S39" s="230" t="e">
        <f>COUNTIFS('Six months follow-up_Virtual'!#REF!,R39,'Six months follow-up_Virtual'!#REF!,"Yes")</f>
        <v>#REF!</v>
      </c>
      <c r="T39" s="177"/>
      <c r="U39" s="177"/>
      <c r="V39" s="235"/>
    </row>
    <row r="40" spans="1:22" ht="14.25">
      <c r="A40" s="226"/>
      <c r="B40" s="106">
        <v>12</v>
      </c>
      <c r="C40" s="230"/>
      <c r="D40" s="230" t="e">
        <f>COUNTIF('Six months follow-up_Virtual'!#REF!,C40)</f>
        <v>#REF!</v>
      </c>
      <c r="E40" s="177"/>
      <c r="F40" s="177"/>
      <c r="G40" s="176"/>
      <c r="H40" s="138"/>
      <c r="I40" s="106"/>
      <c r="J40" s="106">
        <v>12</v>
      </c>
      <c r="K40" s="84"/>
      <c r="L40" s="230" t="e">
        <f>COUNTIFS('Six months follow-up_Virtual'!#REF!,K40,'Six months follow-up_Virtual'!#REF!,"No")</f>
        <v>#REF!</v>
      </c>
      <c r="M40" s="177"/>
      <c r="N40" s="177"/>
      <c r="O40" s="235"/>
      <c r="Q40" s="308">
        <v>12</v>
      </c>
      <c r="R40" s="84"/>
      <c r="S40" s="230" t="e">
        <f>COUNTIFS('Six months follow-up_Virtual'!#REF!,R40,'Six months follow-up_Virtual'!#REF!,"Yes")</f>
        <v>#REF!</v>
      </c>
      <c r="T40" s="177"/>
      <c r="U40" s="177"/>
      <c r="V40" s="235"/>
    </row>
    <row r="41" spans="1:22" ht="14.25">
      <c r="A41" s="226"/>
      <c r="B41" s="106">
        <v>13</v>
      </c>
      <c r="C41" s="230"/>
      <c r="D41" s="230" t="e">
        <f>COUNTIF('Six months follow-up_Virtual'!#REF!,C41)</f>
        <v>#REF!</v>
      </c>
      <c r="E41" s="177"/>
      <c r="F41" s="177"/>
      <c r="G41" s="176"/>
      <c r="H41" s="138"/>
      <c r="I41" s="106"/>
      <c r="J41" s="106">
        <v>13</v>
      </c>
      <c r="K41" s="84"/>
      <c r="L41" s="230" t="e">
        <f>COUNTIFS('Six months follow-up_Virtual'!#REF!,K41,'Six months follow-up_Virtual'!#REF!,"No")</f>
        <v>#REF!</v>
      </c>
      <c r="M41" s="177"/>
      <c r="N41" s="177"/>
      <c r="O41" s="235"/>
      <c r="Q41" s="308">
        <v>13</v>
      </c>
      <c r="R41" s="84"/>
      <c r="S41" s="230" t="e">
        <f>COUNTIFS('Six months follow-up_Virtual'!#REF!,R41,'Six months follow-up_Virtual'!#REF!,"Yes")</f>
        <v>#REF!</v>
      </c>
      <c r="T41" s="177"/>
      <c r="U41" s="177"/>
      <c r="V41" s="235"/>
    </row>
    <row r="42" spans="1:22" ht="14.25">
      <c r="A42" s="226"/>
      <c r="B42" s="106">
        <v>14</v>
      </c>
      <c r="C42" s="230"/>
      <c r="D42" s="230" t="e">
        <f>COUNTIF('Six months follow-up_Virtual'!#REF!,C42)</f>
        <v>#REF!</v>
      </c>
      <c r="E42" s="177"/>
      <c r="F42" s="177"/>
      <c r="G42" s="176"/>
      <c r="H42" s="138"/>
      <c r="I42" s="106"/>
      <c r="J42" s="106">
        <v>14</v>
      </c>
      <c r="K42" s="84"/>
      <c r="L42" s="230" t="e">
        <f>COUNTIFS('Six months follow-up_Virtual'!#REF!,K42,'Six months follow-up_Virtual'!#REF!,"No")</f>
        <v>#REF!</v>
      </c>
      <c r="M42" s="177"/>
      <c r="N42" s="177"/>
      <c r="O42" s="235"/>
      <c r="Q42" s="308">
        <v>14</v>
      </c>
      <c r="R42" s="84"/>
      <c r="S42" s="230" t="e">
        <f>COUNTIFS('Six months follow-up_Virtual'!#REF!,R42,'Six months follow-up_Virtual'!#REF!,"Yes")</f>
        <v>#REF!</v>
      </c>
      <c r="T42" s="177"/>
      <c r="U42" s="177"/>
      <c r="V42" s="235"/>
    </row>
    <row r="43" spans="1:22" ht="14.25">
      <c r="A43" s="226"/>
      <c r="B43" s="106">
        <v>15</v>
      </c>
      <c r="C43" s="230"/>
      <c r="D43" s="230" t="e">
        <f>COUNTIF('Six months follow-up_Virtual'!#REF!,C43)</f>
        <v>#REF!</v>
      </c>
      <c r="E43" s="177"/>
      <c r="F43" s="177"/>
      <c r="G43" s="176"/>
      <c r="H43" s="138"/>
      <c r="I43" s="106"/>
      <c r="J43" s="106">
        <v>15</v>
      </c>
      <c r="K43" s="84"/>
      <c r="L43" s="230" t="e">
        <f>COUNTIFS('Six months follow-up_Virtual'!#REF!,K43,'Six months follow-up_Virtual'!#REF!,"No")</f>
        <v>#REF!</v>
      </c>
      <c r="M43" s="177"/>
      <c r="N43" s="177"/>
      <c r="O43" s="235"/>
      <c r="Q43" s="308">
        <v>15</v>
      </c>
      <c r="R43" s="84"/>
      <c r="S43" s="230" t="e">
        <f>COUNTIFS('Six months follow-up_Virtual'!#REF!,R43,'Six months follow-up_Virtual'!#REF!,"Yes")</f>
        <v>#REF!</v>
      </c>
      <c r="T43" s="177"/>
      <c r="U43" s="177"/>
      <c r="V43" s="235"/>
    </row>
    <row r="44" spans="1:22" ht="14.25">
      <c r="A44" s="226"/>
      <c r="B44" s="106">
        <v>16</v>
      </c>
      <c r="C44" s="230"/>
      <c r="D44" s="230" t="e">
        <f>COUNTIF('Six months follow-up_Virtual'!#REF!,C44)</f>
        <v>#REF!</v>
      </c>
      <c r="E44" s="177"/>
      <c r="F44" s="177"/>
      <c r="G44" s="176"/>
      <c r="H44" s="138"/>
      <c r="I44" s="106"/>
      <c r="J44" s="106">
        <v>16</v>
      </c>
      <c r="K44" s="84"/>
      <c r="L44" s="230" t="e">
        <f>COUNTIFS('Six months follow-up_Virtual'!#REF!,K44,'Six months follow-up_Virtual'!#REF!,"No")</f>
        <v>#REF!</v>
      </c>
      <c r="M44" s="177"/>
      <c r="N44" s="177"/>
      <c r="O44" s="235"/>
      <c r="Q44" s="308">
        <v>16</v>
      </c>
      <c r="R44" s="84"/>
      <c r="S44" s="230" t="e">
        <f>COUNTIFS('Six months follow-up_Virtual'!#REF!,R44,'Six months follow-up_Virtual'!#REF!,"Yes")</f>
        <v>#REF!</v>
      </c>
      <c r="T44" s="177"/>
      <c r="U44" s="177"/>
      <c r="V44" s="235"/>
    </row>
    <row r="45" spans="1:22" ht="14.25">
      <c r="A45" s="226"/>
      <c r="B45" s="106">
        <v>17</v>
      </c>
      <c r="C45" s="230"/>
      <c r="D45" s="230" t="e">
        <f>COUNTIF('Six months follow-up_Virtual'!#REF!,C45)</f>
        <v>#REF!</v>
      </c>
      <c r="E45" s="177"/>
      <c r="F45" s="177"/>
      <c r="G45" s="176"/>
      <c r="H45" s="138"/>
      <c r="I45" s="106"/>
      <c r="J45" s="106">
        <v>17</v>
      </c>
      <c r="K45" s="84"/>
      <c r="L45" s="230" t="e">
        <f>COUNTIFS('Six months follow-up_Virtual'!#REF!,K45,'Six months follow-up_Virtual'!#REF!,"No")</f>
        <v>#REF!</v>
      </c>
      <c r="M45" s="177"/>
      <c r="N45" s="177"/>
      <c r="O45" s="235"/>
      <c r="Q45" s="308">
        <v>17</v>
      </c>
      <c r="R45" s="84"/>
      <c r="S45" s="230" t="e">
        <f>COUNTIFS('Six months follow-up_Virtual'!#REF!,R45,'Six months follow-up_Virtual'!#REF!,"Yes")</f>
        <v>#REF!</v>
      </c>
      <c r="T45" s="177"/>
      <c r="U45" s="177"/>
      <c r="V45" s="235"/>
    </row>
    <row r="46" spans="1:22" ht="14.25">
      <c r="A46" s="226"/>
      <c r="B46" s="106">
        <v>18</v>
      </c>
      <c r="C46" s="230"/>
      <c r="D46" s="230" t="e">
        <f>COUNTIF('Six months follow-up_Virtual'!#REF!,C46)</f>
        <v>#REF!</v>
      </c>
      <c r="E46" s="177"/>
      <c r="F46" s="177"/>
      <c r="G46" s="176"/>
      <c r="H46" s="138"/>
      <c r="I46" s="106"/>
      <c r="J46" s="106">
        <v>18</v>
      </c>
      <c r="K46" s="84"/>
      <c r="L46" s="230" t="e">
        <f>COUNTIFS('Six months follow-up_Virtual'!#REF!,K46,'Six months follow-up_Virtual'!#REF!,"No")</f>
        <v>#REF!</v>
      </c>
      <c r="M46" s="177"/>
      <c r="N46" s="177"/>
      <c r="O46" s="235"/>
      <c r="Q46" s="308">
        <v>18</v>
      </c>
      <c r="R46" s="84"/>
      <c r="S46" s="230" t="e">
        <f>COUNTIFS('Six months follow-up_Virtual'!#REF!,R46,'Six months follow-up_Virtual'!#REF!,"Yes")</f>
        <v>#REF!</v>
      </c>
      <c r="T46" s="177"/>
      <c r="U46" s="177"/>
      <c r="V46" s="235"/>
    </row>
    <row r="47" spans="1:22" ht="14.25">
      <c r="A47" s="226"/>
      <c r="B47" s="106">
        <v>19</v>
      </c>
      <c r="C47" s="230"/>
      <c r="D47" s="230" t="e">
        <f>COUNTIF('Six months follow-up_Virtual'!#REF!,C47)</f>
        <v>#REF!</v>
      </c>
      <c r="E47" s="176"/>
      <c r="F47" s="176"/>
      <c r="G47" s="176"/>
      <c r="H47" s="138"/>
      <c r="I47" s="106"/>
      <c r="J47" s="106">
        <v>19</v>
      </c>
      <c r="K47" s="84"/>
      <c r="L47" s="230" t="e">
        <f>COUNTIFS('Six months follow-up_Virtual'!#REF!,K47,'Six months follow-up_Virtual'!#REF!,"No")</f>
        <v>#REF!</v>
      </c>
      <c r="M47" s="176"/>
      <c r="N47" s="176"/>
      <c r="O47" s="235"/>
      <c r="Q47" s="308">
        <v>19</v>
      </c>
      <c r="R47" s="84"/>
      <c r="S47" s="230" t="e">
        <f>COUNTIFS('Six months follow-up_Virtual'!#REF!,R47,'Six months follow-up_Virtual'!#REF!,"Yes")</f>
        <v>#REF!</v>
      </c>
      <c r="T47" s="176"/>
      <c r="U47" s="176"/>
      <c r="V47" s="235"/>
    </row>
    <row r="48" spans="1:22" ht="14.25">
      <c r="A48" s="226"/>
      <c r="B48" s="106">
        <v>20</v>
      </c>
      <c r="C48" s="84"/>
      <c r="D48" s="230" t="e">
        <f>COUNTIF('Six months follow-up_Virtual'!#REF!,C48)</f>
        <v>#REF!</v>
      </c>
      <c r="E48" s="176"/>
      <c r="F48" s="176"/>
      <c r="G48" s="176"/>
      <c r="H48" s="138"/>
      <c r="I48" s="106"/>
      <c r="J48" s="106">
        <v>20</v>
      </c>
      <c r="K48" s="84"/>
      <c r="L48" s="230" t="e">
        <f>COUNTIFS('Six months follow-up_Virtual'!#REF!,K48,'Six months follow-up_Virtual'!#REF!,"No")</f>
        <v>#REF!</v>
      </c>
      <c r="M48" s="176"/>
      <c r="N48" s="176"/>
      <c r="O48" s="235"/>
      <c r="Q48" s="308">
        <v>20</v>
      </c>
      <c r="R48" s="84"/>
      <c r="S48" s="230" t="e">
        <f>COUNTIFS('Six months follow-up_Virtual'!#REF!,R48,'Six months follow-up_Virtual'!#REF!,"Yes")</f>
        <v>#REF!</v>
      </c>
      <c r="T48" s="176"/>
      <c r="U48" s="176"/>
      <c r="V48" s="235"/>
    </row>
    <row r="49" spans="1:22" ht="14.65" thickBot="1">
      <c r="A49" s="226"/>
      <c r="B49" s="106">
        <v>21</v>
      </c>
      <c r="C49" s="84"/>
      <c r="D49" s="230" t="e">
        <f>COUNTIF('Six months follow-up_Virtual'!#REF!,C49)</f>
        <v>#REF!</v>
      </c>
      <c r="E49" s="176"/>
      <c r="F49" s="176"/>
      <c r="G49" s="176"/>
      <c r="H49" s="138"/>
      <c r="I49" s="106"/>
      <c r="J49" s="106">
        <v>21</v>
      </c>
      <c r="K49" s="84"/>
      <c r="L49" s="230" t="e">
        <f>COUNTIFS('Six months follow-up_Virtual'!#REF!,K49,'Six months follow-up_Virtual'!#REF!,"No")</f>
        <v>#REF!</v>
      </c>
      <c r="M49" s="176"/>
      <c r="N49" s="176"/>
      <c r="O49" s="235"/>
      <c r="Q49" s="308">
        <v>21</v>
      </c>
      <c r="R49" s="84"/>
      <c r="S49" s="230" t="e">
        <f>COUNTIFS('Six months follow-up_Virtual'!#REF!,R49,'Six months follow-up_Virtual'!#REF!,"Yes")</f>
        <v>#REF!</v>
      </c>
      <c r="T49" s="176"/>
      <c r="U49" s="176"/>
      <c r="V49" s="235"/>
    </row>
    <row r="50" spans="1:22" ht="14.65" thickBot="1">
      <c r="A50" s="236"/>
      <c r="B50" s="237" t="s">
        <v>63</v>
      </c>
      <c r="C50" s="238"/>
      <c r="D50" s="238" t="e">
        <f ca="1">SUM(D31:D49)</f>
        <v>#REF!</v>
      </c>
      <c r="E50" s="238" t="e">
        <f ca="1">SUMIF(E31:E49, "Yes", $D$31:$D$49)</f>
        <v>#REF!</v>
      </c>
      <c r="F50" s="238" t="e">
        <f ca="1">SUMIF(F31:F49, "Yes", $D$31:$D$49)</f>
        <v>#REF!</v>
      </c>
      <c r="G50" s="238" t="e">
        <f ca="1">SUMIF(G31:G49, "Yes", $D$31:$D$49)</f>
        <v>#REF!</v>
      </c>
      <c r="H50" s="239"/>
      <c r="I50" s="239"/>
      <c r="J50" s="237" t="s">
        <v>63</v>
      </c>
      <c r="K50" s="238"/>
      <c r="L50" s="238" t="e">
        <f ca="1">SUM(L31:L49)</f>
        <v>#REF!</v>
      </c>
      <c r="M50" s="238" t="e">
        <f ca="1">SUMIF(M31:M48, "Yes", $L$31:$L$49)</f>
        <v>#REF!</v>
      </c>
      <c r="N50" s="238" t="e">
        <f ca="1">SUMIF(N31:N48, "Yes", $L$31:$L$49)</f>
        <v>#REF!</v>
      </c>
      <c r="O50" s="240" t="e">
        <f ca="1">SUMIF(O31:O48, "Yes", $L$31:$L$49)</f>
        <v>#REF!</v>
      </c>
      <c r="Q50" s="309" t="s">
        <v>63</v>
      </c>
      <c r="R50" s="238"/>
      <c r="S50" s="238" t="e">
        <f ca="1">SUM(S31:S49)</f>
        <v>#REF!</v>
      </c>
      <c r="T50" s="238" t="e">
        <f ca="1">SUMIF(T31:T48, "Yes", $L$31:$L$49)</f>
        <v>#REF!</v>
      </c>
      <c r="U50" s="238" t="e">
        <f ca="1">SUMIF(U31:U48, "Yes", $L$31:$L$49)</f>
        <v>#REF!</v>
      </c>
      <c r="V50" s="240" t="e">
        <f ca="1">SUMIF(V31:V48, "Yes", $L$31:$L$49)</f>
        <v>#REF!</v>
      </c>
    </row>
    <row r="51" spans="1:22" ht="14.25">
      <c r="A51" s="220" t="s">
        <v>64</v>
      </c>
      <c r="B51" s="146"/>
      <c r="C51" s="147"/>
      <c r="D51" s="319" t="e">
        <f ca="1">D50='Six months follow-up_Virtual'!G13</f>
        <v>#REF!</v>
      </c>
      <c r="E51" s="147"/>
      <c r="F51" s="147"/>
      <c r="G51" s="146"/>
      <c r="H51" s="147"/>
      <c r="I51" s="147"/>
      <c r="J51" s="146"/>
      <c r="K51" s="106"/>
      <c r="L51" s="106"/>
      <c r="M51" s="106"/>
      <c r="N51" s="106"/>
      <c r="O51" s="106"/>
      <c r="P51" s="133"/>
      <c r="Q51" s="106"/>
      <c r="R51" s="106"/>
      <c r="S51" s="106"/>
      <c r="T51" s="106"/>
      <c r="U51" s="106"/>
      <c r="V51" s="115"/>
    </row>
    <row r="52" spans="1:22" ht="14.25">
      <c r="A52" s="174"/>
      <c r="B52" s="146"/>
      <c r="C52" s="147"/>
      <c r="D52" s="106"/>
      <c r="E52" s="147"/>
      <c r="F52" s="147"/>
      <c r="G52" s="146"/>
      <c r="H52" s="147"/>
      <c r="I52" s="147"/>
      <c r="J52" s="146"/>
      <c r="K52" s="106"/>
      <c r="L52" s="106"/>
      <c r="M52" s="106"/>
      <c r="N52" s="106"/>
      <c r="O52" s="106"/>
      <c r="P52" s="106"/>
      <c r="Q52" s="106"/>
      <c r="R52" s="106"/>
      <c r="S52" s="106"/>
      <c r="T52" s="106"/>
      <c r="U52" s="106"/>
      <c r="V52" s="115"/>
    </row>
    <row r="53" spans="1:22" ht="14.65" thickBot="1">
      <c r="A53" s="174"/>
      <c r="B53" s="146"/>
      <c r="C53" s="147"/>
      <c r="D53" s="106"/>
      <c r="E53" s="147"/>
      <c r="F53" s="147"/>
      <c r="G53" s="146"/>
      <c r="H53" s="147"/>
      <c r="I53" s="147"/>
      <c r="J53" s="146"/>
      <c r="K53" s="106"/>
      <c r="L53" s="106"/>
      <c r="M53" s="106"/>
      <c r="N53" s="106"/>
      <c r="O53" s="106"/>
      <c r="P53" s="106"/>
      <c r="Q53" s="106"/>
      <c r="R53" s="106"/>
      <c r="S53" s="106"/>
      <c r="T53" s="106"/>
      <c r="U53" s="106"/>
      <c r="V53" s="115"/>
    </row>
    <row r="54" spans="1:22" ht="14.25">
      <c r="A54" s="174"/>
      <c r="B54" s="304" t="s">
        <v>65</v>
      </c>
      <c r="C54" s="222"/>
      <c r="D54" s="222"/>
      <c r="E54" s="222"/>
      <c r="F54" s="222"/>
      <c r="G54" s="315"/>
      <c r="H54" s="106"/>
      <c r="I54" s="106"/>
      <c r="J54" s="304" t="s">
        <v>66</v>
      </c>
      <c r="K54" s="223"/>
      <c r="L54" s="223"/>
      <c r="M54" s="223"/>
      <c r="N54" s="223"/>
      <c r="O54" s="225"/>
      <c r="P54" s="106"/>
      <c r="Q54" s="304" t="s">
        <v>67</v>
      </c>
      <c r="R54" s="223"/>
      <c r="S54" s="223"/>
      <c r="T54" s="223"/>
      <c r="U54" s="223"/>
      <c r="V54" s="225"/>
    </row>
    <row r="55" spans="1:22" ht="14.25">
      <c r="A55" s="174"/>
      <c r="B55" s="308"/>
      <c r="C55" s="316" t="s">
        <v>58</v>
      </c>
      <c r="D55" s="316" t="s">
        <v>59</v>
      </c>
      <c r="E55" s="228" t="s">
        <v>60</v>
      </c>
      <c r="F55" s="228" t="s">
        <v>61</v>
      </c>
      <c r="G55" s="229" t="s">
        <v>104</v>
      </c>
      <c r="H55" s="138"/>
      <c r="I55" s="106"/>
      <c r="J55" s="307" t="s">
        <v>68</v>
      </c>
      <c r="K55" s="227" t="s">
        <v>58</v>
      </c>
      <c r="L55" s="227" t="s">
        <v>59</v>
      </c>
      <c r="M55" s="228" t="s">
        <v>60</v>
      </c>
      <c r="N55" s="228" t="s">
        <v>61</v>
      </c>
      <c r="O55" s="229" t="s">
        <v>104</v>
      </c>
      <c r="P55" s="106"/>
      <c r="Q55" s="307"/>
      <c r="R55" s="227" t="s">
        <v>58</v>
      </c>
      <c r="S55" s="227" t="s">
        <v>59</v>
      </c>
      <c r="T55" s="228" t="s">
        <v>60</v>
      </c>
      <c r="U55" s="228" t="s">
        <v>61</v>
      </c>
      <c r="V55" s="229" t="s">
        <v>104</v>
      </c>
    </row>
    <row r="56" spans="1:22" ht="14.25">
      <c r="A56" s="174"/>
      <c r="B56" s="308">
        <f>'One year follow-up_Virtual'!D2</f>
        <v>0</v>
      </c>
      <c r="C56" s="84" t="str">
        <f ca="1">IFERROR(__xludf.DUMMYFUNCTION("ARRAY_CONSTRAIN(ARRAYFORMULA(UNIQUE('One year follow-up'!$B14:$B208)), 19, 1)"),"170")</f>
        <v>170</v>
      </c>
      <c r="D56" s="231">
        <f ca="1">COUNTIF('One year follow-up_Virtual'!$B$12:$B$4905,C56)</f>
        <v>0</v>
      </c>
      <c r="E56" s="177" t="s">
        <v>3</v>
      </c>
      <c r="F56" s="177" t="s">
        <v>5</v>
      </c>
      <c r="G56" s="234" t="s">
        <v>3</v>
      </c>
      <c r="H56" s="138"/>
      <c r="I56" s="106"/>
      <c r="J56" s="308" t="s">
        <v>117</v>
      </c>
      <c r="K56" s="84" t="s">
        <v>127</v>
      </c>
      <c r="L56" s="106">
        <f>COUNTIFS('One year follow-up_Virtual'!$B$13:$B$1905,K56,'One year follow-up_Virtual'!$Q$13:$Q$1905,"Yes")</f>
        <v>0</v>
      </c>
      <c r="M56" s="177" t="s">
        <v>3</v>
      </c>
      <c r="N56" s="177" t="s">
        <v>5</v>
      </c>
      <c r="O56" s="234" t="s">
        <v>3</v>
      </c>
      <c r="P56" s="106"/>
      <c r="Q56" s="308">
        <f>'One year follow-up_Virtual'!D2</f>
        <v>0</v>
      </c>
      <c r="R56" s="84" t="str">
        <f ca="1">IFERROR(__xludf.DUMMYFUNCTION("""COMPUTED_VALUE"""),"170")</f>
        <v>170</v>
      </c>
      <c r="S56" s="84">
        <f ca="1">COUNTIFS('One year follow-up_Virtual'!$B$13:$B$3205,R56,'One year follow-up_Virtual'!$Q$13:$Q$3205,"No")</f>
        <v>0</v>
      </c>
      <c r="T56" s="177" t="s">
        <v>3</v>
      </c>
      <c r="U56" s="317" t="s">
        <v>5</v>
      </c>
      <c r="V56" s="234" t="s">
        <v>3</v>
      </c>
    </row>
    <row r="57" spans="1:22" ht="14.25">
      <c r="A57" s="174"/>
      <c r="B57" s="308">
        <f>'One year follow-up_Virtual'!D3</f>
        <v>0</v>
      </c>
      <c r="C57" s="84" t="str">
        <f ca="1">IFERROR(__xludf.DUMMYFUNCTION("ARRAY_CONSTRAIN(ARRAYFORMULA(UNIQUE('One year follow-up'!$B14:$B208)), 19, 1)"),"145")</f>
        <v>145</v>
      </c>
      <c r="D57" s="231">
        <f ca="1">COUNTIF('One year follow-up_Virtual'!$B$13:$B$4905,C57)</f>
        <v>0</v>
      </c>
      <c r="E57" s="231" t="s">
        <v>3</v>
      </c>
      <c r="F57" s="231" t="s">
        <v>5</v>
      </c>
      <c r="G57" s="235" t="s">
        <v>3</v>
      </c>
      <c r="H57" s="106"/>
      <c r="I57" s="106"/>
      <c r="J57" s="308" t="s">
        <v>118</v>
      </c>
      <c r="K57" s="84" t="s">
        <v>128</v>
      </c>
      <c r="L57" s="106">
        <f>COUNTIFS('One year follow-up_Virtual'!$B$13:$B$214,K57,'One year follow-up_Virtual'!$Q$13:$Q$214,"Yes")</f>
        <v>0</v>
      </c>
      <c r="M57" s="231" t="s">
        <v>3</v>
      </c>
      <c r="N57" s="231" t="s">
        <v>5</v>
      </c>
      <c r="O57" s="235" t="s">
        <v>3</v>
      </c>
      <c r="P57" s="106"/>
      <c r="Q57" s="308">
        <f>'One year follow-up_Virtual'!D3</f>
        <v>0</v>
      </c>
      <c r="R57" s="84" t="str">
        <f ca="1">IFERROR(__xludf.DUMMYFUNCTION("""COMPUTED_VALUE"""),"145")</f>
        <v>145</v>
      </c>
      <c r="S57" s="84" t="e">
        <f ca="1">COUNTIFS('One year follow-up_Virtual'!#REF!,R57,'One year follow-up_Virtual'!#REF!,"No")</f>
        <v>#REF!</v>
      </c>
      <c r="T57" s="177" t="s">
        <v>3</v>
      </c>
      <c r="U57" s="317" t="s">
        <v>5</v>
      </c>
      <c r="V57" s="234" t="s">
        <v>3</v>
      </c>
    </row>
    <row r="58" spans="1:22" ht="14.25">
      <c r="A58" s="174"/>
      <c r="B58" s="308">
        <f>'One year follow-up_Virtual'!D4</f>
        <v>0</v>
      </c>
      <c r="C58" s="231" t="str">
        <f ca="1">IFERROR(__xludf.DUMMYFUNCTION("""COMPUTED_VALUE"""),"140")</f>
        <v>140</v>
      </c>
      <c r="D58" s="231">
        <f ca="1">COUNTIF('One year follow-up_Virtual'!$B$13:$B$4905,C58)</f>
        <v>0</v>
      </c>
      <c r="E58" s="231" t="s">
        <v>5</v>
      </c>
      <c r="F58" s="231" t="s">
        <v>5</v>
      </c>
      <c r="G58" s="235" t="s">
        <v>5</v>
      </c>
      <c r="H58" s="106"/>
      <c r="I58" s="106"/>
      <c r="J58" s="308" t="s">
        <v>122</v>
      </c>
      <c r="K58" s="231" t="s">
        <v>129</v>
      </c>
      <c r="L58" s="106">
        <f>COUNTIFS('One year follow-up_Virtual'!$B$13:$B$3805,K58,'One year follow-up_Virtual'!$Q$13:$Q$3805,"Yes")</f>
        <v>0</v>
      </c>
      <c r="M58" s="231" t="s">
        <v>5</v>
      </c>
      <c r="N58" s="231" t="s">
        <v>5</v>
      </c>
      <c r="O58" s="235" t="s">
        <v>5</v>
      </c>
      <c r="P58" s="106"/>
      <c r="Q58" s="308">
        <f>'One year follow-up_Virtual'!D4</f>
        <v>0</v>
      </c>
      <c r="R58" s="84" t="str">
        <f ca="1">IFERROR(__xludf.DUMMYFUNCTION("""COMPUTED_VALUE"""),"140")</f>
        <v>140</v>
      </c>
      <c r="S58" s="84" t="e">
        <f ca="1">COUNTIFS('One year follow-up_Virtual'!#REF!,R58,'One year follow-up_Virtual'!#REF!,"No")</f>
        <v>#REF!</v>
      </c>
      <c r="T58" s="177" t="s">
        <v>5</v>
      </c>
      <c r="U58" s="317" t="s">
        <v>5</v>
      </c>
      <c r="V58" s="234" t="s">
        <v>5</v>
      </c>
    </row>
    <row r="59" spans="1:22" ht="14.25">
      <c r="A59" s="174"/>
      <c r="B59" s="308">
        <f>'One year follow-up_Virtual'!D5</f>
        <v>0</v>
      </c>
      <c r="C59" s="231" t="str">
        <f ca="1">IFERROR(__xludf.DUMMYFUNCTION("""COMPUTED_VALUE"""),"142")</f>
        <v>142</v>
      </c>
      <c r="D59" s="231">
        <f ca="1">COUNTIF('One year follow-up_Virtual'!$B$13:$B$4905,C59)</f>
        <v>0</v>
      </c>
      <c r="E59" s="231" t="s">
        <v>3</v>
      </c>
      <c r="F59" s="231" t="s">
        <v>5</v>
      </c>
      <c r="G59" s="235" t="s">
        <v>3</v>
      </c>
      <c r="H59" s="106"/>
      <c r="I59" s="106"/>
      <c r="J59" s="308" t="s">
        <v>123</v>
      </c>
      <c r="K59" s="231" t="s">
        <v>130</v>
      </c>
      <c r="L59" s="106">
        <f>COUNTIFS('One year follow-up_Virtual'!$B$13:$B$3805,K59,'One year follow-up_Virtual'!$Q$13:$Q$3805,"Yes")</f>
        <v>0</v>
      </c>
      <c r="M59" s="231" t="s">
        <v>3</v>
      </c>
      <c r="N59" s="231" t="s">
        <v>5</v>
      </c>
      <c r="O59" s="235" t="s">
        <v>3</v>
      </c>
      <c r="P59" s="106"/>
      <c r="Q59" s="308">
        <f>'One year follow-up_Virtual'!D5</f>
        <v>0</v>
      </c>
      <c r="R59" s="84" t="str">
        <f ca="1">IFERROR(__xludf.DUMMYFUNCTION("""COMPUTED_VALUE"""),"142")</f>
        <v>142</v>
      </c>
      <c r="S59" s="84" t="e">
        <f ca="1">COUNTIFS('One year follow-up_Virtual'!#REF!,R59,'One year follow-up_Virtual'!#REF!,"No")</f>
        <v>#REF!</v>
      </c>
      <c r="T59" s="177" t="s">
        <v>3</v>
      </c>
      <c r="U59" s="317" t="s">
        <v>5</v>
      </c>
      <c r="V59" s="234" t="s">
        <v>3</v>
      </c>
    </row>
    <row r="60" spans="1:22" ht="14.25">
      <c r="A60" s="174"/>
      <c r="B60" s="308">
        <f>'One year follow-up_Virtual'!D6</f>
        <v>0</v>
      </c>
      <c r="C60" s="231" t="str">
        <f ca="1">IFERROR(__xludf.DUMMYFUNCTION("""COMPUTED_VALUE"""),"143")</f>
        <v>143</v>
      </c>
      <c r="D60" s="231">
        <f ca="1">COUNTIF('One year follow-up_Virtual'!$B$13:$B$4905,C60)</f>
        <v>0</v>
      </c>
      <c r="E60" s="231" t="s">
        <v>3</v>
      </c>
      <c r="F60" s="231" t="s">
        <v>5</v>
      </c>
      <c r="G60" s="235" t="s">
        <v>3</v>
      </c>
      <c r="H60" s="138"/>
      <c r="I60" s="106"/>
      <c r="J60" s="308" t="s">
        <v>124</v>
      </c>
      <c r="K60" s="231" t="s">
        <v>131</v>
      </c>
      <c r="L60" s="106">
        <f>COUNTIFS('One year follow-up_Virtual'!$B$13:$B$3805,K60,'One year follow-up_Virtual'!$Q$13:$Q$3805,"Yes")</f>
        <v>0</v>
      </c>
      <c r="M60" s="231" t="s">
        <v>3</v>
      </c>
      <c r="N60" s="231" t="s">
        <v>5</v>
      </c>
      <c r="O60" s="235" t="s">
        <v>3</v>
      </c>
      <c r="P60" s="106"/>
      <c r="Q60" s="308">
        <f>'One year follow-up_Virtual'!D6</f>
        <v>0</v>
      </c>
      <c r="R60" s="84" t="str">
        <f ca="1">IFERROR(__xludf.DUMMYFUNCTION("""COMPUTED_VALUE"""),"143")</f>
        <v>143</v>
      </c>
      <c r="S60" s="84" t="e">
        <f ca="1">COUNTIFS('One year follow-up_Virtual'!#REF!,R60,'One year follow-up_Virtual'!#REF!,"No")</f>
        <v>#REF!</v>
      </c>
      <c r="T60" s="177" t="s">
        <v>3</v>
      </c>
      <c r="U60" s="317" t="s">
        <v>5</v>
      </c>
      <c r="V60" s="234" t="s">
        <v>3</v>
      </c>
    </row>
    <row r="61" spans="1:22" ht="14.25">
      <c r="A61" s="174"/>
      <c r="B61" s="308">
        <f>'One year follow-up_Virtual'!D7</f>
        <v>0</v>
      </c>
      <c r="C61" s="231" t="str">
        <f ca="1">IFERROR(__xludf.DUMMYFUNCTION("""COMPUTED_VALUE"""),"0")</f>
        <v>0</v>
      </c>
      <c r="D61" s="231" t="e">
        <f ca="1">COUNTIF('One year follow-up_Virtual'!#REF!,C61)</f>
        <v>#REF!</v>
      </c>
      <c r="E61" s="177"/>
      <c r="F61" s="177"/>
      <c r="G61" s="235"/>
      <c r="H61" s="138"/>
      <c r="I61" s="106"/>
      <c r="J61" s="308">
        <v>6</v>
      </c>
      <c r="K61" s="84" t="str">
        <f ca="1">IFERROR(__xludf.DUMMYFUNCTION("""COMPUTED_VALUE"""),"0")</f>
        <v>0</v>
      </c>
      <c r="L61" s="106" t="e">
        <f ca="1">COUNTIFS('One year follow-up_Virtual'!#REF!,K61,'One year follow-up_Virtual'!#REF!,"Yes")</f>
        <v>#REF!</v>
      </c>
      <c r="M61" s="177"/>
      <c r="N61" s="177"/>
      <c r="O61" s="235"/>
      <c r="P61" s="106"/>
      <c r="Q61" s="308">
        <v>6</v>
      </c>
      <c r="R61" s="84" t="str">
        <f ca="1">IFERROR(__xludf.DUMMYFUNCTION("""COMPUTED_VALUE"""),"0")</f>
        <v>0</v>
      </c>
      <c r="S61" s="106" t="e">
        <f ca="1">COUNTIFS('One year follow-up_Virtual'!#REF!,R61,'One year follow-up_Virtual'!#REF!,"No")</f>
        <v>#REF!</v>
      </c>
      <c r="T61" s="177"/>
      <c r="U61" s="177"/>
      <c r="V61" s="235"/>
    </row>
    <row r="62" spans="1:22" ht="14.25">
      <c r="A62" s="174"/>
      <c r="B62" s="308">
        <v>7</v>
      </c>
      <c r="C62" s="231" t="str">
        <f ca="1">IFERROR(__xludf.DUMMYFUNCTION("""COMPUTED_VALUE"""),"0")</f>
        <v>0</v>
      </c>
      <c r="D62" s="231" t="e">
        <f ca="1">COUNTIF('One year follow-up_Virtual'!#REF!,C62)</f>
        <v>#REF!</v>
      </c>
      <c r="E62" s="231"/>
      <c r="F62" s="177"/>
      <c r="G62" s="235"/>
      <c r="H62" s="138"/>
      <c r="I62" s="106"/>
      <c r="J62" s="308">
        <v>7</v>
      </c>
      <c r="K62" s="84" t="str">
        <f ca="1">IFERROR(__xludf.DUMMYFUNCTION("""COMPUTED_VALUE"""),"0")</f>
        <v>0</v>
      </c>
      <c r="L62" s="106" t="e">
        <f ca="1">COUNTIFS('One year follow-up_Virtual'!#REF!,K62,'One year follow-up_Virtual'!#REF!,"Yes")</f>
        <v>#REF!</v>
      </c>
      <c r="M62" s="231"/>
      <c r="N62" s="177"/>
      <c r="O62" s="235"/>
      <c r="P62" s="106"/>
      <c r="Q62" s="308">
        <v>7</v>
      </c>
      <c r="R62" s="84" t="str">
        <f ca="1">IFERROR(__xludf.DUMMYFUNCTION("""COMPUTED_VALUE"""),"0")</f>
        <v>0</v>
      </c>
      <c r="S62" s="106" t="e">
        <f ca="1">COUNTIFS('One year follow-up_Virtual'!#REF!,R62,'One year follow-up_Virtual'!#REF!,"No")</f>
        <v>#REF!</v>
      </c>
      <c r="T62" s="231"/>
      <c r="U62" s="177"/>
      <c r="V62" s="235"/>
    </row>
    <row r="63" spans="1:22" ht="14.25">
      <c r="A63" s="174"/>
      <c r="B63" s="308">
        <v>8</v>
      </c>
      <c r="C63" s="231" t="str">
        <f ca="1">IFERROR(__xludf.DUMMYFUNCTION("""COMPUTED_VALUE"""),"0")</f>
        <v>0</v>
      </c>
      <c r="D63" s="231" t="e">
        <f ca="1">COUNTIF('One year follow-up_Virtual'!#REF!,C63)</f>
        <v>#REF!</v>
      </c>
      <c r="E63" s="231"/>
      <c r="F63" s="231"/>
      <c r="G63" s="235"/>
      <c r="H63" s="138"/>
      <c r="I63" s="106"/>
      <c r="J63" s="308">
        <v>8</v>
      </c>
      <c r="K63" s="84" t="str">
        <f ca="1">IFERROR(__xludf.DUMMYFUNCTION("""COMPUTED_VALUE"""),"0")</f>
        <v>0</v>
      </c>
      <c r="L63" s="106" t="e">
        <f ca="1">COUNTIFS('One year follow-up_Virtual'!#REF!,K63,'One year follow-up_Virtual'!#REF!,"Yes")</f>
        <v>#REF!</v>
      </c>
      <c r="M63" s="231"/>
      <c r="N63" s="231"/>
      <c r="O63" s="235"/>
      <c r="P63" s="106"/>
      <c r="Q63" s="308">
        <v>8</v>
      </c>
      <c r="R63" s="84" t="str">
        <f ca="1">IFERROR(__xludf.DUMMYFUNCTION("""COMPUTED_VALUE"""),"0")</f>
        <v>0</v>
      </c>
      <c r="S63" s="106" t="e">
        <f ca="1">COUNTIFS('One year follow-up_Virtual'!#REF!,R63,'One year follow-up_Virtual'!#REF!,"No")</f>
        <v>#REF!</v>
      </c>
      <c r="T63" s="231"/>
      <c r="U63" s="231"/>
      <c r="V63" s="235"/>
    </row>
    <row r="64" spans="1:22" ht="14.25">
      <c r="A64" s="174"/>
      <c r="B64" s="308">
        <v>9</v>
      </c>
      <c r="C64" s="231" t="str">
        <f ca="1">IFERROR(__xludf.DUMMYFUNCTION("""COMPUTED_VALUE"""),"0")</f>
        <v>0</v>
      </c>
      <c r="D64" s="231" t="e">
        <f ca="1">COUNTIF('One year follow-up_Virtual'!#REF!,C64)</f>
        <v>#REF!</v>
      </c>
      <c r="E64" s="231"/>
      <c r="F64" s="231"/>
      <c r="G64" s="235"/>
      <c r="H64" s="106"/>
      <c r="I64" s="106"/>
      <c r="J64" s="308">
        <v>9</v>
      </c>
      <c r="K64" s="84" t="str">
        <f ca="1">IFERROR(__xludf.DUMMYFUNCTION("""COMPUTED_VALUE"""),"0")</f>
        <v>0</v>
      </c>
      <c r="L64" s="106" t="e">
        <f ca="1">COUNTIFS('One year follow-up_Virtual'!#REF!,K64,'One year follow-up_Virtual'!#REF!,"Yes")</f>
        <v>#REF!</v>
      </c>
      <c r="M64" s="231"/>
      <c r="N64" s="231"/>
      <c r="O64" s="235"/>
      <c r="P64" s="106"/>
      <c r="Q64" s="308">
        <v>9</v>
      </c>
      <c r="R64" s="84" t="str">
        <f ca="1">IFERROR(__xludf.DUMMYFUNCTION("""COMPUTED_VALUE"""),"0")</f>
        <v>0</v>
      </c>
      <c r="S64" s="106" t="e">
        <f ca="1">COUNTIFS('One year follow-up_Virtual'!#REF!,R64,'One year follow-up_Virtual'!#REF!,"No")</f>
        <v>#REF!</v>
      </c>
      <c r="T64" s="231"/>
      <c r="U64" s="231"/>
      <c r="V64" s="235"/>
    </row>
    <row r="65" spans="1:22" ht="14.25">
      <c r="A65" s="174"/>
      <c r="B65" s="308">
        <v>10</v>
      </c>
      <c r="C65" s="231" t="str">
        <f ca="1">IFERROR(__xludf.DUMMYFUNCTION("""COMPUTED_VALUE"""),"0")</f>
        <v>0</v>
      </c>
      <c r="D65" s="231" t="e">
        <f ca="1">COUNTIF('One year follow-up_Virtual'!#REF!,C65)</f>
        <v>#REF!</v>
      </c>
      <c r="E65" s="177"/>
      <c r="F65" s="177"/>
      <c r="G65" s="235"/>
      <c r="H65" s="106"/>
      <c r="I65" s="106"/>
      <c r="J65" s="308">
        <v>10</v>
      </c>
      <c r="K65" s="84" t="str">
        <f ca="1">IFERROR(__xludf.DUMMYFUNCTION("""COMPUTED_VALUE"""),"0")</f>
        <v>0</v>
      </c>
      <c r="L65" s="106" t="e">
        <f ca="1">COUNTIFS('One year follow-up_Virtual'!#REF!,K65,'One year follow-up_Virtual'!#REF!,"Yes")</f>
        <v>#REF!</v>
      </c>
      <c r="M65" s="177"/>
      <c r="N65" s="177"/>
      <c r="O65" s="235"/>
      <c r="P65" s="106"/>
      <c r="Q65" s="308">
        <v>10</v>
      </c>
      <c r="R65" s="84" t="str">
        <f ca="1">IFERROR(__xludf.DUMMYFUNCTION("""COMPUTED_VALUE"""),"0")</f>
        <v>0</v>
      </c>
      <c r="S65" s="106" t="e">
        <f ca="1">COUNTIFS('One year follow-up_Virtual'!#REF!,R65,'One year follow-up_Virtual'!#REF!,"No")</f>
        <v>#REF!</v>
      </c>
      <c r="T65" s="177"/>
      <c r="U65" s="177"/>
      <c r="V65" s="235"/>
    </row>
    <row r="66" spans="1:22" ht="14.25">
      <c r="A66" s="174"/>
      <c r="B66" s="308">
        <v>11</v>
      </c>
      <c r="C66" s="310" t="str">
        <f ca="1">IFERROR(__xludf.DUMMYFUNCTION("""COMPUTED_VALUE"""),"0")</f>
        <v>0</v>
      </c>
      <c r="D66" s="231" t="e">
        <f ca="1">COUNTIF('One year follow-up_Virtual'!#REF!,C66)</f>
        <v>#REF!</v>
      </c>
      <c r="E66" s="310"/>
      <c r="F66" s="176"/>
      <c r="G66" s="235"/>
      <c r="H66" s="106"/>
      <c r="I66" s="106"/>
      <c r="J66" s="308">
        <v>11</v>
      </c>
      <c r="K66" s="84" t="str">
        <f ca="1">IFERROR(__xludf.DUMMYFUNCTION("""COMPUTED_VALUE"""),"0")</f>
        <v>0</v>
      </c>
      <c r="L66" s="106" t="e">
        <f ca="1">COUNTIFS('One year follow-up_Virtual'!#REF!,K66,'One year follow-up_Virtual'!#REF!,"Yes")</f>
        <v>#REF!</v>
      </c>
      <c r="M66" s="310"/>
      <c r="N66" s="176"/>
      <c r="O66" s="235"/>
      <c r="P66" s="106"/>
      <c r="Q66" s="308">
        <v>11</v>
      </c>
      <c r="R66" s="84" t="str">
        <f ca="1">IFERROR(__xludf.DUMMYFUNCTION("""COMPUTED_VALUE"""),"0")</f>
        <v>0</v>
      </c>
      <c r="S66" s="106" t="e">
        <f ca="1">COUNTIFS('One year follow-up_Virtual'!#REF!,R66,'One year follow-up_Virtual'!#REF!,"No")</f>
        <v>#REF!</v>
      </c>
      <c r="T66" s="176"/>
      <c r="U66" s="310"/>
      <c r="V66" s="235"/>
    </row>
    <row r="67" spans="1:22" ht="14.25">
      <c r="A67" s="174"/>
      <c r="B67" s="308">
        <v>12</v>
      </c>
      <c r="C67" s="310" t="str">
        <f ca="1">IFERROR(__xludf.DUMMYFUNCTION("""COMPUTED_VALUE"""),"0")</f>
        <v>0</v>
      </c>
      <c r="D67" s="231" t="e">
        <f ca="1">COUNTIF('One year follow-up_Virtual'!#REF!,C67)</f>
        <v>#REF!</v>
      </c>
      <c r="E67" s="310"/>
      <c r="F67" s="176"/>
      <c r="G67" s="235"/>
      <c r="H67" s="106"/>
      <c r="I67" s="106"/>
      <c r="J67" s="308">
        <v>12</v>
      </c>
      <c r="K67" s="84" t="str">
        <f ca="1">IFERROR(__xludf.DUMMYFUNCTION("""COMPUTED_VALUE"""),"0")</f>
        <v>0</v>
      </c>
      <c r="L67" s="106" t="e">
        <f ca="1">COUNTIFS('One year follow-up_Virtual'!#REF!,K67,'One year follow-up_Virtual'!#REF!,"Yes")</f>
        <v>#REF!</v>
      </c>
      <c r="M67" s="310"/>
      <c r="N67" s="176"/>
      <c r="O67" s="235"/>
      <c r="P67" s="106"/>
      <c r="Q67" s="308">
        <v>12</v>
      </c>
      <c r="R67" s="84" t="str">
        <f ca="1">IFERROR(__xludf.DUMMYFUNCTION("""COMPUTED_VALUE"""),"0")</f>
        <v>0</v>
      </c>
      <c r="S67" s="106" t="e">
        <f ca="1">COUNTIFS('One year follow-up_Virtual'!#REF!,R67,'One year follow-up_Virtual'!#REF!,"No")</f>
        <v>#REF!</v>
      </c>
      <c r="T67" s="310"/>
      <c r="U67" s="176"/>
      <c r="V67" s="235"/>
    </row>
    <row r="68" spans="1:22" ht="14.25">
      <c r="A68" s="174"/>
      <c r="B68" s="308">
        <v>13</v>
      </c>
      <c r="C68" s="310" t="str">
        <f ca="1">IFERROR(__xludf.DUMMYFUNCTION("""COMPUTED_VALUE"""),"0")</f>
        <v>0</v>
      </c>
      <c r="D68" s="231" t="e">
        <f ca="1">COUNTIF('One year follow-up_Virtual'!#REF!,C68)</f>
        <v>#REF!</v>
      </c>
      <c r="E68" s="310"/>
      <c r="F68" s="310"/>
      <c r="G68" s="235"/>
      <c r="H68" s="106"/>
      <c r="I68" s="106"/>
      <c r="J68" s="308">
        <v>13</v>
      </c>
      <c r="K68" s="84" t="str">
        <f ca="1">IFERROR(__xludf.DUMMYFUNCTION("""COMPUTED_VALUE"""),"0")</f>
        <v>0</v>
      </c>
      <c r="L68" s="106" t="e">
        <f ca="1">COUNTIFS('One year follow-up_Virtual'!#REF!,K68,'One year follow-up_Virtual'!#REF!,"Yes")</f>
        <v>#REF!</v>
      </c>
      <c r="M68" s="310"/>
      <c r="N68" s="310"/>
      <c r="O68" s="235"/>
      <c r="P68" s="106"/>
      <c r="Q68" s="308">
        <v>13</v>
      </c>
      <c r="R68" s="84" t="str">
        <f ca="1">IFERROR(__xludf.DUMMYFUNCTION("""COMPUTED_VALUE"""),"0")</f>
        <v>0</v>
      </c>
      <c r="S68" s="106" t="e">
        <f ca="1">COUNTIFS('One year follow-up_Virtual'!#REF!,R68,'One year follow-up_Virtual'!#REF!,"No")</f>
        <v>#REF!</v>
      </c>
      <c r="T68" s="310"/>
      <c r="U68" s="310"/>
      <c r="V68" s="235"/>
    </row>
    <row r="69" spans="1:22" ht="14.25">
      <c r="A69" s="174"/>
      <c r="B69" s="308">
        <v>14</v>
      </c>
      <c r="C69" s="310" t="str">
        <f ca="1">IFERROR(__xludf.DUMMYFUNCTION("""COMPUTED_VALUE"""),"0")</f>
        <v>0</v>
      </c>
      <c r="D69" s="231" t="e">
        <f ca="1">COUNTIF('One year follow-up_Virtual'!#REF!,C69)</f>
        <v>#REF!</v>
      </c>
      <c r="E69" s="176"/>
      <c r="F69" s="310"/>
      <c r="G69" s="235"/>
      <c r="H69" s="106"/>
      <c r="I69" s="106"/>
      <c r="J69" s="308">
        <v>14</v>
      </c>
      <c r="K69" s="84" t="str">
        <f ca="1">IFERROR(__xludf.DUMMYFUNCTION("""COMPUTED_VALUE"""),"0")</f>
        <v>0</v>
      </c>
      <c r="L69" s="106" t="e">
        <f ca="1">COUNTIFS('One year follow-up_Virtual'!#REF!,K69,'One year follow-up_Virtual'!#REF!,"Yes")</f>
        <v>#REF!</v>
      </c>
      <c r="M69" s="176"/>
      <c r="N69" s="310"/>
      <c r="O69" s="235"/>
      <c r="P69" s="106"/>
      <c r="Q69" s="308">
        <v>14</v>
      </c>
      <c r="R69" s="84" t="str">
        <f ca="1">IFERROR(__xludf.DUMMYFUNCTION("""COMPUTED_VALUE"""),"0")</f>
        <v>0</v>
      </c>
      <c r="S69" s="106" t="e">
        <f ca="1">COUNTIFS('One year follow-up_Virtual'!#REF!,R69,'One year follow-up_Virtual'!#REF!,"No")</f>
        <v>#REF!</v>
      </c>
      <c r="T69" s="176"/>
      <c r="U69" s="310"/>
      <c r="V69" s="235"/>
    </row>
    <row r="70" spans="1:22" ht="14.25">
      <c r="A70" s="174"/>
      <c r="B70" s="308">
        <v>15</v>
      </c>
      <c r="C70" s="231" t="str">
        <f ca="1">IFERROR(__xludf.DUMMYFUNCTION("""COMPUTED_VALUE"""),"0")</f>
        <v>0</v>
      </c>
      <c r="D70" s="231" t="e">
        <f ca="1">COUNTIF('One year follow-up_Virtual'!#REF!,C70)</f>
        <v>#REF!</v>
      </c>
      <c r="E70" s="231"/>
      <c r="F70" s="231"/>
      <c r="G70" s="235"/>
      <c r="H70" s="106"/>
      <c r="I70" s="106"/>
      <c r="J70" s="308">
        <v>15</v>
      </c>
      <c r="K70" s="84" t="str">
        <f ca="1">IFERROR(__xludf.DUMMYFUNCTION("""COMPUTED_VALUE"""),"0")</f>
        <v>0</v>
      </c>
      <c r="L70" s="106" t="e">
        <f ca="1">COUNTIFS('One year follow-up_Virtual'!#REF!,K70,'One year follow-up_Virtual'!#REF!,"Yes")</f>
        <v>#REF!</v>
      </c>
      <c r="M70" s="231"/>
      <c r="N70" s="231"/>
      <c r="O70" s="235"/>
      <c r="P70" s="106"/>
      <c r="Q70" s="308">
        <v>15</v>
      </c>
      <c r="R70" s="84" t="str">
        <f ca="1">IFERROR(__xludf.DUMMYFUNCTION("""COMPUTED_VALUE"""),"0")</f>
        <v>0</v>
      </c>
      <c r="S70" s="106" t="e">
        <f ca="1">COUNTIFS('One year follow-up_Virtual'!#REF!,R70,'One year follow-up_Virtual'!#REF!,"No")</f>
        <v>#REF!</v>
      </c>
      <c r="T70" s="231"/>
      <c r="U70" s="231"/>
      <c r="V70" s="235"/>
    </row>
    <row r="71" spans="1:22" ht="14.25">
      <c r="A71" s="174"/>
      <c r="B71" s="308">
        <v>16</v>
      </c>
      <c r="C71" s="231"/>
      <c r="D71" s="177"/>
      <c r="E71" s="176"/>
      <c r="F71" s="176"/>
      <c r="G71" s="235"/>
      <c r="H71" s="106"/>
      <c r="I71" s="106"/>
      <c r="J71" s="308">
        <v>16</v>
      </c>
      <c r="K71" s="84"/>
      <c r="L71" s="82"/>
      <c r="M71" s="176"/>
      <c r="N71" s="176"/>
      <c r="O71" s="235"/>
      <c r="P71" s="106"/>
      <c r="Q71" s="308">
        <v>16</v>
      </c>
      <c r="R71" s="84"/>
      <c r="S71" s="106" t="e">
        <f>COUNTIFS('One year follow-up_Virtual'!#REF!,R71,'One year follow-up_Virtual'!#REF!,"No")</f>
        <v>#REF!</v>
      </c>
      <c r="T71" s="176"/>
      <c r="U71" s="176"/>
      <c r="V71" s="235"/>
    </row>
    <row r="72" spans="1:22" ht="14.25">
      <c r="A72" s="174"/>
      <c r="B72" s="308">
        <v>17</v>
      </c>
      <c r="C72" s="231"/>
      <c r="D72" s="177"/>
      <c r="E72" s="176"/>
      <c r="F72" s="176"/>
      <c r="G72" s="235"/>
      <c r="H72" s="129"/>
      <c r="I72" s="138"/>
      <c r="J72" s="308">
        <v>17</v>
      </c>
      <c r="K72" s="84"/>
      <c r="L72" s="82"/>
      <c r="M72" s="176"/>
      <c r="N72" s="176"/>
      <c r="O72" s="235"/>
      <c r="P72" s="106"/>
      <c r="Q72" s="308">
        <v>17</v>
      </c>
      <c r="R72" s="84"/>
      <c r="S72" s="106" t="e">
        <f>COUNTIFS('One year follow-up_Virtual'!#REF!,R72,'One year follow-up_Virtual'!#REF!,"No")</f>
        <v>#REF!</v>
      </c>
      <c r="T72" s="176"/>
      <c r="U72" s="176"/>
      <c r="V72" s="235"/>
    </row>
    <row r="73" spans="1:22" ht="14.65" thickBot="1">
      <c r="A73" s="174"/>
      <c r="B73" s="308">
        <v>18</v>
      </c>
      <c r="C73" s="231"/>
      <c r="D73" s="177"/>
      <c r="E73" s="176"/>
      <c r="F73" s="176"/>
      <c r="G73" s="235"/>
      <c r="H73" s="129"/>
      <c r="I73" s="138"/>
      <c r="J73" s="308">
        <v>18</v>
      </c>
      <c r="K73" s="84"/>
      <c r="L73" s="82"/>
      <c r="M73" s="176"/>
      <c r="N73" s="176"/>
      <c r="O73" s="235"/>
      <c r="P73" s="106"/>
      <c r="Q73" s="308">
        <v>18</v>
      </c>
      <c r="R73" s="84"/>
      <c r="S73" s="106" t="e">
        <f>COUNTIFS('One year follow-up_Virtual'!#REF!,R73,'One year follow-up_Virtual'!#REF!,"No")</f>
        <v>#REF!</v>
      </c>
      <c r="T73" s="176"/>
      <c r="U73" s="176"/>
      <c r="V73" s="235"/>
    </row>
    <row r="74" spans="1:22" ht="14.65" thickBot="1">
      <c r="A74" s="175"/>
      <c r="B74" s="309" t="s">
        <v>63</v>
      </c>
      <c r="C74" s="311"/>
      <c r="D74" s="312" t="e">
        <f ca="1">SUM(D56:D73)</f>
        <v>#REF!</v>
      </c>
      <c r="E74" s="313">
        <f ca="1">SUMIF(E56:E73, "Yes", $D$56:$D$73)</f>
        <v>0</v>
      </c>
      <c r="F74" s="313">
        <f>SUMIF(F56:F73, "Yes", $D$56:$D$73)</f>
        <v>0</v>
      </c>
      <c r="G74" s="314">
        <f ca="1">SUMIF(G56:G73, "Yes", $D$56:$D$73)</f>
        <v>0</v>
      </c>
      <c r="H74" s="148"/>
      <c r="I74" s="148"/>
      <c r="J74" s="309" t="s">
        <v>63</v>
      </c>
      <c r="K74" s="311"/>
      <c r="L74" s="312" t="e">
        <f ca="1">SUM(L56:L73)</f>
        <v>#REF!</v>
      </c>
      <c r="M74" s="313">
        <f>SUMIF(M56:M73, "Yes", $L$56:$L$73)</f>
        <v>0</v>
      </c>
      <c r="N74" s="313">
        <f>SUMIF(N56:N73, "Yes", $L$56:$L$73)</f>
        <v>0</v>
      </c>
      <c r="O74" s="314">
        <f>SUMIF(O56:O73, "Yes", $L$56:$L$73)</f>
        <v>0</v>
      </c>
      <c r="P74" s="148"/>
      <c r="Q74" s="309" t="s">
        <v>63</v>
      </c>
      <c r="R74" s="311"/>
      <c r="S74" s="312" t="e">
        <f ca="1">SUM(S56:S73)</f>
        <v>#REF!</v>
      </c>
      <c r="T74" s="313">
        <f>SUMIF(T56:T73, "Yes", $L$56:$L$73)</f>
        <v>0</v>
      </c>
      <c r="U74" s="313">
        <f>SUMIF(U56:U73, "Yes", $L$56:$L$73)</f>
        <v>0</v>
      </c>
      <c r="V74" s="314">
        <f>SUMIF(V56:V73, "Yes", $L$56:$L$73)</f>
        <v>0</v>
      </c>
    </row>
    <row r="75" spans="1:22" ht="14.25">
      <c r="J75" s="146"/>
      <c r="K75" s="146"/>
      <c r="L75" s="149"/>
      <c r="M75" s="150"/>
      <c r="N75" s="150"/>
    </row>
    <row r="76" spans="1:22" ht="14.25">
      <c r="G76" s="138"/>
      <c r="H76" s="138"/>
      <c r="I76" s="138"/>
      <c r="J76" s="106"/>
      <c r="K76" s="106"/>
      <c r="L76" s="106"/>
    </row>
    <row r="77" spans="1:22" ht="14.25">
      <c r="J77" s="106"/>
      <c r="K77" s="106"/>
      <c r="L77" s="106"/>
    </row>
    <row r="78" spans="1:22" ht="14.25">
      <c r="J78" s="106"/>
      <c r="K78" s="106"/>
      <c r="L78" s="106"/>
    </row>
    <row r="79" spans="1:22" ht="14.25">
      <c r="J79" s="106"/>
      <c r="K79" s="106"/>
      <c r="L79" s="106"/>
    </row>
    <row r="80" spans="1:22" ht="14.25">
      <c r="J80" s="106"/>
      <c r="K80" s="106"/>
      <c r="L80" s="106"/>
    </row>
    <row r="81" spans="10:12" ht="14.25">
      <c r="J81" s="106"/>
      <c r="K81" s="106"/>
      <c r="L81" s="106"/>
    </row>
    <row r="82" spans="10:12" ht="14.25">
      <c r="J82" s="106"/>
      <c r="K82" s="106"/>
      <c r="L82" s="106"/>
    </row>
    <row r="83" spans="10:12" ht="14.25">
      <c r="J83" s="106"/>
      <c r="K83" s="106"/>
      <c r="L83" s="106"/>
    </row>
    <row r="84" spans="10:12" ht="14.25">
      <c r="J84" s="106"/>
      <c r="K84" s="106"/>
      <c r="L84" s="106"/>
    </row>
    <row r="85" spans="10:12" ht="14.25">
      <c r="J85" s="106"/>
      <c r="K85" s="106"/>
      <c r="L85" s="106"/>
    </row>
    <row r="86" spans="10:12" ht="14.25">
      <c r="J86" s="106"/>
      <c r="K86" s="106"/>
      <c r="L86" s="106"/>
    </row>
    <row r="87" spans="10:12" ht="14.25">
      <c r="J87" s="106"/>
      <c r="K87" s="106"/>
      <c r="L87" s="106"/>
    </row>
    <row r="88" spans="10:12" ht="14.25">
      <c r="J88" s="106"/>
      <c r="K88" s="106"/>
      <c r="L88" s="106"/>
    </row>
    <row r="89" spans="10:12" ht="14.25">
      <c r="J89" s="106"/>
      <c r="K89" s="106"/>
      <c r="L89" s="106"/>
    </row>
    <row r="90" spans="10:12" ht="14.25">
      <c r="J90" s="106"/>
      <c r="K90" s="106"/>
      <c r="L90" s="106"/>
    </row>
    <row r="91" spans="10:12" ht="14.25">
      <c r="J91" s="106"/>
      <c r="K91" s="106"/>
      <c r="L91" s="106"/>
    </row>
    <row r="92" spans="10:12" ht="14.25">
      <c r="J92" s="106"/>
      <c r="K92" s="106"/>
      <c r="L92" s="106"/>
    </row>
    <row r="93" spans="10:12" ht="14.25">
      <c r="J93" s="106"/>
      <c r="K93" s="106"/>
      <c r="L93" s="106"/>
    </row>
    <row r="94" spans="10:12" ht="14.25">
      <c r="J94" s="106"/>
      <c r="K94" s="106"/>
      <c r="L94" s="106"/>
    </row>
    <row r="95" spans="10:12" ht="14.25">
      <c r="J95" s="106"/>
      <c r="K95" s="106"/>
      <c r="L95" s="106"/>
    </row>
    <row r="96" spans="10:12" ht="14.25">
      <c r="J96" s="106"/>
      <c r="K96" s="106"/>
      <c r="L96" s="106"/>
    </row>
    <row r="97" spans="10:12" ht="14.25">
      <c r="J97" s="106"/>
      <c r="K97" s="106"/>
      <c r="L97" s="106"/>
    </row>
    <row r="98" spans="10:12" ht="14.25">
      <c r="J98" s="106"/>
      <c r="K98" s="106"/>
      <c r="L98" s="106"/>
    </row>
    <row r="99" spans="10:12" ht="14.25">
      <c r="J99" s="106"/>
      <c r="K99" s="106"/>
      <c r="L99" s="106"/>
    </row>
    <row r="100" spans="10:12" ht="14.25">
      <c r="J100" s="106"/>
      <c r="K100" s="106"/>
      <c r="L100" s="106"/>
    </row>
    <row r="101" spans="10:12" ht="14.25">
      <c r="J101" s="106"/>
      <c r="K101" s="106"/>
      <c r="L101" s="106"/>
    </row>
    <row r="102" spans="10:12" ht="14.25">
      <c r="J102" s="106"/>
      <c r="K102" s="106"/>
      <c r="L102" s="106"/>
    </row>
    <row r="103" spans="10:12" ht="14.25">
      <c r="J103" s="106"/>
      <c r="K103" s="106"/>
      <c r="L103" s="106"/>
    </row>
    <row r="104" spans="10:12" ht="14.25">
      <c r="J104" s="106"/>
      <c r="K104" s="106"/>
      <c r="L104" s="106"/>
    </row>
    <row r="105" spans="10:12" ht="14.25">
      <c r="J105" s="106"/>
      <c r="K105" s="106"/>
      <c r="L105" s="106"/>
    </row>
    <row r="106" spans="10:12" ht="14.25">
      <c r="J106" s="106"/>
      <c r="K106" s="106"/>
      <c r="L106" s="106"/>
    </row>
    <row r="107" spans="10:12" ht="14.25">
      <c r="J107" s="106"/>
      <c r="K107" s="106"/>
      <c r="L107" s="106"/>
    </row>
    <row r="108" spans="10:12" ht="14.25">
      <c r="J108" s="106"/>
      <c r="K108" s="106"/>
      <c r="L108" s="106"/>
    </row>
    <row r="109" spans="10:12" ht="14.25">
      <c r="J109" s="106"/>
      <c r="K109" s="106"/>
      <c r="L109" s="106"/>
    </row>
    <row r="110" spans="10:12" ht="14.25">
      <c r="J110" s="106"/>
      <c r="K110" s="106"/>
      <c r="L110" s="106"/>
    </row>
    <row r="111" spans="10:12" ht="14.25">
      <c r="J111" s="106"/>
      <c r="K111" s="106"/>
      <c r="L111" s="106"/>
    </row>
    <row r="112" spans="10:12" ht="14.25">
      <c r="J112" s="106"/>
      <c r="K112" s="106"/>
      <c r="L112" s="106"/>
    </row>
    <row r="113" spans="10:12" ht="14.25">
      <c r="J113" s="106"/>
      <c r="K113" s="106"/>
      <c r="L113" s="106"/>
    </row>
    <row r="114" spans="10:12" ht="14.25">
      <c r="J114" s="106"/>
      <c r="K114" s="106"/>
      <c r="L114" s="106"/>
    </row>
    <row r="115" spans="10:12" ht="14.25">
      <c r="J115" s="106"/>
      <c r="K115" s="106"/>
      <c r="L115" s="106"/>
    </row>
    <row r="116" spans="10:12" ht="14.25">
      <c r="J116" s="106"/>
      <c r="K116" s="106"/>
      <c r="L116" s="106"/>
    </row>
    <row r="117" spans="10:12" ht="14.25">
      <c r="J117" s="106"/>
      <c r="K117" s="106"/>
      <c r="L117" s="106"/>
    </row>
    <row r="118" spans="10:12" ht="14.25">
      <c r="J118" s="106"/>
      <c r="K118" s="106"/>
      <c r="L118" s="106"/>
    </row>
    <row r="119" spans="10:12" ht="14.25">
      <c r="J119" s="106"/>
      <c r="K119" s="106"/>
      <c r="L119" s="106"/>
    </row>
    <row r="120" spans="10:12" ht="14.25">
      <c r="J120" s="106"/>
      <c r="K120" s="106"/>
      <c r="L120" s="106"/>
    </row>
    <row r="121" spans="10:12" ht="14.25">
      <c r="J121" s="106"/>
      <c r="K121" s="106"/>
      <c r="L121" s="106"/>
    </row>
    <row r="122" spans="10:12" ht="14.25">
      <c r="J122" s="106"/>
      <c r="K122" s="106"/>
      <c r="L122" s="106"/>
    </row>
    <row r="123" spans="10:12" ht="14.25">
      <c r="J123" s="106"/>
      <c r="K123" s="106"/>
      <c r="L123" s="106"/>
    </row>
    <row r="124" spans="10:12" ht="14.25">
      <c r="J124" s="106"/>
      <c r="K124" s="106"/>
      <c r="L124" s="106"/>
    </row>
    <row r="125" spans="10:12" ht="14.25">
      <c r="J125" s="106"/>
      <c r="K125" s="106"/>
      <c r="L125" s="106"/>
    </row>
    <row r="126" spans="10:12" ht="14.25">
      <c r="J126" s="106"/>
      <c r="K126" s="106"/>
      <c r="L126" s="106"/>
    </row>
    <row r="127" spans="10:12" ht="14.25">
      <c r="J127" s="106"/>
      <c r="K127" s="106"/>
      <c r="L127" s="106"/>
    </row>
    <row r="128" spans="10:12" ht="14.25">
      <c r="J128" s="106"/>
      <c r="K128" s="106"/>
      <c r="L128" s="106"/>
    </row>
    <row r="129" spans="10:12" ht="14.25">
      <c r="J129" s="106"/>
      <c r="K129" s="106"/>
      <c r="L129" s="106"/>
    </row>
    <row r="130" spans="10:12" ht="14.25">
      <c r="J130" s="106"/>
      <c r="K130" s="106"/>
      <c r="L130" s="106"/>
    </row>
    <row r="131" spans="10:12" ht="14.25">
      <c r="J131" s="106"/>
      <c r="K131" s="106"/>
      <c r="L131" s="106"/>
    </row>
    <row r="132" spans="10:12" ht="14.25">
      <c r="J132" s="106"/>
      <c r="K132" s="106"/>
      <c r="L132" s="106"/>
    </row>
    <row r="133" spans="10:12" ht="14.25">
      <c r="J133" s="106"/>
      <c r="K133" s="106"/>
      <c r="L133" s="106"/>
    </row>
    <row r="134" spans="10:12" ht="14.25">
      <c r="J134" s="106"/>
      <c r="K134" s="106"/>
      <c r="L134" s="106"/>
    </row>
    <row r="135" spans="10:12" ht="14.25">
      <c r="J135" s="106"/>
      <c r="K135" s="106"/>
      <c r="L135" s="106"/>
    </row>
    <row r="136" spans="10:12" ht="14.25">
      <c r="J136" s="106"/>
      <c r="K136" s="106"/>
      <c r="L136" s="106"/>
    </row>
    <row r="137" spans="10:12" ht="14.25">
      <c r="J137" s="106"/>
      <c r="K137" s="106"/>
      <c r="L137" s="106"/>
    </row>
    <row r="138" spans="10:12" ht="14.25">
      <c r="J138" s="106"/>
      <c r="K138" s="106"/>
      <c r="L138" s="106"/>
    </row>
    <row r="139" spans="10:12" ht="14.25">
      <c r="J139" s="106"/>
      <c r="K139" s="106"/>
      <c r="L139" s="106"/>
    </row>
    <row r="140" spans="10:12" ht="14.25">
      <c r="J140" s="106"/>
      <c r="K140" s="106"/>
      <c r="L140" s="106"/>
    </row>
    <row r="141" spans="10:12" ht="14.25">
      <c r="J141" s="106"/>
      <c r="K141" s="106"/>
      <c r="L141" s="106"/>
    </row>
    <row r="142" spans="10:12" ht="14.25">
      <c r="J142" s="106"/>
      <c r="K142" s="106"/>
      <c r="L142" s="106"/>
    </row>
    <row r="143" spans="10:12" ht="14.25">
      <c r="J143" s="106"/>
      <c r="K143" s="106"/>
      <c r="L143" s="106"/>
    </row>
    <row r="144" spans="10:12" ht="14.25">
      <c r="J144" s="106"/>
      <c r="K144" s="106"/>
      <c r="L144" s="106"/>
    </row>
    <row r="145" spans="10:12" ht="14.25">
      <c r="J145" s="106"/>
      <c r="K145" s="106"/>
      <c r="L145" s="106"/>
    </row>
    <row r="146" spans="10:12" ht="14.25">
      <c r="J146" s="106"/>
      <c r="K146" s="106"/>
      <c r="L146" s="106"/>
    </row>
    <row r="147" spans="10:12" ht="14.25">
      <c r="J147" s="106"/>
      <c r="K147" s="106"/>
      <c r="L147" s="106"/>
    </row>
    <row r="148" spans="10:12" ht="14.25">
      <c r="J148" s="106"/>
      <c r="K148" s="106"/>
      <c r="L148" s="106"/>
    </row>
    <row r="149" spans="10:12" ht="14.25">
      <c r="J149" s="106"/>
      <c r="K149" s="106"/>
      <c r="L149" s="106"/>
    </row>
    <row r="150" spans="10:12" ht="14.25">
      <c r="J150" s="106"/>
      <c r="K150" s="106"/>
      <c r="L150" s="106"/>
    </row>
    <row r="151" spans="10:12" ht="14.25">
      <c r="J151" s="106"/>
      <c r="K151" s="106"/>
      <c r="L151" s="106"/>
    </row>
    <row r="152" spans="10:12" ht="14.25">
      <c r="J152" s="106"/>
      <c r="K152" s="106"/>
      <c r="L152" s="106"/>
    </row>
    <row r="153" spans="10:12" ht="14.25">
      <c r="J153" s="106"/>
      <c r="K153" s="106"/>
      <c r="L153" s="106"/>
    </row>
    <row r="154" spans="10:12" ht="14.25">
      <c r="J154" s="106"/>
      <c r="K154" s="106"/>
      <c r="L154" s="106"/>
    </row>
    <row r="155" spans="10:12" ht="14.25">
      <c r="J155" s="106"/>
      <c r="K155" s="106"/>
      <c r="L155" s="106"/>
    </row>
    <row r="156" spans="10:12" ht="14.25">
      <c r="J156" s="106"/>
      <c r="K156" s="106"/>
      <c r="L156" s="106"/>
    </row>
    <row r="157" spans="10:12" ht="14.25">
      <c r="J157" s="106"/>
      <c r="K157" s="106"/>
      <c r="L157" s="106"/>
    </row>
    <row r="158" spans="10:12" ht="14.25">
      <c r="J158" s="106"/>
      <c r="K158" s="106"/>
      <c r="L158" s="106"/>
    </row>
    <row r="159" spans="10:12" ht="14.25">
      <c r="J159" s="106"/>
      <c r="K159" s="106"/>
      <c r="L159" s="106"/>
    </row>
    <row r="160" spans="10:12" ht="14.25">
      <c r="J160" s="106"/>
      <c r="K160" s="106"/>
      <c r="L160" s="106"/>
    </row>
    <row r="161" spans="10:12" ht="14.25">
      <c r="J161" s="106"/>
      <c r="K161" s="106"/>
      <c r="L161" s="106"/>
    </row>
    <row r="162" spans="10:12" ht="14.25">
      <c r="J162" s="106"/>
      <c r="K162" s="106"/>
      <c r="L162" s="106"/>
    </row>
    <row r="163" spans="10:12" ht="14.25">
      <c r="J163" s="106"/>
      <c r="K163" s="106"/>
      <c r="L163" s="106"/>
    </row>
    <row r="164" spans="10:12" ht="14.25">
      <c r="J164" s="106"/>
      <c r="K164" s="106"/>
      <c r="L164" s="106"/>
    </row>
    <row r="165" spans="10:12" ht="14.25">
      <c r="J165" s="106"/>
      <c r="K165" s="106"/>
      <c r="L165" s="106"/>
    </row>
    <row r="166" spans="10:12" ht="14.25">
      <c r="J166" s="106"/>
      <c r="K166" s="106"/>
      <c r="L166" s="106"/>
    </row>
    <row r="167" spans="10:12" ht="14.25">
      <c r="J167" s="106"/>
      <c r="K167" s="106"/>
      <c r="L167" s="106"/>
    </row>
    <row r="168" spans="10:12" ht="14.25">
      <c r="J168" s="106"/>
      <c r="K168" s="106"/>
      <c r="L168" s="106"/>
    </row>
    <row r="169" spans="10:12" ht="14.25">
      <c r="J169" s="106"/>
      <c r="K169" s="106"/>
      <c r="L169" s="106"/>
    </row>
    <row r="170" spans="10:12" ht="14.25">
      <c r="J170" s="106"/>
      <c r="K170" s="106"/>
      <c r="L170" s="106"/>
    </row>
    <row r="171" spans="10:12" ht="14.25">
      <c r="J171" s="106"/>
      <c r="K171" s="106"/>
      <c r="L171" s="106"/>
    </row>
    <row r="172" spans="10:12" ht="14.25">
      <c r="J172" s="106"/>
      <c r="K172" s="106"/>
      <c r="L172" s="106"/>
    </row>
    <row r="173" spans="10:12" ht="14.25">
      <c r="J173" s="106"/>
      <c r="K173" s="106"/>
      <c r="L173" s="106"/>
    </row>
    <row r="174" spans="10:12" ht="14.25">
      <c r="J174" s="106"/>
      <c r="K174" s="106"/>
      <c r="L174" s="106"/>
    </row>
    <row r="175" spans="10:12" ht="14.25">
      <c r="J175" s="106"/>
      <c r="K175" s="106"/>
      <c r="L175" s="106"/>
    </row>
    <row r="176" spans="10:12" ht="14.25">
      <c r="J176" s="106"/>
      <c r="K176" s="106"/>
      <c r="L176" s="106"/>
    </row>
    <row r="177" spans="10:12" ht="14.25">
      <c r="J177" s="106"/>
      <c r="K177" s="106"/>
      <c r="L177" s="106"/>
    </row>
    <row r="178" spans="10:12" ht="14.25">
      <c r="J178" s="106"/>
      <c r="K178" s="106"/>
      <c r="L178" s="106"/>
    </row>
    <row r="179" spans="10:12" ht="14.25">
      <c r="J179" s="106"/>
      <c r="K179" s="106"/>
      <c r="L179" s="106"/>
    </row>
    <row r="180" spans="10:12" ht="14.25">
      <c r="J180" s="106"/>
      <c r="K180" s="106"/>
      <c r="L180" s="106"/>
    </row>
    <row r="181" spans="10:12" ht="14.25">
      <c r="J181" s="106"/>
      <c r="K181" s="106"/>
      <c r="L181" s="106"/>
    </row>
    <row r="182" spans="10:12" ht="14.25">
      <c r="J182" s="106"/>
      <c r="K182" s="106"/>
      <c r="L182" s="106"/>
    </row>
    <row r="183" spans="10:12" ht="14.25">
      <c r="J183" s="106"/>
      <c r="K183" s="106"/>
      <c r="L183" s="106"/>
    </row>
    <row r="184" spans="10:12" ht="14.25">
      <c r="J184" s="106"/>
      <c r="K184" s="106"/>
      <c r="L184" s="106"/>
    </row>
    <row r="185" spans="10:12" ht="14.25">
      <c r="J185" s="106"/>
      <c r="K185" s="106"/>
      <c r="L185" s="106"/>
    </row>
    <row r="186" spans="10:12" ht="14.25">
      <c r="J186" s="106"/>
      <c r="K186" s="106"/>
      <c r="L186" s="106"/>
    </row>
    <row r="187" spans="10:12" ht="14.25">
      <c r="J187" s="106"/>
      <c r="K187" s="106"/>
      <c r="L187" s="106"/>
    </row>
    <row r="188" spans="10:12" ht="14.25">
      <c r="J188" s="106"/>
      <c r="K188" s="106"/>
      <c r="L188" s="106"/>
    </row>
    <row r="189" spans="10:12" ht="14.25">
      <c r="J189" s="106"/>
      <c r="K189" s="106"/>
      <c r="L189" s="106"/>
    </row>
    <row r="190" spans="10:12" ht="14.25">
      <c r="J190" s="106"/>
      <c r="K190" s="106"/>
      <c r="L190" s="106"/>
    </row>
    <row r="191" spans="10:12" ht="14.25">
      <c r="J191" s="106"/>
      <c r="K191" s="106"/>
      <c r="L191" s="106"/>
    </row>
    <row r="192" spans="10:12" ht="14.25">
      <c r="J192" s="106"/>
      <c r="K192" s="106"/>
      <c r="L192" s="106"/>
    </row>
    <row r="193" spans="10:12" ht="14.25">
      <c r="J193" s="106"/>
      <c r="K193" s="106"/>
      <c r="L193" s="106"/>
    </row>
    <row r="194" spans="10:12" ht="14.25">
      <c r="J194" s="106"/>
      <c r="K194" s="106"/>
      <c r="L194" s="106"/>
    </row>
    <row r="195" spans="10:12" ht="14.25">
      <c r="J195" s="106"/>
      <c r="K195" s="106"/>
      <c r="L195" s="106"/>
    </row>
    <row r="196" spans="10:12" ht="14.25">
      <c r="J196" s="106"/>
      <c r="K196" s="106"/>
      <c r="L196" s="106"/>
    </row>
    <row r="197" spans="10:12" ht="14.25">
      <c r="J197" s="106"/>
      <c r="K197" s="106"/>
      <c r="L197" s="106"/>
    </row>
    <row r="198" spans="10:12" ht="14.25">
      <c r="J198" s="106"/>
      <c r="K198" s="106"/>
      <c r="L198" s="106"/>
    </row>
    <row r="199" spans="10:12" ht="14.25">
      <c r="J199" s="106"/>
      <c r="K199" s="106"/>
      <c r="L199" s="106"/>
    </row>
    <row r="200" spans="10:12" ht="14.25">
      <c r="J200" s="106"/>
      <c r="K200" s="106"/>
      <c r="L200" s="106"/>
    </row>
    <row r="201" spans="10:12" ht="14.25">
      <c r="J201" s="106"/>
      <c r="K201" s="106"/>
      <c r="L201" s="106"/>
    </row>
    <row r="202" spans="10:12" ht="14.25">
      <c r="J202" s="106"/>
      <c r="K202" s="106"/>
      <c r="L202" s="106"/>
    </row>
    <row r="203" spans="10:12" ht="14.25">
      <c r="J203" s="106"/>
      <c r="K203" s="106"/>
      <c r="L203" s="106"/>
    </row>
    <row r="204" spans="10:12" ht="14.25">
      <c r="J204" s="106"/>
      <c r="K204" s="106"/>
      <c r="L204" s="106"/>
    </row>
    <row r="205" spans="10:12" ht="14.25">
      <c r="J205" s="106"/>
      <c r="K205" s="106"/>
      <c r="L205" s="106"/>
    </row>
    <row r="206" spans="10:12" ht="14.25">
      <c r="J206" s="106"/>
      <c r="K206" s="106"/>
      <c r="L206" s="106"/>
    </row>
    <row r="207" spans="10:12" ht="14.25">
      <c r="J207" s="106"/>
      <c r="K207" s="106"/>
      <c r="L207" s="106"/>
    </row>
    <row r="208" spans="10:12" ht="14.25">
      <c r="J208" s="106"/>
      <c r="K208" s="106"/>
      <c r="L208" s="106"/>
    </row>
    <row r="209" spans="10:12" ht="14.25">
      <c r="J209" s="106"/>
      <c r="K209" s="106"/>
      <c r="L209" s="106"/>
    </row>
    <row r="210" spans="10:12" ht="14.25">
      <c r="J210" s="106"/>
      <c r="K210" s="106"/>
      <c r="L210" s="106"/>
    </row>
    <row r="211" spans="10:12" ht="14.25">
      <c r="J211" s="106"/>
      <c r="K211" s="106"/>
      <c r="L211" s="106"/>
    </row>
    <row r="212" spans="10:12" ht="14.25">
      <c r="J212" s="106"/>
      <c r="K212" s="106"/>
      <c r="L212" s="106"/>
    </row>
    <row r="213" spans="10:12" ht="14.25">
      <c r="J213" s="106"/>
      <c r="K213" s="106"/>
      <c r="L213" s="106"/>
    </row>
    <row r="214" spans="10:12" ht="14.25">
      <c r="J214" s="106"/>
      <c r="K214" s="106"/>
      <c r="L214" s="106"/>
    </row>
    <row r="215" spans="10:12" ht="14.25">
      <c r="J215" s="106"/>
      <c r="K215" s="106"/>
      <c r="L215" s="106"/>
    </row>
    <row r="216" spans="10:12" ht="14.25">
      <c r="J216" s="106"/>
      <c r="K216" s="106"/>
      <c r="L216" s="106"/>
    </row>
    <row r="217" spans="10:12" ht="14.25">
      <c r="J217" s="106"/>
      <c r="K217" s="106"/>
      <c r="L217" s="106"/>
    </row>
    <row r="218" spans="10:12" ht="14.25">
      <c r="J218" s="106"/>
      <c r="K218" s="106"/>
      <c r="L218" s="106"/>
    </row>
    <row r="219" spans="10:12" ht="14.25">
      <c r="J219" s="106"/>
      <c r="K219" s="106"/>
      <c r="L219" s="106"/>
    </row>
    <row r="220" spans="10:12" ht="14.25">
      <c r="J220" s="106"/>
      <c r="K220" s="106"/>
      <c r="L220" s="106"/>
    </row>
    <row r="221" spans="10:12" ht="14.25">
      <c r="J221" s="106"/>
      <c r="K221" s="106"/>
      <c r="L221" s="106"/>
    </row>
    <row r="222" spans="10:12" ht="14.25">
      <c r="J222" s="106"/>
      <c r="K222" s="106"/>
      <c r="L222" s="106"/>
    </row>
    <row r="223" spans="10:12" ht="14.25">
      <c r="J223" s="106"/>
      <c r="K223" s="106"/>
      <c r="L223" s="106"/>
    </row>
    <row r="224" spans="10:12" ht="14.25">
      <c r="J224" s="106"/>
      <c r="K224" s="106"/>
      <c r="L224" s="106"/>
    </row>
    <row r="225" spans="10:12" ht="14.25">
      <c r="J225" s="106"/>
      <c r="K225" s="106"/>
      <c r="L225" s="106"/>
    </row>
    <row r="226" spans="10:12" ht="14.25">
      <c r="J226" s="106"/>
      <c r="K226" s="106"/>
      <c r="L226" s="106"/>
    </row>
    <row r="227" spans="10:12" ht="14.25">
      <c r="J227" s="106"/>
      <c r="K227" s="106"/>
      <c r="L227" s="106"/>
    </row>
    <row r="228" spans="10:12" ht="14.25">
      <c r="J228" s="106"/>
      <c r="K228" s="106"/>
      <c r="L228" s="106"/>
    </row>
    <row r="229" spans="10:12" ht="14.25">
      <c r="J229" s="106"/>
      <c r="K229" s="106"/>
      <c r="L229" s="106"/>
    </row>
    <row r="230" spans="10:12" ht="14.25">
      <c r="J230" s="106"/>
      <c r="K230" s="106"/>
      <c r="L230" s="106"/>
    </row>
    <row r="231" spans="10:12" ht="14.25">
      <c r="J231" s="106"/>
      <c r="K231" s="106"/>
      <c r="L231" s="106"/>
    </row>
    <row r="232" spans="10:12" ht="14.25">
      <c r="J232" s="106"/>
      <c r="K232" s="106"/>
      <c r="L232" s="106"/>
    </row>
    <row r="233" spans="10:12" ht="14.25">
      <c r="J233" s="106"/>
      <c r="K233" s="106"/>
      <c r="L233" s="106"/>
    </row>
    <row r="234" spans="10:12" ht="14.25">
      <c r="J234" s="106"/>
      <c r="K234" s="106"/>
      <c r="L234" s="106"/>
    </row>
    <row r="235" spans="10:12" ht="14.25">
      <c r="J235" s="106"/>
      <c r="K235" s="106"/>
      <c r="L235" s="106"/>
    </row>
    <row r="236" spans="10:12" ht="14.25">
      <c r="J236" s="106"/>
      <c r="K236" s="106"/>
      <c r="L236" s="106"/>
    </row>
    <row r="237" spans="10:12" ht="14.25">
      <c r="J237" s="106"/>
      <c r="K237" s="106"/>
      <c r="L237" s="106"/>
    </row>
    <row r="238" spans="10:12" ht="14.25">
      <c r="J238" s="106"/>
      <c r="K238" s="106"/>
      <c r="L238" s="106"/>
    </row>
    <row r="239" spans="10:12" ht="14.25">
      <c r="J239" s="106"/>
      <c r="K239" s="106"/>
      <c r="L239" s="106"/>
    </row>
    <row r="240" spans="10:12" ht="14.25">
      <c r="J240" s="106"/>
      <c r="K240" s="106"/>
      <c r="L240" s="106"/>
    </row>
    <row r="241" spans="10:12" ht="14.25">
      <c r="J241" s="106"/>
      <c r="K241" s="106"/>
      <c r="L241" s="106"/>
    </row>
    <row r="242" spans="10:12" ht="14.25">
      <c r="J242" s="106"/>
      <c r="K242" s="106"/>
      <c r="L242" s="106"/>
    </row>
    <row r="243" spans="10:12" ht="14.25">
      <c r="J243" s="106"/>
      <c r="K243" s="106"/>
      <c r="L243" s="106"/>
    </row>
    <row r="244" spans="10:12" ht="14.25">
      <c r="J244" s="106"/>
      <c r="K244" s="106"/>
      <c r="L244" s="106"/>
    </row>
    <row r="245" spans="10:12" ht="14.25">
      <c r="J245" s="106"/>
      <c r="K245" s="106"/>
      <c r="L245" s="106"/>
    </row>
    <row r="246" spans="10:12" ht="14.25">
      <c r="J246" s="106"/>
      <c r="K246" s="106"/>
      <c r="L246" s="106"/>
    </row>
    <row r="247" spans="10:12" ht="14.25">
      <c r="J247" s="106"/>
      <c r="K247" s="106"/>
      <c r="L247" s="106"/>
    </row>
    <row r="248" spans="10:12" ht="14.25">
      <c r="J248" s="106"/>
      <c r="K248" s="106"/>
      <c r="L248" s="106"/>
    </row>
    <row r="249" spans="10:12" ht="14.25">
      <c r="J249" s="106"/>
      <c r="K249" s="106"/>
      <c r="L249" s="106"/>
    </row>
    <row r="250" spans="10:12" ht="14.25">
      <c r="J250" s="106"/>
      <c r="K250" s="106"/>
      <c r="L250" s="106"/>
    </row>
    <row r="251" spans="10:12" ht="14.25">
      <c r="J251" s="106"/>
      <c r="K251" s="106"/>
      <c r="L251" s="106"/>
    </row>
    <row r="252" spans="10:12" ht="14.25">
      <c r="J252" s="106"/>
      <c r="K252" s="106"/>
      <c r="L252" s="106"/>
    </row>
    <row r="253" spans="10:12" ht="14.25">
      <c r="J253" s="106"/>
      <c r="K253" s="106"/>
      <c r="L253" s="106"/>
    </row>
    <row r="254" spans="10:12" ht="14.25">
      <c r="J254" s="106"/>
      <c r="K254" s="106"/>
      <c r="L254" s="106"/>
    </row>
    <row r="255" spans="10:12" ht="14.25">
      <c r="J255" s="106"/>
      <c r="K255" s="106"/>
      <c r="L255" s="106"/>
    </row>
    <row r="256" spans="10:12" ht="14.25">
      <c r="J256" s="106"/>
      <c r="K256" s="106"/>
      <c r="L256" s="106"/>
    </row>
    <row r="257" spans="10:12" ht="14.25">
      <c r="J257" s="106"/>
      <c r="K257" s="106"/>
      <c r="L257" s="106"/>
    </row>
    <row r="258" spans="10:12" ht="14.25">
      <c r="J258" s="106"/>
      <c r="K258" s="106"/>
      <c r="L258" s="106"/>
    </row>
    <row r="259" spans="10:12" ht="14.25">
      <c r="J259" s="106"/>
      <c r="K259" s="106"/>
      <c r="L259" s="106"/>
    </row>
    <row r="260" spans="10:12" ht="14.25">
      <c r="J260" s="106"/>
      <c r="K260" s="106"/>
      <c r="L260" s="106"/>
    </row>
    <row r="261" spans="10:12" ht="14.25">
      <c r="J261" s="106"/>
      <c r="K261" s="106"/>
      <c r="L261" s="106"/>
    </row>
    <row r="262" spans="10:12" ht="14.25">
      <c r="J262" s="106"/>
      <c r="K262" s="106"/>
      <c r="L262" s="106"/>
    </row>
    <row r="263" spans="10:12" ht="14.25">
      <c r="J263" s="106"/>
      <c r="K263" s="106"/>
      <c r="L263" s="106"/>
    </row>
    <row r="264" spans="10:12" ht="14.25">
      <c r="J264" s="106"/>
      <c r="K264" s="106"/>
      <c r="L264" s="106"/>
    </row>
    <row r="265" spans="10:12" ht="14.25">
      <c r="J265" s="106"/>
      <c r="K265" s="106"/>
      <c r="L265" s="106"/>
    </row>
    <row r="266" spans="10:12" ht="14.25">
      <c r="J266" s="106"/>
      <c r="K266" s="106"/>
      <c r="L266" s="106"/>
    </row>
    <row r="267" spans="10:12" ht="14.25">
      <c r="J267" s="106"/>
      <c r="K267" s="106"/>
      <c r="L267" s="106"/>
    </row>
    <row r="268" spans="10:12" ht="14.25">
      <c r="J268" s="106"/>
      <c r="K268" s="106"/>
      <c r="L268" s="106"/>
    </row>
    <row r="269" spans="10:12" ht="14.25">
      <c r="J269" s="106"/>
      <c r="K269" s="106"/>
      <c r="L269" s="106"/>
    </row>
    <row r="270" spans="10:12" ht="14.25">
      <c r="J270" s="106"/>
      <c r="K270" s="106"/>
      <c r="L270" s="106"/>
    </row>
    <row r="271" spans="10:12" ht="14.25">
      <c r="J271" s="106"/>
      <c r="K271" s="106"/>
      <c r="L271" s="106"/>
    </row>
    <row r="272" spans="10:12" ht="14.25">
      <c r="J272" s="106"/>
      <c r="K272" s="106"/>
      <c r="L272" s="106"/>
    </row>
    <row r="273" spans="10:12" ht="14.25">
      <c r="J273" s="106"/>
      <c r="K273" s="106"/>
      <c r="L273" s="106"/>
    </row>
    <row r="274" spans="10:12" ht="14.25">
      <c r="J274" s="106"/>
      <c r="K274" s="106"/>
      <c r="L274" s="106"/>
    </row>
    <row r="275" spans="10:12" ht="14.25">
      <c r="J275" s="106"/>
      <c r="K275" s="106"/>
      <c r="L275" s="106"/>
    </row>
    <row r="276" spans="10:12" ht="14.25">
      <c r="J276" s="106"/>
      <c r="K276" s="106"/>
      <c r="L276" s="106"/>
    </row>
    <row r="277" spans="10:12" ht="14.25">
      <c r="J277" s="106"/>
      <c r="K277" s="106"/>
      <c r="L277" s="106"/>
    </row>
    <row r="278" spans="10:12" ht="14.25">
      <c r="J278" s="106"/>
      <c r="K278" s="106"/>
      <c r="L278" s="106"/>
    </row>
    <row r="279" spans="10:12" ht="14.25">
      <c r="J279" s="106"/>
      <c r="K279" s="106"/>
      <c r="L279" s="106"/>
    </row>
    <row r="280" spans="10:12" ht="14.25">
      <c r="J280" s="106"/>
      <c r="K280" s="106"/>
      <c r="L280" s="106"/>
    </row>
    <row r="281" spans="10:12" ht="14.25">
      <c r="J281" s="106"/>
      <c r="K281" s="106"/>
      <c r="L281" s="106"/>
    </row>
    <row r="282" spans="10:12" ht="14.25">
      <c r="J282" s="106"/>
      <c r="K282" s="106"/>
      <c r="L282" s="106"/>
    </row>
    <row r="283" spans="10:12" ht="14.25">
      <c r="J283" s="106"/>
      <c r="K283" s="106"/>
      <c r="L283" s="106"/>
    </row>
    <row r="284" spans="10:12" ht="14.25">
      <c r="J284" s="106"/>
      <c r="K284" s="106"/>
      <c r="L284" s="106"/>
    </row>
    <row r="285" spans="10:12" ht="14.25">
      <c r="J285" s="106"/>
      <c r="K285" s="106"/>
      <c r="L285" s="106"/>
    </row>
    <row r="286" spans="10:12" ht="14.25">
      <c r="J286" s="106"/>
      <c r="K286" s="106"/>
      <c r="L286" s="106"/>
    </row>
    <row r="287" spans="10:12" ht="14.25">
      <c r="J287" s="106"/>
      <c r="K287" s="106"/>
      <c r="L287" s="106"/>
    </row>
    <row r="288" spans="10:12" ht="14.25">
      <c r="J288" s="106"/>
      <c r="K288" s="106"/>
      <c r="L288" s="106"/>
    </row>
    <row r="289" spans="10:12" ht="14.25">
      <c r="J289" s="106"/>
      <c r="K289" s="106"/>
      <c r="L289" s="106"/>
    </row>
    <row r="290" spans="10:12" ht="14.25">
      <c r="J290" s="106"/>
      <c r="K290" s="106"/>
      <c r="L290" s="106"/>
    </row>
    <row r="291" spans="10:12" ht="14.25">
      <c r="J291" s="106"/>
      <c r="K291" s="106"/>
      <c r="L291" s="106"/>
    </row>
    <row r="292" spans="10:12" ht="14.25">
      <c r="J292" s="106"/>
      <c r="K292" s="106"/>
      <c r="L292" s="106"/>
    </row>
    <row r="293" spans="10:12" ht="14.25">
      <c r="J293" s="106"/>
      <c r="K293" s="106"/>
      <c r="L293" s="106"/>
    </row>
    <row r="294" spans="10:12" ht="14.25">
      <c r="J294" s="106"/>
      <c r="K294" s="106"/>
      <c r="L294" s="106"/>
    </row>
    <row r="295" spans="10:12" ht="14.25">
      <c r="J295" s="106"/>
      <c r="K295" s="106"/>
      <c r="L295" s="106"/>
    </row>
    <row r="296" spans="10:12" ht="14.25">
      <c r="J296" s="106"/>
      <c r="K296" s="106"/>
      <c r="L296" s="106"/>
    </row>
    <row r="297" spans="10:12" ht="14.25">
      <c r="J297" s="106"/>
      <c r="K297" s="106"/>
      <c r="L297" s="106"/>
    </row>
    <row r="298" spans="10:12" ht="14.25">
      <c r="J298" s="106"/>
      <c r="K298" s="106"/>
      <c r="L298" s="106"/>
    </row>
    <row r="299" spans="10:12" ht="14.25">
      <c r="J299" s="106"/>
      <c r="K299" s="106"/>
      <c r="L299" s="106"/>
    </row>
    <row r="300" spans="10:12" ht="14.25">
      <c r="J300" s="106"/>
      <c r="K300" s="106"/>
      <c r="L300" s="106"/>
    </row>
    <row r="301" spans="10:12" ht="14.25">
      <c r="J301" s="106"/>
      <c r="K301" s="106"/>
      <c r="L301" s="106"/>
    </row>
    <row r="302" spans="10:12" ht="14.25">
      <c r="J302" s="106"/>
      <c r="K302" s="106"/>
      <c r="L302" s="106"/>
    </row>
    <row r="303" spans="10:12" ht="14.25">
      <c r="J303" s="106"/>
      <c r="K303" s="106"/>
      <c r="L303" s="106"/>
    </row>
    <row r="304" spans="10:12" ht="14.25">
      <c r="J304" s="106"/>
      <c r="K304" s="106"/>
      <c r="L304" s="106"/>
    </row>
    <row r="305" spans="10:12" ht="14.25">
      <c r="J305" s="106"/>
      <c r="K305" s="106"/>
      <c r="L305" s="106"/>
    </row>
    <row r="306" spans="10:12" ht="14.25">
      <c r="J306" s="106"/>
      <c r="K306" s="106"/>
      <c r="L306" s="106"/>
    </row>
    <row r="307" spans="10:12" ht="14.25">
      <c r="J307" s="106"/>
      <c r="K307" s="106"/>
      <c r="L307" s="106"/>
    </row>
    <row r="308" spans="10:12" ht="14.25">
      <c r="J308" s="106"/>
      <c r="K308" s="106"/>
      <c r="L308" s="106"/>
    </row>
    <row r="309" spans="10:12" ht="14.25">
      <c r="J309" s="106"/>
      <c r="K309" s="106"/>
      <c r="L309" s="106"/>
    </row>
    <row r="310" spans="10:12" ht="14.25">
      <c r="J310" s="106"/>
      <c r="K310" s="106"/>
      <c r="L310" s="106"/>
    </row>
    <row r="311" spans="10:12" ht="14.25">
      <c r="J311" s="106"/>
      <c r="K311" s="106"/>
      <c r="L311" s="106"/>
    </row>
    <row r="312" spans="10:12" ht="14.25">
      <c r="J312" s="106"/>
      <c r="K312" s="106"/>
      <c r="L312" s="106"/>
    </row>
    <row r="313" spans="10:12" ht="14.25">
      <c r="J313" s="106"/>
      <c r="K313" s="106"/>
      <c r="L313" s="106"/>
    </row>
    <row r="314" spans="10:12" ht="14.25">
      <c r="J314" s="106"/>
      <c r="K314" s="106"/>
      <c r="L314" s="106"/>
    </row>
    <row r="315" spans="10:12" ht="14.25">
      <c r="J315" s="106"/>
      <c r="K315" s="106"/>
      <c r="L315" s="106"/>
    </row>
    <row r="316" spans="10:12" ht="14.25">
      <c r="J316" s="106"/>
      <c r="K316" s="106"/>
      <c r="L316" s="106"/>
    </row>
    <row r="317" spans="10:12" ht="14.25">
      <c r="J317" s="106"/>
      <c r="K317" s="106"/>
      <c r="L317" s="106"/>
    </row>
    <row r="318" spans="10:12" ht="14.25">
      <c r="J318" s="106"/>
      <c r="K318" s="106"/>
      <c r="L318" s="106"/>
    </row>
    <row r="319" spans="10:12" ht="14.25">
      <c r="J319" s="106"/>
      <c r="K319" s="106"/>
      <c r="L319" s="106"/>
    </row>
    <row r="320" spans="10:12" ht="14.25">
      <c r="J320" s="106"/>
      <c r="K320" s="106"/>
      <c r="L320" s="106"/>
    </row>
    <row r="321" spans="10:12" ht="14.25">
      <c r="J321" s="106"/>
      <c r="K321" s="106"/>
      <c r="L321" s="106"/>
    </row>
    <row r="322" spans="10:12" ht="14.25">
      <c r="J322" s="106"/>
      <c r="K322" s="106"/>
      <c r="L322" s="106"/>
    </row>
    <row r="323" spans="10:12" ht="14.25">
      <c r="J323" s="106"/>
      <c r="K323" s="106"/>
      <c r="L323" s="106"/>
    </row>
    <row r="324" spans="10:12" ht="14.25">
      <c r="J324" s="106"/>
      <c r="K324" s="106"/>
      <c r="L324" s="106"/>
    </row>
    <row r="325" spans="10:12" ht="14.25">
      <c r="J325" s="106"/>
      <c r="K325" s="106"/>
      <c r="L325" s="106"/>
    </row>
    <row r="326" spans="10:12" ht="14.25">
      <c r="J326" s="106"/>
      <c r="K326" s="106"/>
      <c r="L326" s="106"/>
    </row>
    <row r="327" spans="10:12" ht="14.25">
      <c r="J327" s="106"/>
      <c r="K327" s="106"/>
      <c r="L327" s="106"/>
    </row>
    <row r="328" spans="10:12" ht="14.25">
      <c r="J328" s="106"/>
      <c r="K328" s="106"/>
      <c r="L328" s="106"/>
    </row>
    <row r="329" spans="10:12" ht="14.25">
      <c r="J329" s="106"/>
      <c r="K329" s="106"/>
      <c r="L329" s="106"/>
    </row>
    <row r="330" spans="10:12" ht="14.25">
      <c r="J330" s="106"/>
      <c r="K330" s="106"/>
      <c r="L330" s="106"/>
    </row>
    <row r="331" spans="10:12" ht="14.25">
      <c r="J331" s="106"/>
      <c r="K331" s="106"/>
      <c r="L331" s="106"/>
    </row>
    <row r="332" spans="10:12" ht="14.25">
      <c r="J332" s="106"/>
      <c r="K332" s="106"/>
      <c r="L332" s="106"/>
    </row>
    <row r="333" spans="10:12" ht="14.25">
      <c r="J333" s="106"/>
      <c r="K333" s="106"/>
      <c r="L333" s="106"/>
    </row>
    <row r="334" spans="10:12" ht="14.25">
      <c r="J334" s="106"/>
      <c r="K334" s="106"/>
      <c r="L334" s="106"/>
    </row>
    <row r="335" spans="10:12" ht="14.25">
      <c r="J335" s="106"/>
      <c r="K335" s="106"/>
      <c r="L335" s="106"/>
    </row>
    <row r="336" spans="10:12" ht="14.25">
      <c r="J336" s="106"/>
      <c r="K336" s="106"/>
      <c r="L336" s="106"/>
    </row>
    <row r="337" spans="10:12" ht="14.25">
      <c r="J337" s="106"/>
      <c r="K337" s="106"/>
      <c r="L337" s="106"/>
    </row>
    <row r="338" spans="10:12" ht="14.25">
      <c r="J338" s="106"/>
      <c r="K338" s="106"/>
      <c r="L338" s="106"/>
    </row>
    <row r="339" spans="10:12" ht="14.25">
      <c r="J339" s="106"/>
      <c r="K339" s="106"/>
      <c r="L339" s="106"/>
    </row>
    <row r="340" spans="10:12" ht="14.25">
      <c r="J340" s="106"/>
      <c r="K340" s="106"/>
      <c r="L340" s="106"/>
    </row>
    <row r="341" spans="10:12" ht="14.25">
      <c r="J341" s="106"/>
      <c r="K341" s="106"/>
      <c r="L341" s="106"/>
    </row>
    <row r="342" spans="10:12" ht="14.25">
      <c r="J342" s="106"/>
      <c r="K342" s="106"/>
      <c r="L342" s="106"/>
    </row>
    <row r="343" spans="10:12" ht="14.25">
      <c r="J343" s="106"/>
      <c r="K343" s="106"/>
      <c r="L343" s="106"/>
    </row>
    <row r="344" spans="10:12" ht="14.25">
      <c r="J344" s="106"/>
      <c r="K344" s="106"/>
      <c r="L344" s="106"/>
    </row>
    <row r="345" spans="10:12" ht="14.25">
      <c r="J345" s="106"/>
      <c r="K345" s="106"/>
      <c r="L345" s="106"/>
    </row>
    <row r="346" spans="10:12" ht="14.25">
      <c r="J346" s="106"/>
      <c r="K346" s="106"/>
      <c r="L346" s="106"/>
    </row>
    <row r="347" spans="10:12" ht="14.25">
      <c r="J347" s="106"/>
      <c r="K347" s="106"/>
      <c r="L347" s="106"/>
    </row>
    <row r="348" spans="10:12" ht="14.25">
      <c r="J348" s="106"/>
      <c r="K348" s="106"/>
      <c r="L348" s="106"/>
    </row>
    <row r="349" spans="10:12" ht="14.25">
      <c r="J349" s="106"/>
      <c r="K349" s="106"/>
      <c r="L349" s="106"/>
    </row>
    <row r="350" spans="10:12" ht="14.25">
      <c r="J350" s="106"/>
      <c r="K350" s="106"/>
      <c r="L350" s="106"/>
    </row>
    <row r="351" spans="10:12" ht="14.25">
      <c r="J351" s="106"/>
      <c r="K351" s="106"/>
      <c r="L351" s="106"/>
    </row>
    <row r="352" spans="10:12" ht="14.25">
      <c r="J352" s="106"/>
      <c r="K352" s="106"/>
      <c r="L352" s="106"/>
    </row>
    <row r="353" spans="10:12" ht="14.25">
      <c r="J353" s="106"/>
      <c r="K353" s="106"/>
      <c r="L353" s="106"/>
    </row>
    <row r="354" spans="10:12" ht="14.25">
      <c r="J354" s="106"/>
      <c r="K354" s="106"/>
      <c r="L354" s="106"/>
    </row>
    <row r="355" spans="10:12" ht="14.25">
      <c r="J355" s="106"/>
      <c r="K355" s="106"/>
      <c r="L355" s="106"/>
    </row>
    <row r="356" spans="10:12" ht="14.25">
      <c r="J356" s="106"/>
      <c r="K356" s="106"/>
      <c r="L356" s="106"/>
    </row>
    <row r="357" spans="10:12" ht="14.25">
      <c r="J357" s="106"/>
      <c r="K357" s="106"/>
      <c r="L357" s="106"/>
    </row>
    <row r="358" spans="10:12" ht="14.25">
      <c r="J358" s="106"/>
      <c r="K358" s="106"/>
      <c r="L358" s="106"/>
    </row>
    <row r="359" spans="10:12" ht="14.25">
      <c r="J359" s="106"/>
      <c r="K359" s="106"/>
      <c r="L359" s="106"/>
    </row>
    <row r="360" spans="10:12" ht="14.25">
      <c r="J360" s="106"/>
      <c r="K360" s="106"/>
      <c r="L360" s="106"/>
    </row>
    <row r="361" spans="10:12" ht="14.25">
      <c r="J361" s="106"/>
      <c r="K361" s="106"/>
      <c r="L361" s="106"/>
    </row>
    <row r="362" spans="10:12" ht="14.25">
      <c r="J362" s="106"/>
      <c r="K362" s="106"/>
      <c r="L362" s="106"/>
    </row>
    <row r="363" spans="10:12" ht="14.25">
      <c r="J363" s="106"/>
      <c r="K363" s="106"/>
      <c r="L363" s="106"/>
    </row>
    <row r="364" spans="10:12" ht="14.25">
      <c r="J364" s="106"/>
      <c r="K364" s="106"/>
      <c r="L364" s="106"/>
    </row>
    <row r="365" spans="10:12" ht="14.25">
      <c r="J365" s="106"/>
      <c r="K365" s="106"/>
      <c r="L365" s="106"/>
    </row>
    <row r="366" spans="10:12" ht="14.25">
      <c r="J366" s="106"/>
      <c r="K366" s="106"/>
      <c r="L366" s="106"/>
    </row>
    <row r="367" spans="10:12" ht="14.25">
      <c r="J367" s="106"/>
      <c r="K367" s="106"/>
      <c r="L367" s="106"/>
    </row>
    <row r="368" spans="10:12" ht="14.25">
      <c r="J368" s="106"/>
      <c r="K368" s="106"/>
      <c r="L368" s="106"/>
    </row>
    <row r="369" spans="10:12" ht="14.25">
      <c r="J369" s="106"/>
      <c r="K369" s="106"/>
      <c r="L369" s="106"/>
    </row>
    <row r="370" spans="10:12" ht="14.25">
      <c r="J370" s="106"/>
      <c r="K370" s="106"/>
      <c r="L370" s="106"/>
    </row>
    <row r="371" spans="10:12" ht="14.25">
      <c r="J371" s="106"/>
      <c r="K371" s="106"/>
      <c r="L371" s="106"/>
    </row>
    <row r="372" spans="10:12" ht="14.25">
      <c r="J372" s="106"/>
      <c r="K372" s="106"/>
      <c r="L372" s="106"/>
    </row>
    <row r="373" spans="10:12" ht="14.25">
      <c r="J373" s="106"/>
      <c r="K373" s="106"/>
      <c r="L373" s="106"/>
    </row>
    <row r="374" spans="10:12" ht="14.25">
      <c r="J374" s="106"/>
      <c r="K374" s="106"/>
      <c r="L374" s="106"/>
    </row>
    <row r="375" spans="10:12" ht="14.25">
      <c r="J375" s="106"/>
      <c r="K375" s="106"/>
      <c r="L375" s="106"/>
    </row>
    <row r="376" spans="10:12" ht="14.25">
      <c r="J376" s="106"/>
      <c r="K376" s="106"/>
      <c r="L376" s="106"/>
    </row>
    <row r="377" spans="10:12" ht="14.25">
      <c r="J377" s="106"/>
      <c r="K377" s="106"/>
      <c r="L377" s="106"/>
    </row>
    <row r="378" spans="10:12" ht="14.25">
      <c r="J378" s="106"/>
      <c r="K378" s="106"/>
      <c r="L378" s="106"/>
    </row>
    <row r="379" spans="10:12" ht="14.25">
      <c r="J379" s="106"/>
      <c r="K379" s="106"/>
      <c r="L379" s="106"/>
    </row>
    <row r="380" spans="10:12" ht="14.25">
      <c r="J380" s="106"/>
      <c r="K380" s="106"/>
      <c r="L380" s="106"/>
    </row>
    <row r="381" spans="10:12" ht="14.25">
      <c r="J381" s="106"/>
      <c r="K381" s="106"/>
      <c r="L381" s="106"/>
    </row>
    <row r="382" spans="10:12" ht="14.25">
      <c r="J382" s="106"/>
      <c r="K382" s="106"/>
      <c r="L382" s="106"/>
    </row>
    <row r="383" spans="10:12" ht="14.25">
      <c r="J383" s="106"/>
      <c r="K383" s="106"/>
      <c r="L383" s="106"/>
    </row>
    <row r="384" spans="10:12" ht="14.25">
      <c r="J384" s="106"/>
      <c r="K384" s="106"/>
      <c r="L384" s="106"/>
    </row>
    <row r="385" spans="10:12" ht="14.25">
      <c r="J385" s="106"/>
      <c r="K385" s="106"/>
      <c r="L385" s="106"/>
    </row>
    <row r="386" spans="10:12" ht="14.25">
      <c r="J386" s="106"/>
      <c r="K386" s="106"/>
      <c r="L386" s="106"/>
    </row>
    <row r="387" spans="10:12" ht="14.25">
      <c r="J387" s="106"/>
      <c r="K387" s="106"/>
      <c r="L387" s="106"/>
    </row>
    <row r="388" spans="10:12" ht="14.25">
      <c r="J388" s="106"/>
      <c r="K388" s="106"/>
      <c r="L388" s="106"/>
    </row>
    <row r="389" spans="10:12" ht="14.25">
      <c r="J389" s="106"/>
      <c r="K389" s="106"/>
      <c r="L389" s="106"/>
    </row>
    <row r="390" spans="10:12" ht="14.25">
      <c r="J390" s="106"/>
      <c r="K390" s="106"/>
      <c r="L390" s="106"/>
    </row>
    <row r="391" spans="10:12" ht="14.25">
      <c r="J391" s="106"/>
      <c r="K391" s="106"/>
      <c r="L391" s="106"/>
    </row>
    <row r="392" spans="10:12" ht="14.25">
      <c r="J392" s="106"/>
      <c r="K392" s="106"/>
      <c r="L392" s="106"/>
    </row>
    <row r="393" spans="10:12" ht="14.25">
      <c r="J393" s="106"/>
      <c r="K393" s="106"/>
      <c r="L393" s="106"/>
    </row>
    <row r="394" spans="10:12" ht="14.25">
      <c r="J394" s="106"/>
      <c r="K394" s="106"/>
      <c r="L394" s="106"/>
    </row>
    <row r="395" spans="10:12" ht="14.25">
      <c r="J395" s="106"/>
      <c r="K395" s="106"/>
      <c r="L395" s="106"/>
    </row>
    <row r="396" spans="10:12" ht="14.25">
      <c r="J396" s="106"/>
      <c r="K396" s="106"/>
      <c r="L396" s="106"/>
    </row>
    <row r="397" spans="10:12" ht="14.25">
      <c r="J397" s="106"/>
      <c r="K397" s="106"/>
      <c r="L397" s="106"/>
    </row>
    <row r="398" spans="10:12" ht="14.25">
      <c r="J398" s="106"/>
      <c r="K398" s="106"/>
      <c r="L398" s="106"/>
    </row>
    <row r="399" spans="10:12" ht="14.25">
      <c r="J399" s="106"/>
      <c r="K399" s="106"/>
      <c r="L399" s="106"/>
    </row>
    <row r="400" spans="10:12" ht="14.25">
      <c r="J400" s="106"/>
      <c r="K400" s="106"/>
      <c r="L400" s="106"/>
    </row>
    <row r="401" spans="10:12" ht="14.25">
      <c r="J401" s="106"/>
      <c r="K401" s="106"/>
      <c r="L401" s="106"/>
    </row>
    <row r="402" spans="10:12" ht="14.25">
      <c r="J402" s="106"/>
      <c r="K402" s="106"/>
      <c r="L402" s="106"/>
    </row>
    <row r="403" spans="10:12" ht="14.25">
      <c r="J403" s="106"/>
      <c r="K403" s="106"/>
      <c r="L403" s="106"/>
    </row>
    <row r="404" spans="10:12" ht="14.25">
      <c r="J404" s="106"/>
      <c r="K404" s="106"/>
      <c r="L404" s="106"/>
    </row>
    <row r="405" spans="10:12" ht="14.25">
      <c r="J405" s="106"/>
      <c r="K405" s="106"/>
      <c r="L405" s="106"/>
    </row>
    <row r="406" spans="10:12" ht="14.25">
      <c r="J406" s="106"/>
      <c r="K406" s="106"/>
      <c r="L406" s="106"/>
    </row>
    <row r="407" spans="10:12" ht="14.25">
      <c r="J407" s="106"/>
      <c r="K407" s="106"/>
      <c r="L407" s="106"/>
    </row>
    <row r="408" spans="10:12" ht="14.25">
      <c r="J408" s="106"/>
      <c r="K408" s="106"/>
      <c r="L408" s="106"/>
    </row>
    <row r="409" spans="10:12" ht="14.25">
      <c r="J409" s="106"/>
      <c r="K409" s="106"/>
      <c r="L409" s="106"/>
    </row>
    <row r="410" spans="10:12" ht="14.25">
      <c r="J410" s="106"/>
      <c r="K410" s="106"/>
      <c r="L410" s="106"/>
    </row>
    <row r="411" spans="10:12" ht="14.25">
      <c r="J411" s="106"/>
      <c r="K411" s="106"/>
      <c r="L411" s="106"/>
    </row>
    <row r="412" spans="10:12" ht="14.25">
      <c r="J412" s="106"/>
      <c r="K412" s="106"/>
      <c r="L412" s="106"/>
    </row>
    <row r="413" spans="10:12" ht="14.25">
      <c r="J413" s="106"/>
      <c r="K413" s="106"/>
      <c r="L413" s="106"/>
    </row>
    <row r="414" spans="10:12" ht="14.25">
      <c r="J414" s="106"/>
      <c r="K414" s="106"/>
      <c r="L414" s="106"/>
    </row>
    <row r="415" spans="10:12" ht="14.25">
      <c r="J415" s="106"/>
      <c r="K415" s="106"/>
      <c r="L415" s="106"/>
    </row>
    <row r="416" spans="10:12" ht="14.25">
      <c r="J416" s="106"/>
      <c r="K416" s="106"/>
      <c r="L416" s="106"/>
    </row>
    <row r="417" spans="10:12" ht="14.25">
      <c r="J417" s="106"/>
      <c r="K417" s="106"/>
      <c r="L417" s="106"/>
    </row>
    <row r="418" spans="10:12" ht="14.25">
      <c r="J418" s="106"/>
      <c r="K418" s="106"/>
      <c r="L418" s="106"/>
    </row>
    <row r="419" spans="10:12" ht="14.25">
      <c r="J419" s="106"/>
      <c r="K419" s="106"/>
      <c r="L419" s="106"/>
    </row>
    <row r="420" spans="10:12" ht="14.25">
      <c r="J420" s="106"/>
      <c r="K420" s="106"/>
      <c r="L420" s="106"/>
    </row>
    <row r="421" spans="10:12" ht="14.25">
      <c r="J421" s="106"/>
      <c r="K421" s="106"/>
      <c r="L421" s="106"/>
    </row>
    <row r="422" spans="10:12" ht="14.25">
      <c r="J422" s="106"/>
      <c r="K422" s="106"/>
      <c r="L422" s="106"/>
    </row>
    <row r="423" spans="10:12" ht="14.25">
      <c r="J423" s="106"/>
      <c r="K423" s="106"/>
      <c r="L423" s="106"/>
    </row>
    <row r="424" spans="10:12" ht="14.25">
      <c r="J424" s="106"/>
      <c r="K424" s="106"/>
      <c r="L424" s="106"/>
    </row>
    <row r="425" spans="10:12" ht="14.25">
      <c r="J425" s="106"/>
      <c r="K425" s="106"/>
      <c r="L425" s="106"/>
    </row>
    <row r="426" spans="10:12" ht="14.25">
      <c r="J426" s="106"/>
      <c r="K426" s="106"/>
      <c r="L426" s="106"/>
    </row>
    <row r="427" spans="10:12" ht="14.25">
      <c r="J427" s="106"/>
      <c r="K427" s="106"/>
      <c r="L427" s="106"/>
    </row>
    <row r="428" spans="10:12" ht="14.25">
      <c r="J428" s="106"/>
      <c r="K428" s="106"/>
      <c r="L428" s="106"/>
    </row>
    <row r="429" spans="10:12" ht="14.25">
      <c r="J429" s="106"/>
      <c r="K429" s="106"/>
      <c r="L429" s="106"/>
    </row>
    <row r="430" spans="10:12" ht="14.25">
      <c r="J430" s="106"/>
      <c r="K430" s="106"/>
      <c r="L430" s="106"/>
    </row>
    <row r="431" spans="10:12" ht="14.25">
      <c r="J431" s="106"/>
      <c r="K431" s="106"/>
      <c r="L431" s="106"/>
    </row>
    <row r="432" spans="10:12" ht="14.25">
      <c r="J432" s="106"/>
      <c r="K432" s="106"/>
      <c r="L432" s="106"/>
    </row>
    <row r="433" spans="10:12" ht="14.25">
      <c r="J433" s="106"/>
      <c r="K433" s="106"/>
      <c r="L433" s="106"/>
    </row>
    <row r="434" spans="10:12" ht="14.25">
      <c r="J434" s="106"/>
      <c r="K434" s="106"/>
      <c r="L434" s="106"/>
    </row>
    <row r="435" spans="10:12" ht="14.25">
      <c r="J435" s="106"/>
      <c r="K435" s="106"/>
      <c r="L435" s="106"/>
    </row>
    <row r="436" spans="10:12" ht="14.25">
      <c r="J436" s="106"/>
      <c r="K436" s="106"/>
      <c r="L436" s="106"/>
    </row>
    <row r="437" spans="10:12" ht="14.25">
      <c r="J437" s="106"/>
      <c r="K437" s="106"/>
      <c r="L437" s="106"/>
    </row>
    <row r="438" spans="10:12" ht="14.25">
      <c r="J438" s="106"/>
      <c r="K438" s="106"/>
      <c r="L438" s="106"/>
    </row>
    <row r="439" spans="10:12" ht="14.25">
      <c r="J439" s="106"/>
      <c r="K439" s="106"/>
      <c r="L439" s="106"/>
    </row>
    <row r="440" spans="10:12" ht="14.25">
      <c r="J440" s="106"/>
      <c r="K440" s="106"/>
      <c r="L440" s="106"/>
    </row>
    <row r="441" spans="10:12" ht="14.25">
      <c r="J441" s="106"/>
      <c r="K441" s="106"/>
      <c r="L441" s="106"/>
    </row>
    <row r="442" spans="10:12" ht="14.25">
      <c r="J442" s="106"/>
      <c r="K442" s="106"/>
      <c r="L442" s="106"/>
    </row>
    <row r="443" spans="10:12" ht="14.25">
      <c r="J443" s="106"/>
      <c r="K443" s="106"/>
      <c r="L443" s="106"/>
    </row>
    <row r="444" spans="10:12" ht="14.25">
      <c r="J444" s="106"/>
      <c r="K444" s="106"/>
      <c r="L444" s="106"/>
    </row>
    <row r="445" spans="10:12" ht="14.25">
      <c r="J445" s="106"/>
      <c r="K445" s="106"/>
      <c r="L445" s="106"/>
    </row>
    <row r="446" spans="10:12" ht="14.25">
      <c r="J446" s="106"/>
      <c r="K446" s="106"/>
      <c r="L446" s="106"/>
    </row>
    <row r="447" spans="10:12" ht="14.25">
      <c r="J447" s="106"/>
      <c r="K447" s="106"/>
      <c r="L447" s="106"/>
    </row>
    <row r="448" spans="10:12" ht="14.25">
      <c r="J448" s="106"/>
      <c r="K448" s="106"/>
      <c r="L448" s="106"/>
    </row>
    <row r="449" spans="10:12" ht="14.25">
      <c r="J449" s="106"/>
      <c r="K449" s="106"/>
      <c r="L449" s="106"/>
    </row>
    <row r="450" spans="10:12" ht="14.25">
      <c r="J450" s="106"/>
      <c r="K450" s="106"/>
      <c r="L450" s="106"/>
    </row>
    <row r="451" spans="10:12" ht="14.25">
      <c r="J451" s="106"/>
      <c r="K451" s="106"/>
      <c r="L451" s="106"/>
    </row>
    <row r="452" spans="10:12" ht="14.25">
      <c r="J452" s="106"/>
      <c r="K452" s="106"/>
      <c r="L452" s="106"/>
    </row>
    <row r="453" spans="10:12" ht="14.25">
      <c r="J453" s="106"/>
      <c r="K453" s="106"/>
      <c r="L453" s="106"/>
    </row>
    <row r="454" spans="10:12" ht="14.25">
      <c r="J454" s="106"/>
      <c r="K454" s="106"/>
      <c r="L454" s="106"/>
    </row>
    <row r="455" spans="10:12" ht="14.25">
      <c r="J455" s="106"/>
      <c r="K455" s="106"/>
      <c r="L455" s="106"/>
    </row>
    <row r="456" spans="10:12" ht="14.25">
      <c r="J456" s="106"/>
      <c r="K456" s="106"/>
      <c r="L456" s="106"/>
    </row>
    <row r="457" spans="10:12" ht="14.25">
      <c r="J457" s="106"/>
      <c r="K457" s="106"/>
      <c r="L457" s="106"/>
    </row>
    <row r="458" spans="10:12" ht="14.25">
      <c r="J458" s="106"/>
      <c r="K458" s="106"/>
      <c r="L458" s="106"/>
    </row>
    <row r="459" spans="10:12" ht="14.25">
      <c r="J459" s="106"/>
      <c r="K459" s="106"/>
      <c r="L459" s="106"/>
    </row>
    <row r="460" spans="10:12" ht="14.25">
      <c r="J460" s="106"/>
      <c r="K460" s="106"/>
      <c r="L460" s="106"/>
    </row>
    <row r="461" spans="10:12" ht="14.25">
      <c r="J461" s="106"/>
      <c r="K461" s="106"/>
      <c r="L461" s="106"/>
    </row>
    <row r="462" spans="10:12" ht="14.25">
      <c r="J462" s="106"/>
      <c r="K462" s="106"/>
      <c r="L462" s="106"/>
    </row>
    <row r="463" spans="10:12" ht="14.25">
      <c r="J463" s="106"/>
      <c r="K463" s="106"/>
      <c r="L463" s="106"/>
    </row>
    <row r="464" spans="10:12" ht="14.25">
      <c r="J464" s="106"/>
      <c r="K464" s="106"/>
      <c r="L464" s="106"/>
    </row>
    <row r="465" spans="10:12" ht="14.25">
      <c r="J465" s="106"/>
      <c r="K465" s="106"/>
      <c r="L465" s="106"/>
    </row>
    <row r="466" spans="10:12" ht="14.25">
      <c r="J466" s="106"/>
      <c r="K466" s="106"/>
      <c r="L466" s="106"/>
    </row>
    <row r="467" spans="10:12" ht="14.25">
      <c r="J467" s="106"/>
      <c r="K467" s="106"/>
      <c r="L467" s="106"/>
    </row>
    <row r="468" spans="10:12" ht="14.25">
      <c r="J468" s="106"/>
      <c r="K468" s="106"/>
      <c r="L468" s="106"/>
    </row>
    <row r="469" spans="10:12" ht="14.25">
      <c r="J469" s="106"/>
      <c r="K469" s="106"/>
      <c r="L469" s="106"/>
    </row>
    <row r="470" spans="10:12" ht="14.25">
      <c r="J470" s="106"/>
      <c r="K470" s="106"/>
      <c r="L470" s="106"/>
    </row>
    <row r="471" spans="10:12" ht="14.25">
      <c r="J471" s="106"/>
      <c r="K471" s="106"/>
      <c r="L471" s="106"/>
    </row>
    <row r="472" spans="10:12" ht="14.25">
      <c r="J472" s="106"/>
      <c r="K472" s="106"/>
      <c r="L472" s="106"/>
    </row>
    <row r="473" spans="10:12" ht="14.25">
      <c r="J473" s="106"/>
      <c r="K473" s="106"/>
      <c r="L473" s="106"/>
    </row>
    <row r="474" spans="10:12" ht="14.25">
      <c r="J474" s="106"/>
      <c r="K474" s="106"/>
      <c r="L474" s="106"/>
    </row>
    <row r="475" spans="10:12" ht="14.25">
      <c r="J475" s="106"/>
      <c r="K475" s="106"/>
      <c r="L475" s="106"/>
    </row>
    <row r="476" spans="10:12" ht="14.25">
      <c r="J476" s="106"/>
      <c r="K476" s="106"/>
      <c r="L476" s="106"/>
    </row>
    <row r="477" spans="10:12" ht="14.25">
      <c r="J477" s="106"/>
      <c r="K477" s="106"/>
      <c r="L477" s="106"/>
    </row>
    <row r="478" spans="10:12" ht="14.25">
      <c r="J478" s="106"/>
      <c r="K478" s="106"/>
      <c r="L478" s="106"/>
    </row>
    <row r="479" spans="10:12" ht="14.25">
      <c r="J479" s="106"/>
      <c r="K479" s="106"/>
      <c r="L479" s="106"/>
    </row>
    <row r="480" spans="10:12" ht="14.25">
      <c r="J480" s="106"/>
      <c r="K480" s="106"/>
      <c r="L480" s="106"/>
    </row>
    <row r="481" spans="10:12" ht="14.25">
      <c r="J481" s="106"/>
      <c r="K481" s="106"/>
      <c r="L481" s="106"/>
    </row>
    <row r="482" spans="10:12" ht="14.25">
      <c r="J482" s="106"/>
      <c r="K482" s="106"/>
      <c r="L482" s="106"/>
    </row>
    <row r="483" spans="10:12" ht="14.25">
      <c r="J483" s="106"/>
      <c r="K483" s="106"/>
      <c r="L483" s="106"/>
    </row>
    <row r="484" spans="10:12" ht="14.25">
      <c r="J484" s="106"/>
      <c r="K484" s="106"/>
      <c r="L484" s="106"/>
    </row>
    <row r="485" spans="10:12" ht="14.25">
      <c r="J485" s="106"/>
      <c r="K485" s="106"/>
      <c r="L485" s="106"/>
    </row>
    <row r="486" spans="10:12" ht="14.25">
      <c r="J486" s="106"/>
      <c r="K486" s="106"/>
      <c r="L486" s="106"/>
    </row>
    <row r="487" spans="10:12" ht="14.25">
      <c r="J487" s="106"/>
      <c r="K487" s="106"/>
      <c r="L487" s="106"/>
    </row>
    <row r="488" spans="10:12" ht="14.25">
      <c r="J488" s="106"/>
      <c r="K488" s="106"/>
      <c r="L488" s="106"/>
    </row>
    <row r="489" spans="10:12" ht="14.25">
      <c r="J489" s="106"/>
      <c r="K489" s="106"/>
      <c r="L489" s="106"/>
    </row>
    <row r="490" spans="10:12" ht="14.25">
      <c r="J490" s="106"/>
      <c r="K490" s="106"/>
      <c r="L490" s="106"/>
    </row>
    <row r="491" spans="10:12" ht="14.25">
      <c r="J491" s="106"/>
      <c r="K491" s="106"/>
      <c r="L491" s="106"/>
    </row>
    <row r="492" spans="10:12" ht="14.25">
      <c r="J492" s="106"/>
      <c r="K492" s="106"/>
      <c r="L492" s="106"/>
    </row>
    <row r="493" spans="10:12" ht="14.25">
      <c r="J493" s="106"/>
      <c r="K493" s="106"/>
      <c r="L493" s="106"/>
    </row>
    <row r="494" spans="10:12" ht="14.25">
      <c r="J494" s="106"/>
      <c r="K494" s="106"/>
      <c r="L494" s="106"/>
    </row>
    <row r="495" spans="10:12" ht="14.25">
      <c r="J495" s="106"/>
      <c r="K495" s="106"/>
      <c r="L495" s="106"/>
    </row>
    <row r="496" spans="10:12" ht="14.25">
      <c r="J496" s="106"/>
      <c r="K496" s="106"/>
      <c r="L496" s="106"/>
    </row>
    <row r="497" spans="10:12" ht="14.25">
      <c r="J497" s="106"/>
      <c r="K497" s="106"/>
      <c r="L497" s="106"/>
    </row>
    <row r="498" spans="10:12" ht="14.25">
      <c r="J498" s="106"/>
      <c r="K498" s="106"/>
      <c r="L498" s="106"/>
    </row>
    <row r="499" spans="10:12" ht="14.25">
      <c r="J499" s="106"/>
      <c r="K499" s="106"/>
      <c r="L499" s="106"/>
    </row>
    <row r="500" spans="10:12" ht="14.25">
      <c r="J500" s="106"/>
      <c r="K500" s="106"/>
      <c r="L500" s="106"/>
    </row>
    <row r="501" spans="10:12" ht="14.25">
      <c r="J501" s="106"/>
      <c r="K501" s="106"/>
      <c r="L501" s="106"/>
    </row>
    <row r="502" spans="10:12" ht="14.25">
      <c r="J502" s="106"/>
      <c r="K502" s="106"/>
      <c r="L502" s="106"/>
    </row>
    <row r="503" spans="10:12" ht="14.25">
      <c r="J503" s="106"/>
      <c r="K503" s="106"/>
      <c r="L503" s="106"/>
    </row>
    <row r="504" spans="10:12" ht="14.25">
      <c r="J504" s="106"/>
      <c r="K504" s="106"/>
      <c r="L504" s="106"/>
    </row>
    <row r="505" spans="10:12" ht="14.25">
      <c r="J505" s="106"/>
      <c r="K505" s="106"/>
      <c r="L505" s="106"/>
    </row>
    <row r="506" spans="10:12" ht="14.25">
      <c r="J506" s="106"/>
      <c r="K506" s="106"/>
      <c r="L506" s="106"/>
    </row>
    <row r="507" spans="10:12" ht="14.25">
      <c r="J507" s="106"/>
      <c r="K507" s="106"/>
      <c r="L507" s="106"/>
    </row>
    <row r="508" spans="10:12" ht="14.25">
      <c r="J508" s="106"/>
      <c r="K508" s="106"/>
      <c r="L508" s="106"/>
    </row>
    <row r="509" spans="10:12" ht="14.25">
      <c r="J509" s="106"/>
      <c r="K509" s="106"/>
      <c r="L509" s="106"/>
    </row>
    <row r="510" spans="10:12" ht="14.25">
      <c r="J510" s="106"/>
      <c r="K510" s="106"/>
      <c r="L510" s="106"/>
    </row>
    <row r="511" spans="10:12" ht="14.25">
      <c r="J511" s="106"/>
      <c r="K511" s="106"/>
      <c r="L511" s="106"/>
    </row>
    <row r="512" spans="10:12" ht="14.25">
      <c r="J512" s="106"/>
      <c r="K512" s="106"/>
      <c r="L512" s="106"/>
    </row>
    <row r="513" spans="10:12" ht="14.25">
      <c r="J513" s="106"/>
      <c r="K513" s="106"/>
      <c r="L513" s="106"/>
    </row>
    <row r="514" spans="10:12" ht="14.25">
      <c r="J514" s="106"/>
      <c r="K514" s="106"/>
      <c r="L514" s="106"/>
    </row>
    <row r="515" spans="10:12" ht="14.25">
      <c r="J515" s="106"/>
      <c r="K515" s="106"/>
      <c r="L515" s="106"/>
    </row>
    <row r="516" spans="10:12" ht="14.25">
      <c r="J516" s="106"/>
      <c r="K516" s="106"/>
      <c r="L516" s="106"/>
    </row>
    <row r="517" spans="10:12" ht="14.25">
      <c r="J517" s="106"/>
      <c r="K517" s="106"/>
      <c r="L517" s="106"/>
    </row>
    <row r="518" spans="10:12" ht="14.25">
      <c r="J518" s="106"/>
      <c r="K518" s="106"/>
      <c r="L518" s="106"/>
    </row>
    <row r="519" spans="10:12" ht="14.25">
      <c r="J519" s="106"/>
      <c r="K519" s="106"/>
      <c r="L519" s="106"/>
    </row>
    <row r="520" spans="10:12" ht="14.25">
      <c r="J520" s="106"/>
      <c r="K520" s="106"/>
      <c r="L520" s="106"/>
    </row>
    <row r="521" spans="10:12" ht="14.25">
      <c r="J521" s="106"/>
      <c r="K521" s="106"/>
      <c r="L521" s="106"/>
    </row>
    <row r="522" spans="10:12" ht="14.25">
      <c r="J522" s="106"/>
      <c r="K522" s="106"/>
      <c r="L522" s="106"/>
    </row>
    <row r="523" spans="10:12" ht="14.25">
      <c r="J523" s="106"/>
      <c r="K523" s="106"/>
      <c r="L523" s="106"/>
    </row>
    <row r="524" spans="10:12" ht="14.25">
      <c r="J524" s="106"/>
      <c r="K524" s="106"/>
      <c r="L524" s="106"/>
    </row>
    <row r="525" spans="10:12" ht="14.25">
      <c r="J525" s="106"/>
      <c r="K525" s="106"/>
      <c r="L525" s="106"/>
    </row>
    <row r="526" spans="10:12" ht="14.25">
      <c r="J526" s="106"/>
      <c r="K526" s="106"/>
      <c r="L526" s="106"/>
    </row>
    <row r="527" spans="10:12" ht="14.25">
      <c r="J527" s="106"/>
      <c r="K527" s="106"/>
      <c r="L527" s="106"/>
    </row>
    <row r="528" spans="10:12" ht="14.25">
      <c r="J528" s="106"/>
      <c r="K528" s="106"/>
      <c r="L528" s="106"/>
    </row>
    <row r="529" spans="10:12" ht="14.25">
      <c r="J529" s="106"/>
      <c r="K529" s="106"/>
      <c r="L529" s="106"/>
    </row>
    <row r="530" spans="10:12" ht="14.25">
      <c r="J530" s="106"/>
      <c r="K530" s="106"/>
      <c r="L530" s="106"/>
    </row>
    <row r="531" spans="10:12" ht="14.25">
      <c r="J531" s="106"/>
      <c r="K531" s="106"/>
      <c r="L531" s="106"/>
    </row>
    <row r="532" spans="10:12" ht="14.25">
      <c r="J532" s="106"/>
      <c r="K532" s="106"/>
      <c r="L532" s="106"/>
    </row>
    <row r="533" spans="10:12" ht="14.25">
      <c r="J533" s="106"/>
      <c r="K533" s="106"/>
      <c r="L533" s="106"/>
    </row>
    <row r="534" spans="10:12" ht="14.25">
      <c r="J534" s="106"/>
      <c r="K534" s="106"/>
      <c r="L534" s="106"/>
    </row>
    <row r="535" spans="10:12" ht="14.25">
      <c r="J535" s="106"/>
      <c r="K535" s="106"/>
      <c r="L535" s="106"/>
    </row>
    <row r="536" spans="10:12" ht="14.25">
      <c r="J536" s="106"/>
      <c r="K536" s="106"/>
      <c r="L536" s="106"/>
    </row>
    <row r="537" spans="10:12" ht="14.25">
      <c r="J537" s="106"/>
      <c r="K537" s="106"/>
      <c r="L537" s="106"/>
    </row>
    <row r="538" spans="10:12" ht="14.25">
      <c r="J538" s="106"/>
      <c r="K538" s="106"/>
      <c r="L538" s="106"/>
    </row>
    <row r="539" spans="10:12" ht="14.25">
      <c r="J539" s="106"/>
      <c r="K539" s="106"/>
      <c r="L539" s="106"/>
    </row>
    <row r="540" spans="10:12" ht="14.25">
      <c r="J540" s="106"/>
      <c r="K540" s="106"/>
      <c r="L540" s="106"/>
    </row>
    <row r="541" spans="10:12" ht="14.25">
      <c r="J541" s="106"/>
      <c r="K541" s="106"/>
      <c r="L541" s="106"/>
    </row>
    <row r="542" spans="10:12" ht="14.25">
      <c r="J542" s="106"/>
      <c r="K542" s="106"/>
      <c r="L542" s="106"/>
    </row>
    <row r="543" spans="10:12" ht="14.25">
      <c r="J543" s="106"/>
      <c r="K543" s="106"/>
      <c r="L543" s="106"/>
    </row>
    <row r="544" spans="10:12" ht="14.25">
      <c r="J544" s="106"/>
      <c r="K544" s="106"/>
      <c r="L544" s="106"/>
    </row>
    <row r="545" spans="10:12" ht="14.25">
      <c r="J545" s="106"/>
      <c r="K545" s="106"/>
      <c r="L545" s="106"/>
    </row>
    <row r="546" spans="10:12" ht="14.25">
      <c r="J546" s="106"/>
      <c r="K546" s="106"/>
      <c r="L546" s="106"/>
    </row>
    <row r="547" spans="10:12" ht="14.25">
      <c r="J547" s="106"/>
      <c r="K547" s="106"/>
      <c r="L547" s="106"/>
    </row>
    <row r="548" spans="10:12" ht="14.25">
      <c r="J548" s="106"/>
      <c r="K548" s="106"/>
      <c r="L548" s="106"/>
    </row>
    <row r="549" spans="10:12" ht="14.25">
      <c r="J549" s="106"/>
      <c r="K549" s="106"/>
      <c r="L549" s="106"/>
    </row>
    <row r="550" spans="10:12" ht="14.25">
      <c r="J550" s="106"/>
      <c r="K550" s="106"/>
      <c r="L550" s="106"/>
    </row>
    <row r="551" spans="10:12" ht="14.25">
      <c r="J551" s="106"/>
      <c r="K551" s="106"/>
      <c r="L551" s="106"/>
    </row>
    <row r="552" spans="10:12" ht="14.25">
      <c r="J552" s="106"/>
      <c r="K552" s="106"/>
      <c r="L552" s="106"/>
    </row>
    <row r="553" spans="10:12" ht="14.25">
      <c r="J553" s="106"/>
      <c r="K553" s="106"/>
      <c r="L553" s="106"/>
    </row>
    <row r="554" spans="10:12" ht="14.25">
      <c r="J554" s="106"/>
      <c r="K554" s="106"/>
      <c r="L554" s="106"/>
    </row>
    <row r="555" spans="10:12" ht="14.25">
      <c r="J555" s="106"/>
      <c r="K555" s="106"/>
      <c r="L555" s="106"/>
    </row>
    <row r="556" spans="10:12" ht="14.25">
      <c r="J556" s="106"/>
      <c r="K556" s="106"/>
      <c r="L556" s="106"/>
    </row>
    <row r="557" spans="10:12" ht="14.25">
      <c r="J557" s="106"/>
      <c r="K557" s="106"/>
      <c r="L557" s="106"/>
    </row>
    <row r="558" spans="10:12" ht="14.25">
      <c r="J558" s="106"/>
      <c r="K558" s="106"/>
      <c r="L558" s="106"/>
    </row>
    <row r="559" spans="10:12" ht="14.25">
      <c r="J559" s="106"/>
      <c r="K559" s="106"/>
      <c r="L559" s="106"/>
    </row>
    <row r="560" spans="10:12" ht="14.25">
      <c r="J560" s="106"/>
      <c r="K560" s="106"/>
      <c r="L560" s="106"/>
    </row>
    <row r="561" spans="10:12" ht="14.25">
      <c r="J561" s="106"/>
      <c r="K561" s="106"/>
      <c r="L561" s="106"/>
    </row>
    <row r="562" spans="10:12" ht="14.25">
      <c r="J562" s="106"/>
      <c r="K562" s="106"/>
      <c r="L562" s="106"/>
    </row>
    <row r="563" spans="10:12" ht="14.25">
      <c r="J563" s="106"/>
      <c r="K563" s="106"/>
      <c r="L563" s="106"/>
    </row>
    <row r="564" spans="10:12" ht="14.25">
      <c r="J564" s="106"/>
      <c r="K564" s="106"/>
      <c r="L564" s="106"/>
    </row>
    <row r="565" spans="10:12" ht="14.25">
      <c r="J565" s="106"/>
      <c r="K565" s="106"/>
      <c r="L565" s="106"/>
    </row>
    <row r="566" spans="10:12" ht="14.25">
      <c r="J566" s="106"/>
      <c r="K566" s="106"/>
      <c r="L566" s="106"/>
    </row>
    <row r="567" spans="10:12" ht="14.25">
      <c r="J567" s="106"/>
      <c r="K567" s="106"/>
      <c r="L567" s="106"/>
    </row>
    <row r="568" spans="10:12" ht="14.25">
      <c r="J568" s="106"/>
      <c r="K568" s="106"/>
      <c r="L568" s="106"/>
    </row>
    <row r="569" spans="10:12" ht="14.25">
      <c r="J569" s="106"/>
      <c r="K569" s="106"/>
      <c r="L569" s="106"/>
    </row>
    <row r="570" spans="10:12" ht="14.25">
      <c r="J570" s="106"/>
      <c r="K570" s="106"/>
      <c r="L570" s="106"/>
    </row>
    <row r="571" spans="10:12" ht="14.25">
      <c r="J571" s="106"/>
      <c r="K571" s="106"/>
      <c r="L571" s="106"/>
    </row>
    <row r="572" spans="10:12" ht="14.25">
      <c r="J572" s="106"/>
      <c r="K572" s="106"/>
      <c r="L572" s="106"/>
    </row>
    <row r="573" spans="10:12" ht="14.25">
      <c r="J573" s="106"/>
      <c r="K573" s="106"/>
      <c r="L573" s="106"/>
    </row>
    <row r="574" spans="10:12" ht="14.25">
      <c r="J574" s="106"/>
      <c r="K574" s="106"/>
      <c r="L574" s="106"/>
    </row>
    <row r="575" spans="10:12" ht="14.25">
      <c r="J575" s="106"/>
      <c r="K575" s="106"/>
      <c r="L575" s="106"/>
    </row>
    <row r="576" spans="10:12" ht="14.25">
      <c r="J576" s="106"/>
      <c r="K576" s="106"/>
      <c r="L576" s="106"/>
    </row>
    <row r="577" spans="10:12" ht="14.25">
      <c r="J577" s="106"/>
      <c r="K577" s="106"/>
      <c r="L577" s="106"/>
    </row>
    <row r="578" spans="10:12" ht="14.25">
      <c r="J578" s="106"/>
      <c r="K578" s="106"/>
      <c r="L578" s="106"/>
    </row>
    <row r="579" spans="10:12" ht="14.25">
      <c r="J579" s="106"/>
      <c r="K579" s="106"/>
      <c r="L579" s="106"/>
    </row>
    <row r="580" spans="10:12" ht="14.25">
      <c r="J580" s="106"/>
      <c r="K580" s="106"/>
      <c r="L580" s="106"/>
    </row>
    <row r="581" spans="10:12" ht="14.25">
      <c r="J581" s="106"/>
      <c r="K581" s="106"/>
      <c r="L581" s="106"/>
    </row>
    <row r="582" spans="10:12" ht="14.25">
      <c r="J582" s="106"/>
      <c r="K582" s="106"/>
      <c r="L582" s="106"/>
    </row>
    <row r="583" spans="10:12" ht="14.25">
      <c r="J583" s="106"/>
      <c r="K583" s="106"/>
      <c r="L583" s="106"/>
    </row>
    <row r="584" spans="10:12" ht="14.25">
      <c r="J584" s="106"/>
      <c r="K584" s="106"/>
      <c r="L584" s="106"/>
    </row>
    <row r="585" spans="10:12" ht="14.25">
      <c r="J585" s="106"/>
      <c r="K585" s="106"/>
      <c r="L585" s="106"/>
    </row>
    <row r="586" spans="10:12" ht="14.25">
      <c r="J586" s="106"/>
      <c r="K586" s="106"/>
      <c r="L586" s="106"/>
    </row>
    <row r="587" spans="10:12" ht="14.25">
      <c r="J587" s="106"/>
      <c r="K587" s="106"/>
      <c r="L587" s="106"/>
    </row>
    <row r="588" spans="10:12" ht="14.25">
      <c r="J588" s="106"/>
      <c r="K588" s="106"/>
      <c r="L588" s="106"/>
    </row>
    <row r="589" spans="10:12" ht="14.25">
      <c r="J589" s="106"/>
      <c r="K589" s="106"/>
      <c r="L589" s="106"/>
    </row>
    <row r="590" spans="10:12" ht="14.25">
      <c r="J590" s="106"/>
      <c r="K590" s="106"/>
      <c r="L590" s="106"/>
    </row>
    <row r="591" spans="10:12" ht="14.25">
      <c r="J591" s="106"/>
      <c r="K591" s="106"/>
      <c r="L591" s="106"/>
    </row>
    <row r="592" spans="10:12" ht="14.25">
      <c r="J592" s="106"/>
      <c r="K592" s="106"/>
      <c r="L592" s="106"/>
    </row>
    <row r="593" spans="10:12" ht="14.25">
      <c r="J593" s="106"/>
      <c r="K593" s="106"/>
      <c r="L593" s="106"/>
    </row>
    <row r="594" spans="10:12" ht="14.25">
      <c r="J594" s="106"/>
      <c r="K594" s="106"/>
      <c r="L594" s="106"/>
    </row>
    <row r="595" spans="10:12" ht="14.25">
      <c r="J595" s="106"/>
      <c r="K595" s="106"/>
      <c r="L595" s="106"/>
    </row>
    <row r="596" spans="10:12" ht="14.25">
      <c r="J596" s="106"/>
      <c r="K596" s="106"/>
      <c r="L596" s="106"/>
    </row>
    <row r="597" spans="10:12" ht="14.25">
      <c r="J597" s="106"/>
      <c r="K597" s="106"/>
      <c r="L597" s="106"/>
    </row>
    <row r="598" spans="10:12" ht="14.25">
      <c r="J598" s="106"/>
      <c r="K598" s="106"/>
      <c r="L598" s="106"/>
    </row>
    <row r="599" spans="10:12" ht="14.25">
      <c r="J599" s="106"/>
      <c r="K599" s="106"/>
      <c r="L599" s="106"/>
    </row>
    <row r="600" spans="10:12" ht="14.25">
      <c r="J600" s="106"/>
      <c r="K600" s="106"/>
      <c r="L600" s="106"/>
    </row>
    <row r="601" spans="10:12" ht="14.25">
      <c r="J601" s="106"/>
      <c r="K601" s="106"/>
      <c r="L601" s="106"/>
    </row>
    <row r="602" spans="10:12" ht="14.25">
      <c r="J602" s="106"/>
      <c r="K602" s="106"/>
      <c r="L602" s="106"/>
    </row>
    <row r="603" spans="10:12" ht="14.25">
      <c r="J603" s="106"/>
      <c r="K603" s="106"/>
      <c r="L603" s="106"/>
    </row>
    <row r="604" spans="10:12" ht="14.25">
      <c r="J604" s="106"/>
      <c r="K604" s="106"/>
      <c r="L604" s="106"/>
    </row>
    <row r="605" spans="10:12" ht="14.25">
      <c r="J605" s="106"/>
      <c r="K605" s="106"/>
      <c r="L605" s="106"/>
    </row>
    <row r="606" spans="10:12" ht="14.25">
      <c r="J606" s="106"/>
      <c r="K606" s="106"/>
      <c r="L606" s="106"/>
    </row>
    <row r="607" spans="10:12" ht="14.25">
      <c r="J607" s="106"/>
      <c r="K607" s="106"/>
      <c r="L607" s="106"/>
    </row>
    <row r="608" spans="10:12" ht="14.25">
      <c r="J608" s="106"/>
      <c r="K608" s="106"/>
      <c r="L608" s="106"/>
    </row>
    <row r="609" spans="10:12" ht="14.25">
      <c r="J609" s="106"/>
      <c r="K609" s="106"/>
      <c r="L609" s="106"/>
    </row>
    <row r="610" spans="10:12" ht="14.25">
      <c r="J610" s="106"/>
      <c r="K610" s="106"/>
      <c r="L610" s="106"/>
    </row>
    <row r="611" spans="10:12" ht="14.25">
      <c r="J611" s="106"/>
      <c r="K611" s="106"/>
      <c r="L611" s="106"/>
    </row>
    <row r="612" spans="10:12" ht="14.25">
      <c r="J612" s="106"/>
      <c r="K612" s="106"/>
      <c r="L612" s="106"/>
    </row>
    <row r="613" spans="10:12" ht="14.25">
      <c r="J613" s="106"/>
      <c r="K613" s="106"/>
      <c r="L613" s="106"/>
    </row>
    <row r="614" spans="10:12" ht="14.25">
      <c r="J614" s="106"/>
      <c r="K614" s="106"/>
      <c r="L614" s="106"/>
    </row>
    <row r="615" spans="10:12" ht="14.25">
      <c r="J615" s="106"/>
      <c r="K615" s="106"/>
      <c r="L615" s="106"/>
    </row>
    <row r="616" spans="10:12" ht="14.25">
      <c r="J616" s="106"/>
      <c r="K616" s="106"/>
      <c r="L616" s="106"/>
    </row>
    <row r="617" spans="10:12" ht="14.25">
      <c r="J617" s="106"/>
      <c r="K617" s="106"/>
      <c r="L617" s="106"/>
    </row>
    <row r="618" spans="10:12" ht="14.25">
      <c r="J618" s="106"/>
      <c r="K618" s="106"/>
      <c r="L618" s="106"/>
    </row>
    <row r="619" spans="10:12" ht="14.25">
      <c r="J619" s="106"/>
      <c r="K619" s="106"/>
      <c r="L619" s="106"/>
    </row>
    <row r="620" spans="10:12" ht="14.25">
      <c r="J620" s="106"/>
      <c r="K620" s="106"/>
      <c r="L620" s="106"/>
    </row>
    <row r="621" spans="10:12" ht="14.25">
      <c r="J621" s="106"/>
      <c r="K621" s="106"/>
      <c r="L621" s="106"/>
    </row>
    <row r="622" spans="10:12" ht="14.25">
      <c r="J622" s="106"/>
      <c r="K622" s="106"/>
      <c r="L622" s="106"/>
    </row>
    <row r="623" spans="10:12" ht="14.25">
      <c r="J623" s="106"/>
      <c r="K623" s="106"/>
      <c r="L623" s="106"/>
    </row>
    <row r="624" spans="10:12" ht="14.25">
      <c r="J624" s="106"/>
      <c r="K624" s="106"/>
      <c r="L624" s="106"/>
    </row>
    <row r="625" spans="10:12" ht="14.25">
      <c r="J625" s="106"/>
      <c r="K625" s="106"/>
      <c r="L625" s="106"/>
    </row>
    <row r="626" spans="10:12" ht="14.25">
      <c r="J626" s="106"/>
      <c r="K626" s="106"/>
      <c r="L626" s="106"/>
    </row>
    <row r="627" spans="10:12" ht="14.25">
      <c r="J627" s="106"/>
      <c r="K627" s="106"/>
      <c r="L627" s="106"/>
    </row>
    <row r="628" spans="10:12" ht="14.25">
      <c r="J628" s="106"/>
      <c r="K628" s="106"/>
      <c r="L628" s="106"/>
    </row>
    <row r="629" spans="10:12" ht="14.25">
      <c r="J629" s="106"/>
      <c r="K629" s="106"/>
      <c r="L629" s="106"/>
    </row>
    <row r="630" spans="10:12" ht="14.25">
      <c r="J630" s="106"/>
      <c r="K630" s="106"/>
      <c r="L630" s="106"/>
    </row>
    <row r="631" spans="10:12" ht="14.25">
      <c r="J631" s="106"/>
      <c r="K631" s="106"/>
      <c r="L631" s="106"/>
    </row>
    <row r="632" spans="10:12" ht="14.25">
      <c r="J632" s="106"/>
      <c r="K632" s="106"/>
      <c r="L632" s="106"/>
    </row>
    <row r="633" spans="10:12" ht="14.25">
      <c r="J633" s="106"/>
      <c r="K633" s="106"/>
      <c r="L633" s="106"/>
    </row>
    <row r="634" spans="10:12" ht="14.25">
      <c r="J634" s="106"/>
      <c r="K634" s="106"/>
      <c r="L634" s="106"/>
    </row>
    <row r="635" spans="10:12" ht="14.25">
      <c r="J635" s="106"/>
      <c r="K635" s="106"/>
      <c r="L635" s="106"/>
    </row>
    <row r="636" spans="10:12" ht="14.25">
      <c r="J636" s="106"/>
      <c r="K636" s="106"/>
      <c r="L636" s="106"/>
    </row>
    <row r="637" spans="10:12" ht="14.25">
      <c r="J637" s="106"/>
      <c r="K637" s="106"/>
      <c r="L637" s="106"/>
    </row>
    <row r="638" spans="10:12" ht="14.25">
      <c r="J638" s="106"/>
      <c r="K638" s="106"/>
      <c r="L638" s="106"/>
    </row>
    <row r="639" spans="10:12" ht="14.25">
      <c r="J639" s="106"/>
      <c r="K639" s="106"/>
      <c r="L639" s="106"/>
    </row>
    <row r="640" spans="10:12" ht="14.25">
      <c r="J640" s="106"/>
      <c r="K640" s="106"/>
      <c r="L640" s="106"/>
    </row>
    <row r="641" spans="10:12" ht="14.25">
      <c r="J641" s="106"/>
      <c r="K641" s="106"/>
      <c r="L641" s="106"/>
    </row>
    <row r="642" spans="10:12" ht="14.25">
      <c r="J642" s="106"/>
      <c r="K642" s="106"/>
      <c r="L642" s="106"/>
    </row>
    <row r="643" spans="10:12" ht="14.25">
      <c r="J643" s="106"/>
      <c r="K643" s="106"/>
      <c r="L643" s="106"/>
    </row>
    <row r="644" spans="10:12" ht="14.25">
      <c r="J644" s="106"/>
      <c r="K644" s="106"/>
      <c r="L644" s="106"/>
    </row>
    <row r="645" spans="10:12" ht="14.25">
      <c r="J645" s="106"/>
      <c r="K645" s="106"/>
      <c r="L645" s="106"/>
    </row>
    <row r="646" spans="10:12" ht="14.25">
      <c r="J646" s="106"/>
      <c r="K646" s="106"/>
      <c r="L646" s="106"/>
    </row>
    <row r="647" spans="10:12" ht="14.25">
      <c r="J647" s="106"/>
      <c r="K647" s="106"/>
      <c r="L647" s="106"/>
    </row>
    <row r="648" spans="10:12" ht="14.25">
      <c r="J648" s="106"/>
      <c r="K648" s="106"/>
      <c r="L648" s="106"/>
    </row>
    <row r="649" spans="10:12" ht="14.25">
      <c r="J649" s="106"/>
      <c r="K649" s="106"/>
      <c r="L649" s="106"/>
    </row>
    <row r="650" spans="10:12" ht="14.25">
      <c r="J650" s="106"/>
      <c r="K650" s="106"/>
      <c r="L650" s="106"/>
    </row>
    <row r="651" spans="10:12" ht="14.25">
      <c r="J651" s="106"/>
      <c r="K651" s="106"/>
      <c r="L651" s="106"/>
    </row>
    <row r="652" spans="10:12" ht="14.25">
      <c r="J652" s="106"/>
      <c r="K652" s="106"/>
      <c r="L652" s="106"/>
    </row>
    <row r="653" spans="10:12" ht="14.25">
      <c r="J653" s="106"/>
      <c r="K653" s="106"/>
      <c r="L653" s="106"/>
    </row>
    <row r="654" spans="10:12" ht="14.25">
      <c r="J654" s="106"/>
      <c r="K654" s="106"/>
      <c r="L654" s="106"/>
    </row>
    <row r="655" spans="10:12" ht="14.25">
      <c r="J655" s="106"/>
      <c r="K655" s="106"/>
      <c r="L655" s="106"/>
    </row>
    <row r="656" spans="10:12" ht="14.25">
      <c r="J656" s="106"/>
      <c r="K656" s="106"/>
      <c r="L656" s="106"/>
    </row>
    <row r="657" spans="10:12" ht="14.25">
      <c r="J657" s="106"/>
      <c r="K657" s="106"/>
      <c r="L657" s="106"/>
    </row>
    <row r="658" spans="10:12" ht="14.25">
      <c r="J658" s="106"/>
      <c r="K658" s="106"/>
      <c r="L658" s="106"/>
    </row>
    <row r="659" spans="10:12" ht="14.25">
      <c r="J659" s="106"/>
      <c r="K659" s="106"/>
      <c r="L659" s="106"/>
    </row>
    <row r="660" spans="10:12" ht="14.25">
      <c r="J660" s="106"/>
      <c r="K660" s="106"/>
      <c r="L660" s="106"/>
    </row>
    <row r="661" spans="10:12" ht="14.25">
      <c r="J661" s="106"/>
      <c r="K661" s="106"/>
      <c r="L661" s="106"/>
    </row>
    <row r="662" spans="10:12" ht="14.25">
      <c r="J662" s="106"/>
      <c r="K662" s="106"/>
      <c r="L662" s="106"/>
    </row>
    <row r="663" spans="10:12" ht="14.25">
      <c r="J663" s="106"/>
      <c r="K663" s="106"/>
      <c r="L663" s="106"/>
    </row>
    <row r="664" spans="10:12" ht="14.25">
      <c r="J664" s="106"/>
      <c r="K664" s="106"/>
      <c r="L664" s="106"/>
    </row>
    <row r="665" spans="10:12" ht="14.25">
      <c r="J665" s="106"/>
      <c r="K665" s="106"/>
      <c r="L665" s="106"/>
    </row>
    <row r="666" spans="10:12" ht="14.25">
      <c r="J666" s="106"/>
      <c r="K666" s="106"/>
      <c r="L666" s="106"/>
    </row>
    <row r="667" spans="10:12" ht="14.25">
      <c r="J667" s="106"/>
      <c r="K667" s="106"/>
      <c r="L667" s="106"/>
    </row>
    <row r="668" spans="10:12" ht="14.25">
      <c r="J668" s="106"/>
      <c r="K668" s="106"/>
      <c r="L668" s="106"/>
    </row>
    <row r="669" spans="10:12" ht="14.25">
      <c r="J669" s="106"/>
      <c r="K669" s="106"/>
      <c r="L669" s="106"/>
    </row>
    <row r="670" spans="10:12" ht="14.25">
      <c r="J670" s="106"/>
      <c r="K670" s="106"/>
      <c r="L670" s="106"/>
    </row>
    <row r="671" spans="10:12" ht="14.25">
      <c r="J671" s="106"/>
      <c r="K671" s="106"/>
      <c r="L671" s="106"/>
    </row>
    <row r="672" spans="10:12" ht="14.25">
      <c r="J672" s="106"/>
      <c r="K672" s="106"/>
      <c r="L672" s="106"/>
    </row>
    <row r="673" spans="10:12" ht="14.25">
      <c r="J673" s="106"/>
      <c r="K673" s="106"/>
      <c r="L673" s="106"/>
    </row>
    <row r="674" spans="10:12" ht="14.25">
      <c r="J674" s="106"/>
      <c r="K674" s="106"/>
      <c r="L674" s="106"/>
    </row>
    <row r="675" spans="10:12" ht="14.25">
      <c r="J675" s="106"/>
      <c r="K675" s="106"/>
      <c r="L675" s="106"/>
    </row>
    <row r="676" spans="10:12" ht="14.25">
      <c r="J676" s="106"/>
      <c r="K676" s="106"/>
      <c r="L676" s="106"/>
    </row>
    <row r="677" spans="10:12" ht="14.25">
      <c r="J677" s="106"/>
      <c r="K677" s="106"/>
      <c r="L677" s="106"/>
    </row>
    <row r="678" spans="10:12" ht="14.25">
      <c r="J678" s="106"/>
      <c r="K678" s="106"/>
      <c r="L678" s="106"/>
    </row>
    <row r="679" spans="10:12" ht="14.25">
      <c r="J679" s="106"/>
      <c r="K679" s="106"/>
      <c r="L679" s="106"/>
    </row>
    <row r="680" spans="10:12" ht="14.25">
      <c r="J680" s="106"/>
      <c r="K680" s="106"/>
      <c r="L680" s="106"/>
    </row>
    <row r="681" spans="10:12" ht="14.25">
      <c r="J681" s="106"/>
      <c r="K681" s="106"/>
      <c r="L681" s="106"/>
    </row>
    <row r="682" spans="10:12" ht="14.25">
      <c r="J682" s="106"/>
      <c r="K682" s="106"/>
      <c r="L682" s="106"/>
    </row>
    <row r="683" spans="10:12" ht="14.25">
      <c r="J683" s="106"/>
      <c r="K683" s="106"/>
      <c r="L683" s="106"/>
    </row>
    <row r="684" spans="10:12" ht="14.25">
      <c r="J684" s="106"/>
      <c r="K684" s="106"/>
      <c r="L684" s="106"/>
    </row>
    <row r="685" spans="10:12" ht="14.25">
      <c r="J685" s="106"/>
      <c r="K685" s="106"/>
      <c r="L685" s="106"/>
    </row>
    <row r="686" spans="10:12" ht="14.25">
      <c r="J686" s="106"/>
      <c r="K686" s="106"/>
      <c r="L686" s="106"/>
    </row>
    <row r="687" spans="10:12" ht="14.25">
      <c r="J687" s="106"/>
      <c r="K687" s="106"/>
      <c r="L687" s="106"/>
    </row>
    <row r="688" spans="10:12" ht="14.25">
      <c r="J688" s="106"/>
      <c r="K688" s="106"/>
      <c r="L688" s="106"/>
    </row>
    <row r="689" spans="10:12" ht="14.25">
      <c r="J689" s="106"/>
      <c r="K689" s="106"/>
      <c r="L689" s="106"/>
    </row>
    <row r="690" spans="10:12" ht="14.25">
      <c r="J690" s="106"/>
      <c r="K690" s="106"/>
      <c r="L690" s="106"/>
    </row>
    <row r="691" spans="10:12" ht="14.25">
      <c r="J691" s="106"/>
      <c r="K691" s="106"/>
      <c r="L691" s="106"/>
    </row>
    <row r="692" spans="10:12" ht="14.25">
      <c r="J692" s="106"/>
      <c r="K692" s="106"/>
      <c r="L692" s="106"/>
    </row>
    <row r="693" spans="10:12" ht="14.25">
      <c r="J693" s="106"/>
      <c r="K693" s="106"/>
      <c r="L693" s="106"/>
    </row>
    <row r="694" spans="10:12" ht="14.25">
      <c r="J694" s="106"/>
      <c r="K694" s="106"/>
      <c r="L694" s="106"/>
    </row>
    <row r="695" spans="10:12" ht="14.25">
      <c r="J695" s="106"/>
      <c r="K695" s="106"/>
      <c r="L695" s="106"/>
    </row>
    <row r="696" spans="10:12" ht="14.25">
      <c r="J696" s="106"/>
      <c r="K696" s="106"/>
      <c r="L696" s="106"/>
    </row>
    <row r="697" spans="10:12" ht="14.25">
      <c r="J697" s="106"/>
      <c r="K697" s="106"/>
      <c r="L697" s="106"/>
    </row>
    <row r="698" spans="10:12" ht="14.25">
      <c r="J698" s="106"/>
      <c r="K698" s="106"/>
      <c r="L698" s="106"/>
    </row>
    <row r="699" spans="10:12" ht="14.25">
      <c r="J699" s="106"/>
      <c r="K699" s="106"/>
      <c r="L699" s="106"/>
    </row>
    <row r="700" spans="10:12" ht="14.25">
      <c r="J700" s="106"/>
      <c r="K700" s="106"/>
      <c r="L700" s="106"/>
    </row>
    <row r="701" spans="10:12" ht="14.25">
      <c r="J701" s="106"/>
      <c r="K701" s="106"/>
      <c r="L701" s="106"/>
    </row>
    <row r="702" spans="10:12" ht="14.25">
      <c r="J702" s="106"/>
      <c r="K702" s="106"/>
      <c r="L702" s="106"/>
    </row>
    <row r="703" spans="10:12" ht="14.25">
      <c r="J703" s="106"/>
      <c r="K703" s="106"/>
      <c r="L703" s="106"/>
    </row>
    <row r="704" spans="10:12" ht="14.25">
      <c r="J704" s="106"/>
      <c r="K704" s="106"/>
      <c r="L704" s="106"/>
    </row>
    <row r="705" spans="10:12" ht="14.25">
      <c r="J705" s="106"/>
      <c r="K705" s="106"/>
      <c r="L705" s="106"/>
    </row>
    <row r="706" spans="10:12" ht="14.25">
      <c r="J706" s="106"/>
      <c r="K706" s="106"/>
      <c r="L706" s="106"/>
    </row>
    <row r="707" spans="10:12" ht="14.25">
      <c r="J707" s="106"/>
      <c r="K707" s="106"/>
      <c r="L707" s="106"/>
    </row>
    <row r="708" spans="10:12" ht="14.25">
      <c r="J708" s="106"/>
      <c r="K708" s="106"/>
      <c r="L708" s="106"/>
    </row>
    <row r="709" spans="10:12" ht="14.25">
      <c r="J709" s="106"/>
      <c r="K709" s="106"/>
      <c r="L709" s="106"/>
    </row>
    <row r="710" spans="10:12" ht="14.25">
      <c r="J710" s="106"/>
      <c r="K710" s="106"/>
      <c r="L710" s="106"/>
    </row>
    <row r="711" spans="10:12" ht="14.25">
      <c r="J711" s="106"/>
      <c r="K711" s="106"/>
      <c r="L711" s="106"/>
    </row>
    <row r="712" spans="10:12" ht="14.25">
      <c r="J712" s="106"/>
      <c r="K712" s="106"/>
      <c r="L712" s="106"/>
    </row>
    <row r="713" spans="10:12" ht="14.25">
      <c r="J713" s="106"/>
      <c r="K713" s="106"/>
      <c r="L713" s="106"/>
    </row>
    <row r="714" spans="10:12" ht="14.25">
      <c r="J714" s="106"/>
      <c r="K714" s="106"/>
      <c r="L714" s="106"/>
    </row>
    <row r="715" spans="10:12" ht="14.25">
      <c r="J715" s="106"/>
      <c r="K715" s="106"/>
      <c r="L715" s="106"/>
    </row>
    <row r="716" spans="10:12" ht="14.25">
      <c r="J716" s="106"/>
      <c r="K716" s="106"/>
      <c r="L716" s="106"/>
    </row>
    <row r="717" spans="10:12" ht="14.25">
      <c r="J717" s="106"/>
      <c r="K717" s="106"/>
      <c r="L717" s="106"/>
    </row>
    <row r="718" spans="10:12" ht="14.25">
      <c r="J718" s="106"/>
      <c r="K718" s="106"/>
      <c r="L718" s="106"/>
    </row>
    <row r="719" spans="10:12" ht="14.25">
      <c r="J719" s="106"/>
      <c r="K719" s="106"/>
      <c r="L719" s="106"/>
    </row>
    <row r="720" spans="10:12" ht="14.25">
      <c r="J720" s="106"/>
      <c r="K720" s="106"/>
      <c r="L720" s="106"/>
    </row>
    <row r="721" spans="10:12" ht="14.25">
      <c r="J721" s="106"/>
      <c r="K721" s="106"/>
      <c r="L721" s="106"/>
    </row>
    <row r="722" spans="10:12" ht="14.25">
      <c r="J722" s="106"/>
      <c r="K722" s="106"/>
      <c r="L722" s="106"/>
    </row>
    <row r="723" spans="10:12" ht="14.25">
      <c r="J723" s="106"/>
      <c r="K723" s="106"/>
      <c r="L723" s="106"/>
    </row>
    <row r="724" spans="10:12" ht="14.25">
      <c r="J724" s="106"/>
      <c r="K724" s="106"/>
      <c r="L724" s="106"/>
    </row>
    <row r="725" spans="10:12" ht="14.25">
      <c r="J725" s="106"/>
      <c r="K725" s="106"/>
      <c r="L725" s="106"/>
    </row>
    <row r="726" spans="10:12" ht="14.25">
      <c r="J726" s="106"/>
      <c r="K726" s="106"/>
      <c r="L726" s="106"/>
    </row>
    <row r="727" spans="10:12" ht="14.25">
      <c r="J727" s="106"/>
      <c r="K727" s="106"/>
      <c r="L727" s="106"/>
    </row>
    <row r="728" spans="10:12" ht="14.25">
      <c r="J728" s="106"/>
      <c r="K728" s="106"/>
      <c r="L728" s="106"/>
    </row>
    <row r="729" spans="10:12" ht="14.25">
      <c r="J729" s="106"/>
      <c r="K729" s="106"/>
      <c r="L729" s="106"/>
    </row>
    <row r="730" spans="10:12" ht="14.25">
      <c r="J730" s="106"/>
      <c r="K730" s="106"/>
      <c r="L730" s="106"/>
    </row>
    <row r="731" spans="10:12" ht="14.25">
      <c r="J731" s="106"/>
      <c r="K731" s="106"/>
      <c r="L731" s="106"/>
    </row>
    <row r="732" spans="10:12" ht="14.25">
      <c r="J732" s="106"/>
      <c r="K732" s="106"/>
      <c r="L732" s="106"/>
    </row>
    <row r="733" spans="10:12" ht="14.25">
      <c r="J733" s="106"/>
      <c r="K733" s="106"/>
      <c r="L733" s="106"/>
    </row>
    <row r="734" spans="10:12" ht="14.25">
      <c r="J734" s="106"/>
      <c r="K734" s="106"/>
      <c r="L734" s="106"/>
    </row>
    <row r="735" spans="10:12" ht="14.25">
      <c r="J735" s="106"/>
      <c r="K735" s="106"/>
      <c r="L735" s="106"/>
    </row>
    <row r="736" spans="10:12" ht="14.25">
      <c r="J736" s="106"/>
      <c r="K736" s="106"/>
      <c r="L736" s="106"/>
    </row>
    <row r="737" spans="10:12" ht="14.25">
      <c r="J737" s="106"/>
      <c r="K737" s="106"/>
      <c r="L737" s="106"/>
    </row>
    <row r="738" spans="10:12" ht="14.25">
      <c r="J738" s="106"/>
      <c r="K738" s="106"/>
      <c r="L738" s="106"/>
    </row>
    <row r="739" spans="10:12" ht="14.25">
      <c r="J739" s="106"/>
      <c r="K739" s="106"/>
      <c r="L739" s="106"/>
    </row>
    <row r="740" spans="10:12" ht="14.25">
      <c r="J740" s="106"/>
      <c r="K740" s="106"/>
      <c r="L740" s="106"/>
    </row>
    <row r="741" spans="10:12" ht="14.25">
      <c r="J741" s="106"/>
      <c r="K741" s="106"/>
      <c r="L741" s="106"/>
    </row>
    <row r="742" spans="10:12" ht="14.25">
      <c r="J742" s="106"/>
      <c r="K742" s="106"/>
      <c r="L742" s="106"/>
    </row>
    <row r="743" spans="10:12" ht="14.25">
      <c r="J743" s="106"/>
      <c r="K743" s="106"/>
      <c r="L743" s="106"/>
    </row>
    <row r="744" spans="10:12" ht="14.25">
      <c r="J744" s="106"/>
      <c r="K744" s="106"/>
      <c r="L744" s="106"/>
    </row>
    <row r="745" spans="10:12" ht="14.25">
      <c r="J745" s="106"/>
      <c r="K745" s="106"/>
      <c r="L745" s="106"/>
    </row>
    <row r="746" spans="10:12" ht="14.25">
      <c r="J746" s="106"/>
      <c r="K746" s="106"/>
      <c r="L746" s="106"/>
    </row>
    <row r="747" spans="10:12" ht="14.25">
      <c r="J747" s="106"/>
      <c r="K747" s="106"/>
      <c r="L747" s="106"/>
    </row>
    <row r="748" spans="10:12" ht="14.25">
      <c r="J748" s="106"/>
      <c r="K748" s="106"/>
      <c r="L748" s="106"/>
    </row>
    <row r="749" spans="10:12" ht="14.25">
      <c r="J749" s="106"/>
      <c r="K749" s="106"/>
      <c r="L749" s="106"/>
    </row>
    <row r="750" spans="10:12" ht="14.25">
      <c r="J750" s="106"/>
      <c r="K750" s="106"/>
      <c r="L750" s="106"/>
    </row>
    <row r="751" spans="10:12" ht="14.25">
      <c r="J751" s="106"/>
      <c r="K751" s="106"/>
      <c r="L751" s="106"/>
    </row>
    <row r="752" spans="10:12" ht="14.25">
      <c r="J752" s="106"/>
      <c r="K752" s="106"/>
      <c r="L752" s="106"/>
    </row>
    <row r="753" spans="10:12" ht="14.25">
      <c r="J753" s="106"/>
      <c r="K753" s="106"/>
      <c r="L753" s="106"/>
    </row>
    <row r="754" spans="10:12" ht="14.25">
      <c r="J754" s="106"/>
      <c r="K754" s="106"/>
      <c r="L754" s="106"/>
    </row>
    <row r="755" spans="10:12" ht="14.25">
      <c r="J755" s="106"/>
      <c r="K755" s="106"/>
      <c r="L755" s="106"/>
    </row>
    <row r="756" spans="10:12" ht="14.25">
      <c r="J756" s="106"/>
      <c r="K756" s="106"/>
      <c r="L756" s="106"/>
    </row>
    <row r="757" spans="10:12" ht="14.25">
      <c r="J757" s="106"/>
      <c r="K757" s="106"/>
      <c r="L757" s="106"/>
    </row>
    <row r="758" spans="10:12" ht="14.25">
      <c r="J758" s="106"/>
      <c r="K758" s="106"/>
      <c r="L758" s="106"/>
    </row>
    <row r="759" spans="10:12" ht="14.25">
      <c r="J759" s="106"/>
      <c r="K759" s="106"/>
      <c r="L759" s="106"/>
    </row>
    <row r="760" spans="10:12" ht="14.25">
      <c r="J760" s="106"/>
      <c r="K760" s="106"/>
      <c r="L760" s="106"/>
    </row>
    <row r="761" spans="10:12" ht="14.25">
      <c r="J761" s="106"/>
      <c r="K761" s="106"/>
      <c r="L761" s="106"/>
    </row>
    <row r="762" spans="10:12" ht="14.25">
      <c r="J762" s="106"/>
      <c r="K762" s="106"/>
      <c r="L762" s="106"/>
    </row>
    <row r="763" spans="10:12" ht="14.25">
      <c r="J763" s="106"/>
      <c r="K763" s="106"/>
      <c r="L763" s="106"/>
    </row>
    <row r="764" spans="10:12" ht="14.25">
      <c r="J764" s="106"/>
      <c r="K764" s="106"/>
      <c r="L764" s="106"/>
    </row>
    <row r="765" spans="10:12" ht="14.25">
      <c r="J765" s="106"/>
      <c r="K765" s="106"/>
      <c r="L765" s="106"/>
    </row>
    <row r="766" spans="10:12" ht="14.25">
      <c r="J766" s="106"/>
      <c r="K766" s="106"/>
      <c r="L766" s="106"/>
    </row>
    <row r="767" spans="10:12" ht="14.25">
      <c r="J767" s="106"/>
      <c r="K767" s="106"/>
      <c r="L767" s="106"/>
    </row>
    <row r="768" spans="10:12" ht="14.25">
      <c r="J768" s="106"/>
      <c r="K768" s="106"/>
      <c r="L768" s="106"/>
    </row>
    <row r="769" spans="10:12" ht="14.25">
      <c r="J769" s="106"/>
      <c r="K769" s="106"/>
      <c r="L769" s="106"/>
    </row>
    <row r="770" spans="10:12" ht="14.25">
      <c r="J770" s="106"/>
      <c r="K770" s="106"/>
      <c r="L770" s="106"/>
    </row>
    <row r="771" spans="10:12" ht="14.25">
      <c r="J771" s="106"/>
      <c r="K771" s="106"/>
      <c r="L771" s="106"/>
    </row>
    <row r="772" spans="10:12" ht="14.25">
      <c r="J772" s="106"/>
      <c r="K772" s="106"/>
      <c r="L772" s="106"/>
    </row>
    <row r="773" spans="10:12" ht="14.25">
      <c r="J773" s="106"/>
      <c r="K773" s="106"/>
      <c r="L773" s="106"/>
    </row>
    <row r="774" spans="10:12" ht="14.25">
      <c r="J774" s="106"/>
      <c r="K774" s="106"/>
      <c r="L774" s="106"/>
    </row>
    <row r="775" spans="10:12" ht="14.25">
      <c r="J775" s="106"/>
      <c r="K775" s="106"/>
      <c r="L775" s="106"/>
    </row>
    <row r="776" spans="10:12" ht="14.25">
      <c r="J776" s="106"/>
      <c r="K776" s="106"/>
      <c r="L776" s="106"/>
    </row>
    <row r="777" spans="10:12" ht="14.25">
      <c r="J777" s="106"/>
      <c r="K777" s="106"/>
      <c r="L777" s="106"/>
    </row>
    <row r="778" spans="10:12" ht="14.25">
      <c r="J778" s="106"/>
      <c r="K778" s="106"/>
      <c r="L778" s="106"/>
    </row>
    <row r="779" spans="10:12" ht="14.25">
      <c r="J779" s="106"/>
      <c r="K779" s="106"/>
      <c r="L779" s="106"/>
    </row>
    <row r="780" spans="10:12" ht="14.25">
      <c r="J780" s="106"/>
      <c r="K780" s="106"/>
      <c r="L780" s="106"/>
    </row>
    <row r="781" spans="10:12" ht="14.25">
      <c r="J781" s="106"/>
      <c r="K781" s="106"/>
      <c r="L781" s="106"/>
    </row>
    <row r="782" spans="10:12" ht="14.25">
      <c r="J782" s="106"/>
      <c r="K782" s="106"/>
      <c r="L782" s="106"/>
    </row>
    <row r="783" spans="10:12" ht="14.25">
      <c r="J783" s="106"/>
      <c r="K783" s="106"/>
      <c r="L783" s="106"/>
    </row>
    <row r="784" spans="10:12" ht="14.25">
      <c r="J784" s="106"/>
      <c r="K784" s="106"/>
      <c r="L784" s="106"/>
    </row>
    <row r="785" spans="10:12" ht="14.25">
      <c r="J785" s="106"/>
      <c r="K785" s="106"/>
      <c r="L785" s="106"/>
    </row>
    <row r="786" spans="10:12" ht="14.25">
      <c r="J786" s="106"/>
      <c r="K786" s="106"/>
      <c r="L786" s="106"/>
    </row>
    <row r="787" spans="10:12" ht="14.25">
      <c r="J787" s="106"/>
      <c r="K787" s="106"/>
      <c r="L787" s="106"/>
    </row>
    <row r="788" spans="10:12" ht="14.25">
      <c r="J788" s="106"/>
      <c r="K788" s="106"/>
      <c r="L788" s="106"/>
    </row>
    <row r="789" spans="10:12" ht="14.25">
      <c r="J789" s="106"/>
      <c r="K789" s="106"/>
      <c r="L789" s="106"/>
    </row>
    <row r="790" spans="10:12" ht="14.25">
      <c r="J790" s="106"/>
      <c r="K790" s="106"/>
      <c r="L790" s="106"/>
    </row>
    <row r="791" spans="10:12" ht="14.25">
      <c r="J791" s="106"/>
      <c r="K791" s="106"/>
      <c r="L791" s="106"/>
    </row>
    <row r="792" spans="10:12" ht="14.25">
      <c r="J792" s="106"/>
      <c r="K792" s="106"/>
      <c r="L792" s="106"/>
    </row>
    <row r="793" spans="10:12" ht="14.25">
      <c r="J793" s="106"/>
      <c r="K793" s="106"/>
      <c r="L793" s="106"/>
    </row>
    <row r="794" spans="10:12" ht="14.25">
      <c r="J794" s="106"/>
      <c r="K794" s="106"/>
      <c r="L794" s="106"/>
    </row>
    <row r="795" spans="10:12" ht="14.25">
      <c r="J795" s="106"/>
      <c r="K795" s="106"/>
      <c r="L795" s="106"/>
    </row>
    <row r="796" spans="10:12" ht="14.25">
      <c r="J796" s="106"/>
      <c r="K796" s="106"/>
      <c r="L796" s="106"/>
    </row>
    <row r="797" spans="10:12" ht="14.25">
      <c r="J797" s="106"/>
      <c r="K797" s="106"/>
      <c r="L797" s="106"/>
    </row>
    <row r="798" spans="10:12" ht="14.25">
      <c r="J798" s="106"/>
      <c r="K798" s="106"/>
      <c r="L798" s="106"/>
    </row>
    <row r="799" spans="10:12" ht="14.25">
      <c r="J799" s="106"/>
      <c r="K799" s="106"/>
      <c r="L799" s="106"/>
    </row>
    <row r="800" spans="10:12" ht="14.25">
      <c r="J800" s="106"/>
      <c r="K800" s="106"/>
      <c r="L800" s="106"/>
    </row>
    <row r="801" spans="10:12" ht="14.25">
      <c r="J801" s="106"/>
      <c r="K801" s="106"/>
      <c r="L801" s="106"/>
    </row>
    <row r="802" spans="10:12" ht="14.25">
      <c r="J802" s="106"/>
      <c r="K802" s="106"/>
      <c r="L802" s="106"/>
    </row>
    <row r="803" spans="10:12" ht="14.25">
      <c r="J803" s="106"/>
      <c r="K803" s="106"/>
      <c r="L803" s="106"/>
    </row>
    <row r="804" spans="10:12" ht="14.25">
      <c r="J804" s="106"/>
      <c r="K804" s="106"/>
      <c r="L804" s="106"/>
    </row>
    <row r="805" spans="10:12" ht="14.25">
      <c r="J805" s="106"/>
      <c r="K805" s="106"/>
      <c r="L805" s="106"/>
    </row>
    <row r="806" spans="10:12" ht="14.25">
      <c r="J806" s="106"/>
      <c r="K806" s="106"/>
      <c r="L806" s="106"/>
    </row>
    <row r="807" spans="10:12" ht="14.25">
      <c r="J807" s="106"/>
      <c r="K807" s="106"/>
      <c r="L807" s="106"/>
    </row>
    <row r="808" spans="10:12" ht="14.25">
      <c r="J808" s="106"/>
      <c r="K808" s="106"/>
      <c r="L808" s="106"/>
    </row>
    <row r="809" spans="10:12" ht="14.25">
      <c r="J809" s="106"/>
      <c r="K809" s="106"/>
      <c r="L809" s="106"/>
    </row>
    <row r="810" spans="10:12" ht="14.25">
      <c r="J810" s="106"/>
      <c r="K810" s="106"/>
      <c r="L810" s="106"/>
    </row>
    <row r="811" spans="10:12" ht="14.25">
      <c r="J811" s="106"/>
      <c r="K811" s="106"/>
      <c r="L811" s="106"/>
    </row>
    <row r="812" spans="10:12" ht="14.25">
      <c r="J812" s="106"/>
      <c r="K812" s="106"/>
      <c r="L812" s="106"/>
    </row>
    <row r="813" spans="10:12" ht="14.25">
      <c r="J813" s="106"/>
      <c r="K813" s="106"/>
      <c r="L813" s="106"/>
    </row>
    <row r="814" spans="10:12" ht="14.25">
      <c r="J814" s="106"/>
      <c r="K814" s="106"/>
      <c r="L814" s="106"/>
    </row>
    <row r="815" spans="10:12" ht="14.25">
      <c r="J815" s="106"/>
      <c r="K815" s="106"/>
      <c r="L815" s="106"/>
    </row>
    <row r="816" spans="10:12" ht="14.25">
      <c r="J816" s="106"/>
      <c r="K816" s="106"/>
      <c r="L816" s="106"/>
    </row>
    <row r="817" spans="10:12" ht="14.25">
      <c r="J817" s="106"/>
      <c r="K817" s="106"/>
      <c r="L817" s="106"/>
    </row>
    <row r="818" spans="10:12" ht="14.25">
      <c r="J818" s="106"/>
      <c r="K818" s="106"/>
      <c r="L818" s="106"/>
    </row>
    <row r="819" spans="10:12" ht="14.25">
      <c r="J819" s="106"/>
      <c r="K819" s="106"/>
      <c r="L819" s="106"/>
    </row>
    <row r="820" spans="10:12" ht="14.25">
      <c r="J820" s="106"/>
      <c r="K820" s="106"/>
      <c r="L820" s="106"/>
    </row>
    <row r="821" spans="10:12" ht="14.25">
      <c r="J821" s="106"/>
      <c r="K821" s="106"/>
      <c r="L821" s="106"/>
    </row>
    <row r="822" spans="10:12" ht="14.25">
      <c r="J822" s="106"/>
      <c r="K822" s="106"/>
      <c r="L822" s="106"/>
    </row>
    <row r="823" spans="10:12" ht="14.25">
      <c r="J823" s="106"/>
      <c r="K823" s="106"/>
      <c r="L823" s="106"/>
    </row>
    <row r="824" spans="10:12" ht="14.25">
      <c r="J824" s="106"/>
      <c r="K824" s="106"/>
      <c r="L824" s="106"/>
    </row>
    <row r="825" spans="10:12" ht="14.25">
      <c r="J825" s="106"/>
      <c r="K825" s="106"/>
      <c r="L825" s="106"/>
    </row>
    <row r="826" spans="10:12" ht="14.25">
      <c r="J826" s="106"/>
      <c r="K826" s="106"/>
      <c r="L826" s="106"/>
    </row>
    <row r="827" spans="10:12" ht="14.25">
      <c r="J827" s="106"/>
      <c r="K827" s="106"/>
      <c r="L827" s="106"/>
    </row>
    <row r="828" spans="10:12" ht="14.25">
      <c r="J828" s="106"/>
      <c r="K828" s="106"/>
      <c r="L828" s="106"/>
    </row>
    <row r="829" spans="10:12" ht="14.25">
      <c r="J829" s="106"/>
      <c r="K829" s="106"/>
      <c r="L829" s="106"/>
    </row>
    <row r="830" spans="10:12" ht="14.25">
      <c r="J830" s="106"/>
      <c r="K830" s="106"/>
      <c r="L830" s="106"/>
    </row>
    <row r="831" spans="10:12" ht="14.25">
      <c r="J831" s="106"/>
      <c r="K831" s="106"/>
      <c r="L831" s="106"/>
    </row>
    <row r="832" spans="10:12" ht="14.25">
      <c r="J832" s="106"/>
      <c r="K832" s="106"/>
      <c r="L832" s="106"/>
    </row>
    <row r="833" spans="10:12" ht="14.25">
      <c r="J833" s="106"/>
      <c r="K833" s="106"/>
      <c r="L833" s="106"/>
    </row>
    <row r="834" spans="10:12" ht="14.25">
      <c r="J834" s="106"/>
      <c r="K834" s="106"/>
      <c r="L834" s="106"/>
    </row>
    <row r="835" spans="10:12" ht="14.25">
      <c r="J835" s="106"/>
      <c r="K835" s="106"/>
      <c r="L835" s="106"/>
    </row>
    <row r="836" spans="10:12" ht="14.25">
      <c r="J836" s="106"/>
      <c r="K836" s="106"/>
      <c r="L836" s="106"/>
    </row>
    <row r="837" spans="10:12" ht="14.25">
      <c r="J837" s="106"/>
      <c r="K837" s="106"/>
      <c r="L837" s="106"/>
    </row>
    <row r="838" spans="10:12" ht="14.25">
      <c r="J838" s="106"/>
      <c r="K838" s="106"/>
      <c r="L838" s="106"/>
    </row>
    <row r="839" spans="10:12" ht="14.25">
      <c r="J839" s="106"/>
      <c r="K839" s="106"/>
      <c r="L839" s="106"/>
    </row>
    <row r="840" spans="10:12" ht="14.25">
      <c r="J840" s="106"/>
      <c r="K840" s="106"/>
      <c r="L840" s="106"/>
    </row>
    <row r="841" spans="10:12" ht="14.25">
      <c r="J841" s="106"/>
      <c r="K841" s="106"/>
      <c r="L841" s="106"/>
    </row>
    <row r="842" spans="10:12" ht="14.25">
      <c r="J842" s="106"/>
      <c r="K842" s="106"/>
      <c r="L842" s="106"/>
    </row>
    <row r="843" spans="10:12" ht="14.25">
      <c r="J843" s="106"/>
      <c r="K843" s="106"/>
      <c r="L843" s="106"/>
    </row>
    <row r="844" spans="10:12" ht="14.25">
      <c r="J844" s="106"/>
      <c r="K844" s="106"/>
      <c r="L844" s="106"/>
    </row>
    <row r="845" spans="10:12" ht="14.25">
      <c r="J845" s="106"/>
      <c r="K845" s="106"/>
      <c r="L845" s="106"/>
    </row>
    <row r="846" spans="10:12" ht="14.25">
      <c r="J846" s="106"/>
      <c r="K846" s="106"/>
      <c r="L846" s="106"/>
    </row>
    <row r="847" spans="10:12" ht="14.25">
      <c r="J847" s="106"/>
      <c r="K847" s="106"/>
      <c r="L847" s="106"/>
    </row>
    <row r="848" spans="10:12" ht="14.25">
      <c r="J848" s="106"/>
      <c r="K848" s="106"/>
      <c r="L848" s="106"/>
    </row>
    <row r="849" spans="10:12" ht="14.25">
      <c r="J849" s="106"/>
      <c r="K849" s="106"/>
      <c r="L849" s="106"/>
    </row>
    <row r="850" spans="10:12" ht="14.25">
      <c r="J850" s="106"/>
      <c r="K850" s="106"/>
      <c r="L850" s="106"/>
    </row>
    <row r="851" spans="10:12" ht="14.25">
      <c r="J851" s="106"/>
      <c r="K851" s="106"/>
      <c r="L851" s="106"/>
    </row>
    <row r="852" spans="10:12" ht="14.25">
      <c r="J852" s="106"/>
      <c r="K852" s="106"/>
      <c r="L852" s="106"/>
    </row>
    <row r="853" spans="10:12" ht="14.25">
      <c r="J853" s="106"/>
      <c r="K853" s="106"/>
      <c r="L853" s="106"/>
    </row>
    <row r="854" spans="10:12" ht="14.25">
      <c r="J854" s="106"/>
      <c r="K854" s="106"/>
      <c r="L854" s="106"/>
    </row>
    <row r="855" spans="10:12" ht="14.25">
      <c r="J855" s="106"/>
      <c r="K855" s="106"/>
      <c r="L855" s="106"/>
    </row>
    <row r="856" spans="10:12" ht="14.25">
      <c r="J856" s="106"/>
      <c r="K856" s="106"/>
      <c r="L856" s="106"/>
    </row>
    <row r="857" spans="10:12" ht="14.25">
      <c r="J857" s="106"/>
      <c r="K857" s="106"/>
      <c r="L857" s="106"/>
    </row>
    <row r="858" spans="10:12" ht="14.25">
      <c r="J858" s="106"/>
      <c r="K858" s="106"/>
      <c r="L858" s="106"/>
    </row>
    <row r="859" spans="10:12" ht="14.25">
      <c r="J859" s="106"/>
      <c r="K859" s="106"/>
      <c r="L859" s="106"/>
    </row>
    <row r="860" spans="10:12" ht="14.25">
      <c r="J860" s="106"/>
      <c r="K860" s="106"/>
      <c r="L860" s="106"/>
    </row>
    <row r="861" spans="10:12" ht="14.25">
      <c r="J861" s="106"/>
      <c r="K861" s="106"/>
      <c r="L861" s="106"/>
    </row>
    <row r="862" spans="10:12" ht="14.25">
      <c r="J862" s="106"/>
      <c r="K862" s="106"/>
      <c r="L862" s="106"/>
    </row>
    <row r="863" spans="10:12" ht="14.25">
      <c r="J863" s="106"/>
      <c r="K863" s="106"/>
      <c r="L863" s="106"/>
    </row>
    <row r="864" spans="10:12" ht="14.25">
      <c r="J864" s="106"/>
      <c r="K864" s="106"/>
      <c r="L864" s="106"/>
    </row>
    <row r="865" spans="10:12" ht="14.25">
      <c r="J865" s="106"/>
      <c r="K865" s="106"/>
      <c r="L865" s="106"/>
    </row>
    <row r="866" spans="10:12" ht="14.25">
      <c r="J866" s="106"/>
      <c r="K866" s="106"/>
      <c r="L866" s="106"/>
    </row>
    <row r="867" spans="10:12" ht="14.25">
      <c r="J867" s="106"/>
      <c r="K867" s="106"/>
      <c r="L867" s="106"/>
    </row>
    <row r="868" spans="10:12" ht="14.25">
      <c r="J868" s="106"/>
      <c r="K868" s="106"/>
      <c r="L868" s="106"/>
    </row>
    <row r="869" spans="10:12" ht="14.25">
      <c r="J869" s="106"/>
      <c r="K869" s="106"/>
      <c r="L869" s="106"/>
    </row>
    <row r="870" spans="10:12" ht="14.25">
      <c r="J870" s="106"/>
      <c r="K870" s="106"/>
      <c r="L870" s="106"/>
    </row>
    <row r="871" spans="10:12" ht="14.25">
      <c r="J871" s="106"/>
      <c r="K871" s="106"/>
      <c r="L871" s="106"/>
    </row>
    <row r="872" spans="10:12" ht="14.25">
      <c r="J872" s="106"/>
      <c r="K872" s="106"/>
      <c r="L872" s="106"/>
    </row>
    <row r="873" spans="10:12" ht="14.25">
      <c r="J873" s="106"/>
      <c r="K873" s="106"/>
      <c r="L873" s="106"/>
    </row>
    <row r="874" spans="10:12" ht="14.25">
      <c r="J874" s="106"/>
      <c r="K874" s="106"/>
      <c r="L874" s="106"/>
    </row>
    <row r="875" spans="10:12" ht="14.25">
      <c r="J875" s="106"/>
      <c r="K875" s="106"/>
      <c r="L875" s="106"/>
    </row>
    <row r="876" spans="10:12" ht="14.25">
      <c r="J876" s="106"/>
      <c r="K876" s="106"/>
      <c r="L876" s="106"/>
    </row>
    <row r="877" spans="10:12" ht="14.25">
      <c r="J877" s="106"/>
      <c r="K877" s="106"/>
      <c r="L877" s="106"/>
    </row>
    <row r="878" spans="10:12" ht="14.25">
      <c r="J878" s="106"/>
      <c r="K878" s="106"/>
      <c r="L878" s="106"/>
    </row>
    <row r="879" spans="10:12" ht="14.25">
      <c r="J879" s="106"/>
      <c r="K879" s="106"/>
      <c r="L879" s="106"/>
    </row>
    <row r="880" spans="10:12" ht="14.25">
      <c r="J880" s="106"/>
      <c r="K880" s="106"/>
      <c r="L880" s="106"/>
    </row>
    <row r="881" spans="10:12" ht="14.25">
      <c r="J881" s="106"/>
      <c r="K881" s="106"/>
      <c r="L881" s="106"/>
    </row>
    <row r="882" spans="10:12" ht="14.25">
      <c r="J882" s="106"/>
      <c r="K882" s="106"/>
      <c r="L882" s="106"/>
    </row>
    <row r="883" spans="10:12" ht="14.25">
      <c r="J883" s="106"/>
      <c r="K883" s="106"/>
      <c r="L883" s="106"/>
    </row>
    <row r="884" spans="10:12" ht="14.25">
      <c r="J884" s="106"/>
      <c r="K884" s="106"/>
      <c r="L884" s="106"/>
    </row>
    <row r="885" spans="10:12" ht="14.25">
      <c r="J885" s="106"/>
      <c r="K885" s="106"/>
      <c r="L885" s="106"/>
    </row>
    <row r="886" spans="10:12" ht="14.25">
      <c r="J886" s="106"/>
      <c r="K886" s="106"/>
      <c r="L886" s="106"/>
    </row>
    <row r="887" spans="10:12" ht="14.25">
      <c r="J887" s="106"/>
      <c r="K887" s="106"/>
      <c r="L887" s="106"/>
    </row>
    <row r="888" spans="10:12" ht="14.25">
      <c r="J888" s="106"/>
      <c r="K888" s="106"/>
      <c r="L888" s="106"/>
    </row>
    <row r="889" spans="10:12" ht="14.25">
      <c r="J889" s="106"/>
      <c r="K889" s="106"/>
      <c r="L889" s="106"/>
    </row>
    <row r="890" spans="10:12" ht="14.25">
      <c r="J890" s="106"/>
      <c r="K890" s="106"/>
      <c r="L890" s="106"/>
    </row>
    <row r="891" spans="10:12" ht="14.25">
      <c r="J891" s="106"/>
      <c r="K891" s="106"/>
      <c r="L891" s="106"/>
    </row>
    <row r="892" spans="10:12" ht="14.25">
      <c r="J892" s="106"/>
      <c r="K892" s="106"/>
      <c r="L892" s="106"/>
    </row>
    <row r="893" spans="10:12" ht="14.25">
      <c r="J893" s="106"/>
      <c r="K893" s="106"/>
      <c r="L893" s="106"/>
    </row>
    <row r="894" spans="10:12" ht="14.25">
      <c r="J894" s="106"/>
      <c r="K894" s="106"/>
      <c r="L894" s="106"/>
    </row>
    <row r="895" spans="10:12" ht="14.25">
      <c r="J895" s="106"/>
      <c r="K895" s="106"/>
      <c r="L895" s="106"/>
    </row>
    <row r="896" spans="10:12" ht="14.25">
      <c r="J896" s="106"/>
      <c r="K896" s="106"/>
      <c r="L896" s="106"/>
    </row>
    <row r="897" spans="10:12" ht="14.25">
      <c r="J897" s="106"/>
      <c r="K897" s="106"/>
      <c r="L897" s="106"/>
    </row>
    <row r="898" spans="10:12" ht="14.25">
      <c r="J898" s="106"/>
      <c r="K898" s="106"/>
      <c r="L898" s="106"/>
    </row>
    <row r="899" spans="10:12" ht="14.25">
      <c r="J899" s="106"/>
      <c r="K899" s="106"/>
      <c r="L899" s="106"/>
    </row>
    <row r="900" spans="10:12" ht="14.25">
      <c r="J900" s="106"/>
      <c r="K900" s="106"/>
      <c r="L900" s="106"/>
    </row>
    <row r="901" spans="10:12" ht="14.25">
      <c r="J901" s="106"/>
      <c r="K901" s="106"/>
      <c r="L901" s="106"/>
    </row>
    <row r="902" spans="10:12" ht="14.25">
      <c r="J902" s="106"/>
      <c r="K902" s="106"/>
      <c r="L902" s="106"/>
    </row>
    <row r="903" spans="10:12" ht="14.25">
      <c r="J903" s="106"/>
      <c r="K903" s="106"/>
      <c r="L903" s="106"/>
    </row>
    <row r="904" spans="10:12" ht="14.25">
      <c r="J904" s="106"/>
      <c r="K904" s="106"/>
      <c r="L904" s="106"/>
    </row>
    <row r="905" spans="10:12" ht="14.25">
      <c r="J905" s="106"/>
      <c r="K905" s="106"/>
      <c r="L905" s="106"/>
    </row>
    <row r="906" spans="10:12" ht="14.25">
      <c r="J906" s="106"/>
      <c r="K906" s="106"/>
      <c r="L906" s="106"/>
    </row>
    <row r="907" spans="10:12" ht="14.25">
      <c r="J907" s="106"/>
      <c r="K907" s="106"/>
      <c r="L907" s="106"/>
    </row>
    <row r="908" spans="10:12" ht="14.25">
      <c r="J908" s="106"/>
      <c r="K908" s="106"/>
      <c r="L908" s="106"/>
    </row>
    <row r="909" spans="10:12" ht="14.25">
      <c r="J909" s="106"/>
      <c r="K909" s="106"/>
      <c r="L909" s="106"/>
    </row>
    <row r="910" spans="10:12" ht="14.25">
      <c r="J910" s="106"/>
      <c r="K910" s="106"/>
      <c r="L910" s="106"/>
    </row>
    <row r="911" spans="10:12" ht="14.25">
      <c r="J911" s="106"/>
      <c r="K911" s="106"/>
      <c r="L911" s="106"/>
    </row>
    <row r="912" spans="10:12" ht="14.25">
      <c r="J912" s="106"/>
      <c r="K912" s="106"/>
      <c r="L912" s="106"/>
    </row>
    <row r="913" spans="10:12" ht="14.25">
      <c r="J913" s="106"/>
      <c r="K913" s="106"/>
      <c r="L913" s="106"/>
    </row>
    <row r="914" spans="10:12" ht="14.25">
      <c r="J914" s="106"/>
      <c r="K914" s="106"/>
      <c r="L914" s="106"/>
    </row>
    <row r="915" spans="10:12" ht="14.25">
      <c r="J915" s="106"/>
      <c r="K915" s="106"/>
      <c r="L915" s="106"/>
    </row>
    <row r="916" spans="10:12" ht="14.25">
      <c r="J916" s="106"/>
      <c r="K916" s="106"/>
      <c r="L916" s="106"/>
    </row>
    <row r="917" spans="10:12" ht="14.25">
      <c r="J917" s="106"/>
      <c r="K917" s="106"/>
      <c r="L917" s="106"/>
    </row>
    <row r="918" spans="10:12" ht="14.25">
      <c r="J918" s="106"/>
      <c r="K918" s="106"/>
      <c r="L918" s="106"/>
    </row>
    <row r="919" spans="10:12" ht="14.25">
      <c r="J919" s="106"/>
      <c r="K919" s="106"/>
      <c r="L919" s="106"/>
    </row>
    <row r="920" spans="10:12" ht="14.25">
      <c r="J920" s="106"/>
      <c r="K920" s="106"/>
      <c r="L920" s="106"/>
    </row>
    <row r="921" spans="10:12" ht="14.25">
      <c r="J921" s="106"/>
      <c r="K921" s="106"/>
      <c r="L921" s="106"/>
    </row>
    <row r="922" spans="10:12" ht="14.25">
      <c r="J922" s="106"/>
      <c r="K922" s="106"/>
      <c r="L922" s="106"/>
    </row>
    <row r="923" spans="10:12" ht="14.25">
      <c r="J923" s="106"/>
      <c r="K923" s="106"/>
      <c r="L923" s="106"/>
    </row>
    <row r="924" spans="10:12" ht="14.25">
      <c r="J924" s="106"/>
      <c r="K924" s="106"/>
      <c r="L924" s="106"/>
    </row>
    <row r="925" spans="10:12" ht="14.25">
      <c r="J925" s="106"/>
      <c r="K925" s="106"/>
      <c r="L925" s="106"/>
    </row>
    <row r="926" spans="10:12" ht="14.25">
      <c r="J926" s="106"/>
      <c r="K926" s="106"/>
      <c r="L926" s="106"/>
    </row>
    <row r="927" spans="10:12" ht="14.25">
      <c r="J927" s="106"/>
      <c r="K927" s="106"/>
      <c r="L927" s="106"/>
    </row>
    <row r="928" spans="10:12" ht="14.25">
      <c r="J928" s="106"/>
      <c r="K928" s="106"/>
      <c r="L928" s="106"/>
    </row>
    <row r="929" spans="10:12" ht="14.25">
      <c r="J929" s="106"/>
      <c r="K929" s="106"/>
      <c r="L929" s="106"/>
    </row>
    <row r="930" spans="10:12" ht="14.25">
      <c r="J930" s="106"/>
      <c r="K930" s="106"/>
      <c r="L930" s="106"/>
    </row>
    <row r="931" spans="10:12" ht="14.25">
      <c r="J931" s="106"/>
      <c r="K931" s="106"/>
      <c r="L931" s="106"/>
    </row>
    <row r="932" spans="10:12" ht="14.25">
      <c r="J932" s="106"/>
      <c r="K932" s="106"/>
      <c r="L932" s="106"/>
    </row>
    <row r="933" spans="10:12" ht="14.25">
      <c r="J933" s="106"/>
      <c r="K933" s="106"/>
      <c r="L933" s="106"/>
    </row>
    <row r="934" spans="10:12" ht="14.25">
      <c r="J934" s="106"/>
      <c r="K934" s="106"/>
      <c r="L934" s="106"/>
    </row>
    <row r="935" spans="10:12" ht="14.25">
      <c r="J935" s="106"/>
      <c r="K935" s="106"/>
      <c r="L935" s="106"/>
    </row>
    <row r="936" spans="10:12" ht="14.25">
      <c r="J936" s="106"/>
      <c r="K936" s="106"/>
      <c r="L936" s="106"/>
    </row>
    <row r="937" spans="10:12" ht="14.25">
      <c r="J937" s="106"/>
      <c r="K937" s="106"/>
      <c r="L937" s="106"/>
    </row>
    <row r="938" spans="10:12" ht="14.25">
      <c r="J938" s="106"/>
      <c r="K938" s="106"/>
      <c r="L938" s="106"/>
    </row>
    <row r="939" spans="10:12" ht="14.25">
      <c r="J939" s="106"/>
      <c r="K939" s="106"/>
      <c r="L939" s="106"/>
    </row>
    <row r="940" spans="10:12" ht="14.25">
      <c r="J940" s="106"/>
      <c r="K940" s="106"/>
      <c r="L940" s="106"/>
    </row>
    <row r="941" spans="10:12" ht="14.25">
      <c r="J941" s="106"/>
      <c r="K941" s="106"/>
      <c r="L941" s="106"/>
    </row>
    <row r="942" spans="10:12" ht="14.25">
      <c r="J942" s="106"/>
      <c r="K942" s="106"/>
      <c r="L942" s="106"/>
    </row>
    <row r="943" spans="10:12" ht="14.25">
      <c r="J943" s="106"/>
      <c r="K943" s="106"/>
      <c r="L943" s="106"/>
    </row>
    <row r="944" spans="10:12" ht="14.25">
      <c r="J944" s="106"/>
      <c r="K944" s="106"/>
      <c r="L944" s="106"/>
    </row>
    <row r="945" spans="10:12" ht="14.25">
      <c r="J945" s="106"/>
      <c r="K945" s="106"/>
      <c r="L945" s="106"/>
    </row>
    <row r="946" spans="10:12" ht="14.25">
      <c r="J946" s="106"/>
      <c r="K946" s="106"/>
      <c r="L946" s="106"/>
    </row>
    <row r="947" spans="10:12" ht="14.25">
      <c r="J947" s="106"/>
      <c r="K947" s="106"/>
      <c r="L947" s="106"/>
    </row>
    <row r="948" spans="10:12" ht="14.25">
      <c r="J948" s="106"/>
      <c r="K948" s="106"/>
      <c r="L948" s="106"/>
    </row>
    <row r="949" spans="10:12" ht="14.25">
      <c r="J949" s="106"/>
      <c r="K949" s="106"/>
      <c r="L949" s="106"/>
    </row>
    <row r="950" spans="10:12" ht="14.25">
      <c r="J950" s="106"/>
      <c r="K950" s="106"/>
      <c r="L950" s="106"/>
    </row>
    <row r="951" spans="10:12" ht="14.25">
      <c r="J951" s="106"/>
      <c r="K951" s="106"/>
      <c r="L951" s="106"/>
    </row>
    <row r="952" spans="10:12" ht="14.25">
      <c r="J952" s="106"/>
      <c r="K952" s="106"/>
      <c r="L952" s="106"/>
    </row>
    <row r="953" spans="10:12" ht="14.25">
      <c r="J953" s="106"/>
      <c r="K953" s="106"/>
      <c r="L953" s="106"/>
    </row>
    <row r="954" spans="10:12" ht="14.25">
      <c r="J954" s="106"/>
      <c r="K954" s="106"/>
      <c r="L954" s="106"/>
    </row>
    <row r="955" spans="10:12" ht="14.25">
      <c r="J955" s="106"/>
      <c r="K955" s="106"/>
      <c r="L955" s="106"/>
    </row>
    <row r="956" spans="10:12" ht="14.25">
      <c r="J956" s="106"/>
      <c r="K956" s="106"/>
      <c r="L956" s="106"/>
    </row>
    <row r="957" spans="10:12" ht="14.25">
      <c r="J957" s="106"/>
      <c r="K957" s="106"/>
      <c r="L957" s="106"/>
    </row>
    <row r="958" spans="10:12" ht="14.25">
      <c r="J958" s="106"/>
      <c r="K958" s="106"/>
      <c r="L958" s="106"/>
    </row>
    <row r="959" spans="10:12" ht="14.25">
      <c r="J959" s="106"/>
      <c r="K959" s="106"/>
      <c r="L959" s="106"/>
    </row>
    <row r="960" spans="10:12" ht="14.25">
      <c r="J960" s="106"/>
      <c r="K960" s="106"/>
      <c r="L960" s="106"/>
    </row>
    <row r="961" spans="10:12" ht="14.25">
      <c r="J961" s="106"/>
      <c r="K961" s="106"/>
      <c r="L961" s="106"/>
    </row>
    <row r="962" spans="10:12" ht="14.25">
      <c r="J962" s="106"/>
      <c r="K962" s="106"/>
      <c r="L962" s="106"/>
    </row>
    <row r="963" spans="10:12" ht="14.25">
      <c r="J963" s="106"/>
      <c r="K963" s="106"/>
      <c r="L963" s="106"/>
    </row>
    <row r="964" spans="10:12" ht="14.25">
      <c r="J964" s="106"/>
      <c r="K964" s="106"/>
      <c r="L964" s="106"/>
    </row>
    <row r="965" spans="10:12" ht="14.25">
      <c r="J965" s="106"/>
      <c r="K965" s="106"/>
      <c r="L965" s="106"/>
    </row>
    <row r="966" spans="10:12" ht="14.25">
      <c r="J966" s="106"/>
      <c r="K966" s="106"/>
      <c r="L966" s="106"/>
    </row>
    <row r="967" spans="10:12" ht="14.25">
      <c r="J967" s="106"/>
      <c r="K967" s="106"/>
      <c r="L967" s="106"/>
    </row>
    <row r="968" spans="10:12" ht="14.25">
      <c r="J968" s="106"/>
      <c r="K968" s="106"/>
      <c r="L968" s="106"/>
    </row>
    <row r="969" spans="10:12" ht="14.25">
      <c r="J969" s="106"/>
      <c r="K969" s="106"/>
      <c r="L969" s="106"/>
    </row>
    <row r="970" spans="10:12" ht="14.25">
      <c r="J970" s="106"/>
      <c r="K970" s="106"/>
      <c r="L970" s="106"/>
    </row>
    <row r="971" spans="10:12" ht="14.25">
      <c r="J971" s="106"/>
      <c r="K971" s="106"/>
      <c r="L971" s="106"/>
    </row>
    <row r="972" spans="10:12" ht="14.25">
      <c r="J972" s="106"/>
      <c r="K972" s="106"/>
      <c r="L972" s="106"/>
    </row>
    <row r="973" spans="10:12" ht="14.25">
      <c r="J973" s="106"/>
      <c r="K973" s="106"/>
      <c r="L973" s="106"/>
    </row>
    <row r="974" spans="10:12" ht="14.25">
      <c r="J974" s="106"/>
      <c r="K974" s="106"/>
      <c r="L974" s="106"/>
    </row>
    <row r="975" spans="10:12" ht="14.25">
      <c r="J975" s="106"/>
      <c r="K975" s="106"/>
      <c r="L975" s="106"/>
    </row>
    <row r="976" spans="10:12" ht="14.25">
      <c r="J976" s="106"/>
      <c r="K976" s="106"/>
      <c r="L976" s="106"/>
    </row>
    <row r="977" spans="10:12" ht="14.25">
      <c r="J977" s="106"/>
      <c r="K977" s="106"/>
      <c r="L977" s="106"/>
    </row>
    <row r="978" spans="10:12" ht="14.25">
      <c r="J978" s="106"/>
      <c r="K978" s="106"/>
      <c r="L978" s="106"/>
    </row>
    <row r="979" spans="10:12" ht="14.25">
      <c r="J979" s="106"/>
      <c r="K979" s="106"/>
      <c r="L979" s="106"/>
    </row>
    <row r="980" spans="10:12" ht="14.25">
      <c r="J980" s="106"/>
      <c r="K980" s="106"/>
      <c r="L980" s="106"/>
    </row>
    <row r="981" spans="10:12" ht="14.25">
      <c r="J981" s="106"/>
      <c r="K981" s="106"/>
      <c r="L981" s="106"/>
    </row>
    <row r="982" spans="10:12" ht="14.25">
      <c r="J982" s="106"/>
      <c r="K982" s="106"/>
      <c r="L982" s="106"/>
    </row>
    <row r="983" spans="10:12" ht="14.25">
      <c r="J983" s="106"/>
      <c r="K983" s="106"/>
      <c r="L983" s="106"/>
    </row>
    <row r="984" spans="10:12" ht="14.25">
      <c r="J984" s="106"/>
      <c r="K984" s="106"/>
      <c r="L984" s="106"/>
    </row>
    <row r="985" spans="10:12" ht="14.25">
      <c r="J985" s="106"/>
      <c r="K985" s="106"/>
      <c r="L985" s="106"/>
    </row>
    <row r="986" spans="10:12" ht="14.25">
      <c r="J986" s="106"/>
      <c r="K986" s="106"/>
      <c r="L986" s="106"/>
    </row>
    <row r="987" spans="10:12" ht="14.25">
      <c r="J987" s="106"/>
      <c r="K987" s="106"/>
      <c r="L987" s="106"/>
    </row>
    <row r="988" spans="10:12" ht="14.25">
      <c r="J988" s="106"/>
      <c r="K988" s="106"/>
      <c r="L988" s="106"/>
    </row>
    <row r="989" spans="10:12" ht="14.25">
      <c r="J989" s="106"/>
      <c r="K989" s="106"/>
      <c r="L989" s="106"/>
    </row>
    <row r="990" spans="10:12" ht="14.25">
      <c r="J990" s="106"/>
      <c r="K990" s="106"/>
      <c r="L990" s="106"/>
    </row>
    <row r="991" spans="10:12" ht="14.25">
      <c r="J991" s="106"/>
      <c r="K991" s="106"/>
      <c r="L991" s="106"/>
    </row>
    <row r="992" spans="10:12" ht="14.25">
      <c r="J992" s="106"/>
      <c r="K992" s="106"/>
      <c r="L992" s="106"/>
    </row>
    <row r="993" spans="10:12" ht="14.25">
      <c r="J993" s="106"/>
      <c r="K993" s="106"/>
      <c r="L993" s="106"/>
    </row>
    <row r="994" spans="10:12" ht="14.25">
      <c r="J994" s="106"/>
      <c r="K994" s="106"/>
      <c r="L994" s="106"/>
    </row>
    <row r="995" spans="10:12" ht="14.25">
      <c r="J995" s="106"/>
      <c r="K995" s="106"/>
      <c r="L995" s="106"/>
    </row>
    <row r="996" spans="10:12" ht="14.25">
      <c r="J996" s="106"/>
      <c r="K996" s="106"/>
      <c r="L996" s="106"/>
    </row>
    <row r="997" spans="10:12" ht="14.25">
      <c r="J997" s="106"/>
      <c r="K997" s="106"/>
      <c r="L997" s="106"/>
    </row>
    <row r="998" spans="10:12" ht="14.25">
      <c r="J998" s="106"/>
      <c r="K998" s="106"/>
      <c r="L998" s="106"/>
    </row>
    <row r="999" spans="10:12" ht="14.25">
      <c r="J999" s="106"/>
      <c r="K999" s="106"/>
      <c r="L999" s="106"/>
    </row>
  </sheetData>
  <mergeCells count="7">
    <mergeCell ref="O4:P4"/>
    <mergeCell ref="M4:N4"/>
    <mergeCell ref="C4:D4"/>
    <mergeCell ref="E4:F4"/>
    <mergeCell ref="G4:H4"/>
    <mergeCell ref="I4:J4"/>
    <mergeCell ref="K4:L4"/>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33"/>
  <sheetViews>
    <sheetView workbookViewId="0">
      <selection activeCell="D6" sqref="D6"/>
    </sheetView>
  </sheetViews>
  <sheetFormatPr defaultColWidth="11" defaultRowHeight="13.5"/>
  <sheetData>
    <row r="3" spans="2:6">
      <c r="C3" s="177">
        <f>'Six months follow-up_Virtual'!G13</f>
        <v>15</v>
      </c>
      <c r="D3" s="176"/>
      <c r="E3" s="177">
        <f>'One year follow-up_Virtual'!G9</f>
        <v>0</v>
      </c>
      <c r="F3" s="176"/>
    </row>
    <row r="4" spans="2:6">
      <c r="C4" s="82" t="s">
        <v>77</v>
      </c>
      <c r="D4" s="82" t="s">
        <v>78</v>
      </c>
    </row>
    <row r="5" spans="2:6">
      <c r="C5" s="176" t="s">
        <v>54</v>
      </c>
      <c r="D5" s="176"/>
      <c r="E5" s="176" t="s">
        <v>76</v>
      </c>
      <c r="F5" s="176"/>
    </row>
    <row r="6" spans="2:6">
      <c r="B6" s="83" t="s">
        <v>70</v>
      </c>
      <c r="C6" s="83"/>
      <c r="D6" s="151">
        <f>C6/C3</f>
        <v>0</v>
      </c>
      <c r="E6" s="83"/>
      <c r="F6" s="83" t="e">
        <f>E6/E3</f>
        <v>#DIV/0!</v>
      </c>
    </row>
    <row r="7" spans="2:6">
      <c r="B7" s="83" t="s">
        <v>75</v>
      </c>
      <c r="C7" s="83"/>
      <c r="D7" s="151">
        <f>C7/C3</f>
        <v>0</v>
      </c>
      <c r="E7" s="83"/>
      <c r="F7" s="83" t="e">
        <f>E7/E3</f>
        <v>#DIV/0!</v>
      </c>
    </row>
    <row r="8" spans="2:6">
      <c r="B8" s="83" t="s">
        <v>71</v>
      </c>
      <c r="C8" s="83"/>
      <c r="D8" s="151">
        <f>C8/C3</f>
        <v>0</v>
      </c>
      <c r="E8" s="83"/>
      <c r="F8" s="83" t="e">
        <f>E8/E3</f>
        <v>#DIV/0!</v>
      </c>
    </row>
    <row r="26" spans="2:6">
      <c r="C26" s="177">
        <f>'Six months follow-up_Virtual'!G13</f>
        <v>15</v>
      </c>
      <c r="D26" s="176"/>
      <c r="E26" s="177">
        <f>'One year follow-up_Virtual'!G9</f>
        <v>0</v>
      </c>
      <c r="F26" s="176"/>
    </row>
    <row r="27" spans="2:6">
      <c r="C27" s="82" t="s">
        <v>77</v>
      </c>
      <c r="D27" s="82" t="s">
        <v>78</v>
      </c>
    </row>
    <row r="28" spans="2:6">
      <c r="C28" s="176" t="s">
        <v>54</v>
      </c>
      <c r="D28" s="176"/>
      <c r="E28" s="176" t="s">
        <v>76</v>
      </c>
      <c r="F28" s="176"/>
    </row>
    <row r="29" spans="2:6">
      <c r="B29" s="83" t="s">
        <v>79</v>
      </c>
      <c r="C29" s="83"/>
      <c r="D29" s="151">
        <f>C29/C26</f>
        <v>0</v>
      </c>
      <c r="E29" s="83"/>
      <c r="F29" s="83" t="e">
        <f>E29/E26</f>
        <v>#DIV/0!</v>
      </c>
    </row>
    <row r="30" spans="2:6">
      <c r="B30" s="83" t="s">
        <v>80</v>
      </c>
      <c r="C30" s="83"/>
      <c r="D30" s="151">
        <f>C30/C26</f>
        <v>0</v>
      </c>
      <c r="E30" s="83"/>
      <c r="F30" s="83" t="e">
        <f>E30/E26</f>
        <v>#DIV/0!</v>
      </c>
    </row>
    <row r="31" spans="2:6">
      <c r="B31" s="83" t="s">
        <v>81</v>
      </c>
      <c r="C31" s="83"/>
      <c r="D31" s="151">
        <f>C31/C26</f>
        <v>0</v>
      </c>
      <c r="E31" s="83"/>
      <c r="F31" s="83" t="e">
        <f>E31/E26</f>
        <v>#DIV/0!</v>
      </c>
    </row>
    <row r="32" spans="2:6">
      <c r="B32" s="83" t="s">
        <v>82</v>
      </c>
      <c r="C32" s="83"/>
      <c r="D32" s="151">
        <f>C32/C26</f>
        <v>0</v>
      </c>
      <c r="E32" s="83"/>
      <c r="F32" s="83" t="e">
        <f>E32/E26</f>
        <v>#DIV/0!</v>
      </c>
    </row>
    <row r="33" spans="2:6">
      <c r="B33" s="83" t="s">
        <v>83</v>
      </c>
      <c r="C33" s="83"/>
      <c r="D33" s="83">
        <f>C33/C26</f>
        <v>0</v>
      </c>
      <c r="E33" s="83"/>
      <c r="F33" s="83" t="e">
        <f>E33/E26</f>
        <v>#DIV/0!</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F33"/>
  <sheetViews>
    <sheetView workbookViewId="0"/>
  </sheetViews>
  <sheetFormatPr defaultColWidth="11" defaultRowHeight="13.5"/>
  <sheetData>
    <row r="3" spans="2:6">
      <c r="C3" s="178">
        <f>'six months follow-up_in person'!H29</f>
        <v>241</v>
      </c>
      <c r="D3" s="13"/>
      <c r="E3" s="178">
        <f>'One year follow-up_inperson'!H19</f>
        <v>0</v>
      </c>
      <c r="F3" s="13"/>
    </row>
    <row r="4" spans="2:6">
      <c r="C4" t="s">
        <v>77</v>
      </c>
      <c r="D4" t="s">
        <v>78</v>
      </c>
    </row>
    <row r="5" spans="2:6">
      <c r="C5" s="13" t="s">
        <v>54</v>
      </c>
      <c r="D5" s="13"/>
      <c r="E5" s="13" t="s">
        <v>76</v>
      </c>
      <c r="F5" s="13"/>
    </row>
    <row r="6" spans="2:6">
      <c r="B6" s="63" t="s">
        <v>70</v>
      </c>
      <c r="C6" s="63"/>
      <c r="D6" s="77">
        <f>C6/C3</f>
        <v>0</v>
      </c>
      <c r="E6" s="63"/>
      <c r="F6" s="63" t="e">
        <f>E6/E3</f>
        <v>#DIV/0!</v>
      </c>
    </row>
    <row r="7" spans="2:6">
      <c r="B7" s="63" t="s">
        <v>75</v>
      </c>
      <c r="C7" s="63"/>
      <c r="D7" s="77">
        <f>C7/C3</f>
        <v>0</v>
      </c>
      <c r="E7" s="63"/>
      <c r="F7" s="63" t="e">
        <f>E7/E3</f>
        <v>#DIV/0!</v>
      </c>
    </row>
    <row r="8" spans="2:6">
      <c r="B8" s="63" t="s">
        <v>71</v>
      </c>
      <c r="C8" s="63"/>
      <c r="D8" s="77">
        <f>C8/C3</f>
        <v>0</v>
      </c>
      <c r="E8" s="63"/>
      <c r="F8" s="63" t="e">
        <f>E8/E3</f>
        <v>#DIV/0!</v>
      </c>
    </row>
    <row r="26" spans="2:6">
      <c r="C26" s="178">
        <f>'six months follow-up_in person'!H29</f>
        <v>241</v>
      </c>
      <c r="D26" s="13"/>
      <c r="E26" s="178">
        <f>'One year follow-up_inperson'!H19</f>
        <v>0</v>
      </c>
      <c r="F26" s="13"/>
    </row>
    <row r="27" spans="2:6">
      <c r="C27" t="s">
        <v>77</v>
      </c>
      <c r="D27" t="s">
        <v>78</v>
      </c>
    </row>
    <row r="28" spans="2:6">
      <c r="C28" s="13" t="s">
        <v>54</v>
      </c>
      <c r="D28" s="13"/>
      <c r="E28" s="13" t="s">
        <v>76</v>
      </c>
      <c r="F28" s="13"/>
    </row>
    <row r="29" spans="2:6">
      <c r="B29" s="63" t="s">
        <v>79</v>
      </c>
      <c r="C29" s="63"/>
      <c r="D29" s="77">
        <f>C29/C26</f>
        <v>0</v>
      </c>
      <c r="E29" s="63"/>
      <c r="F29" s="63" t="e">
        <f>E29/E26</f>
        <v>#DIV/0!</v>
      </c>
    </row>
    <row r="30" spans="2:6">
      <c r="B30" s="63" t="s">
        <v>80</v>
      </c>
      <c r="C30" s="63"/>
      <c r="D30" s="77">
        <f>C30/C26</f>
        <v>0</v>
      </c>
      <c r="E30" s="63"/>
      <c r="F30" s="63" t="e">
        <f>E30/E26</f>
        <v>#DIV/0!</v>
      </c>
    </row>
    <row r="31" spans="2:6">
      <c r="B31" s="63" t="s">
        <v>81</v>
      </c>
      <c r="C31" s="63"/>
      <c r="D31" s="77">
        <f>C31/C26</f>
        <v>0</v>
      </c>
      <c r="E31" s="63"/>
      <c r="F31" s="63" t="e">
        <f>E31/E26</f>
        <v>#DIV/0!</v>
      </c>
    </row>
    <row r="32" spans="2:6">
      <c r="B32" s="63" t="s">
        <v>82</v>
      </c>
      <c r="C32" s="63"/>
      <c r="D32" s="77">
        <f>C32/C26</f>
        <v>0</v>
      </c>
      <c r="E32" s="63"/>
      <c r="F32" s="63" t="e">
        <f>E32/E26</f>
        <v>#DIV/0!</v>
      </c>
    </row>
    <row r="33" spans="2:6">
      <c r="B33" s="63" t="s">
        <v>83</v>
      </c>
      <c r="C33" s="63"/>
      <c r="D33" s="63">
        <f>C33/C26</f>
        <v>0</v>
      </c>
      <c r="E33" s="63"/>
      <c r="F33" s="63" t="e">
        <f>E33/E26</f>
        <v>#DIV/0!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0"/>
  <sheetViews>
    <sheetView topLeftCell="A29" zoomScale="83" workbookViewId="0">
      <selection activeCell="K30" sqref="K30"/>
    </sheetView>
  </sheetViews>
  <sheetFormatPr defaultColWidth="11" defaultRowHeight="13.5"/>
  <cols>
    <col min="2" max="2" width="23.4375" customWidth="1"/>
    <col min="3" max="3" width="11.125" customWidth="1"/>
    <col min="4" max="4" width="15.125" customWidth="1"/>
    <col min="5" max="5" width="18.125" customWidth="1"/>
    <col min="6" max="6" width="14.125" customWidth="1"/>
    <col min="9" max="9" width="13.4375" customWidth="1"/>
    <col min="10" max="10" width="15.5625" customWidth="1"/>
  </cols>
  <sheetData>
    <row r="1" spans="2:15" ht="16.149999999999999" thickBot="1">
      <c r="C1" s="81"/>
      <c r="F1" s="81"/>
      <c r="G1" s="81"/>
      <c r="H1" s="81"/>
      <c r="I1" s="81"/>
      <c r="J1" s="81"/>
      <c r="K1" s="81"/>
      <c r="L1" s="81"/>
      <c r="M1" s="81"/>
      <c r="N1" s="81"/>
      <c r="O1" s="81"/>
    </row>
    <row r="2" spans="2:15" ht="28.9" thickBot="1">
      <c r="B2" s="440" t="s">
        <v>132</v>
      </c>
      <c r="C2" s="427">
        <f>2462+1016</f>
        <v>3478</v>
      </c>
      <c r="E2" s="81"/>
      <c r="F2" s="81"/>
      <c r="G2" s="81"/>
      <c r="H2" s="81"/>
      <c r="I2" s="81"/>
      <c r="J2" s="81"/>
      <c r="K2" s="81"/>
      <c r="L2" s="81"/>
      <c r="M2" s="81"/>
      <c r="N2" s="81"/>
      <c r="O2" s="81"/>
    </row>
    <row r="3" spans="2:15" ht="16.149999999999999" thickBot="1">
      <c r="B3" s="435"/>
      <c r="C3" s="81"/>
      <c r="E3" s="81"/>
      <c r="F3" s="81"/>
      <c r="G3" s="81"/>
      <c r="H3" s="81"/>
      <c r="I3" s="81"/>
      <c r="J3" s="81"/>
      <c r="K3" s="81"/>
      <c r="L3" s="81"/>
      <c r="M3" s="81"/>
      <c r="N3" s="81"/>
      <c r="O3" s="81"/>
    </row>
    <row r="4" spans="2:15" ht="16.149999999999999" thickBot="1">
      <c r="B4" s="441" t="s">
        <v>125</v>
      </c>
      <c r="C4" s="81" t="s">
        <v>138</v>
      </c>
      <c r="F4" s="81"/>
      <c r="G4" s="81"/>
      <c r="H4" s="81"/>
      <c r="I4" s="81"/>
      <c r="J4" s="81"/>
      <c r="K4" s="81"/>
      <c r="L4" s="81"/>
      <c r="M4" s="81"/>
      <c r="N4" s="81"/>
      <c r="O4" s="81"/>
    </row>
    <row r="5" spans="2:15" ht="15.75">
      <c r="B5" s="437" t="s">
        <v>84</v>
      </c>
      <c r="C5" s="442" t="e">
        <f>'six months follow-up_in person'!#REF!+'One year follow-up_inperson'!H19</f>
        <v>#REF!</v>
      </c>
      <c r="F5" s="81"/>
      <c r="G5" s="81"/>
      <c r="H5" s="81"/>
      <c r="I5" s="81"/>
      <c r="J5" s="81"/>
      <c r="K5" s="81"/>
      <c r="L5" s="81"/>
      <c r="M5" s="81"/>
      <c r="N5" s="81"/>
      <c r="O5" s="81"/>
    </row>
    <row r="6" spans="2:15" ht="15.75">
      <c r="B6" s="437" t="s">
        <v>93</v>
      </c>
      <c r="C6" s="426">
        <f>'Six months follow-up_Virtual'!G13+'One year follow-up_Virtual'!G9</f>
        <v>15</v>
      </c>
      <c r="F6" s="81"/>
      <c r="G6" s="81"/>
      <c r="H6" s="81"/>
      <c r="I6" s="81"/>
      <c r="J6" s="81"/>
      <c r="K6" s="81"/>
      <c r="L6" s="81"/>
      <c r="M6" s="81"/>
      <c r="N6" s="81"/>
      <c r="O6" s="81"/>
    </row>
    <row r="7" spans="2:15" ht="15.75">
      <c r="B7" s="436" t="s">
        <v>139</v>
      </c>
      <c r="C7" s="444" t="e">
        <f>SUM(C5:C6)</f>
        <v>#REF!</v>
      </c>
      <c r="F7" s="81"/>
      <c r="G7" s="81"/>
      <c r="H7" s="81"/>
      <c r="I7" s="81"/>
      <c r="J7" s="81"/>
      <c r="K7" s="81"/>
      <c r="L7" s="81"/>
      <c r="M7" s="81"/>
      <c r="N7" s="81"/>
      <c r="O7" s="81"/>
    </row>
    <row r="8" spans="2:15" ht="15.75">
      <c r="B8" s="436" t="s">
        <v>140</v>
      </c>
      <c r="C8" s="443">
        <f>' Analysis_Stats_in person'!AC12</f>
        <v>241</v>
      </c>
      <c r="F8" s="81"/>
      <c r="G8" s="81"/>
      <c r="H8" s="81"/>
      <c r="I8" s="81"/>
      <c r="J8" s="81"/>
      <c r="K8" s="81"/>
      <c r="L8" s="81"/>
      <c r="M8" s="81"/>
      <c r="N8" s="81"/>
      <c r="O8" s="81"/>
    </row>
    <row r="9" spans="2:15" ht="16.149999999999999" thickBot="1">
      <c r="B9" s="412"/>
      <c r="C9" s="81"/>
      <c r="F9" s="81"/>
      <c r="G9" s="81"/>
      <c r="H9" s="81"/>
      <c r="I9" s="81"/>
      <c r="J9" s="81"/>
      <c r="K9" s="81"/>
      <c r="L9" s="81"/>
      <c r="M9" s="81"/>
      <c r="N9" s="81"/>
      <c r="O9" s="81"/>
    </row>
    <row r="10" spans="2:15" ht="16.149999999999999" thickBot="1">
      <c r="B10" s="439" t="s">
        <v>0</v>
      </c>
      <c r="C10" s="81" t="s">
        <v>138</v>
      </c>
      <c r="F10" s="81"/>
      <c r="G10" s="81"/>
      <c r="H10" s="81"/>
      <c r="I10" s="81"/>
      <c r="J10" s="81"/>
      <c r="K10" s="81"/>
      <c r="L10" s="81"/>
      <c r="M10" s="81"/>
      <c r="N10" s="81"/>
      <c r="O10" s="81"/>
    </row>
    <row r="11" spans="2:15" ht="15.75">
      <c r="B11" s="438" t="s">
        <v>2</v>
      </c>
      <c r="C11" s="443" t="e">
        <f>'six months follow-up_in person'!G18+'Six months follow-up_Virtual'!L3+'One year follow-up_inperson'!R2+'One year follow-up_Virtual'!L3</f>
        <v>#REF!</v>
      </c>
      <c r="F11" s="81"/>
      <c r="G11" s="81"/>
      <c r="H11" s="81"/>
      <c r="I11" s="81"/>
      <c r="J11" s="81"/>
      <c r="K11" s="81"/>
      <c r="L11" s="81"/>
      <c r="M11" s="81"/>
      <c r="N11" s="81"/>
      <c r="O11" s="81"/>
    </row>
    <row r="12" spans="2:15" ht="15.75">
      <c r="B12" s="436" t="s">
        <v>4</v>
      </c>
      <c r="C12" s="443" t="e">
        <f>'six months follow-up_in person'!G19+'Six months follow-up_Virtual'!L4+'One year follow-up_inperson'!R3</f>
        <v>#REF!</v>
      </c>
      <c r="F12" s="81"/>
      <c r="G12" s="81"/>
      <c r="H12" s="81"/>
      <c r="I12" s="81"/>
      <c r="J12" s="81"/>
      <c r="K12" s="81"/>
      <c r="L12" s="81"/>
      <c r="M12" s="81"/>
      <c r="N12" s="81"/>
      <c r="O12" s="81"/>
    </row>
    <row r="13" spans="2:15" ht="15.75">
      <c r="B13" s="415"/>
      <c r="C13" s="81"/>
      <c r="F13" s="81"/>
      <c r="G13" s="81"/>
      <c r="H13" s="81"/>
      <c r="I13" s="81"/>
      <c r="J13" s="81"/>
      <c r="K13" s="81"/>
      <c r="L13" s="81"/>
      <c r="M13" s="81"/>
      <c r="N13" s="81"/>
      <c r="O13" s="81"/>
    </row>
    <row r="14" spans="2:15" ht="15.75">
      <c r="B14" s="412"/>
      <c r="C14" s="81"/>
      <c r="F14" s="81"/>
      <c r="G14" s="81"/>
      <c r="H14" s="81"/>
      <c r="I14" s="81"/>
      <c r="J14" s="81"/>
      <c r="K14" s="81"/>
      <c r="L14" s="81"/>
      <c r="M14" s="81"/>
      <c r="N14" s="81"/>
      <c r="O14" s="81"/>
    </row>
    <row r="15" spans="2:15" s="62" customFormat="1" ht="14.65" thickBot="1">
      <c r="B15" s="340"/>
      <c r="C15" s="333"/>
      <c r="D15" s="625" t="s">
        <v>126</v>
      </c>
      <c r="E15" s="625"/>
      <c r="F15" s="625"/>
      <c r="G15" s="333"/>
      <c r="H15" s="333"/>
      <c r="I15" s="333"/>
      <c r="J15" s="333"/>
      <c r="K15" s="333"/>
    </row>
    <row r="16" spans="2:15" s="62" customFormat="1" ht="21.4" thickBot="1">
      <c r="B16" s="6"/>
      <c r="C16" s="6"/>
      <c r="D16" s="626" t="s">
        <v>114</v>
      </c>
      <c r="E16" s="627"/>
      <c r="F16" s="628"/>
      <c r="G16" s="333"/>
      <c r="H16" s="333"/>
      <c r="I16" s="333"/>
      <c r="J16" s="333"/>
      <c r="K16" s="333"/>
    </row>
    <row r="17" spans="1:15" s="62" customFormat="1" ht="19.8" customHeight="1" thickBot="1">
      <c r="B17" s="599" t="s">
        <v>112</v>
      </c>
      <c r="C17" s="600"/>
      <c r="D17" s="280" t="s">
        <v>107</v>
      </c>
      <c r="E17" s="282" t="s">
        <v>109</v>
      </c>
      <c r="F17" s="280" t="s">
        <v>78</v>
      </c>
      <c r="G17" s="334"/>
      <c r="H17" s="335"/>
      <c r="I17" s="335"/>
      <c r="J17" s="335"/>
      <c r="K17" s="333"/>
    </row>
    <row r="18" spans="1:15" s="62" customFormat="1" ht="14.25">
      <c r="B18" s="601" t="s">
        <v>94</v>
      </c>
      <c r="C18" s="602"/>
      <c r="D18" s="283">
        <v>228</v>
      </c>
      <c r="E18" s="350">
        <f ca="1">' Analysis_Stats_in person'!AC7</f>
        <v>241</v>
      </c>
      <c r="F18" s="284">
        <f t="shared" ref="F18:F23" ca="1" si="0">D18/E18</f>
        <v>0.94605809128630702</v>
      </c>
      <c r="G18" s="352"/>
      <c r="H18" s="336"/>
      <c r="I18" s="336"/>
      <c r="J18" s="336"/>
      <c r="K18" s="333"/>
    </row>
    <row r="19" spans="1:15" s="62" customFormat="1" ht="14.25">
      <c r="B19" s="603" t="s">
        <v>95</v>
      </c>
      <c r="C19" s="604"/>
      <c r="D19" s="283">
        <v>43</v>
      </c>
      <c r="E19" s="283">
        <v>927</v>
      </c>
      <c r="F19" s="284">
        <f t="shared" si="0"/>
        <v>4.6386192017259978E-2</v>
      </c>
      <c r="G19" s="352"/>
      <c r="H19" s="337"/>
      <c r="I19" s="338"/>
      <c r="J19" s="338"/>
      <c r="K19" s="341"/>
      <c r="L19" s="339"/>
      <c r="M19" s="339"/>
    </row>
    <row r="20" spans="1:15" s="62" customFormat="1" ht="14.25">
      <c r="B20" s="603" t="s">
        <v>96</v>
      </c>
      <c r="C20" s="604"/>
      <c r="D20" s="283">
        <v>9</v>
      </c>
      <c r="E20" s="283">
        <v>455</v>
      </c>
      <c r="F20" s="284">
        <f t="shared" si="0"/>
        <v>1.9780219780219779E-2</v>
      </c>
      <c r="G20" s="352"/>
      <c r="H20" s="337"/>
      <c r="I20" s="338"/>
      <c r="J20" s="338"/>
      <c r="K20" s="341"/>
      <c r="L20" s="339"/>
      <c r="M20" s="339"/>
    </row>
    <row r="21" spans="1:15" s="62" customFormat="1" ht="14.25">
      <c r="B21" s="603" t="s">
        <v>111</v>
      </c>
      <c r="C21" s="604"/>
      <c r="D21" s="283">
        <v>123</v>
      </c>
      <c r="E21" s="283">
        <v>1077</v>
      </c>
      <c r="F21" s="284">
        <f t="shared" si="0"/>
        <v>0.11420612813370473</v>
      </c>
      <c r="G21" s="352"/>
      <c r="H21" s="337"/>
      <c r="I21" s="338"/>
      <c r="J21" s="338"/>
      <c r="K21" s="341"/>
      <c r="L21" s="339"/>
      <c r="M21" s="339"/>
    </row>
    <row r="22" spans="1:15" s="62" customFormat="1" ht="14.25">
      <c r="B22" s="603" t="s">
        <v>110</v>
      </c>
      <c r="C22" s="604"/>
      <c r="D22" s="283">
        <v>880</v>
      </c>
      <c r="E22" s="283">
        <v>1077</v>
      </c>
      <c r="F22" s="284">
        <f t="shared" si="0"/>
        <v>0.81708449396471683</v>
      </c>
      <c r="G22" s="352"/>
      <c r="H22" s="337"/>
      <c r="I22" s="338"/>
      <c r="J22" s="338"/>
      <c r="K22" s="341"/>
      <c r="L22" s="339"/>
      <c r="M22" s="339"/>
    </row>
    <row r="23" spans="1:15" s="62" customFormat="1" ht="14.65" thickBot="1">
      <c r="B23" s="613" t="s">
        <v>31</v>
      </c>
      <c r="C23" s="614"/>
      <c r="D23" s="290">
        <v>899</v>
      </c>
      <c r="E23" s="290">
        <f>' Analysis_Stats_in person'!AC12</f>
        <v>241</v>
      </c>
      <c r="F23" s="292">
        <f t="shared" si="0"/>
        <v>3.7302904564315353</v>
      </c>
      <c r="G23" s="352"/>
      <c r="H23" s="342"/>
      <c r="I23" s="342"/>
      <c r="J23" s="342"/>
      <c r="K23" s="342"/>
    </row>
    <row r="24" spans="1:15" s="62" customFormat="1" ht="14.25">
      <c r="A24" s="153"/>
      <c r="B24" s="153"/>
      <c r="C24" s="153"/>
      <c r="D24" s="153"/>
      <c r="E24" s="152"/>
      <c r="F24" s="153"/>
      <c r="G24" s="153"/>
      <c r="H24" s="153"/>
      <c r="I24" s="153"/>
      <c r="J24" s="153"/>
      <c r="K24" s="153"/>
      <c r="L24" s="154"/>
      <c r="M24" s="154"/>
      <c r="N24" s="154"/>
      <c r="O24" s="154"/>
    </row>
    <row r="27" spans="1:15" ht="14.25" thickBot="1">
      <c r="D27" s="618" t="s">
        <v>84</v>
      </c>
      <c r="E27" s="618"/>
      <c r="F27" s="618"/>
      <c r="G27" s="618"/>
      <c r="H27" s="618"/>
      <c r="I27" s="618"/>
      <c r="J27" s="618"/>
      <c r="K27" s="618"/>
      <c r="L27" s="618"/>
      <c r="M27" s="631"/>
      <c r="N27" s="631"/>
      <c r="O27" s="631"/>
    </row>
    <row r="28" spans="1:15" ht="21.4" thickBot="1">
      <c r="B28" s="6"/>
      <c r="C28" s="6"/>
      <c r="D28" s="629" t="s">
        <v>90</v>
      </c>
      <c r="E28" s="630"/>
      <c r="F28" s="630"/>
      <c r="G28" s="637" t="s">
        <v>1</v>
      </c>
      <c r="H28" s="638"/>
      <c r="I28" s="638"/>
      <c r="J28" s="635" t="s">
        <v>91</v>
      </c>
      <c r="K28" s="636"/>
      <c r="L28" s="636"/>
      <c r="M28" s="639" t="s">
        <v>92</v>
      </c>
      <c r="N28" s="640"/>
      <c r="O28" s="641"/>
    </row>
    <row r="29" spans="1:15" ht="31.9" thickBot="1">
      <c r="B29" s="599" t="s">
        <v>112</v>
      </c>
      <c r="C29" s="600"/>
      <c r="D29" s="280" t="s">
        <v>107</v>
      </c>
      <c r="E29" s="282" t="s">
        <v>109</v>
      </c>
      <c r="F29" s="280" t="s">
        <v>78</v>
      </c>
      <c r="G29" s="279" t="s">
        <v>107</v>
      </c>
      <c r="H29" s="280" t="s">
        <v>109</v>
      </c>
      <c r="I29" s="281" t="s">
        <v>78</v>
      </c>
      <c r="J29" s="279" t="s">
        <v>107</v>
      </c>
      <c r="K29" s="280" t="s">
        <v>109</v>
      </c>
      <c r="L29" s="281" t="s">
        <v>78</v>
      </c>
      <c r="M29" s="279" t="s">
        <v>107</v>
      </c>
      <c r="N29" s="280" t="s">
        <v>109</v>
      </c>
      <c r="O29" s="281" t="s">
        <v>78</v>
      </c>
    </row>
    <row r="30" spans="1:15" ht="14.25">
      <c r="B30" s="601" t="s">
        <v>94</v>
      </c>
      <c r="C30" s="602"/>
      <c r="D30" s="283">
        <v>81</v>
      </c>
      <c r="E30" s="253">
        <v>366</v>
      </c>
      <c r="F30" s="284">
        <f t="shared" ref="F30:F35" si="1">D30/E30</f>
        <v>0.22131147540983606</v>
      </c>
      <c r="G30" s="285">
        <v>100</v>
      </c>
      <c r="H30" s="286">
        <f>161-4</f>
        <v>157</v>
      </c>
      <c r="I30" s="284">
        <f t="shared" ref="I30:I35" si="2">G30/H30</f>
        <v>0.63694267515923564</v>
      </c>
      <c r="J30" s="288">
        <v>20</v>
      </c>
      <c r="K30" s="289">
        <v>248</v>
      </c>
      <c r="L30" s="284">
        <f t="shared" ref="L30:L35" si="3">J30/K30</f>
        <v>8.0645161290322578E-2</v>
      </c>
      <c r="M30" s="288">
        <v>10</v>
      </c>
      <c r="N30" s="289">
        <v>73</v>
      </c>
      <c r="O30" s="284">
        <f t="shared" ref="O30:O35" si="4">M30/N30</f>
        <v>0.13698630136986301</v>
      </c>
    </row>
    <row r="31" spans="1:15" ht="14.25">
      <c r="B31" s="603" t="s">
        <v>95</v>
      </c>
      <c r="C31" s="604"/>
      <c r="D31" s="283">
        <v>12</v>
      </c>
      <c r="E31" s="253">
        <v>366</v>
      </c>
      <c r="F31" s="284">
        <f t="shared" si="1"/>
        <v>3.2786885245901641E-2</v>
      </c>
      <c r="G31" s="285">
        <v>9</v>
      </c>
      <c r="H31" s="286">
        <f>161-41-4</f>
        <v>116</v>
      </c>
      <c r="I31" s="284">
        <f t="shared" si="2"/>
        <v>7.7586206896551727E-2</v>
      </c>
      <c r="J31" s="288">
        <v>4</v>
      </c>
      <c r="K31" s="289">
        <v>195</v>
      </c>
      <c r="L31" s="284">
        <f t="shared" si="3"/>
        <v>2.0512820512820513E-2</v>
      </c>
      <c r="M31" s="288">
        <v>6</v>
      </c>
      <c r="N31" s="289">
        <v>18</v>
      </c>
      <c r="O31" s="284">
        <f t="shared" si="4"/>
        <v>0.33333333333333331</v>
      </c>
    </row>
    <row r="32" spans="1:15" ht="14.25">
      <c r="B32" s="603" t="s">
        <v>96</v>
      </c>
      <c r="C32" s="604"/>
      <c r="D32" s="283">
        <f>'One year follow-up_inperson'!Y5</f>
        <v>0</v>
      </c>
      <c r="E32" s="253">
        <v>366</v>
      </c>
      <c r="F32" s="284">
        <f t="shared" si="1"/>
        <v>0</v>
      </c>
      <c r="G32" s="285">
        <v>5</v>
      </c>
      <c r="H32" s="286">
        <v>40</v>
      </c>
      <c r="I32" s="284">
        <f t="shared" si="2"/>
        <v>0.125</v>
      </c>
      <c r="J32" s="288">
        <v>1</v>
      </c>
      <c r="K32" s="289">
        <v>144</v>
      </c>
      <c r="L32" s="284">
        <f t="shared" si="3"/>
        <v>6.9444444444444441E-3</v>
      </c>
      <c r="M32" s="288">
        <v>0</v>
      </c>
      <c r="N32" s="289">
        <v>13</v>
      </c>
      <c r="O32" s="284">
        <f t="shared" si="4"/>
        <v>0</v>
      </c>
    </row>
    <row r="33" spans="2:15" ht="14.25">
      <c r="B33" s="603" t="s">
        <v>111</v>
      </c>
      <c r="C33" s="604"/>
      <c r="D33" s="283">
        <v>36</v>
      </c>
      <c r="E33" s="253">
        <v>366</v>
      </c>
      <c r="F33" s="284">
        <f t="shared" si="1"/>
        <v>9.8360655737704916E-2</v>
      </c>
      <c r="G33" s="285">
        <v>74</v>
      </c>
      <c r="H33" s="286">
        <f>12+64+41+4+40</f>
        <v>161</v>
      </c>
      <c r="I33" s="284">
        <f t="shared" si="2"/>
        <v>0.45962732919254656</v>
      </c>
      <c r="J33" s="288">
        <v>2</v>
      </c>
      <c r="K33" s="289">
        <v>248</v>
      </c>
      <c r="L33" s="284">
        <f t="shared" si="3"/>
        <v>8.0645161290322578E-3</v>
      </c>
      <c r="M33" s="288" t="e">
        <f>'six months follow-up_in person'!#REF!</f>
        <v>#REF!</v>
      </c>
      <c r="N33" s="289">
        <v>13</v>
      </c>
      <c r="O33" s="284" t="e">
        <f t="shared" si="4"/>
        <v>#REF!</v>
      </c>
    </row>
    <row r="34" spans="2:15" ht="14.25">
      <c r="B34" s="603" t="s">
        <v>110</v>
      </c>
      <c r="C34" s="604"/>
      <c r="D34" s="283">
        <v>240</v>
      </c>
      <c r="E34" s="253">
        <v>366</v>
      </c>
      <c r="F34" s="284">
        <f t="shared" si="1"/>
        <v>0.65573770491803274</v>
      </c>
      <c r="G34" s="285">
        <v>279</v>
      </c>
      <c r="H34" s="286">
        <f>12+64+41+4+40</f>
        <v>161</v>
      </c>
      <c r="I34" s="284">
        <f t="shared" si="2"/>
        <v>1.7329192546583851</v>
      </c>
      <c r="J34" s="288">
        <v>205</v>
      </c>
      <c r="K34" s="289">
        <v>248</v>
      </c>
      <c r="L34" s="284">
        <f t="shared" si="3"/>
        <v>0.82661290322580649</v>
      </c>
      <c r="M34" s="288">
        <v>94</v>
      </c>
      <c r="N34" s="289">
        <v>99</v>
      </c>
      <c r="O34" s="284">
        <f t="shared" si="4"/>
        <v>0.9494949494949495</v>
      </c>
    </row>
    <row r="35" spans="2:15" ht="14.65" thickBot="1">
      <c r="B35" s="613" t="s">
        <v>31</v>
      </c>
      <c r="C35" s="614"/>
      <c r="D35" s="283">
        <v>245</v>
      </c>
      <c r="E35" s="291">
        <v>366</v>
      </c>
      <c r="F35" s="292">
        <f t="shared" si="1"/>
        <v>0.6693989071038251</v>
      </c>
      <c r="G35" s="285">
        <v>284</v>
      </c>
      <c r="H35" s="286">
        <f>12+64+41+4+40</f>
        <v>161</v>
      </c>
      <c r="I35" s="292">
        <f t="shared" si="2"/>
        <v>1.7639751552795031</v>
      </c>
      <c r="J35" s="288">
        <v>203</v>
      </c>
      <c r="K35" s="289">
        <v>248</v>
      </c>
      <c r="L35" s="292">
        <f t="shared" si="3"/>
        <v>0.81854838709677424</v>
      </c>
      <c r="M35" s="288">
        <v>97</v>
      </c>
      <c r="N35" s="289">
        <v>99</v>
      </c>
      <c r="O35" s="292">
        <f t="shared" si="4"/>
        <v>0.97979797979797978</v>
      </c>
    </row>
    <row r="36" spans="2:15" ht="180" customHeight="1" thickBot="1">
      <c r="B36" s="606" t="s">
        <v>115</v>
      </c>
      <c r="C36" s="607"/>
      <c r="D36" s="615" t="s">
        <v>149</v>
      </c>
      <c r="E36" s="616"/>
      <c r="F36" s="617"/>
      <c r="G36" s="615" t="s">
        <v>151</v>
      </c>
      <c r="H36" s="616"/>
      <c r="I36" s="617"/>
      <c r="J36" s="642" t="s">
        <v>154</v>
      </c>
      <c r="K36" s="616"/>
      <c r="L36" s="617"/>
      <c r="M36" s="642"/>
      <c r="N36" s="616"/>
      <c r="O36" s="617"/>
    </row>
    <row r="37" spans="2:15" ht="27" customHeight="1">
      <c r="B37" s="256"/>
      <c r="C37" s="256"/>
      <c r="D37" s="257"/>
      <c r="E37" s="253"/>
      <c r="F37" s="332"/>
      <c r="G37" s="252"/>
      <c r="H37" s="252"/>
      <c r="I37" s="332"/>
      <c r="J37" s="331"/>
      <c r="K37" s="257"/>
      <c r="L37" s="332"/>
      <c r="M37" s="331"/>
      <c r="N37" s="257"/>
      <c r="O37" s="332"/>
    </row>
    <row r="39" spans="2:15" ht="14.25" thickBot="1">
      <c r="D39" s="618" t="s">
        <v>93</v>
      </c>
      <c r="E39" s="618"/>
      <c r="F39" s="618"/>
      <c r="G39" s="618"/>
      <c r="H39" s="618"/>
      <c r="I39" s="618"/>
      <c r="J39" s="618"/>
      <c r="K39" s="618"/>
      <c r="L39" s="618"/>
      <c r="M39" s="618"/>
      <c r="N39" s="618"/>
      <c r="O39" s="618"/>
    </row>
    <row r="40" spans="2:15" ht="21.4" thickBot="1">
      <c r="B40" s="6"/>
      <c r="C40" s="6"/>
      <c r="D40" s="629" t="s">
        <v>90</v>
      </c>
      <c r="E40" s="630"/>
      <c r="F40" s="630"/>
      <c r="G40" s="637" t="s">
        <v>1</v>
      </c>
      <c r="H40" s="638"/>
      <c r="I40" s="638"/>
      <c r="J40" s="635" t="s">
        <v>91</v>
      </c>
      <c r="K40" s="636"/>
      <c r="L40" s="636"/>
      <c r="M40" s="639" t="s">
        <v>92</v>
      </c>
      <c r="N40" s="640"/>
      <c r="O40" s="641"/>
    </row>
    <row r="41" spans="2:15" ht="31.9" thickBot="1">
      <c r="B41" s="599" t="s">
        <v>112</v>
      </c>
      <c r="C41" s="600"/>
      <c r="D41" s="280" t="s">
        <v>107</v>
      </c>
      <c r="E41" s="282" t="s">
        <v>109</v>
      </c>
      <c r="F41" s="280" t="s">
        <v>78</v>
      </c>
      <c r="G41" s="279" t="s">
        <v>107</v>
      </c>
      <c r="H41" s="280" t="s">
        <v>109</v>
      </c>
      <c r="I41" s="281" t="s">
        <v>78</v>
      </c>
      <c r="J41" s="279" t="s">
        <v>107</v>
      </c>
      <c r="K41" s="280" t="s">
        <v>109</v>
      </c>
      <c r="L41" s="281" t="s">
        <v>78</v>
      </c>
      <c r="M41" s="279" t="s">
        <v>107</v>
      </c>
      <c r="N41" s="280" t="s">
        <v>109</v>
      </c>
      <c r="O41" s="281" t="s">
        <v>78</v>
      </c>
    </row>
    <row r="42" spans="2:15" ht="14.25">
      <c r="B42" s="601" t="s">
        <v>94</v>
      </c>
      <c r="C42" s="602"/>
      <c r="D42" s="288">
        <v>0</v>
      </c>
      <c r="E42" s="289">
        <v>0</v>
      </c>
      <c r="F42" s="284" t="e">
        <f t="shared" ref="F42:F47" si="5">D42/E42</f>
        <v>#DIV/0!</v>
      </c>
      <c r="G42" s="285">
        <v>0</v>
      </c>
      <c r="H42" s="286">
        <v>15</v>
      </c>
      <c r="I42" s="284">
        <f t="shared" ref="I42:I47" si="6">G42/H42</f>
        <v>0</v>
      </c>
      <c r="J42" s="288">
        <v>2</v>
      </c>
      <c r="K42" s="289">
        <v>25</v>
      </c>
      <c r="L42" s="284">
        <f t="shared" ref="L42:L47" si="7">J42/K42</f>
        <v>0.08</v>
      </c>
      <c r="M42" s="288">
        <v>0</v>
      </c>
      <c r="N42" s="289">
        <v>0</v>
      </c>
      <c r="O42" s="284" t="e">
        <f t="shared" ref="O42:O47" si="8">M42/N42</f>
        <v>#DIV/0!</v>
      </c>
    </row>
    <row r="43" spans="2:15" ht="14.25">
      <c r="B43" s="603" t="s">
        <v>95</v>
      </c>
      <c r="C43" s="604"/>
      <c r="D43" s="288">
        <v>0</v>
      </c>
      <c r="E43" s="289">
        <v>0</v>
      </c>
      <c r="F43" s="284" t="e">
        <f t="shared" si="5"/>
        <v>#DIV/0!</v>
      </c>
      <c r="G43" s="285">
        <v>1</v>
      </c>
      <c r="H43" s="283">
        <v>15</v>
      </c>
      <c r="I43" s="284">
        <f t="shared" si="6"/>
        <v>6.6666666666666666E-2</v>
      </c>
      <c r="J43" s="288">
        <v>1</v>
      </c>
      <c r="K43" s="289">
        <v>17</v>
      </c>
      <c r="L43" s="284">
        <f t="shared" si="7"/>
        <v>5.8823529411764705E-2</v>
      </c>
      <c r="M43" s="288">
        <v>0</v>
      </c>
      <c r="N43" s="289">
        <v>0</v>
      </c>
      <c r="O43" s="284" t="e">
        <f t="shared" si="8"/>
        <v>#DIV/0!</v>
      </c>
    </row>
    <row r="44" spans="2:15" ht="14.25">
      <c r="B44" s="603" t="s">
        <v>96</v>
      </c>
      <c r="C44" s="604"/>
      <c r="D44" s="288">
        <v>0</v>
      </c>
      <c r="E44" s="289">
        <v>0</v>
      </c>
      <c r="F44" s="284" t="e">
        <f t="shared" si="5"/>
        <v>#DIV/0!</v>
      </c>
      <c r="G44" s="285">
        <v>0</v>
      </c>
      <c r="H44" s="283">
        <v>15</v>
      </c>
      <c r="I44" s="284">
        <f t="shared" si="6"/>
        <v>0</v>
      </c>
      <c r="J44" s="288">
        <v>0</v>
      </c>
      <c r="K44" s="289">
        <v>17</v>
      </c>
      <c r="L44" s="284">
        <f t="shared" si="7"/>
        <v>0</v>
      </c>
      <c r="M44" s="288">
        <v>0</v>
      </c>
      <c r="N44" s="289">
        <v>0</v>
      </c>
      <c r="O44" s="284" t="e">
        <f t="shared" si="8"/>
        <v>#DIV/0!</v>
      </c>
    </row>
    <row r="45" spans="2:15" ht="14.25">
      <c r="B45" s="603" t="s">
        <v>111</v>
      </c>
      <c r="C45" s="604"/>
      <c r="D45" s="288">
        <v>0</v>
      </c>
      <c r="E45" s="289">
        <v>0</v>
      </c>
      <c r="F45" s="284" t="e">
        <f t="shared" si="5"/>
        <v>#DIV/0!</v>
      </c>
      <c r="G45" s="285">
        <v>8</v>
      </c>
      <c r="H45" s="283">
        <v>15</v>
      </c>
      <c r="I45" s="284">
        <f t="shared" si="6"/>
        <v>0.53333333333333333</v>
      </c>
      <c r="J45" s="288">
        <f>'Six months follow-up_Virtual'!R5</f>
        <v>0</v>
      </c>
      <c r="K45" s="289">
        <v>25</v>
      </c>
      <c r="L45" s="284">
        <f t="shared" si="7"/>
        <v>0</v>
      </c>
      <c r="M45" s="288">
        <v>0</v>
      </c>
      <c r="N45" s="289">
        <v>0</v>
      </c>
      <c r="O45" s="284" t="e">
        <f t="shared" si="8"/>
        <v>#DIV/0!</v>
      </c>
    </row>
    <row r="46" spans="2:15" ht="14.25">
      <c r="B46" s="603" t="s">
        <v>110</v>
      </c>
      <c r="C46" s="604"/>
      <c r="D46" s="288">
        <v>0</v>
      </c>
      <c r="E46" s="289">
        <v>0</v>
      </c>
      <c r="F46" s="284" t="e">
        <f t="shared" si="5"/>
        <v>#DIV/0!</v>
      </c>
      <c r="G46" s="285">
        <v>163</v>
      </c>
      <c r="H46" s="283">
        <v>15</v>
      </c>
      <c r="I46" s="284">
        <f t="shared" si="6"/>
        <v>10.866666666666667</v>
      </c>
      <c r="J46" s="288">
        <v>20</v>
      </c>
      <c r="K46" s="289">
        <v>25</v>
      </c>
      <c r="L46" s="284">
        <f t="shared" si="7"/>
        <v>0.8</v>
      </c>
      <c r="M46" s="288">
        <v>0</v>
      </c>
      <c r="N46" s="289">
        <v>0</v>
      </c>
      <c r="O46" s="284" t="e">
        <f t="shared" si="8"/>
        <v>#DIV/0!</v>
      </c>
    </row>
    <row r="47" spans="2:15" ht="14.65" thickBot="1">
      <c r="B47" s="613" t="s">
        <v>31</v>
      </c>
      <c r="C47" s="614"/>
      <c r="D47" s="288">
        <v>0</v>
      </c>
      <c r="E47" s="296">
        <v>0</v>
      </c>
      <c r="F47" s="292" t="e">
        <f t="shared" si="5"/>
        <v>#DIV/0!</v>
      </c>
      <c r="G47" s="285">
        <v>172</v>
      </c>
      <c r="H47" s="294">
        <v>15</v>
      </c>
      <c r="I47" s="292">
        <f t="shared" si="6"/>
        <v>11.466666666666667</v>
      </c>
      <c r="J47" s="288">
        <v>20</v>
      </c>
      <c r="K47" s="296">
        <v>25</v>
      </c>
      <c r="L47" s="292">
        <f t="shared" si="7"/>
        <v>0.8</v>
      </c>
      <c r="M47" s="288">
        <v>0</v>
      </c>
      <c r="N47" s="296">
        <v>0</v>
      </c>
      <c r="O47" s="292" t="e">
        <f t="shared" si="8"/>
        <v>#DIV/0!</v>
      </c>
    </row>
    <row r="48" spans="2:15" ht="124.25" customHeight="1" thickBot="1">
      <c r="B48" s="606" t="s">
        <v>115</v>
      </c>
      <c r="C48" s="607"/>
      <c r="D48" s="615" t="s">
        <v>147</v>
      </c>
      <c r="E48" s="616"/>
      <c r="F48" s="617"/>
      <c r="G48" s="619" t="s">
        <v>150</v>
      </c>
      <c r="H48" s="620"/>
      <c r="I48" s="621"/>
      <c r="J48" s="615"/>
      <c r="K48" s="616"/>
      <c r="L48" s="617"/>
      <c r="M48" s="622"/>
      <c r="N48" s="623"/>
      <c r="O48" s="624"/>
    </row>
    <row r="51" spans="1:8" s="62" customFormat="1">
      <c r="A51" s="346"/>
      <c r="B51" s="608"/>
      <c r="C51" s="609"/>
      <c r="D51" s="198"/>
      <c r="E51" s="198"/>
      <c r="F51" s="198"/>
      <c r="G51" s="198"/>
    </row>
    <row r="52" spans="1:8" s="62" customFormat="1" ht="14.65" thickBot="1">
      <c r="B52" s="610"/>
      <c r="C52" s="610"/>
      <c r="D52" s="347"/>
      <c r="E52" s="347"/>
      <c r="F52" s="343"/>
      <c r="G52" s="343"/>
    </row>
    <row r="53" spans="1:8" s="62" customFormat="1" ht="31.25" customHeight="1" thickBot="1">
      <c r="B53" s="632" t="s">
        <v>146</v>
      </c>
      <c r="C53" s="633"/>
      <c r="D53" s="633"/>
      <c r="E53" s="634"/>
      <c r="F53" s="343"/>
      <c r="G53" s="344"/>
    </row>
    <row r="54" spans="1:8" s="62" customFormat="1" ht="14.25">
      <c r="B54" s="348"/>
      <c r="C54" s="348"/>
      <c r="D54" s="344"/>
      <c r="E54" s="344"/>
      <c r="F54" s="343"/>
      <c r="G54" s="344"/>
    </row>
    <row r="55" spans="1:8" s="62" customFormat="1" ht="14.25">
      <c r="B55" s="344"/>
      <c r="C55" s="344"/>
      <c r="D55" s="344"/>
      <c r="E55" s="344"/>
      <c r="F55" s="343"/>
      <c r="G55" s="345"/>
    </row>
    <row r="56" spans="1:8" s="62" customFormat="1" ht="13.9">
      <c r="B56" s="612"/>
      <c r="C56" s="612"/>
      <c r="D56" s="349"/>
      <c r="E56" s="347"/>
      <c r="F56" s="343"/>
      <c r="G56" s="343"/>
      <c r="H56" s="468"/>
    </row>
    <row r="57" spans="1:8" s="62" customFormat="1" ht="14.25">
      <c r="B57" s="611"/>
      <c r="C57" s="611"/>
      <c r="D57" s="344"/>
      <c r="E57" s="344"/>
      <c r="F57" s="343"/>
      <c r="G57" s="343"/>
    </row>
    <row r="58" spans="1:8" s="62" customFormat="1" ht="13.9">
      <c r="B58" s="612"/>
      <c r="C58" s="612"/>
      <c r="D58" s="349"/>
      <c r="E58" s="349"/>
      <c r="F58" s="343"/>
      <c r="G58" s="343"/>
    </row>
    <row r="59" spans="1:8" s="62" customFormat="1" ht="13.9">
      <c r="B59" s="612"/>
      <c r="C59" s="612"/>
      <c r="D59" s="349"/>
      <c r="E59" s="349"/>
      <c r="F59" s="343"/>
      <c r="G59" s="343"/>
    </row>
    <row r="60" spans="1:8" s="62" customFormat="1">
      <c r="B60" s="605"/>
      <c r="C60" s="605"/>
      <c r="D60" s="184"/>
      <c r="E60" s="196"/>
      <c r="F60" s="196"/>
      <c r="G60" s="257"/>
    </row>
  </sheetData>
  <mergeCells count="51">
    <mergeCell ref="J28:L28"/>
    <mergeCell ref="G28:I28"/>
    <mergeCell ref="M28:O28"/>
    <mergeCell ref="G40:I40"/>
    <mergeCell ref="J40:L40"/>
    <mergeCell ref="M40:O40"/>
    <mergeCell ref="G36:I36"/>
    <mergeCell ref="J36:L36"/>
    <mergeCell ref="M36:O36"/>
    <mergeCell ref="D15:F15"/>
    <mergeCell ref="D16:F16"/>
    <mergeCell ref="B59:C59"/>
    <mergeCell ref="D28:F28"/>
    <mergeCell ref="D40:F40"/>
    <mergeCell ref="B17:C17"/>
    <mergeCell ref="B18:C18"/>
    <mergeCell ref="B19:C19"/>
    <mergeCell ref="B20:C20"/>
    <mergeCell ref="B32:C32"/>
    <mergeCell ref="B21:C21"/>
    <mergeCell ref="B22:C22"/>
    <mergeCell ref="B23:C23"/>
    <mergeCell ref="B33:C33"/>
    <mergeCell ref="D27:O27"/>
    <mergeCell ref="B53:E53"/>
    <mergeCell ref="D36:F36"/>
    <mergeCell ref="B48:C48"/>
    <mergeCell ref="D48:F48"/>
    <mergeCell ref="B47:C47"/>
    <mergeCell ref="B41:C41"/>
    <mergeCell ref="B42:C42"/>
    <mergeCell ref="B43:C43"/>
    <mergeCell ref="B44:C44"/>
    <mergeCell ref="B45:C45"/>
    <mergeCell ref="B46:C46"/>
    <mergeCell ref="D39:O39"/>
    <mergeCell ref="G48:I48"/>
    <mergeCell ref="J48:L48"/>
    <mergeCell ref="M48:O48"/>
    <mergeCell ref="B29:C29"/>
    <mergeCell ref="B30:C30"/>
    <mergeCell ref="B31:C31"/>
    <mergeCell ref="B60:C60"/>
    <mergeCell ref="B36:C36"/>
    <mergeCell ref="B51:C51"/>
    <mergeCell ref="B52:C52"/>
    <mergeCell ref="B57:C57"/>
    <mergeCell ref="B56:C56"/>
    <mergeCell ref="B58:C58"/>
    <mergeCell ref="B34:C34"/>
    <mergeCell ref="B35:C35"/>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1"/>
  <sheetViews>
    <sheetView topLeftCell="A4" zoomScale="96" workbookViewId="0">
      <selection activeCell="AA39" sqref="AA39"/>
    </sheetView>
  </sheetViews>
  <sheetFormatPr defaultColWidth="11" defaultRowHeight="13.5"/>
  <cols>
    <col min="2" max="2" width="55.4375" customWidth="1"/>
    <col min="10" max="10" width="16.875" customWidth="1"/>
    <col min="12" max="12" width="9.3125" customWidth="1"/>
    <col min="17" max="17" width="25.875" customWidth="1"/>
    <col min="19" max="19" width="8.875" customWidth="1"/>
    <col min="21" max="21" width="15.6875" customWidth="1"/>
    <col min="22" max="22" width="11.6875" customWidth="1"/>
    <col min="24" max="24" width="11" customWidth="1"/>
    <col min="25" max="25" width="13.125" customWidth="1"/>
    <col min="28" max="28" width="13" customWidth="1"/>
  </cols>
  <sheetData>
    <row r="1" spans="2:31" ht="14.25">
      <c r="J1" s="6"/>
      <c r="K1" s="6"/>
      <c r="L1" s="6"/>
    </row>
    <row r="2" spans="2:31" ht="25.5">
      <c r="B2" s="156"/>
      <c r="F2" s="23"/>
      <c r="G2" s="23"/>
      <c r="J2" s="24"/>
      <c r="K2" s="6"/>
      <c r="L2" s="6"/>
    </row>
    <row r="3" spans="2:31" ht="14.65" thickBot="1">
      <c r="B3" s="1"/>
      <c r="C3" s="1"/>
      <c r="D3" s="1"/>
      <c r="E3" s="1"/>
      <c r="J3" s="24"/>
      <c r="K3" s="25" t="s">
        <v>36</v>
      </c>
      <c r="L3" s="6"/>
    </row>
    <row r="4" spans="2:31" ht="63.5" customHeight="1" thickBot="1">
      <c r="C4" s="652" t="s">
        <v>37</v>
      </c>
      <c r="D4" s="653"/>
      <c r="E4" s="652" t="s">
        <v>38</v>
      </c>
      <c r="F4" s="653"/>
      <c r="G4" s="654" t="s">
        <v>39</v>
      </c>
      <c r="H4" s="655"/>
      <c r="I4" s="654" t="s">
        <v>40</v>
      </c>
      <c r="J4" s="655"/>
      <c r="K4" s="656" t="s">
        <v>41</v>
      </c>
      <c r="L4" s="657"/>
      <c r="M4" s="656" t="s">
        <v>42</v>
      </c>
      <c r="N4" s="657"/>
      <c r="O4" s="650" t="s">
        <v>43</v>
      </c>
      <c r="P4" s="651"/>
      <c r="R4" s="24"/>
      <c r="S4" s="6"/>
      <c r="T4" s="6"/>
      <c r="Y4" s="649">
        <v>2023</v>
      </c>
      <c r="Z4" s="649"/>
    </row>
    <row r="5" spans="2:31" ht="38.549999999999997" customHeight="1" thickBot="1">
      <c r="B5" s="26" t="s">
        <v>44</v>
      </c>
      <c r="C5" s="27"/>
      <c r="D5" s="28"/>
      <c r="E5" s="27"/>
      <c r="F5" s="28"/>
      <c r="G5" s="29"/>
      <c r="H5" s="30"/>
      <c r="I5" s="27"/>
      <c r="J5" s="28"/>
      <c r="K5" s="27"/>
      <c r="L5" s="28"/>
      <c r="M5" s="27"/>
      <c r="N5" s="28"/>
      <c r="O5" s="29"/>
      <c r="P5" s="30"/>
      <c r="R5" s="24"/>
      <c r="S5" s="6"/>
      <c r="T5" s="6"/>
      <c r="U5" s="6"/>
      <c r="V5" s="626" t="s">
        <v>106</v>
      </c>
      <c r="W5" s="627"/>
      <c r="X5" s="628"/>
      <c r="Y5" s="643" t="s">
        <v>93</v>
      </c>
      <c r="Z5" s="644"/>
      <c r="AA5" s="645"/>
      <c r="AB5" s="646" t="s">
        <v>108</v>
      </c>
      <c r="AC5" s="647"/>
      <c r="AD5" s="648"/>
    </row>
    <row r="6" spans="2:31" ht="18.5" customHeight="1" thickBot="1">
      <c r="B6" s="3" t="s">
        <v>45</v>
      </c>
      <c r="C6" s="31">
        <f ca="1">SUM($D$31:$D$42)</f>
        <v>241</v>
      </c>
      <c r="D6" s="28"/>
      <c r="E6" s="31" t="e">
        <f ca="1">SUM(D49:D75)</f>
        <v>#REF!</v>
      </c>
      <c r="F6" s="28"/>
      <c r="G6" s="27">
        <f>COUNTIF('six months follow-up_in person'!$T$33:$T$407,"No")</f>
        <v>241</v>
      </c>
      <c r="H6" s="28"/>
      <c r="I6" s="31">
        <f>COUNTIF('One year follow-up_inperson'!$R$23:$R$159,"Yes")</f>
        <v>0</v>
      </c>
      <c r="J6" s="445"/>
      <c r="K6" s="27">
        <f>COUNTIF('six months follow-up_in person'!$T$151:$T$151,"Yes")</f>
        <v>0</v>
      </c>
      <c r="L6" s="28"/>
      <c r="M6" s="27">
        <f>COUNTIF('One year follow-up_inperson'!$R$23:$R$4499,"No")</f>
        <v>0</v>
      </c>
      <c r="N6" s="28"/>
      <c r="O6" s="31">
        <f>G6</f>
        <v>241</v>
      </c>
      <c r="P6" s="28"/>
      <c r="Q6" s="351"/>
      <c r="R6" s="24"/>
      <c r="S6" s="6"/>
      <c r="T6" s="599" t="s">
        <v>112</v>
      </c>
      <c r="U6" s="600"/>
      <c r="V6" s="280" t="s">
        <v>107</v>
      </c>
      <c r="W6" s="282" t="s">
        <v>109</v>
      </c>
      <c r="X6" s="280" t="s">
        <v>78</v>
      </c>
      <c r="Y6" s="279" t="s">
        <v>107</v>
      </c>
      <c r="Z6" s="280" t="s">
        <v>109</v>
      </c>
      <c r="AA6" s="281" t="s">
        <v>78</v>
      </c>
      <c r="AB6" s="279" t="s">
        <v>107</v>
      </c>
      <c r="AC6" s="280" t="s">
        <v>109</v>
      </c>
      <c r="AD6" s="281" t="s">
        <v>78</v>
      </c>
    </row>
    <row r="7" spans="2:31" ht="20.55" customHeight="1">
      <c r="C7" s="32"/>
      <c r="D7" s="28"/>
      <c r="E7" s="27"/>
      <c r="F7" s="28"/>
      <c r="G7" s="27"/>
      <c r="H7" s="28"/>
      <c r="I7" s="27"/>
      <c r="J7" s="28"/>
      <c r="K7" s="27"/>
      <c r="L7" s="28"/>
      <c r="M7" s="27"/>
      <c r="N7" s="28"/>
      <c r="O7" s="27"/>
      <c r="P7" s="28"/>
      <c r="Q7" s="351"/>
      <c r="T7" s="601" t="s">
        <v>94</v>
      </c>
      <c r="U7" s="602"/>
      <c r="V7" s="283">
        <f t="shared" ref="V7:V12" si="0">O13</f>
        <v>61</v>
      </c>
      <c r="W7" s="253">
        <f ca="1">T43</f>
        <v>241</v>
      </c>
      <c r="X7" s="284">
        <f t="shared" ref="X7:X12" ca="1" si="1">V7/W7</f>
        <v>0.25311203319502074</v>
      </c>
      <c r="Y7" s="285">
        <v>0</v>
      </c>
      <c r="Z7" s="286">
        <v>0</v>
      </c>
      <c r="AA7" s="287" t="e">
        <f t="shared" ref="AA7:AA12" si="2">Y7/Z7</f>
        <v>#DIV/0!</v>
      </c>
      <c r="AB7" s="288">
        <f>V7+Y7</f>
        <v>61</v>
      </c>
      <c r="AC7" s="289">
        <f ca="1">W7+Z7</f>
        <v>241</v>
      </c>
      <c r="AD7" s="287">
        <f t="shared" ref="AD7:AD12" ca="1" si="3">AB7/AC7</f>
        <v>0.25311203319502074</v>
      </c>
    </row>
    <row r="8" spans="2:31" ht="22.25" customHeight="1">
      <c r="B8" s="3" t="s">
        <v>46</v>
      </c>
      <c r="C8" s="21">
        <f>COUNTIF('six months follow-up_in person'!$H$33:$H$425,"Yes")</f>
        <v>219</v>
      </c>
      <c r="D8" s="33">
        <f ca="1">C8/C6</f>
        <v>0.90871369294605808</v>
      </c>
      <c r="E8" s="27">
        <f>COUNTIF('One year follow-up_inperson'!$F$23:$F$4510,"Yes")</f>
        <v>0</v>
      </c>
      <c r="F8" s="34" t="e">
        <f ca="1">E8/E6</f>
        <v>#REF!</v>
      </c>
      <c r="G8" s="27">
        <f>COUNTIFS('six months follow-up_in person'!$H$33:$H$414, "Yes",'six months follow-up_in person'!$T$33:$T$414,"No")</f>
        <v>219</v>
      </c>
      <c r="H8" s="34">
        <f>G8/G6</f>
        <v>0.90871369294605808</v>
      </c>
      <c r="I8" s="31">
        <f>COUNTIFS('One year follow-up_inperson'!$F$23:$F$4499, "Yes",'One year follow-up_inperson'!$R$23:$R$4499,"Yes")</f>
        <v>0</v>
      </c>
      <c r="J8" s="34" t="e">
        <f>I8/$I$6</f>
        <v>#DIV/0!</v>
      </c>
      <c r="K8" s="31">
        <f>COUNTIFS('six months follow-up_in person'!$H$142:$H$151, "Yes",'six months follow-up_in person'!$T$142:$T$151,"Yes")</f>
        <v>0</v>
      </c>
      <c r="L8" s="34" t="e">
        <f>K8/$K$6</f>
        <v>#DIV/0!</v>
      </c>
      <c r="M8" s="31">
        <f>COUNTIFS('One year follow-up_inperson'!$F$23:$F$4499,"Yes",'One year follow-up_inperson'!$R$23:$R$4499,"No")</f>
        <v>0</v>
      </c>
      <c r="N8" s="34" t="e">
        <f>M8/M6</f>
        <v>#DIV/0!</v>
      </c>
      <c r="O8" s="31">
        <f>SUM(E8,G8)</f>
        <v>219</v>
      </c>
      <c r="P8" s="357">
        <f>O8/$O$6</f>
        <v>0.90871369294605808</v>
      </c>
      <c r="T8" s="603" t="s">
        <v>95</v>
      </c>
      <c r="U8" s="604"/>
      <c r="V8" s="283">
        <f t="shared" si="0"/>
        <v>11</v>
      </c>
      <c r="W8" s="253">
        <f ca="1">O43</f>
        <v>122</v>
      </c>
      <c r="X8" s="284">
        <f t="shared" ca="1" si="1"/>
        <v>9.0163934426229511E-2</v>
      </c>
      <c r="Y8" s="285">
        <v>0</v>
      </c>
      <c r="Z8" s="283">
        <v>0</v>
      </c>
      <c r="AA8" s="287" t="e">
        <f t="shared" si="2"/>
        <v>#DIV/0!</v>
      </c>
      <c r="AB8" s="288">
        <f t="shared" ref="AB8:AC12" si="4">V8+Y8</f>
        <v>11</v>
      </c>
      <c r="AC8" s="289">
        <f t="shared" ca="1" si="4"/>
        <v>122</v>
      </c>
      <c r="AD8" s="287">
        <f t="shared" ca="1" si="3"/>
        <v>9.0163934426229511E-2</v>
      </c>
    </row>
    <row r="9" spans="2:31" ht="16.25" customHeight="1" thickBot="1">
      <c r="B9" s="3" t="s">
        <v>47</v>
      </c>
      <c r="C9" s="35">
        <f>COUNTIF('six months follow-up_in person'!$H$33:$H$425,"No")</f>
        <v>22</v>
      </c>
      <c r="D9" s="36">
        <f ca="1">C9/C6</f>
        <v>9.1286307053941904E-2</v>
      </c>
      <c r="E9" s="37">
        <f>COUNTIF('One year follow-up_inperson'!$F$23:$F$4510,"No")</f>
        <v>0</v>
      </c>
      <c r="F9" s="38" t="e">
        <f ca="1">E9/E6</f>
        <v>#REF!</v>
      </c>
      <c r="G9" s="37">
        <f>COUNTIFS('six months follow-up_in person'!$H$33:$H$414, "No",'six months follow-up_in person'!$T$33:$T$414,"No")</f>
        <v>22</v>
      </c>
      <c r="H9" s="38">
        <f>G9/G6</f>
        <v>9.1286307053941904E-2</v>
      </c>
      <c r="I9" s="39">
        <f>COUNTIFS('One year follow-up_inperson'!$F$23:$F$4499, "No",'One year follow-up_inperson'!$R$23:$R$4499,"Yes")</f>
        <v>0</v>
      </c>
      <c r="J9" s="38" t="e">
        <f>I9/$I$6</f>
        <v>#DIV/0!</v>
      </c>
      <c r="K9" s="39">
        <f>COUNTIFS('six months follow-up_in person'!$H$142:$H$151, "No",'six months follow-up_in person'!$T$142:$T$151,"Yes")</f>
        <v>0</v>
      </c>
      <c r="L9" s="38" t="e">
        <f>K9/$K$6</f>
        <v>#DIV/0!</v>
      </c>
      <c r="M9" s="39" t="e">
        <f>COUNTIFS('One year follow-up_inperson'!#REF!, "No",'One year follow-up_inperson'!#REF!,"No")</f>
        <v>#REF!</v>
      </c>
      <c r="N9" s="38" t="e">
        <f>M9/M6</f>
        <v>#REF!</v>
      </c>
      <c r="O9" s="39">
        <f>SUM(E9,G9)</f>
        <v>22</v>
      </c>
      <c r="P9" s="38">
        <f>O9/$O$6</f>
        <v>9.1286307053941904E-2</v>
      </c>
      <c r="T9" s="603" t="s">
        <v>96</v>
      </c>
      <c r="U9" s="604"/>
      <c r="V9" s="283">
        <f t="shared" si="0"/>
        <v>0</v>
      </c>
      <c r="W9" s="253">
        <f>F43</f>
        <v>0</v>
      </c>
      <c r="X9" s="284" t="e">
        <f t="shared" si="1"/>
        <v>#DIV/0!</v>
      </c>
      <c r="Y9" s="285">
        <v>0</v>
      </c>
      <c r="Z9" s="283">
        <v>0</v>
      </c>
      <c r="AA9" s="287" t="e">
        <f t="shared" si="2"/>
        <v>#DIV/0!</v>
      </c>
      <c r="AB9" s="288">
        <f t="shared" si="4"/>
        <v>0</v>
      </c>
      <c r="AC9" s="289">
        <f t="shared" si="4"/>
        <v>0</v>
      </c>
      <c r="AD9" s="287" t="e">
        <f t="shared" si="3"/>
        <v>#DIV/0!</v>
      </c>
    </row>
    <row r="10" spans="2:31" ht="17.55" customHeight="1">
      <c r="D10" s="40"/>
      <c r="F10" s="41"/>
      <c r="T10" s="603" t="s">
        <v>111</v>
      </c>
      <c r="U10" s="604"/>
      <c r="V10" s="283">
        <f t="shared" si="0"/>
        <v>6</v>
      </c>
      <c r="W10" s="253">
        <f>O6</f>
        <v>241</v>
      </c>
      <c r="X10" s="284">
        <f t="shared" si="1"/>
        <v>2.4896265560165973E-2</v>
      </c>
      <c r="Y10" s="285">
        <v>0</v>
      </c>
      <c r="Z10" s="283">
        <v>0</v>
      </c>
      <c r="AA10" s="287" t="e">
        <f t="shared" si="2"/>
        <v>#DIV/0!</v>
      </c>
      <c r="AB10" s="288">
        <f t="shared" si="4"/>
        <v>6</v>
      </c>
      <c r="AC10" s="289">
        <f t="shared" si="4"/>
        <v>241</v>
      </c>
      <c r="AD10" s="287">
        <f t="shared" si="3"/>
        <v>2.4896265560165973E-2</v>
      </c>
    </row>
    <row r="11" spans="2:31" ht="24.5" customHeight="1" thickBot="1">
      <c r="D11" s="40"/>
      <c r="F11" s="41"/>
      <c r="T11" s="603" t="s">
        <v>110</v>
      </c>
      <c r="U11" s="604"/>
      <c r="V11" s="283">
        <f t="shared" si="0"/>
        <v>206</v>
      </c>
      <c r="W11" s="253">
        <f>O6</f>
        <v>241</v>
      </c>
      <c r="X11" s="360">
        <f t="shared" si="1"/>
        <v>0.85477178423236511</v>
      </c>
      <c r="Y11" s="285">
        <v>0</v>
      </c>
      <c r="Z11" s="283">
        <v>0</v>
      </c>
      <c r="AA11" s="362" t="e">
        <f t="shared" si="2"/>
        <v>#DIV/0!</v>
      </c>
      <c r="AB11" s="288">
        <f t="shared" si="4"/>
        <v>206</v>
      </c>
      <c r="AC11" s="289">
        <f>W11+Z11</f>
        <v>241</v>
      </c>
      <c r="AD11" s="362">
        <f t="shared" si="3"/>
        <v>0.85477178423236511</v>
      </c>
    </row>
    <row r="12" spans="2:31" ht="26.55" customHeight="1" thickBot="1">
      <c r="B12" s="26" t="s">
        <v>48</v>
      </c>
      <c r="C12" s="29"/>
      <c r="D12" s="42"/>
      <c r="E12" s="29"/>
      <c r="F12" s="43"/>
      <c r="G12" s="29"/>
      <c r="H12" s="30"/>
      <c r="I12" s="29"/>
      <c r="J12" s="30"/>
      <c r="K12" s="44"/>
      <c r="L12" s="45"/>
      <c r="M12" s="202"/>
      <c r="N12" s="203"/>
      <c r="O12" s="45"/>
      <c r="P12" s="30"/>
      <c r="T12" s="613" t="s">
        <v>31</v>
      </c>
      <c r="U12" s="614"/>
      <c r="V12" s="290">
        <f t="shared" si="0"/>
        <v>213</v>
      </c>
      <c r="W12" s="291">
        <f>O6</f>
        <v>241</v>
      </c>
      <c r="X12" s="361">
        <f t="shared" si="1"/>
        <v>0.88381742738589208</v>
      </c>
      <c r="Y12" s="293">
        <v>0</v>
      </c>
      <c r="Z12" s="294">
        <v>0</v>
      </c>
      <c r="AA12" s="363" t="e">
        <f t="shared" si="2"/>
        <v>#DIV/0!</v>
      </c>
      <c r="AB12" s="295">
        <f t="shared" si="4"/>
        <v>213</v>
      </c>
      <c r="AC12" s="296">
        <f>W12+Z12</f>
        <v>241</v>
      </c>
      <c r="AD12" s="363">
        <f t="shared" si="3"/>
        <v>0.88381742738589208</v>
      </c>
    </row>
    <row r="13" spans="2:31" ht="14.25">
      <c r="B13" s="3" t="s">
        <v>49</v>
      </c>
      <c r="C13" s="46">
        <f>COUNTIF('six months follow-up_in person'!$N$33:$N$414, 1)</f>
        <v>61</v>
      </c>
      <c r="D13" s="47">
        <f ca="1">C13/E43</f>
        <v>0.25311203319502074</v>
      </c>
      <c r="E13" s="46">
        <f>COUNTIF('One year follow-up_inperson'!$L$23:$L$4510, 1)</f>
        <v>0</v>
      </c>
      <c r="F13" s="47" t="e">
        <f ca="1">E13/E76</f>
        <v>#REF!</v>
      </c>
      <c r="G13" s="48">
        <f>COUNTIFS('six months follow-up_in person'!$N$33:$N$414, 1,'six months follow-up_in person'!$T$33:$T$414,"No")</f>
        <v>61</v>
      </c>
      <c r="H13" s="47">
        <f ca="1">G13/M43</f>
        <v>0.25311203319502074</v>
      </c>
      <c r="I13" s="31">
        <f>COUNTIFS('One year follow-up_inperson'!$L$23:$L$4499, 1,'One year follow-up_inperson'!$R$23:$R$4499,"Yes")</f>
        <v>0</v>
      </c>
      <c r="J13" s="47" t="e">
        <f ca="1">I13/M76</f>
        <v>#REF!</v>
      </c>
      <c r="K13" s="49">
        <f>COUNTIFS('six months follow-up_in person'!$N$142:$N$151, 1,'six months follow-up_in person'!$T$142:$T$151,"Yes")</f>
        <v>0</v>
      </c>
      <c r="L13" s="199">
        <f ca="1">K13/T43</f>
        <v>0</v>
      </c>
      <c r="M13" s="204" t="e">
        <f>COUNTIFS('One year follow-up_inperson'!#REF!, 1,'One year follow-up_inperson'!#REF!,"No")</f>
        <v>#REF!</v>
      </c>
      <c r="N13" s="205" t="e">
        <f ca="1">M13/T76</f>
        <v>#REF!</v>
      </c>
      <c r="O13" s="200">
        <f t="shared" ref="O13:O18" si="5">SUM(E13,G13)</f>
        <v>61</v>
      </c>
      <c r="P13" s="354" t="e">
        <f ca="1">O13/(SUM($E$76,$M$43))</f>
        <v>#REF!</v>
      </c>
      <c r="S13" s="41"/>
      <c r="T13" s="50"/>
      <c r="U13" s="49"/>
      <c r="V13" s="41"/>
      <c r="W13" s="41"/>
      <c r="X13" s="3"/>
      <c r="AE13" s="78"/>
    </row>
    <row r="14" spans="2:31" ht="14.25">
      <c r="B14" s="3" t="s">
        <v>50</v>
      </c>
      <c r="C14" s="46">
        <f>COUNTIF('six months follow-up_in person'!$O$33:$O$428, 1)</f>
        <v>11</v>
      </c>
      <c r="D14" s="47">
        <f ca="1">C14/G43</f>
        <v>9.0163934426229511E-2</v>
      </c>
      <c r="E14" s="46">
        <f>COUNTIF('One year follow-up_inperson'!$M$23:$M$4510, "1")</f>
        <v>0</v>
      </c>
      <c r="F14" s="47" t="e">
        <f ca="1">E14/G76</f>
        <v>#REF!</v>
      </c>
      <c r="G14" s="48">
        <f>COUNTIFS('six months follow-up_in person'!$O$33:$O$414, 1,'six months follow-up_in person'!$T$33:$T$414,"No")</f>
        <v>11</v>
      </c>
      <c r="H14" s="47">
        <f ca="1">G14/O43</f>
        <v>9.0163934426229511E-2</v>
      </c>
      <c r="I14" s="31">
        <f>COUNTIFS('One year follow-up_inperson'!$M$23:$M$4499, 1,'One year follow-up_inperson'!$R$23:$R$4499,"Yes")</f>
        <v>0</v>
      </c>
      <c r="J14" s="47" t="e">
        <f ca="1">I14/O76</f>
        <v>#REF!</v>
      </c>
      <c r="K14" s="49">
        <f>COUNTIFS('six months follow-up_in person'!$O$142:$O$151, 1,'six months follow-up_in person'!$T$142:$T$151,"Yes")</f>
        <v>0</v>
      </c>
      <c r="L14" s="199">
        <f ca="1">K14/V43</f>
        <v>0</v>
      </c>
      <c r="M14" s="204" t="e">
        <f>COUNTIFS('One year follow-up_inperson'!#REF!, 1,'One year follow-up_inperson'!#REF!,"No")</f>
        <v>#REF!</v>
      </c>
      <c r="N14" s="205" t="e">
        <f ca="1">M14/V76</f>
        <v>#REF!</v>
      </c>
      <c r="O14" s="200">
        <f t="shared" si="5"/>
        <v>11</v>
      </c>
      <c r="P14" s="354" t="e">
        <f ca="1">O14/SUM(G76,O43)</f>
        <v>#REF!</v>
      </c>
      <c r="S14" s="41"/>
    </row>
    <row r="15" spans="2:31" ht="17.55" customHeight="1">
      <c r="B15" s="467" t="s">
        <v>133</v>
      </c>
      <c r="C15" s="46">
        <f>COUNTIF('six months follow-up_in person'!$P$33:$P$428, 1)</f>
        <v>0</v>
      </c>
      <c r="D15" s="47" t="e">
        <f>C15/F43</f>
        <v>#DIV/0!</v>
      </c>
      <c r="E15" s="46">
        <f>COUNTIF('One year follow-up_inperson'!$N$23:$N$4510, "1")</f>
        <v>0</v>
      </c>
      <c r="F15" s="47" t="str">
        <f ca="1">IFERROR(E15/F76, "NA")</f>
        <v>NA</v>
      </c>
      <c r="G15" s="48">
        <f>COUNTIFS('six months follow-up_in person'!$P$33:$P$414, 1,'six months follow-up_in person'!$T$33:$T$414,"No")</f>
        <v>0</v>
      </c>
      <c r="H15" s="47" t="e">
        <f>G15/N43</f>
        <v>#DIV/0!</v>
      </c>
      <c r="I15" s="31">
        <f>COUNTIFS('One year follow-up_inperson'!$N$23:$N$4499, 1,'One year follow-up_inperson'!$R$23:$R$4499,"Yes")</f>
        <v>0</v>
      </c>
      <c r="J15" s="47" t="e">
        <f ca="1">I15/N76</f>
        <v>#REF!</v>
      </c>
      <c r="K15" s="49">
        <f>COUNTIFS('six months follow-up_in person'!$P$142:$P$151, 1,'six months follow-up_in person'!$T$142:$T$151,"Yes")</f>
        <v>0</v>
      </c>
      <c r="L15" s="199" t="e">
        <f>K15/U43</f>
        <v>#DIV/0!</v>
      </c>
      <c r="M15" s="204" t="e">
        <f>COUNTIFS('One year follow-up_inperson'!#REF!, 1,'One year follow-up_inperson'!#REF!,"No")</f>
        <v>#REF!</v>
      </c>
      <c r="N15" s="205" t="e">
        <f ca="1">M15/U76</f>
        <v>#REF!</v>
      </c>
      <c r="O15" s="200">
        <f t="shared" si="5"/>
        <v>0</v>
      </c>
      <c r="P15" s="354" t="e">
        <f ca="1">O15/SUM(F76,N43)</f>
        <v>#REF!</v>
      </c>
      <c r="S15" s="41"/>
    </row>
    <row r="16" spans="2:31" ht="14.25">
      <c r="B16" s="3" t="s">
        <v>85</v>
      </c>
      <c r="C16" s="46">
        <f>COUNTIF('six months follow-up_in person'!$Q$33:$Q$428, 1)</f>
        <v>6</v>
      </c>
      <c r="D16" s="33">
        <f ca="1">C16/C6</f>
        <v>2.4896265560165973E-2</v>
      </c>
      <c r="E16" s="46">
        <f>COUNTIF('One year follow-up_inperson'!$O$23:$O$4510, "1")</f>
        <v>0</v>
      </c>
      <c r="F16" s="33" t="e">
        <f ca="1">E16/E6</f>
        <v>#REF!</v>
      </c>
      <c r="G16" s="48">
        <f>COUNTIFS('six months follow-up_in person'!$Q$33:$Q$414, 1,'six months follow-up_in person'!$T$33:$T$414,"No")</f>
        <v>6</v>
      </c>
      <c r="H16" s="207">
        <f>G16/G6</f>
        <v>2.4896265560165973E-2</v>
      </c>
      <c r="I16" s="31" t="e">
        <f>COUNTIFS('One year follow-up_inperson'!#REF!, 1,'One year follow-up_inperson'!#REF!,"Yes")</f>
        <v>#REF!</v>
      </c>
      <c r="J16" s="207" t="e">
        <f>I16/I6</f>
        <v>#REF!</v>
      </c>
      <c r="K16" s="49">
        <f>COUNTIFS('six months follow-up_in person'!$Q$142:$Q$151, 1,'six months follow-up_in person'!$T$142:$T$151,"Yes")</f>
        <v>0</v>
      </c>
      <c r="L16" s="209" t="e">
        <f>K16/K6</f>
        <v>#DIV/0!</v>
      </c>
      <c r="M16" s="204" t="e">
        <f>COUNTIFS('One year follow-up_inperson'!#REF!, 1,'One year follow-up_inperson'!#REF!,"No")</f>
        <v>#REF!</v>
      </c>
      <c r="N16" s="211" t="e">
        <f>M16/M6</f>
        <v>#REF!</v>
      </c>
      <c r="O16" s="200">
        <f t="shared" si="5"/>
        <v>6</v>
      </c>
      <c r="P16" s="355">
        <f>O16/O6</f>
        <v>2.4896265560165973E-2</v>
      </c>
      <c r="S16" s="41"/>
    </row>
    <row r="17" spans="1:26" ht="14.25">
      <c r="B17" s="3" t="s">
        <v>86</v>
      </c>
      <c r="C17" s="46">
        <f>COUNTIF('six months follow-up_in person'!$M$33:$M$425, 1)</f>
        <v>206</v>
      </c>
      <c r="D17" s="33">
        <f ca="1">C17/C6</f>
        <v>0.85477178423236511</v>
      </c>
      <c r="E17" s="46">
        <f>COUNTIF('One year follow-up_inperson'!$K$23:$K$4510, "1")</f>
        <v>0</v>
      </c>
      <c r="F17" s="33" t="e">
        <f ca="1">E17/E6</f>
        <v>#REF!</v>
      </c>
      <c r="G17" s="48">
        <f>COUNTIFS('six months follow-up_in person'!$M$33:$M$414, 1,'six months follow-up_in person'!$T$33:$T$414,"No")</f>
        <v>206</v>
      </c>
      <c r="H17" s="207">
        <f>G17/G6</f>
        <v>0.85477178423236511</v>
      </c>
      <c r="I17" s="31" t="e">
        <f>COUNTIFS('One year follow-up_inperson'!#REF!, 1,'One year follow-up_inperson'!#REF!,"Yes")</f>
        <v>#REF!</v>
      </c>
      <c r="J17" s="207" t="e">
        <f>I17/I6</f>
        <v>#REF!</v>
      </c>
      <c r="K17" s="49">
        <f>COUNTIFS('six months follow-up_in person'!$M$142:$M$151, 1,'six months follow-up_in person'!$T$142:$T$151,"Yes")</f>
        <v>0</v>
      </c>
      <c r="L17" s="209" t="e">
        <f>K17/K6</f>
        <v>#DIV/0!</v>
      </c>
      <c r="M17" s="204" t="e">
        <f>COUNTIFS('One year follow-up_inperson'!#REF!, 1,'One year follow-up_inperson'!#REF!,"No")</f>
        <v>#REF!</v>
      </c>
      <c r="N17" s="211" t="e">
        <f>M17/M6</f>
        <v>#REF!</v>
      </c>
      <c r="O17" s="200">
        <f t="shared" si="5"/>
        <v>206</v>
      </c>
      <c r="P17" s="355">
        <f>O17/O6</f>
        <v>0.85477178423236511</v>
      </c>
      <c r="Q17" s="41"/>
      <c r="R17" s="24"/>
      <c r="S17" s="41"/>
    </row>
    <row r="18" spans="1:26" ht="14.65" thickBot="1">
      <c r="B18" s="3" t="s">
        <v>153</v>
      </c>
      <c r="C18" s="51">
        <f>COUNTIF('six months follow-up_in person'!$R$33:$R$425, 1)</f>
        <v>213</v>
      </c>
      <c r="D18" s="36">
        <f ca="1">C18/C6</f>
        <v>0.88381742738589208</v>
      </c>
      <c r="E18" s="51">
        <f>COUNTIF('One year follow-up_inperson'!$P$23:$P$4510, "1")</f>
        <v>0</v>
      </c>
      <c r="F18" s="36" t="e">
        <f ca="1">E18/E6</f>
        <v>#REF!</v>
      </c>
      <c r="G18" s="52">
        <f>COUNTIFS('six months follow-up_in person'!$R$33:$R$414, 1,'six months follow-up_in person'!$T$33:$T$414,"No")</f>
        <v>213</v>
      </c>
      <c r="H18" s="208">
        <f>G18/G6</f>
        <v>0.88381742738589208</v>
      </c>
      <c r="I18" s="39" t="e">
        <f>COUNTIFS('One year follow-up_inperson'!#REF!, 1,'One year follow-up_inperson'!#REF!,"Yes")</f>
        <v>#REF!</v>
      </c>
      <c r="J18" s="208" t="e">
        <f>I18/I6</f>
        <v>#REF!</v>
      </c>
      <c r="K18" s="53">
        <f>COUNTIFS('six months follow-up_in person'!$R$142:$R$151, 1,'six months follow-up_in person'!$T$142:$T$151,"Yes")</f>
        <v>0</v>
      </c>
      <c r="L18" s="210" t="e">
        <f>K18/K6</f>
        <v>#DIV/0!</v>
      </c>
      <c r="M18" s="206" t="e">
        <f>COUNTIFS('One year follow-up_inperson'!#REF!, 1,'One year follow-up_inperson'!#REF!,"No")</f>
        <v>#REF!</v>
      </c>
      <c r="N18" s="212" t="e">
        <f>M18/M6</f>
        <v>#REF!</v>
      </c>
      <c r="O18" s="201">
        <f t="shared" si="5"/>
        <v>213</v>
      </c>
      <c r="P18" s="356">
        <f>O18/O6</f>
        <v>0.88381742738589208</v>
      </c>
      <c r="R18" s="24"/>
      <c r="S18" s="41"/>
    </row>
    <row r="19" spans="1:26" ht="14.25">
      <c r="J19" s="6"/>
      <c r="K19" s="6"/>
      <c r="L19" s="6"/>
      <c r="R19" s="6"/>
      <c r="S19" s="6"/>
    </row>
    <row r="20" spans="1:26" ht="14.25">
      <c r="A20" s="62"/>
      <c r="B20" s="62"/>
      <c r="J20" s="6"/>
      <c r="K20" s="6"/>
      <c r="L20" s="6"/>
      <c r="P20" s="213"/>
      <c r="Q20" s="214"/>
    </row>
    <row r="21" spans="1:26" ht="14.25">
      <c r="A21" s="62"/>
      <c r="B21" s="262"/>
      <c r="H21" s="78"/>
      <c r="J21" s="79"/>
      <c r="K21" s="6"/>
      <c r="L21" s="6"/>
      <c r="P21" s="215"/>
      <c r="Q21" s="214"/>
    </row>
    <row r="22" spans="1:26" ht="14.25">
      <c r="A22" s="62"/>
      <c r="B22" s="262"/>
      <c r="H22" s="78"/>
      <c r="J22" s="79"/>
      <c r="K22" s="49"/>
      <c r="L22" s="6"/>
      <c r="P22" s="213"/>
      <c r="Q22" s="214"/>
    </row>
    <row r="23" spans="1:26" ht="14.25">
      <c r="A23" s="62"/>
      <c r="B23" s="262"/>
      <c r="H23" s="78"/>
      <c r="J23" s="79"/>
      <c r="K23" s="6"/>
      <c r="L23" s="6"/>
      <c r="P23" s="216"/>
      <c r="Q23" s="214"/>
    </row>
    <row r="24" spans="1:26" ht="14.25">
      <c r="A24" s="62"/>
      <c r="B24" s="62"/>
      <c r="D24" s="78"/>
      <c r="F24" s="78"/>
      <c r="J24" s="6"/>
      <c r="K24" s="6"/>
      <c r="L24" s="6"/>
    </row>
    <row r="25" spans="1:26" ht="14.25">
      <c r="B25" s="62"/>
      <c r="D25" s="78"/>
      <c r="F25" s="78"/>
      <c r="J25" s="6"/>
      <c r="K25" s="6"/>
      <c r="L25" s="6"/>
    </row>
    <row r="26" spans="1:26" ht="14.25">
      <c r="A26" s="6"/>
      <c r="B26" s="6"/>
      <c r="C26" s="49"/>
      <c r="D26" s="49"/>
      <c r="E26" s="49"/>
      <c r="F26" s="49"/>
      <c r="G26" s="49"/>
      <c r="H26" s="6"/>
      <c r="I26" s="6"/>
      <c r="J26" s="6"/>
      <c r="K26" s="6"/>
      <c r="L26" s="6"/>
      <c r="M26" s="6"/>
      <c r="N26" s="6"/>
      <c r="O26" s="6"/>
      <c r="V26" s="6"/>
      <c r="W26" s="6"/>
      <c r="X26" s="6"/>
      <c r="Y26" s="6"/>
      <c r="Z26" s="6"/>
    </row>
    <row r="27" spans="1:26" ht="14.25">
      <c r="A27" s="6"/>
      <c r="B27" s="6"/>
      <c r="C27" s="49"/>
      <c r="D27" s="49"/>
      <c r="E27" s="49"/>
      <c r="F27" s="49"/>
      <c r="G27" s="49"/>
      <c r="H27" s="6"/>
      <c r="I27" s="6"/>
      <c r="J27" s="6"/>
      <c r="K27" s="6"/>
      <c r="L27" s="6"/>
      <c r="M27" s="6"/>
      <c r="N27" s="6"/>
      <c r="O27" s="6"/>
      <c r="P27" s="6"/>
      <c r="Q27" s="6"/>
      <c r="R27" s="6"/>
      <c r="S27" s="6"/>
      <c r="T27" s="6"/>
      <c r="U27" s="6"/>
      <c r="V27" s="6"/>
      <c r="W27" s="6"/>
      <c r="X27" s="6"/>
      <c r="Y27" s="6"/>
      <c r="Z27" s="6"/>
    </row>
    <row r="28" spans="1:26" ht="14.65" thickBot="1">
      <c r="A28" s="6"/>
      <c r="B28" s="2" t="s">
        <v>53</v>
      </c>
      <c r="C28" s="49"/>
      <c r="D28" s="49"/>
      <c r="E28" s="49"/>
      <c r="F28" s="49"/>
      <c r="G28" s="49"/>
      <c r="H28" s="6"/>
      <c r="I28" s="6"/>
      <c r="J28" s="6"/>
      <c r="K28" s="41"/>
      <c r="L28" s="6"/>
      <c r="M28" s="6"/>
      <c r="N28" s="6"/>
      <c r="O28" s="6"/>
      <c r="P28" s="6"/>
      <c r="Q28" s="6"/>
      <c r="R28" s="6"/>
      <c r="S28" s="6"/>
      <c r="T28" s="6"/>
      <c r="U28" s="6"/>
      <c r="V28" s="6"/>
      <c r="W28" s="6"/>
      <c r="X28" s="6"/>
      <c r="Y28" s="6"/>
      <c r="Z28" s="6"/>
    </row>
    <row r="29" spans="1:26" ht="14.25">
      <c r="A29" s="241" t="s">
        <v>54</v>
      </c>
      <c r="B29" s="242" t="s">
        <v>55</v>
      </c>
      <c r="C29" s="320"/>
      <c r="D29" s="320"/>
      <c r="E29" s="320"/>
      <c r="F29" s="320"/>
      <c r="G29" s="320"/>
      <c r="H29" s="245"/>
      <c r="I29" s="245"/>
      <c r="J29" s="242" t="s">
        <v>56</v>
      </c>
      <c r="K29" s="321"/>
      <c r="L29" s="245"/>
      <c r="M29" s="245"/>
      <c r="N29" s="245"/>
      <c r="O29" s="391"/>
      <c r="P29" s="6"/>
      <c r="Q29" s="326" t="s">
        <v>57</v>
      </c>
      <c r="R29" s="305"/>
      <c r="S29" s="305"/>
      <c r="T29" s="305"/>
      <c r="U29" s="305"/>
      <c r="V29" s="306"/>
      <c r="W29" s="6"/>
      <c r="X29" s="6"/>
      <c r="Y29" s="6"/>
      <c r="Z29" s="6"/>
    </row>
    <row r="30" spans="1:26" ht="14.25">
      <c r="A30" s="246"/>
      <c r="B30" s="190"/>
      <c r="C30" s="228" t="s">
        <v>58</v>
      </c>
      <c r="D30" s="228" t="s">
        <v>59</v>
      </c>
      <c r="E30" s="228" t="s">
        <v>60</v>
      </c>
      <c r="F30" s="228" t="s">
        <v>61</v>
      </c>
      <c r="G30" s="219" t="s">
        <v>104</v>
      </c>
      <c r="H30" s="251" t="s">
        <v>103</v>
      </c>
      <c r="I30" s="190"/>
      <c r="J30" s="247" t="s">
        <v>62</v>
      </c>
      <c r="K30" s="228" t="s">
        <v>58</v>
      </c>
      <c r="L30" s="228" t="s">
        <v>59</v>
      </c>
      <c r="M30" s="228" t="s">
        <v>60</v>
      </c>
      <c r="N30" s="228" t="s">
        <v>61</v>
      </c>
      <c r="O30" s="229" t="s">
        <v>104</v>
      </c>
      <c r="Q30" s="327"/>
      <c r="R30" s="228" t="s">
        <v>58</v>
      </c>
      <c r="S30" s="228" t="s">
        <v>59</v>
      </c>
      <c r="T30" s="228" t="s">
        <v>60</v>
      </c>
      <c r="U30" s="228" t="s">
        <v>61</v>
      </c>
      <c r="V30" s="229" t="s">
        <v>104</v>
      </c>
    </row>
    <row r="31" spans="1:26" ht="14.25">
      <c r="A31" s="246"/>
      <c r="B31" s="190" t="str">
        <f>'six months follow-up_in person'!F2</f>
        <v>NWC Rusizi Group 1</v>
      </c>
      <c r="C31" s="322" t="str">
        <f ca="1">IFERROR(__xludf.DUMMYFUNCTION("""COMPUTED_VALUE"""),"279")</f>
        <v>279</v>
      </c>
      <c r="D31" s="322">
        <f ca="1">COUNTIF('six months follow-up_in person'!$C$22:$C$408,C31)</f>
        <v>17</v>
      </c>
      <c r="E31" s="259" t="s">
        <v>3</v>
      </c>
      <c r="F31" s="259" t="s">
        <v>5</v>
      </c>
      <c r="G31" s="259" t="s">
        <v>5</v>
      </c>
      <c r="H31" s="194" t="b">
        <f ca="1">'six months follow-up_in person'!J2=' Analysis_Stats_in person'!D31</f>
        <v>1</v>
      </c>
      <c r="I31" s="190"/>
      <c r="J31" s="190" t="str">
        <f>B31</f>
        <v>NWC Rusizi Group 1</v>
      </c>
      <c r="K31" s="322" t="str">
        <f ca="1">IFERROR(__xludf.DUMMYFUNCTION("""COMPUTED_VALUE"""),"279")</f>
        <v>279</v>
      </c>
      <c r="L31" s="322">
        <f ca="1">COUNTIF('six months follow-up_in person'!$C$33:$C$408,K31)</f>
        <v>17</v>
      </c>
      <c r="M31" s="259" t="s">
        <v>3</v>
      </c>
      <c r="N31" s="259" t="s">
        <v>5</v>
      </c>
      <c r="O31" s="260" t="s">
        <v>5</v>
      </c>
      <c r="Q31" s="328" t="str">
        <f>J31</f>
        <v>NWC Rusizi Group 1</v>
      </c>
      <c r="R31" s="322" t="str">
        <f ca="1">IFERROR(__xludf.DUMMYFUNCTION("""COMPUTED_VALUE"""),"279")</f>
        <v>279</v>
      </c>
      <c r="S31" s="322">
        <f ca="1">COUNTIF('six months follow-up_in person'!$C$33:$C$408,R31)</f>
        <v>17</v>
      </c>
      <c r="T31" s="259" t="s">
        <v>3</v>
      </c>
      <c r="U31" s="259" t="s">
        <v>5</v>
      </c>
      <c r="V31" s="260" t="s">
        <v>5</v>
      </c>
    </row>
    <row r="32" spans="1:26" ht="14.25">
      <c r="A32" s="246"/>
      <c r="B32" s="190" t="str">
        <f>'six months follow-up_in person'!F3</f>
        <v>NWC Rusizi Group 2</v>
      </c>
      <c r="C32" s="322" t="str">
        <f ca="1">IFERROR(__xludf.DUMMYFUNCTION("""COMPUTED_VALUE"""),"280")</f>
        <v>280</v>
      </c>
      <c r="D32" s="322">
        <f ca="1">COUNTIF('six months follow-up_in person'!$C$33:$C$426,C32)</f>
        <v>22</v>
      </c>
      <c r="E32" s="259" t="s">
        <v>3</v>
      </c>
      <c r="F32" s="259" t="s">
        <v>5</v>
      </c>
      <c r="G32" s="259" t="s">
        <v>5</v>
      </c>
      <c r="H32" s="194" t="b">
        <f ca="1">'six months follow-up_in person'!J3=' Analysis_Stats_in person'!D32</f>
        <v>1</v>
      </c>
      <c r="I32" s="190"/>
      <c r="J32" s="190" t="str">
        <f t="shared" ref="J32:J41" si="6">B32</f>
        <v>NWC Rusizi Group 2</v>
      </c>
      <c r="K32" s="322" t="str">
        <f ca="1">IFERROR(__xludf.DUMMYFUNCTION("""COMPUTED_VALUE"""),"280")</f>
        <v>280</v>
      </c>
      <c r="L32" s="322">
        <f ca="1">COUNTIF('six months follow-up_in person'!$C$33:$C$408,K32)</f>
        <v>22</v>
      </c>
      <c r="M32" s="259" t="s">
        <v>3</v>
      </c>
      <c r="N32" s="259" t="s">
        <v>5</v>
      </c>
      <c r="O32" s="260" t="s">
        <v>5</v>
      </c>
      <c r="Q32" s="328" t="str">
        <f t="shared" ref="Q32:Q41" si="7">J32</f>
        <v>NWC Rusizi Group 2</v>
      </c>
      <c r="R32" s="322" t="str">
        <f ca="1">IFERROR(__xludf.DUMMYFUNCTION("""COMPUTED_VALUE"""),"280")</f>
        <v>280</v>
      </c>
      <c r="S32" s="322">
        <f ca="1">COUNTIF('six months follow-up_in person'!$C$151:$C$426,R32)</f>
        <v>0</v>
      </c>
      <c r="T32" s="259" t="s">
        <v>3</v>
      </c>
      <c r="U32" s="259" t="s">
        <v>5</v>
      </c>
      <c r="V32" s="260" t="s">
        <v>5</v>
      </c>
    </row>
    <row r="33" spans="1:22" ht="14.25">
      <c r="A33" s="246"/>
      <c r="B33" s="190" t="str">
        <f>'six months follow-up_in person'!F4</f>
        <v>NWC Rusizi Group 3</v>
      </c>
      <c r="C33" s="322" t="str">
        <f ca="1">IFERROR(__xludf.DUMMYFUNCTION("""COMPUTED_VALUE"""),"281")</f>
        <v>281</v>
      </c>
      <c r="D33" s="322">
        <f ca="1">COUNTIF('six months follow-up_in person'!$C$33:$C$423,C33)</f>
        <v>15</v>
      </c>
      <c r="E33" s="259" t="s">
        <v>3</v>
      </c>
      <c r="F33" s="259" t="s">
        <v>5</v>
      </c>
      <c r="G33" s="259" t="s">
        <v>5</v>
      </c>
      <c r="H33" s="194" t="b">
        <f ca="1">'six months follow-up_in person'!J4=' Analysis_Stats_in person'!D33</f>
        <v>1</v>
      </c>
      <c r="I33" s="190"/>
      <c r="J33" s="190" t="str">
        <f t="shared" si="6"/>
        <v>NWC Rusizi Group 3</v>
      </c>
      <c r="K33" s="322" t="str">
        <f ca="1">IFERROR(__xludf.DUMMYFUNCTION("""COMPUTED_VALUE"""),"281")</f>
        <v>281</v>
      </c>
      <c r="L33" s="322">
        <f ca="1">COUNTIF('six months follow-up_in person'!$C$33:$C$408,K33)</f>
        <v>15</v>
      </c>
      <c r="M33" s="259" t="s">
        <v>3</v>
      </c>
      <c r="N33" s="259" t="s">
        <v>5</v>
      </c>
      <c r="O33" s="260" t="s">
        <v>5</v>
      </c>
      <c r="Q33" s="328" t="str">
        <f t="shared" si="7"/>
        <v>NWC Rusizi Group 3</v>
      </c>
      <c r="R33" s="322" t="str">
        <f ca="1">IFERROR(__xludf.DUMMYFUNCTION("""COMPUTED_VALUE"""),"281")</f>
        <v>281</v>
      </c>
      <c r="S33" s="322">
        <f ca="1">COUNTIF('six months follow-up_in person'!$C$151:$C$423,R33)</f>
        <v>0</v>
      </c>
      <c r="T33" s="259" t="s">
        <v>3</v>
      </c>
      <c r="U33" s="259" t="s">
        <v>5</v>
      </c>
      <c r="V33" s="260" t="s">
        <v>5</v>
      </c>
    </row>
    <row r="34" spans="1:22" ht="14.25">
      <c r="A34" s="246"/>
      <c r="B34" s="190" t="str">
        <f>'six months follow-up_in person'!F5</f>
        <v>NWC Rusizi Group 4</v>
      </c>
      <c r="C34" s="322" t="str">
        <f ca="1">IFERROR(__xludf.DUMMYFUNCTION("""COMPUTED_VALUE"""),"282")</f>
        <v>282</v>
      </c>
      <c r="D34" s="322">
        <f ca="1">COUNTIF('six months follow-up_in person'!$C$11:$C$405,C34)</f>
        <v>37</v>
      </c>
      <c r="E34" s="259" t="s">
        <v>3</v>
      </c>
      <c r="F34" s="259" t="s">
        <v>5</v>
      </c>
      <c r="G34" s="259" t="s">
        <v>5</v>
      </c>
      <c r="H34" s="194" t="b">
        <f ca="1">'six months follow-up_in person'!J5=' Analysis_Stats_in person'!D34</f>
        <v>1</v>
      </c>
      <c r="I34" s="190"/>
      <c r="J34" s="190" t="str">
        <f t="shared" si="6"/>
        <v>NWC Rusizi Group 4</v>
      </c>
      <c r="K34" s="322" t="str">
        <f ca="1">IFERROR(__xludf.DUMMYFUNCTION("""COMPUTED_VALUE"""),"282")</f>
        <v>282</v>
      </c>
      <c r="L34" s="322">
        <f ca="1">COUNTIF('six months follow-up_in person'!$C$33:$C$408,K34)</f>
        <v>37</v>
      </c>
      <c r="M34" s="259" t="s">
        <v>3</v>
      </c>
      <c r="N34" s="259" t="s">
        <v>5</v>
      </c>
      <c r="O34" s="260" t="s">
        <v>5</v>
      </c>
      <c r="Q34" s="328" t="str">
        <f t="shared" si="7"/>
        <v>NWC Rusizi Group 4</v>
      </c>
      <c r="R34" s="322" t="str">
        <f ca="1">IFERROR(__xludf.DUMMYFUNCTION("""COMPUTED_VALUE"""),"282")</f>
        <v>282</v>
      </c>
      <c r="S34" s="322">
        <f ca="1">COUNTIF('six months follow-up_in person'!$C$151:$C$405,R34)</f>
        <v>0</v>
      </c>
      <c r="T34" s="259" t="s">
        <v>3</v>
      </c>
      <c r="U34" s="259" t="s">
        <v>5</v>
      </c>
      <c r="V34" s="260" t="s">
        <v>5</v>
      </c>
    </row>
    <row r="35" spans="1:22" ht="14.25">
      <c r="A35" s="246"/>
      <c r="B35" s="190" t="str">
        <f>'six months follow-up_in person'!F6</f>
        <v>NWC Rusizi Group 5</v>
      </c>
      <c r="C35" s="322" t="str">
        <f ca="1">IFERROR(__xludf.DUMMYFUNCTION("""COMPUTED_VALUE"""),"283")</f>
        <v>283</v>
      </c>
      <c r="D35" s="322">
        <f ca="1">COUNTIF('six months follow-up_in person'!$C$33:$C$4005,C35)</f>
        <v>4</v>
      </c>
      <c r="E35" s="259" t="s">
        <v>3</v>
      </c>
      <c r="F35" s="259" t="s">
        <v>5</v>
      </c>
      <c r="G35" s="259" t="s">
        <v>5</v>
      </c>
      <c r="H35" s="194" t="b">
        <f ca="1">'six months follow-up_in person'!J6=' Analysis_Stats_in person'!D35</f>
        <v>1</v>
      </c>
      <c r="I35" s="190"/>
      <c r="J35" s="190" t="str">
        <f t="shared" si="6"/>
        <v>NWC Rusizi Group 5</v>
      </c>
      <c r="K35" s="322" t="str">
        <f ca="1">IFERROR(__xludf.DUMMYFUNCTION("""COMPUTED_VALUE"""),"283")</f>
        <v>283</v>
      </c>
      <c r="L35" s="322">
        <f ca="1">COUNTIF('six months follow-up_in person'!$C$33:$C$408,K35)</f>
        <v>4</v>
      </c>
      <c r="M35" s="259" t="s">
        <v>3</v>
      </c>
      <c r="N35" s="259" t="s">
        <v>5</v>
      </c>
      <c r="O35" s="260" t="s">
        <v>5</v>
      </c>
      <c r="Q35" s="328" t="str">
        <f t="shared" si="7"/>
        <v>NWC Rusizi Group 5</v>
      </c>
      <c r="R35" s="322" t="str">
        <f ca="1">IFERROR(__xludf.DUMMYFUNCTION("""COMPUTED_VALUE"""),"283")</f>
        <v>283</v>
      </c>
      <c r="S35" s="322">
        <f ca="1">COUNTIF('six months follow-up_in person'!$C$33:$C$4005,R35)</f>
        <v>4</v>
      </c>
      <c r="T35" s="259" t="s">
        <v>3</v>
      </c>
      <c r="U35" s="259" t="s">
        <v>5</v>
      </c>
      <c r="V35" s="260" t="s">
        <v>5</v>
      </c>
    </row>
    <row r="36" spans="1:22" ht="14.25">
      <c r="A36" s="246"/>
      <c r="B36" s="190" t="str">
        <f>'six months follow-up_in person'!F7</f>
        <v>NWC Rusizi Group 6</v>
      </c>
      <c r="C36" s="322" t="str">
        <f ca="1">IFERROR(__xludf.DUMMYFUNCTION("""COMPUTED_VALUE"""),"284")</f>
        <v>284</v>
      </c>
      <c r="D36" s="322">
        <f ca="1">COUNTIF('six months follow-up_in person'!$C$151:$C$405,C36)</f>
        <v>0</v>
      </c>
      <c r="E36" s="259" t="s">
        <v>3</v>
      </c>
      <c r="F36" s="259" t="s">
        <v>5</v>
      </c>
      <c r="G36" s="259" t="s">
        <v>5</v>
      </c>
      <c r="H36" s="194" t="b">
        <f ca="1">'six months follow-up_in person'!J7=' Analysis_Stats_in person'!D36</f>
        <v>1</v>
      </c>
      <c r="I36" s="190"/>
      <c r="J36" s="190" t="str">
        <f t="shared" si="6"/>
        <v>NWC Rusizi Group 6</v>
      </c>
      <c r="K36" s="322" t="str">
        <f ca="1">IFERROR(__xludf.DUMMYFUNCTION("""COMPUTED_VALUE"""),"284")</f>
        <v>284</v>
      </c>
      <c r="L36" s="322">
        <f ca="1">COUNTIF('six months follow-up_in person'!$C$33:$C$408,K36)</f>
        <v>0</v>
      </c>
      <c r="M36" s="259" t="s">
        <v>3</v>
      </c>
      <c r="N36" s="259" t="s">
        <v>5</v>
      </c>
      <c r="O36" s="260" t="s">
        <v>5</v>
      </c>
      <c r="Q36" s="328" t="str">
        <f t="shared" si="7"/>
        <v>NWC Rusizi Group 6</v>
      </c>
      <c r="R36" s="322" t="str">
        <f ca="1">IFERROR(__xludf.DUMMYFUNCTION("""COMPUTED_VALUE"""),"284")</f>
        <v>284</v>
      </c>
      <c r="S36" s="322">
        <f ca="1">COUNTIF('six months follow-up_in person'!$C$151:$C$405,R36)</f>
        <v>0</v>
      </c>
      <c r="T36" s="259" t="s">
        <v>3</v>
      </c>
      <c r="U36" s="259" t="s">
        <v>5</v>
      </c>
      <c r="V36" s="260" t="s">
        <v>5</v>
      </c>
    </row>
    <row r="37" spans="1:22" ht="14.25">
      <c r="A37" s="246"/>
      <c r="B37" s="190" t="str">
        <f>'six months follow-up_in person'!F8</f>
        <v>NWC Rusizi Group 7</v>
      </c>
      <c r="C37" s="322" t="str">
        <f ca="1">IFERROR(__xludf.DUMMYFUNCTION("""COMPUTED_VALUE"""),"285")</f>
        <v>285</v>
      </c>
      <c r="D37" s="322">
        <f ca="1">COUNTIF('six months follow-up_in person'!$C$33:$C$401,C37)</f>
        <v>9</v>
      </c>
      <c r="E37" s="259" t="s">
        <v>3</v>
      </c>
      <c r="F37" s="259" t="s">
        <v>5</v>
      </c>
      <c r="G37" s="259" t="s">
        <v>5</v>
      </c>
      <c r="H37" s="194" t="b">
        <f ca="1">'six months follow-up_in person'!J8=' Analysis_Stats_in person'!D37</f>
        <v>1</v>
      </c>
      <c r="I37" s="190"/>
      <c r="J37" s="190" t="str">
        <f t="shared" si="6"/>
        <v>NWC Rusizi Group 7</v>
      </c>
      <c r="K37" s="322" t="str">
        <f ca="1">IFERROR(__xludf.DUMMYFUNCTION("""COMPUTED_VALUE"""),"285")</f>
        <v>285</v>
      </c>
      <c r="L37" s="322">
        <f ca="1">COUNTIF('six months follow-up_in person'!$C$33:$C$408,K37)</f>
        <v>9</v>
      </c>
      <c r="M37" s="259" t="s">
        <v>3</v>
      </c>
      <c r="N37" s="259" t="s">
        <v>5</v>
      </c>
      <c r="O37" s="260" t="s">
        <v>5</v>
      </c>
      <c r="Q37" s="328" t="str">
        <f t="shared" si="7"/>
        <v>NWC Rusizi Group 7</v>
      </c>
      <c r="R37" s="322" t="str">
        <f ca="1">IFERROR(__xludf.DUMMYFUNCTION("""COMPUTED_VALUE"""),"285")</f>
        <v>285</v>
      </c>
      <c r="S37" s="322">
        <f ca="1">COUNTIF('six months follow-up_in person'!$C$33:$C$401,R37)</f>
        <v>9</v>
      </c>
      <c r="T37" s="259" t="s">
        <v>3</v>
      </c>
      <c r="U37" s="259" t="s">
        <v>5</v>
      </c>
      <c r="V37" s="260" t="s">
        <v>5</v>
      </c>
    </row>
    <row r="38" spans="1:22" ht="14.25">
      <c r="A38" s="246"/>
      <c r="B38" s="190" t="str">
        <f>'six months follow-up_in person'!F9</f>
        <v>NWC Rusizi Group 8</v>
      </c>
      <c r="C38" s="322" t="str">
        <f ca="1">IFERROR(__xludf.DUMMYFUNCTION("""COMPUTED_VALUE"""),"286")</f>
        <v>286</v>
      </c>
      <c r="D38" s="322">
        <f ca="1">COUNTIF('six months follow-up_in person'!$C$33:$C$401,C38)</f>
        <v>15</v>
      </c>
      <c r="E38" s="259" t="s">
        <v>3</v>
      </c>
      <c r="F38" s="259" t="s">
        <v>5</v>
      </c>
      <c r="G38" s="259" t="s">
        <v>5</v>
      </c>
      <c r="H38" s="194" t="b">
        <f ca="1">'six months follow-up_in person'!J9=' Analysis_Stats_in person'!D38</f>
        <v>1</v>
      </c>
      <c r="I38" s="190"/>
      <c r="J38" s="190" t="str">
        <f t="shared" si="6"/>
        <v>NWC Rusizi Group 8</v>
      </c>
      <c r="K38" s="322" t="str">
        <f ca="1">IFERROR(__xludf.DUMMYFUNCTION("""COMPUTED_VALUE"""),"286")</f>
        <v>286</v>
      </c>
      <c r="L38" s="322">
        <f ca="1">COUNTIF('six months follow-up_in person'!$C$33:$C$408,K38)</f>
        <v>15</v>
      </c>
      <c r="M38" s="259" t="s">
        <v>3</v>
      </c>
      <c r="N38" s="259" t="s">
        <v>5</v>
      </c>
      <c r="O38" s="260" t="s">
        <v>5</v>
      </c>
      <c r="Q38" s="328" t="str">
        <f t="shared" si="7"/>
        <v>NWC Rusizi Group 8</v>
      </c>
      <c r="R38" s="322" t="str">
        <f ca="1">IFERROR(__xludf.DUMMYFUNCTION("""COMPUTED_VALUE"""),"286")</f>
        <v>286</v>
      </c>
      <c r="S38" s="322">
        <f ca="1">COUNTIF('six months follow-up_in person'!$C$33:$C$401,R38)</f>
        <v>15</v>
      </c>
      <c r="T38" s="259" t="s">
        <v>3</v>
      </c>
      <c r="U38" s="259" t="s">
        <v>5</v>
      </c>
      <c r="V38" s="260" t="s">
        <v>5</v>
      </c>
    </row>
    <row r="39" spans="1:22" ht="14.25">
      <c r="A39" s="246"/>
      <c r="B39" s="190" t="str">
        <f>'six months follow-up_in person'!F10</f>
        <v>Sangira Nyamasheke</v>
      </c>
      <c r="C39" s="322" t="str">
        <f ca="1">IFERROR(__xludf.DUMMYFUNCTION("""COMPUTED_VALUE"""),"289")</f>
        <v>289</v>
      </c>
      <c r="D39" s="322">
        <f ca="1">COUNTIF('six months follow-up_in person'!$C$33:$C$401,C39)</f>
        <v>41</v>
      </c>
      <c r="E39" s="259" t="s">
        <v>3</v>
      </c>
      <c r="F39" s="259" t="s">
        <v>5</v>
      </c>
      <c r="G39" s="259" t="s">
        <v>3</v>
      </c>
      <c r="H39" s="194" t="b">
        <f ca="1">'six months follow-up_in person'!J10=' Analysis_Stats_in person'!D39</f>
        <v>1</v>
      </c>
      <c r="I39" s="190"/>
      <c r="J39" s="190" t="str">
        <f t="shared" si="6"/>
        <v>Sangira Nyamasheke</v>
      </c>
      <c r="K39" s="322" t="str">
        <f ca="1">IFERROR(__xludf.DUMMYFUNCTION("""COMPUTED_VALUE"""),"289")</f>
        <v>289</v>
      </c>
      <c r="L39" s="322">
        <f ca="1">COUNTIF('six months follow-up_in person'!$C$33:$C$408,K39)</f>
        <v>41</v>
      </c>
      <c r="M39" s="259" t="s">
        <v>3</v>
      </c>
      <c r="N39" s="259" t="s">
        <v>5</v>
      </c>
      <c r="O39" s="260" t="s">
        <v>3</v>
      </c>
      <c r="Q39" s="328" t="str">
        <f t="shared" si="7"/>
        <v>Sangira Nyamasheke</v>
      </c>
      <c r="R39" s="322" t="str">
        <f ca="1">IFERROR(__xludf.DUMMYFUNCTION("""COMPUTED_VALUE"""),"289")</f>
        <v>289</v>
      </c>
      <c r="S39" s="322">
        <f ca="1">COUNTIF('six months follow-up_in person'!$C$33:$C$401,R39)</f>
        <v>41</v>
      </c>
      <c r="T39" s="259" t="s">
        <v>3</v>
      </c>
      <c r="U39" s="259" t="s">
        <v>5</v>
      </c>
      <c r="V39" s="260" t="s">
        <v>3</v>
      </c>
    </row>
    <row r="40" spans="1:22" ht="14.25">
      <c r="A40" s="246"/>
      <c r="B40" s="190" t="str">
        <f>'six months follow-up_in person'!F11</f>
        <v>APEFE Bumbogo</v>
      </c>
      <c r="C40" s="322" t="str">
        <f ca="1">IFERROR(__xludf.DUMMYFUNCTION("""COMPUTED_VALUE"""),"290")</f>
        <v>290</v>
      </c>
      <c r="D40" s="322">
        <f ca="1">COUNTIF('six months follow-up_in person'!$C$33:$C$401,C40)</f>
        <v>20</v>
      </c>
      <c r="E40" s="259" t="s">
        <v>3</v>
      </c>
      <c r="F40" s="259" t="s">
        <v>5</v>
      </c>
      <c r="G40" s="259" t="s">
        <v>3</v>
      </c>
      <c r="H40" s="194" t="b">
        <f ca="1">'six months follow-up_in person'!J11=' Analysis_Stats_in person'!D40</f>
        <v>1</v>
      </c>
      <c r="I40" s="190"/>
      <c r="J40" s="190" t="str">
        <f t="shared" si="6"/>
        <v>APEFE Bumbogo</v>
      </c>
      <c r="K40" s="322" t="str">
        <f ca="1">IFERROR(__xludf.DUMMYFUNCTION("""COMPUTED_VALUE"""),"290")</f>
        <v>290</v>
      </c>
      <c r="L40" s="322">
        <f ca="1">COUNTIF('six months follow-up_in person'!$C$33:$C$408,K40)</f>
        <v>20</v>
      </c>
      <c r="M40" s="259" t="s">
        <v>3</v>
      </c>
      <c r="N40" s="259" t="s">
        <v>5</v>
      </c>
      <c r="O40" s="260" t="s">
        <v>3</v>
      </c>
      <c r="Q40" s="328" t="str">
        <f t="shared" si="7"/>
        <v>APEFE Bumbogo</v>
      </c>
      <c r="R40" s="322" t="str">
        <f ca="1">IFERROR(__xludf.DUMMYFUNCTION("""COMPUTED_VALUE"""),"290")</f>
        <v>290</v>
      </c>
      <c r="S40" s="322">
        <f ca="1">COUNTIF('six months follow-up_in person'!$C$33:$C$401,R40)</f>
        <v>20</v>
      </c>
      <c r="T40" s="259" t="s">
        <v>3</v>
      </c>
      <c r="U40" s="259" t="s">
        <v>5</v>
      </c>
      <c r="V40" s="260" t="s">
        <v>3</v>
      </c>
    </row>
    <row r="41" spans="1:22" ht="14.25">
      <c r="A41" s="246"/>
      <c r="B41" s="190" t="str">
        <f>'six months follow-up_in person'!F12</f>
        <v>APEFE Gacuriro</v>
      </c>
      <c r="C41" s="322" t="str">
        <f ca="1">IFERROR(__xludf.DUMMYFUNCTION("""COMPUTED_VALUE"""),"291")</f>
        <v>291</v>
      </c>
      <c r="D41" s="322">
        <f ca="1">COUNTIF('six months follow-up_in person'!$C$33:$C$401,C41)</f>
        <v>61</v>
      </c>
      <c r="E41" s="259" t="s">
        <v>3</v>
      </c>
      <c r="F41" s="259" t="s">
        <v>5</v>
      </c>
      <c r="G41" s="259" t="s">
        <v>3</v>
      </c>
      <c r="H41" s="194" t="b">
        <f ca="1">'six months follow-up_in person'!J12=' Analysis_Stats_in person'!D41</f>
        <v>1</v>
      </c>
      <c r="I41" s="190"/>
      <c r="J41" s="190" t="str">
        <f t="shared" si="6"/>
        <v>APEFE Gacuriro</v>
      </c>
      <c r="K41" s="322" t="str">
        <f ca="1">IFERROR(__xludf.DUMMYFUNCTION("""COMPUTED_VALUE"""),"291")</f>
        <v>291</v>
      </c>
      <c r="L41" s="322">
        <f ca="1">COUNTIF('six months follow-up_in person'!$C$33:$C$408,K41)</f>
        <v>61</v>
      </c>
      <c r="M41" s="259" t="s">
        <v>3</v>
      </c>
      <c r="N41" s="259" t="s">
        <v>5</v>
      </c>
      <c r="O41" s="260" t="s">
        <v>3</v>
      </c>
      <c r="Q41" s="328" t="str">
        <f t="shared" si="7"/>
        <v>APEFE Gacuriro</v>
      </c>
      <c r="R41" s="322" t="str">
        <f ca="1">IFERROR(__xludf.DUMMYFUNCTION("""COMPUTED_VALUE"""),"291")</f>
        <v>291</v>
      </c>
      <c r="S41" s="322">
        <f ca="1">COUNTIF('six months follow-up_in person'!$C$33:$C$401,R41)</f>
        <v>61</v>
      </c>
      <c r="T41" s="259" t="s">
        <v>3</v>
      </c>
      <c r="U41" s="259" t="s">
        <v>5</v>
      </c>
      <c r="V41" s="260" t="s">
        <v>3</v>
      </c>
    </row>
    <row r="42" spans="1:22" ht="14.65" thickBot="1">
      <c r="A42" s="264"/>
      <c r="B42" s="269"/>
      <c r="C42" s="515"/>
      <c r="D42" s="515"/>
      <c r="E42" s="516"/>
      <c r="F42" s="516"/>
      <c r="G42" s="518"/>
      <c r="H42" s="519"/>
      <c r="I42" s="269"/>
      <c r="J42" s="269"/>
      <c r="K42" s="515"/>
      <c r="L42" s="520"/>
      <c r="M42" s="516"/>
      <c r="N42" s="516"/>
      <c r="O42" s="507"/>
      <c r="Q42" s="323"/>
      <c r="R42" s="514"/>
      <c r="S42" s="515"/>
      <c r="T42" s="516"/>
      <c r="U42" s="516"/>
      <c r="V42" s="507"/>
    </row>
    <row r="43" spans="1:22" ht="14.65" thickBot="1">
      <c r="A43" s="323"/>
      <c r="B43" s="517" t="s">
        <v>63</v>
      </c>
      <c r="C43" s="512"/>
      <c r="D43" s="512">
        <f ca="1">SUM(D31:D42)</f>
        <v>241</v>
      </c>
      <c r="E43" s="512">
        <f ca="1">SUMIF(E31:E42, "Yes", $D$31:$D$42)</f>
        <v>241</v>
      </c>
      <c r="F43" s="512">
        <f>SUMIF(F31:F42, "Yes", $D$31:$D$42)</f>
        <v>0</v>
      </c>
      <c r="G43" s="512">
        <f ca="1">SUMIF(G31:G42, "Yes", $D$31:$D$42)</f>
        <v>122</v>
      </c>
      <c r="H43" s="325"/>
      <c r="I43" s="325"/>
      <c r="J43" s="517" t="s">
        <v>63</v>
      </c>
      <c r="K43" s="512"/>
      <c r="L43" s="512">
        <f ca="1">SUM(L31:L42)</f>
        <v>241</v>
      </c>
      <c r="M43" s="512">
        <f ca="1">SUMIF(M31:M42, "Yes", $L$31:$L$42)</f>
        <v>241</v>
      </c>
      <c r="N43" s="512">
        <f>SUMIF(N31:N42, "Yes", $L$31:$L$42)</f>
        <v>0</v>
      </c>
      <c r="O43" s="513">
        <f ca="1">SUMIF(O31:O42, "Yes", $L$31:$L$42)</f>
        <v>122</v>
      </c>
      <c r="Q43" s="511" t="s">
        <v>63</v>
      </c>
      <c r="R43" s="512"/>
      <c r="S43" s="512">
        <f ca="1">SUM(S31:S42)</f>
        <v>167</v>
      </c>
      <c r="T43" s="512">
        <f ca="1">SUMIF(T31:T42, "Yes", $L$31:$L$42)</f>
        <v>241</v>
      </c>
      <c r="U43" s="512">
        <f>SUMIF(U31:U42, "Yes", $L$31:$L$42)</f>
        <v>0</v>
      </c>
      <c r="V43" s="513">
        <f ca="1">SUMIF(V31:V42, "Yes", $L$31:$L$42)</f>
        <v>122</v>
      </c>
    </row>
    <row r="44" spans="1:22" ht="14.25">
      <c r="A44" s="241" t="s">
        <v>64</v>
      </c>
      <c r="B44" s="242"/>
      <c r="C44" s="243"/>
      <c r="D44" s="244" t="b">
        <f ca="1">D43='six months follow-up_in person'!H29</f>
        <v>1</v>
      </c>
      <c r="E44" s="243"/>
      <c r="F44" s="243"/>
      <c r="G44" s="242"/>
      <c r="H44" s="243"/>
      <c r="I44" s="243"/>
      <c r="J44" s="242"/>
      <c r="K44" s="245"/>
      <c r="L44" s="245"/>
      <c r="M44" s="245"/>
      <c r="N44" s="245"/>
      <c r="O44" s="245"/>
      <c r="P44" s="245"/>
      <c r="Q44" s="245"/>
      <c r="R44" s="245"/>
      <c r="S44" s="245"/>
      <c r="T44" s="245"/>
      <c r="U44" s="245"/>
      <c r="V44" s="203"/>
    </row>
    <row r="45" spans="1:22" ht="14.25">
      <c r="A45" s="246"/>
      <c r="B45" s="247"/>
      <c r="C45" s="248"/>
      <c r="D45" s="190"/>
      <c r="E45" s="248"/>
      <c r="F45" s="248"/>
      <c r="G45" s="247"/>
      <c r="H45" s="248"/>
      <c r="I45" s="248"/>
      <c r="J45" s="247"/>
      <c r="K45" s="190"/>
      <c r="L45" s="190"/>
      <c r="M45" s="190"/>
      <c r="N45" s="190"/>
      <c r="O45" s="190"/>
      <c r="P45" s="190"/>
      <c r="Q45" s="190"/>
      <c r="R45" s="190"/>
      <c r="S45" s="190"/>
      <c r="T45" s="190"/>
      <c r="U45" s="190"/>
      <c r="V45" s="249"/>
    </row>
    <row r="46" spans="1:22" ht="14.25">
      <c r="A46" s="246"/>
      <c r="B46" s="247"/>
      <c r="C46" s="248"/>
      <c r="D46" s="190"/>
      <c r="E46" s="248"/>
      <c r="F46" s="248"/>
      <c r="G46" s="247"/>
      <c r="H46" s="248"/>
      <c r="I46" s="248"/>
      <c r="J46" s="247"/>
      <c r="K46" s="190"/>
      <c r="L46" s="190"/>
      <c r="M46" s="190"/>
      <c r="N46" s="190"/>
      <c r="O46" s="190"/>
      <c r="P46" s="190"/>
      <c r="Q46" s="190"/>
      <c r="R46" s="190"/>
      <c r="S46" s="190"/>
      <c r="T46" s="190"/>
      <c r="U46" s="190"/>
      <c r="V46" s="249"/>
    </row>
    <row r="47" spans="1:22" ht="14.25">
      <c r="A47" s="246"/>
      <c r="B47" s="247" t="s">
        <v>65</v>
      </c>
      <c r="C47" s="200"/>
      <c r="D47" s="200"/>
      <c r="E47" s="200"/>
      <c r="F47" s="200"/>
      <c r="G47" s="200"/>
      <c r="H47" s="190"/>
      <c r="I47" s="190"/>
      <c r="J47" s="247" t="s">
        <v>66</v>
      </c>
      <c r="K47" s="190"/>
      <c r="L47" s="190"/>
      <c r="M47" s="190"/>
      <c r="N47" s="190"/>
      <c r="O47" s="190"/>
      <c r="P47" s="190"/>
      <c r="Q47" s="247" t="s">
        <v>67</v>
      </c>
      <c r="R47" s="190"/>
      <c r="S47" s="190"/>
      <c r="T47" s="190"/>
      <c r="U47" s="190"/>
      <c r="V47" s="249"/>
    </row>
    <row r="48" spans="1:22" ht="14.25">
      <c r="A48" s="246"/>
      <c r="B48" s="190"/>
      <c r="C48" s="250" t="s">
        <v>58</v>
      </c>
      <c r="D48" s="250" t="s">
        <v>59</v>
      </c>
      <c r="E48" s="228" t="s">
        <v>60</v>
      </c>
      <c r="F48" s="228" t="s">
        <v>61</v>
      </c>
      <c r="G48" s="219" t="s">
        <v>104</v>
      </c>
      <c r="H48" s="251" t="s">
        <v>103</v>
      </c>
      <c r="I48" s="190"/>
      <c r="J48" s="247" t="s">
        <v>68</v>
      </c>
      <c r="K48" s="228" t="s">
        <v>58</v>
      </c>
      <c r="L48" s="228" t="s">
        <v>59</v>
      </c>
      <c r="M48" s="228" t="s">
        <v>60</v>
      </c>
      <c r="N48" s="228" t="s">
        <v>61</v>
      </c>
      <c r="O48" s="219" t="s">
        <v>104</v>
      </c>
      <c r="P48" s="190"/>
      <c r="Q48" s="247"/>
      <c r="R48" s="228" t="s">
        <v>58</v>
      </c>
      <c r="S48" s="228" t="s">
        <v>59</v>
      </c>
      <c r="T48" s="228" t="s">
        <v>60</v>
      </c>
      <c r="U48" s="228" t="s">
        <v>61</v>
      </c>
      <c r="V48" s="229" t="s">
        <v>104</v>
      </c>
    </row>
    <row r="49" spans="1:22" ht="14.25">
      <c r="A49" s="246"/>
      <c r="B49" s="190">
        <f>'One year follow-up_inperson'!C2</f>
        <v>0</v>
      </c>
      <c r="C49" s="61" t="str">
        <f ca="1">IFERROR(__xludf.DUMMYFUNCTION("ARRAY_CONSTRAIN(ARRAYFORMULA(UNIQUE('One year follow-up'!$C10:$C208)), 19, 1)"),"160")</f>
        <v>160</v>
      </c>
      <c r="D49" s="252" t="e">
        <f ca="1">COUNTIF('One year follow-up_inperson'!#REF!,C49)</f>
        <v>#REF!</v>
      </c>
      <c r="E49" s="253" t="s">
        <v>3</v>
      </c>
      <c r="F49" s="253" t="s">
        <v>32</v>
      </c>
      <c r="G49" s="217" t="s">
        <v>3</v>
      </c>
      <c r="H49" s="254" t="e">
        <f ca="1">D49='One year follow-up_inperson'!G2</f>
        <v>#REF!</v>
      </c>
      <c r="I49" s="190"/>
      <c r="J49" s="190">
        <f>'One year follow-up_inperson'!C2</f>
        <v>0</v>
      </c>
      <c r="K49" s="61" t="str">
        <f ca="1">IFERROR(__xludf.DUMMYFUNCTION("ARRAY_CONSTRAIN(ARRAYFORMULA(UNIQUE('One year follow-up'!$C10:$C1000)), 19, 1)"),"160")</f>
        <v>160</v>
      </c>
      <c r="L49" s="255">
        <f ca="1">COUNTIFS('One year follow-up_inperson'!$B$23:$B$2653,K49,'One year follow-up_inperson'!$R$23:$R$2653,"Yes")</f>
        <v>0</v>
      </c>
      <c r="M49" s="253" t="s">
        <v>3</v>
      </c>
      <c r="N49" s="253" t="s">
        <v>32</v>
      </c>
      <c r="O49" s="217" t="s">
        <v>3</v>
      </c>
      <c r="P49" s="190"/>
      <c r="Q49" s="190">
        <f>'One year follow-up_inperson'!C2</f>
        <v>0</v>
      </c>
      <c r="R49" s="61" t="str">
        <f ca="1">IFERROR(__xludf.DUMMYFUNCTION("ARRAY_CONSTRAIN(ARRAYFORMULA(UNIQUE('One year follow-up'!$C10:$C208)), 19, 1)"),"160")</f>
        <v>160</v>
      </c>
      <c r="S49" s="190" t="e">
        <f ca="1">COUNTIFS('One year follow-up_inperson'!#REF!,R49,'One year follow-up_inperson'!#REF!,"No")</f>
        <v>#REF!</v>
      </c>
      <c r="T49" s="252" t="s">
        <v>3</v>
      </c>
      <c r="U49" s="257" t="s">
        <v>32</v>
      </c>
      <c r="V49" s="258" t="s">
        <v>3</v>
      </c>
    </row>
    <row r="50" spans="1:22" ht="14.25">
      <c r="A50" s="246"/>
      <c r="B50" s="190">
        <f>'One year follow-up_inperson'!C3</f>
        <v>0</v>
      </c>
      <c r="C50" s="252" t="str">
        <f ca="1">IFERROR(__xludf.DUMMYFUNCTION("""COMPUTED_VALUE"""),"156")</f>
        <v>156</v>
      </c>
      <c r="D50" s="252" t="e">
        <f ca="1">COUNTIF('One year follow-up_inperson'!#REF!,C50)</f>
        <v>#REF!</v>
      </c>
      <c r="E50" s="252" t="s">
        <v>3</v>
      </c>
      <c r="F50" s="259" t="s">
        <v>32</v>
      </c>
      <c r="G50" s="217" t="s">
        <v>3</v>
      </c>
      <c r="H50" s="254" t="e">
        <f ca="1">D50='One year follow-up_inperson'!G3</f>
        <v>#REF!</v>
      </c>
      <c r="I50" s="190"/>
      <c r="J50" s="190">
        <f>'One year follow-up_inperson'!C3</f>
        <v>0</v>
      </c>
      <c r="K50" s="61" t="str">
        <f ca="1">IFERROR(__xludf.DUMMYFUNCTION("""COMPUTED_VALUE"""),"156")</f>
        <v>156</v>
      </c>
      <c r="L50" s="255" t="e">
        <f ca="1">COUNTIFS('One year follow-up_inperson'!#REF!,K50,'One year follow-up_inperson'!#REF!,"Yes")</f>
        <v>#REF!</v>
      </c>
      <c r="M50" s="252" t="s">
        <v>3</v>
      </c>
      <c r="N50" s="259" t="s">
        <v>32</v>
      </c>
      <c r="O50" s="217" t="s">
        <v>3</v>
      </c>
      <c r="P50" s="190"/>
      <c r="Q50" s="190">
        <f>'One year follow-up_inperson'!C3</f>
        <v>0</v>
      </c>
      <c r="R50" s="61" t="str">
        <f ca="1">IFERROR(__xludf.DUMMYFUNCTION("""COMPUTED_VALUE"""),"156")</f>
        <v>156</v>
      </c>
      <c r="S50" s="190" t="e">
        <f ca="1">COUNTIFS('One year follow-up_inperson'!#REF!,R50,'One year follow-up_inperson'!#REF!,"No")</f>
        <v>#REF!</v>
      </c>
      <c r="T50" s="259" t="s">
        <v>32</v>
      </c>
      <c r="U50" s="259" t="s">
        <v>32</v>
      </c>
      <c r="V50" s="258" t="s">
        <v>3</v>
      </c>
    </row>
    <row r="51" spans="1:22" ht="14.25">
      <c r="A51" s="246"/>
      <c r="B51" s="190">
        <f>'One year follow-up_inperson'!C4</f>
        <v>0</v>
      </c>
      <c r="C51" s="252" t="str">
        <f ca="1">IFERROR(__xludf.DUMMYFUNCTION("""COMPUTED_VALUE"""),"158")</f>
        <v>158</v>
      </c>
      <c r="D51" s="252" t="e">
        <f ca="1">COUNTIF('One year follow-up_inperson'!#REF!,C51)</f>
        <v>#REF!</v>
      </c>
      <c r="E51" s="252" t="s">
        <v>3</v>
      </c>
      <c r="F51" s="259" t="s">
        <v>32</v>
      </c>
      <c r="G51" s="217" t="s">
        <v>3</v>
      </c>
      <c r="H51" s="254" t="e">
        <f ca="1">D51='One year follow-up_inperson'!G4</f>
        <v>#REF!</v>
      </c>
      <c r="I51" s="190"/>
      <c r="J51" s="190">
        <f>'One year follow-up_inperson'!C4</f>
        <v>0</v>
      </c>
      <c r="K51" s="61" t="str">
        <f ca="1">IFERROR(__xludf.DUMMYFUNCTION("""COMPUTED_VALUE"""),"158")</f>
        <v>158</v>
      </c>
      <c r="L51" s="255" t="e">
        <f ca="1">COUNTIFS('One year follow-up_inperson'!#REF!,K51,'One year follow-up_inperson'!#REF!,"Yes")</f>
        <v>#REF!</v>
      </c>
      <c r="M51" s="252" t="s">
        <v>3</v>
      </c>
      <c r="N51" s="259" t="s">
        <v>32</v>
      </c>
      <c r="O51" s="217" t="s">
        <v>3</v>
      </c>
      <c r="P51" s="190"/>
      <c r="Q51" s="190">
        <f>'One year follow-up_inperson'!C4</f>
        <v>0</v>
      </c>
      <c r="R51" s="61" t="str">
        <f ca="1">IFERROR(__xludf.DUMMYFUNCTION("""COMPUTED_VALUE"""),"158")</f>
        <v>158</v>
      </c>
      <c r="S51" s="190" t="e">
        <f ca="1">COUNTIFS('One year follow-up_inperson'!#REF!,R51,'One year follow-up_inperson'!#REF!,"No")</f>
        <v>#REF!</v>
      </c>
      <c r="T51" s="259" t="s">
        <v>32</v>
      </c>
      <c r="U51" s="257" t="s">
        <v>32</v>
      </c>
      <c r="V51" s="258" t="s">
        <v>3</v>
      </c>
    </row>
    <row r="52" spans="1:22" ht="14.25">
      <c r="A52" s="246"/>
      <c r="B52" s="190">
        <f>'One year follow-up_inperson'!C5</f>
        <v>0</v>
      </c>
      <c r="C52" s="252" t="str">
        <f ca="1">IFERROR(__xludf.DUMMYFUNCTION("""COMPUTED_VALUE"""),"159")</f>
        <v>159</v>
      </c>
      <c r="D52" s="252" t="e">
        <f ca="1">COUNTIF('One year follow-up_inperson'!#REF!,C52)</f>
        <v>#REF!</v>
      </c>
      <c r="E52" s="259" t="s">
        <v>3</v>
      </c>
      <c r="F52" s="259" t="s">
        <v>32</v>
      </c>
      <c r="G52" s="256" t="s">
        <v>3</v>
      </c>
      <c r="H52" s="254" t="e">
        <f ca="1">D52='One year follow-up_inperson'!G5</f>
        <v>#REF!</v>
      </c>
      <c r="I52" s="190"/>
      <c r="J52" s="190">
        <f>'One year follow-up_inperson'!C5</f>
        <v>0</v>
      </c>
      <c r="K52" s="61" t="str">
        <f ca="1">IFERROR(__xludf.DUMMYFUNCTION("""COMPUTED_VALUE"""),"159")</f>
        <v>159</v>
      </c>
      <c r="L52" s="255" t="e">
        <f ca="1">COUNTIFS('One year follow-up_inperson'!#REF!,K52,'One year follow-up_inperson'!#REF!,"Yes")</f>
        <v>#REF!</v>
      </c>
      <c r="M52" s="259" t="s">
        <v>3</v>
      </c>
      <c r="N52" s="259" t="s">
        <v>32</v>
      </c>
      <c r="O52" s="256" t="s">
        <v>3</v>
      </c>
      <c r="P52" s="190"/>
      <c r="Q52" s="190">
        <f>'One year follow-up_inperson'!C5</f>
        <v>0</v>
      </c>
      <c r="R52" s="61" t="str">
        <f ca="1">IFERROR(__xludf.DUMMYFUNCTION("""COMPUTED_VALUE"""),"159")</f>
        <v>159</v>
      </c>
      <c r="S52" s="190" t="e">
        <f ca="1">COUNTIFS('One year follow-up_inperson'!#REF!,R52,'One year follow-up_inperson'!#REF!,"No")</f>
        <v>#REF!</v>
      </c>
      <c r="T52" s="259" t="s">
        <v>32</v>
      </c>
      <c r="U52" s="259" t="s">
        <v>3</v>
      </c>
      <c r="V52" s="258" t="s">
        <v>3</v>
      </c>
    </row>
    <row r="53" spans="1:22" ht="14.25">
      <c r="A53" s="246"/>
      <c r="B53" s="190">
        <f>'One year follow-up_inperson'!C6</f>
        <v>0</v>
      </c>
      <c r="C53" s="252" t="str">
        <f ca="1">IFERROR(__xludf.DUMMYFUNCTION("""COMPUTED_VALUE"""),"157")</f>
        <v>157</v>
      </c>
      <c r="D53" s="252" t="e">
        <f ca="1">COUNTIF('One year follow-up_inperson'!#REF!,C53)</f>
        <v>#REF!</v>
      </c>
      <c r="E53" s="252" t="s">
        <v>3</v>
      </c>
      <c r="F53" s="257" t="s">
        <v>32</v>
      </c>
      <c r="G53" s="256" t="s">
        <v>3</v>
      </c>
      <c r="H53" s="254" t="e">
        <f ca="1">D53='One year follow-up_inperson'!G6</f>
        <v>#REF!</v>
      </c>
      <c r="I53" s="190"/>
      <c r="J53" s="190">
        <f>'One year follow-up_inperson'!C6</f>
        <v>0</v>
      </c>
      <c r="K53" s="61" t="str">
        <f ca="1">IFERROR(__xludf.DUMMYFUNCTION("""COMPUTED_VALUE"""),"157")</f>
        <v>157</v>
      </c>
      <c r="L53" s="255" t="e">
        <f ca="1">COUNTIFS('One year follow-up_inperson'!#REF!,K53,'One year follow-up_inperson'!#REF!,"Yes")</f>
        <v>#REF!</v>
      </c>
      <c r="M53" s="252" t="s">
        <v>3</v>
      </c>
      <c r="N53" s="257" t="s">
        <v>32</v>
      </c>
      <c r="O53" s="256" t="s">
        <v>3</v>
      </c>
      <c r="P53" s="190"/>
      <c r="Q53" s="190">
        <f>'One year follow-up_inperson'!C6</f>
        <v>0</v>
      </c>
      <c r="R53" s="61" t="str">
        <f ca="1">IFERROR(__xludf.DUMMYFUNCTION("""COMPUTED_VALUE"""),"157")</f>
        <v>157</v>
      </c>
      <c r="S53" s="190" t="e">
        <f ca="1">COUNTIFS('One year follow-up_inperson'!#REF!,R53,'One year follow-up_inperson'!#REF!,"No")</f>
        <v>#REF!</v>
      </c>
      <c r="T53" s="259" t="s">
        <v>32</v>
      </c>
      <c r="U53" s="259" t="s">
        <v>3</v>
      </c>
      <c r="V53" s="260" t="s">
        <v>3</v>
      </c>
    </row>
    <row r="54" spans="1:22" ht="14.25">
      <c r="A54" s="246"/>
      <c r="B54" s="190">
        <f>'One year follow-up_inperson'!C7</f>
        <v>0</v>
      </c>
      <c r="C54" s="252" t="str">
        <f ca="1">IFERROR(__xludf.DUMMYFUNCTION("""COMPUTED_VALUE"""),"152")</f>
        <v>152</v>
      </c>
      <c r="D54" s="252" t="e">
        <f ca="1">COUNTIF('One year follow-up_inperson'!#REF!,C54)</f>
        <v>#REF!</v>
      </c>
      <c r="E54" s="252" t="s">
        <v>3</v>
      </c>
      <c r="F54" s="257" t="s">
        <v>32</v>
      </c>
      <c r="G54" s="256" t="s">
        <v>3</v>
      </c>
      <c r="H54" s="254" t="e">
        <f ca="1">D54='One year follow-up_inperson'!G7</f>
        <v>#REF!</v>
      </c>
      <c r="I54" s="190"/>
      <c r="J54" s="190">
        <f>'One year follow-up_inperson'!C7</f>
        <v>0</v>
      </c>
      <c r="K54" s="61" t="str">
        <f ca="1">IFERROR(__xludf.DUMMYFUNCTION("""COMPUTED_VALUE"""),"152")</f>
        <v>152</v>
      </c>
      <c r="L54" s="255" t="e">
        <f ca="1">COUNTIFS('One year follow-up_inperson'!#REF!,K54,'One year follow-up_inperson'!#REF!,"Yes")</f>
        <v>#REF!</v>
      </c>
      <c r="M54" s="252" t="s">
        <v>3</v>
      </c>
      <c r="N54" s="257" t="s">
        <v>32</v>
      </c>
      <c r="O54" s="256" t="s">
        <v>3</v>
      </c>
      <c r="P54" s="190"/>
      <c r="Q54" s="190">
        <f>'One year follow-up_inperson'!C7</f>
        <v>0</v>
      </c>
      <c r="R54" s="61" t="str">
        <f ca="1">IFERROR(__xludf.DUMMYFUNCTION("""COMPUTED_VALUE"""),"152")</f>
        <v>152</v>
      </c>
      <c r="S54" s="190" t="e">
        <f ca="1">COUNTIFS('One year follow-up_inperson'!#REF!,R54,'One year follow-up_inperson'!#REF!,"No")</f>
        <v>#REF!</v>
      </c>
      <c r="T54" s="259" t="s">
        <v>3</v>
      </c>
      <c r="U54" s="259" t="s">
        <v>3</v>
      </c>
      <c r="V54" s="260" t="s">
        <v>3</v>
      </c>
    </row>
    <row r="55" spans="1:22" ht="14.25">
      <c r="A55" s="246"/>
      <c r="B55" s="190">
        <f>'One year follow-up_inperson'!C8</f>
        <v>0</v>
      </c>
      <c r="C55" s="252" t="str">
        <f ca="1">IFERROR(__xludf.DUMMYFUNCTION("""COMPUTED_VALUE"""),"154")</f>
        <v>154</v>
      </c>
      <c r="D55" s="252" t="e">
        <f ca="1">COUNTIF('One year follow-up_inperson'!#REF!,C55)</f>
        <v>#REF!</v>
      </c>
      <c r="E55" s="252" t="s">
        <v>3</v>
      </c>
      <c r="F55" s="257" t="s">
        <v>32</v>
      </c>
      <c r="G55" s="256" t="s">
        <v>3</v>
      </c>
      <c r="H55" s="254" t="e">
        <f ca="1">D55='One year follow-up_inperson'!G8</f>
        <v>#REF!</v>
      </c>
      <c r="I55" s="190"/>
      <c r="J55" s="190">
        <f>'One year follow-up_inperson'!C8</f>
        <v>0</v>
      </c>
      <c r="K55" s="61" t="str">
        <f ca="1">IFERROR(__xludf.DUMMYFUNCTION("""COMPUTED_VALUE"""),"154")</f>
        <v>154</v>
      </c>
      <c r="L55" s="255" t="e">
        <f ca="1">COUNTIFS('One year follow-up_inperson'!#REF!,K55,'One year follow-up_inperson'!#REF!,"Yes")</f>
        <v>#REF!</v>
      </c>
      <c r="M55" s="252" t="s">
        <v>3</v>
      </c>
      <c r="N55" s="257" t="s">
        <v>32</v>
      </c>
      <c r="O55" s="256" t="s">
        <v>3</v>
      </c>
      <c r="P55" s="190"/>
      <c r="Q55" s="190">
        <f>'One year follow-up_inperson'!C8</f>
        <v>0</v>
      </c>
      <c r="R55" s="61" t="str">
        <f ca="1">IFERROR(__xludf.DUMMYFUNCTION("""COMPUTED_VALUE"""),"154")</f>
        <v>154</v>
      </c>
      <c r="S55" s="190" t="e">
        <f ca="1">COUNTIFS('One year follow-up_inperson'!#REF!,R55,'One year follow-up_inperson'!#REF!,"No")</f>
        <v>#REF!</v>
      </c>
      <c r="T55" s="259" t="s">
        <v>3</v>
      </c>
      <c r="U55" s="259" t="s">
        <v>3</v>
      </c>
      <c r="V55" s="260" t="s">
        <v>3</v>
      </c>
    </row>
    <row r="56" spans="1:22" ht="14.25">
      <c r="A56" s="246"/>
      <c r="B56" s="190">
        <f>'One year follow-up_inperson'!C9</f>
        <v>0</v>
      </c>
      <c r="C56" s="252" t="str">
        <f ca="1">IFERROR(__xludf.DUMMYFUNCTION("""COMPUTED_VALUE"""),"162")</f>
        <v>162</v>
      </c>
      <c r="D56" s="252">
        <f ca="1">COUNTIF('One year follow-up_inperson'!$B$23:$B$1499,C56)</f>
        <v>0</v>
      </c>
      <c r="E56" s="252" t="s">
        <v>3</v>
      </c>
      <c r="F56" s="257" t="s">
        <v>5</v>
      </c>
      <c r="G56" s="256" t="s">
        <v>5</v>
      </c>
      <c r="H56" s="254" t="b">
        <f ca="1">D56='One year follow-up_inperson'!G9</f>
        <v>1</v>
      </c>
      <c r="I56" s="190"/>
      <c r="J56" s="190">
        <f>'One year follow-up_inperson'!C9</f>
        <v>0</v>
      </c>
      <c r="K56" s="61" t="str">
        <f ca="1">IFERROR(__xludf.DUMMYFUNCTION("""COMPUTED_VALUE"""),"162")</f>
        <v>162</v>
      </c>
      <c r="L56" s="255" t="e">
        <f ca="1">COUNTIFS('One year follow-up_inperson'!#REF!,K56,'One year follow-up_inperson'!#REF!,"Yes")</f>
        <v>#REF!</v>
      </c>
      <c r="M56" s="252" t="s">
        <v>3</v>
      </c>
      <c r="N56" s="257" t="s">
        <v>5</v>
      </c>
      <c r="O56" s="256" t="s">
        <v>5</v>
      </c>
      <c r="P56" s="190"/>
      <c r="Q56" s="190">
        <f>'One year follow-up_inperson'!C9</f>
        <v>0</v>
      </c>
      <c r="R56" s="61" t="str">
        <f ca="1">IFERROR(__xludf.DUMMYFUNCTION("""COMPUTED_VALUE"""),"162")</f>
        <v>162</v>
      </c>
      <c r="S56" s="190" t="e">
        <f ca="1">COUNTIFS('One year follow-up_inperson'!#REF!,R56,'One year follow-up_inperson'!#REF!,"No")</f>
        <v>#REF!</v>
      </c>
      <c r="T56" s="259" t="s">
        <v>3</v>
      </c>
      <c r="U56" s="259" t="s">
        <v>5</v>
      </c>
      <c r="V56" s="258" t="s">
        <v>5</v>
      </c>
    </row>
    <row r="57" spans="1:22" ht="14.25">
      <c r="A57" s="246"/>
      <c r="B57" s="190">
        <f>'One year follow-up_inperson'!C10</f>
        <v>0</v>
      </c>
      <c r="C57" s="252" t="str">
        <f ca="1">IFERROR(__xludf.DUMMYFUNCTION("""COMPUTED_VALUE"""),"163")</f>
        <v>163</v>
      </c>
      <c r="D57" s="252" t="e">
        <f ca="1">COUNTIF('One year follow-up_inperson'!#REF!,C57)</f>
        <v>#REF!</v>
      </c>
      <c r="E57" s="259" t="s">
        <v>3</v>
      </c>
      <c r="F57" s="259" t="s">
        <v>5</v>
      </c>
      <c r="G57" s="256" t="s">
        <v>5</v>
      </c>
      <c r="H57" s="254" t="e">
        <f ca="1">D57='One year follow-up_inperson'!G10</f>
        <v>#REF!</v>
      </c>
      <c r="I57" s="190"/>
      <c r="J57" s="190">
        <f>'One year follow-up_inperson'!C10</f>
        <v>0</v>
      </c>
      <c r="K57" s="61" t="str">
        <f ca="1">IFERROR(__xludf.DUMMYFUNCTION("""COMPUTED_VALUE"""),"163")</f>
        <v>163</v>
      </c>
      <c r="L57" s="255" t="e">
        <f ca="1">COUNTIFS('One year follow-up_inperson'!#REF!,K57,'One year follow-up_inperson'!#REF!,"Yes")</f>
        <v>#REF!</v>
      </c>
      <c r="M57" s="259" t="s">
        <v>3</v>
      </c>
      <c r="N57" s="259" t="s">
        <v>5</v>
      </c>
      <c r="O57" s="256" t="s">
        <v>5</v>
      </c>
      <c r="P57" s="190"/>
      <c r="Q57" s="190">
        <f>'One year follow-up_inperson'!C10</f>
        <v>0</v>
      </c>
      <c r="R57" s="61" t="str">
        <f ca="1">IFERROR(__xludf.DUMMYFUNCTION("""COMPUTED_VALUE"""),"163")</f>
        <v>163</v>
      </c>
      <c r="S57" s="190" t="e">
        <f ca="1">COUNTIFS('One year follow-up_inperson'!#REF!,R57,'One year follow-up_inperson'!#REF!,"No")</f>
        <v>#REF!</v>
      </c>
      <c r="T57" s="252" t="s">
        <v>3</v>
      </c>
      <c r="U57" s="257" t="s">
        <v>5</v>
      </c>
      <c r="V57" s="258" t="s">
        <v>5</v>
      </c>
    </row>
    <row r="58" spans="1:22" ht="14.25">
      <c r="A58" s="246"/>
      <c r="B58" s="190">
        <f>'One year follow-up_inperson'!C11</f>
        <v>0</v>
      </c>
      <c r="C58" s="252" t="str">
        <f ca="1">IFERROR(__xludf.DUMMYFUNCTION("""COMPUTED_VALUE"""),"164")</f>
        <v>164</v>
      </c>
      <c r="D58" s="252" t="e">
        <f ca="1">COUNTIF('One year follow-up_inperson'!#REF!,C58)</f>
        <v>#REF!</v>
      </c>
      <c r="E58" s="257" t="s">
        <v>3</v>
      </c>
      <c r="F58" s="257" t="s">
        <v>5</v>
      </c>
      <c r="G58" s="256" t="s">
        <v>5</v>
      </c>
      <c r="H58" s="254" t="e">
        <f ca="1">D58='One year follow-up_inperson'!G11</f>
        <v>#REF!</v>
      </c>
      <c r="I58" s="190"/>
      <c r="J58" s="190">
        <f>'One year follow-up_inperson'!C11</f>
        <v>0</v>
      </c>
      <c r="K58" s="61" t="str">
        <f ca="1">IFERROR(__xludf.DUMMYFUNCTION("""COMPUTED_VALUE"""),"164")</f>
        <v>164</v>
      </c>
      <c r="L58" s="255" t="e">
        <f ca="1">COUNTIFS('One year follow-up_inperson'!#REF!,K58,'One year follow-up_inperson'!#REF!,"Yes")</f>
        <v>#REF!</v>
      </c>
      <c r="M58" s="257" t="s">
        <v>3</v>
      </c>
      <c r="N58" s="257" t="s">
        <v>5</v>
      </c>
      <c r="O58" s="256" t="s">
        <v>5</v>
      </c>
      <c r="P58" s="190"/>
      <c r="Q58" s="190">
        <f>'One year follow-up_inperson'!C11</f>
        <v>0</v>
      </c>
      <c r="R58" s="61" t="str">
        <f ca="1">IFERROR(__xludf.DUMMYFUNCTION("""COMPUTED_VALUE"""),"164")</f>
        <v>164</v>
      </c>
      <c r="S58" s="190" t="e">
        <f ca="1">COUNTIFS('One year follow-up_inperson'!#REF!,R58,'One year follow-up_inperson'!#REF!,"No")</f>
        <v>#REF!</v>
      </c>
      <c r="T58" s="259" t="s">
        <v>3</v>
      </c>
      <c r="U58" s="259" t="s">
        <v>5</v>
      </c>
      <c r="V58" s="258" t="s">
        <v>5</v>
      </c>
    </row>
    <row r="59" spans="1:22" ht="14.25">
      <c r="A59" s="246"/>
      <c r="B59" s="190">
        <f>'One year follow-up_inperson'!C12</f>
        <v>0</v>
      </c>
      <c r="C59" s="261" t="str">
        <f ca="1">IFERROR(__xludf.DUMMYFUNCTION("""COMPUTED_VALUE"""),"165")</f>
        <v>165</v>
      </c>
      <c r="D59" s="252" t="e">
        <f ca="1">COUNTIF('One year follow-up_inperson'!#REF!,C59)</f>
        <v>#REF!</v>
      </c>
      <c r="E59" s="418" t="s">
        <v>3</v>
      </c>
      <c r="F59" s="256" t="s">
        <v>5</v>
      </c>
      <c r="G59" s="256" t="s">
        <v>5</v>
      </c>
      <c r="H59" s="254" t="e">
        <f ca="1">D59='One year follow-up_inperson'!G12</f>
        <v>#REF!</v>
      </c>
      <c r="I59" s="190"/>
      <c r="J59" s="190">
        <f>'One year follow-up_inperson'!C12</f>
        <v>0</v>
      </c>
      <c r="K59" s="61" t="str">
        <f ca="1">IFERROR(__xludf.DUMMYFUNCTION("""COMPUTED_VALUE"""),"165")</f>
        <v>165</v>
      </c>
      <c r="L59" s="255" t="e">
        <f ca="1">COUNTIFS('One year follow-up_inperson'!#REF!,K59,'One year follow-up_inperson'!#REF!,"Yes")</f>
        <v>#REF!</v>
      </c>
      <c r="M59" s="418" t="s">
        <v>3</v>
      </c>
      <c r="N59" s="256" t="s">
        <v>5</v>
      </c>
      <c r="O59" s="256" t="s">
        <v>5</v>
      </c>
      <c r="P59" s="190"/>
      <c r="Q59" s="190">
        <f>'One year follow-up_inperson'!C12</f>
        <v>0</v>
      </c>
      <c r="R59" s="61" t="str">
        <f ca="1">IFERROR(__xludf.DUMMYFUNCTION("""COMPUTED_VALUE"""),"165")</f>
        <v>165</v>
      </c>
      <c r="S59" s="190" t="e">
        <f ca="1">COUNTIFS('One year follow-up_inperson'!#REF!,R59,'One year follow-up_inperson'!#REF!,"No")</f>
        <v>#REF!</v>
      </c>
      <c r="T59" s="257" t="s">
        <v>3</v>
      </c>
      <c r="U59" s="257" t="s">
        <v>5</v>
      </c>
      <c r="V59" s="258" t="s">
        <v>5</v>
      </c>
    </row>
    <row r="60" spans="1:22" ht="14.25">
      <c r="A60" s="246"/>
      <c r="B60" s="190" t="e">
        <f>'One year follow-up_inperson'!#REF!</f>
        <v>#REF!</v>
      </c>
      <c r="C60" s="261" t="str">
        <f ca="1">IFERROR(__xludf.DUMMYFUNCTION("""COMPUTED_VALUE"""),"166")</f>
        <v>166</v>
      </c>
      <c r="D60" s="252" t="e">
        <f ca="1">COUNTIF('One year follow-up_inperson'!#REF!,C60)</f>
        <v>#REF!</v>
      </c>
      <c r="E60" s="418" t="s">
        <v>3</v>
      </c>
      <c r="F60" s="256" t="s">
        <v>5</v>
      </c>
      <c r="G60" s="256" t="s">
        <v>5</v>
      </c>
      <c r="H60" s="254" t="e">
        <f ca="1">D60='One year follow-up_inperson'!#REF!</f>
        <v>#REF!</v>
      </c>
      <c r="I60" s="190"/>
      <c r="J60" s="190" t="e">
        <f>'One year follow-up_inperson'!#REF!</f>
        <v>#REF!</v>
      </c>
      <c r="K60" s="61" t="str">
        <f ca="1">IFERROR(__xludf.DUMMYFUNCTION("""COMPUTED_VALUE"""),"166")</f>
        <v>166</v>
      </c>
      <c r="L60" s="255" t="e">
        <f ca="1">COUNTIFS('One year follow-up_inperson'!#REF!,K60,'One year follow-up_inperson'!#REF!,"Yes")</f>
        <v>#REF!</v>
      </c>
      <c r="M60" s="418" t="s">
        <v>3</v>
      </c>
      <c r="N60" s="256" t="s">
        <v>5</v>
      </c>
      <c r="O60" s="256" t="s">
        <v>5</v>
      </c>
      <c r="P60" s="190"/>
      <c r="Q60" s="190" t="e">
        <f>'One year follow-up_inperson'!#REF!</f>
        <v>#REF!</v>
      </c>
      <c r="R60" s="61" t="str">
        <f ca="1">IFERROR(__xludf.DUMMYFUNCTION("""COMPUTED_VALUE"""),"166")</f>
        <v>166</v>
      </c>
      <c r="S60" s="190" t="e">
        <f ca="1">COUNTIFS('One year follow-up_inperson'!#REF!,R60,'One year follow-up_inperson'!#REF!,"No")</f>
        <v>#REF!</v>
      </c>
      <c r="T60" s="418" t="s">
        <v>3</v>
      </c>
      <c r="U60" s="256" t="s">
        <v>5</v>
      </c>
      <c r="V60" s="258" t="s">
        <v>5</v>
      </c>
    </row>
    <row r="61" spans="1:22" ht="14.25">
      <c r="A61" s="246"/>
      <c r="B61" s="190" t="e">
        <f>'One year follow-up_inperson'!#REF!</f>
        <v>#REF!</v>
      </c>
      <c r="C61" s="261" t="str">
        <f ca="1">IFERROR(__xludf.DUMMYFUNCTION("""COMPUTED_VALUE"""),"167")</f>
        <v>167</v>
      </c>
      <c r="D61" s="252" t="e">
        <f ca="1">COUNTIF('One year follow-up_inperson'!#REF!,C61)</f>
        <v>#REF!</v>
      </c>
      <c r="E61" s="418" t="s">
        <v>3</v>
      </c>
      <c r="F61" s="256" t="s">
        <v>5</v>
      </c>
      <c r="G61" s="256" t="s">
        <v>5</v>
      </c>
      <c r="H61" s="254" t="e">
        <f ca="1">D61='One year follow-up_inperson'!#REF!</f>
        <v>#REF!</v>
      </c>
      <c r="I61" s="190"/>
      <c r="J61" s="190" t="e">
        <f>'One year follow-up_inperson'!#REF!</f>
        <v>#REF!</v>
      </c>
      <c r="K61" s="61" t="str">
        <f ca="1">IFERROR(__xludf.DUMMYFUNCTION("""COMPUTED_VALUE"""),"167")</f>
        <v>167</v>
      </c>
      <c r="L61" s="255" t="e">
        <f ca="1">COUNTIFS('One year follow-up_inperson'!#REF!,K61,'One year follow-up_inperson'!#REF!,"Yes")</f>
        <v>#REF!</v>
      </c>
      <c r="M61" s="418" t="s">
        <v>3</v>
      </c>
      <c r="N61" s="256" t="s">
        <v>5</v>
      </c>
      <c r="O61" s="256" t="s">
        <v>5</v>
      </c>
      <c r="P61" s="190"/>
      <c r="Q61" s="190" t="e">
        <f>'One year follow-up_inperson'!#REF!</f>
        <v>#REF!</v>
      </c>
      <c r="R61" s="61" t="str">
        <f ca="1">IFERROR(__xludf.DUMMYFUNCTION("""COMPUTED_VALUE"""),"167")</f>
        <v>167</v>
      </c>
      <c r="S61" s="190" t="e">
        <f ca="1">COUNTIFS('One year follow-up_inperson'!#REF!,R61,'One year follow-up_inperson'!#REF!,"No")</f>
        <v>#REF!</v>
      </c>
      <c r="T61" s="418" t="s">
        <v>3</v>
      </c>
      <c r="U61" s="256" t="s">
        <v>5</v>
      </c>
      <c r="V61" s="258" t="s">
        <v>5</v>
      </c>
    </row>
    <row r="62" spans="1:22" ht="14.25">
      <c r="A62" s="246"/>
      <c r="B62" s="190" t="e">
        <f>'One year follow-up_inperson'!#REF!</f>
        <v>#REF!</v>
      </c>
      <c r="C62" s="261" t="str">
        <f ca="1">IFERROR(__xludf.DUMMYFUNCTION("""COMPUTED_VALUE"""),"168")</f>
        <v>168</v>
      </c>
      <c r="D62" s="252" t="e">
        <f ca="1">COUNTIF('One year follow-up_inperson'!#REF!,C62)</f>
        <v>#REF!</v>
      </c>
      <c r="E62" s="418" t="s">
        <v>3</v>
      </c>
      <c r="F62" s="256" t="s">
        <v>5</v>
      </c>
      <c r="G62" s="256" t="s">
        <v>5</v>
      </c>
      <c r="H62" s="254" t="e">
        <f ca="1">D62='One year follow-up_inperson'!#REF!</f>
        <v>#REF!</v>
      </c>
      <c r="I62" s="190"/>
      <c r="J62" s="190" t="e">
        <f>'One year follow-up_inperson'!#REF!</f>
        <v>#REF!</v>
      </c>
      <c r="K62" s="61" t="str">
        <f ca="1">IFERROR(__xludf.DUMMYFUNCTION("""COMPUTED_VALUE"""),"168")</f>
        <v>168</v>
      </c>
      <c r="L62" s="255" t="e">
        <f ca="1">COUNTIFS('One year follow-up_inperson'!#REF!,K62,'One year follow-up_inperson'!#REF!,"Yes")</f>
        <v>#REF!</v>
      </c>
      <c r="M62" s="418" t="s">
        <v>3</v>
      </c>
      <c r="N62" s="256" t="s">
        <v>5</v>
      </c>
      <c r="O62" s="256" t="s">
        <v>5</v>
      </c>
      <c r="P62" s="190"/>
      <c r="Q62" s="190" t="e">
        <f>'One year follow-up_inperson'!#REF!</f>
        <v>#REF!</v>
      </c>
      <c r="R62" s="61" t="str">
        <f ca="1">IFERROR(__xludf.DUMMYFUNCTION("""COMPUTED_VALUE"""),"168")</f>
        <v>168</v>
      </c>
      <c r="S62" s="190" t="e">
        <f ca="1">COUNTIFS('One year follow-up_inperson'!#REF!,R62,'One year follow-up_inperson'!#REF!,"No")</f>
        <v>#REF!</v>
      </c>
      <c r="T62" s="418" t="s">
        <v>3</v>
      </c>
      <c r="U62" s="256" t="s">
        <v>5</v>
      </c>
      <c r="V62" s="258" t="s">
        <v>5</v>
      </c>
    </row>
    <row r="63" spans="1:22" ht="14.25">
      <c r="A63" s="246"/>
      <c r="B63" s="190" t="e">
        <f>'One year follow-up_inperson'!#REF!</f>
        <v>#REF!</v>
      </c>
      <c r="C63" s="252" t="str">
        <f ca="1">IFERROR(__xludf.DUMMYFUNCTION("""COMPUTED_VALUE"""),"186")</f>
        <v>186</v>
      </c>
      <c r="D63" s="252" t="e">
        <f ca="1">COUNTIF('One year follow-up_inperson'!#REF!,C63)</f>
        <v>#REF!</v>
      </c>
      <c r="E63" s="418" t="s">
        <v>3</v>
      </c>
      <c r="F63" s="256" t="s">
        <v>32</v>
      </c>
      <c r="G63" s="256" t="s">
        <v>3</v>
      </c>
      <c r="H63" s="254" t="e">
        <f ca="1">D63='One year follow-up_inperson'!#REF!</f>
        <v>#REF!</v>
      </c>
      <c r="I63" s="190"/>
      <c r="J63" s="190" t="e">
        <f>'One year follow-up_inperson'!#REF!</f>
        <v>#REF!</v>
      </c>
      <c r="K63" s="61" t="str">
        <f ca="1">IFERROR(__xludf.DUMMYFUNCTION("""COMPUTED_VALUE"""),"186")</f>
        <v>186</v>
      </c>
      <c r="L63" s="255" t="e">
        <f ca="1">COUNTIFS('One year follow-up_inperson'!#REF!,K63,'One year follow-up_inperson'!#REF!,"Yes")</f>
        <v>#REF!</v>
      </c>
      <c r="M63" s="418" t="s">
        <v>3</v>
      </c>
      <c r="N63" s="256" t="s">
        <v>32</v>
      </c>
      <c r="O63" s="256" t="s">
        <v>3</v>
      </c>
      <c r="P63" s="190"/>
      <c r="Q63" s="190" t="e">
        <f>'One year follow-up_inperson'!#REF!</f>
        <v>#REF!</v>
      </c>
      <c r="R63" s="61" t="str">
        <f ca="1">IFERROR(__xludf.DUMMYFUNCTION("""COMPUTED_VALUE"""),"186")</f>
        <v>186</v>
      </c>
      <c r="S63" s="190" t="e">
        <f ca="1">COUNTIFS('One year follow-up_inperson'!#REF!,R63,'One year follow-up_inperson'!#REF!,"No")</f>
        <v>#REF!</v>
      </c>
      <c r="T63" s="418" t="s">
        <v>3</v>
      </c>
      <c r="U63" s="256" t="s">
        <v>5</v>
      </c>
      <c r="V63" s="258" t="s">
        <v>3</v>
      </c>
    </row>
    <row r="64" spans="1:22" ht="14.25">
      <c r="A64" s="246"/>
      <c r="B64" s="190" t="e">
        <f>'One year follow-up_inperson'!#REF!</f>
        <v>#REF!</v>
      </c>
      <c r="C64" s="252" t="str">
        <f ca="1">IFERROR(__xludf.DUMMYFUNCTION("""COMPUTED_VALUE"""),"189")</f>
        <v>189</v>
      </c>
      <c r="D64" s="252" t="e">
        <f ca="1">COUNTIF('One year follow-up_inperson'!#REF!,C64)</f>
        <v>#REF!</v>
      </c>
      <c r="E64" s="418" t="s">
        <v>3</v>
      </c>
      <c r="F64" s="256" t="s">
        <v>32</v>
      </c>
      <c r="G64" s="256" t="s">
        <v>3</v>
      </c>
      <c r="H64" s="254" t="e">
        <f ca="1">D64='One year follow-up_inperson'!#REF!</f>
        <v>#REF!</v>
      </c>
      <c r="I64" s="190"/>
      <c r="J64" s="190" t="e">
        <f>'One year follow-up_inperson'!#REF!</f>
        <v>#REF!</v>
      </c>
      <c r="K64" s="61" t="str">
        <f ca="1">IFERROR(__xludf.DUMMYFUNCTION("""COMPUTED_VALUE"""),"189")</f>
        <v>189</v>
      </c>
      <c r="L64" s="255" t="e">
        <f ca="1">COUNTIFS('One year follow-up_inperson'!#REF!,K64,'One year follow-up_inperson'!#REF!,"Yes")</f>
        <v>#REF!</v>
      </c>
      <c r="M64" s="418" t="s">
        <v>3</v>
      </c>
      <c r="N64" s="256" t="s">
        <v>32</v>
      </c>
      <c r="O64" s="256" t="s">
        <v>3</v>
      </c>
      <c r="P64" s="190"/>
      <c r="Q64" s="190" t="e">
        <f>'One year follow-up_inperson'!#REF!</f>
        <v>#REF!</v>
      </c>
      <c r="R64" s="61" t="str">
        <f ca="1">IFERROR(__xludf.DUMMYFUNCTION("""COMPUTED_VALUE"""),"189")</f>
        <v>189</v>
      </c>
      <c r="S64" s="190" t="e">
        <f ca="1">COUNTIFS('One year follow-up_inperson'!#REF!,R64,'One year follow-up_inperson'!#REF!,"No")</f>
        <v>#REF!</v>
      </c>
      <c r="T64" s="418" t="s">
        <v>3</v>
      </c>
      <c r="U64" s="256" t="s">
        <v>32</v>
      </c>
      <c r="V64" s="258" t="s">
        <v>3</v>
      </c>
    </row>
    <row r="65" spans="1:22" ht="14.25">
      <c r="A65" s="246"/>
      <c r="B65" s="190" t="e">
        <f>'One year follow-up_inperson'!#REF!</f>
        <v>#REF!</v>
      </c>
      <c r="C65" s="252" t="str">
        <f ca="1">IFERROR(__xludf.DUMMYFUNCTION("""COMPUTED_VALUE"""),"174")</f>
        <v>174</v>
      </c>
      <c r="D65" s="252">
        <f ca="1">COUNTIF('One year follow-up_inperson'!$B$23:$B$1499,C65)</f>
        <v>0</v>
      </c>
      <c r="E65" s="418" t="s">
        <v>3</v>
      </c>
      <c r="F65" s="256" t="s">
        <v>32</v>
      </c>
      <c r="G65" s="256" t="s">
        <v>3</v>
      </c>
      <c r="H65" s="254" t="e">
        <f ca="1">D65='One year follow-up_inperson'!#REF!</f>
        <v>#REF!</v>
      </c>
      <c r="I65" s="200"/>
      <c r="J65" s="190" t="e">
        <f>'One year follow-up_inperson'!#REF!</f>
        <v>#REF!</v>
      </c>
      <c r="K65" s="61" t="str">
        <f ca="1">IFERROR(__xludf.DUMMYFUNCTION("""COMPUTED_VALUE"""),"174")</f>
        <v>174</v>
      </c>
      <c r="L65" s="255" t="e">
        <f ca="1">COUNTIFS('One year follow-up_inperson'!#REF!,K65,'One year follow-up_inperson'!#REF!,"Yes")</f>
        <v>#REF!</v>
      </c>
      <c r="M65" s="418" t="s">
        <v>3</v>
      </c>
      <c r="N65" s="256" t="s">
        <v>32</v>
      </c>
      <c r="O65" s="256" t="s">
        <v>3</v>
      </c>
      <c r="P65" s="190"/>
      <c r="Q65" s="190" t="e">
        <f>'One year follow-up_inperson'!#REF!</f>
        <v>#REF!</v>
      </c>
      <c r="R65" s="61" t="str">
        <f ca="1">IFERROR(__xludf.DUMMYFUNCTION("""COMPUTED_VALUE"""),"174")</f>
        <v>174</v>
      </c>
      <c r="S65" s="190" t="e">
        <f ca="1">COUNTIFS('One year follow-up_inperson'!#REF!,R65,'One year follow-up_inperson'!#REF!,"No")</f>
        <v>#REF!</v>
      </c>
      <c r="T65" s="418" t="s">
        <v>3</v>
      </c>
      <c r="U65" s="256" t="s">
        <v>32</v>
      </c>
      <c r="V65" s="258" t="s">
        <v>3</v>
      </c>
    </row>
    <row r="66" spans="1:22" ht="14.25">
      <c r="A66" s="246"/>
      <c r="B66" s="190" t="e">
        <f>'One year follow-up_inperson'!#REF!</f>
        <v>#REF!</v>
      </c>
      <c r="C66" s="252" t="str">
        <f ca="1">IFERROR(__xludf.DUMMYFUNCTION("""COMPUTED_VALUE"""),"179")</f>
        <v>179</v>
      </c>
      <c r="D66" s="252">
        <f ca="1">COUNTIF('One year follow-up_inperson'!$B$23:$B$1499,C66)</f>
        <v>0</v>
      </c>
      <c r="E66" s="418" t="s">
        <v>3</v>
      </c>
      <c r="F66" s="256" t="s">
        <v>32</v>
      </c>
      <c r="G66" s="256" t="s">
        <v>3</v>
      </c>
      <c r="H66" s="254" t="e">
        <f ca="1">D66='One year follow-up_inperson'!#REF!</f>
        <v>#REF!</v>
      </c>
      <c r="I66" s="200"/>
      <c r="J66" s="190" t="e">
        <f>'One year follow-up_inperson'!#REF!</f>
        <v>#REF!</v>
      </c>
      <c r="K66" s="61" t="str">
        <f ca="1">IFERROR(__xludf.DUMMYFUNCTION("""COMPUTED_VALUE"""),"179")</f>
        <v>179</v>
      </c>
      <c r="L66" s="255">
        <f ca="1">COUNTIFS('One year follow-up_inperson'!$B$23:$B$2159,K66,'One year follow-up_inperson'!$R$23:$R$2159,"Yes")</f>
        <v>0</v>
      </c>
      <c r="M66" s="418" t="s">
        <v>3</v>
      </c>
      <c r="N66" s="256" t="s">
        <v>32</v>
      </c>
      <c r="O66" s="256" t="s">
        <v>3</v>
      </c>
      <c r="P66" s="190"/>
      <c r="Q66" s="190" t="e">
        <f>'One year follow-up_inperson'!#REF!</f>
        <v>#REF!</v>
      </c>
      <c r="R66" s="61" t="str">
        <f ca="1">IFERROR(__xludf.DUMMYFUNCTION("""COMPUTED_VALUE"""),"179")</f>
        <v>179</v>
      </c>
      <c r="S66" s="190" t="e">
        <f ca="1">COUNTIFS('One year follow-up_inperson'!#REF!,R66,'One year follow-up_inperson'!#REF!,"No")</f>
        <v>#REF!</v>
      </c>
      <c r="T66" s="418" t="s">
        <v>3</v>
      </c>
      <c r="U66" s="256" t="s">
        <v>32</v>
      </c>
      <c r="V66" s="258" t="s">
        <v>3</v>
      </c>
    </row>
    <row r="67" spans="1:22" ht="14.25">
      <c r="A67" s="246"/>
      <c r="B67" s="190" t="e">
        <f>'One year follow-up_inperson'!#REF!</f>
        <v>#REF!</v>
      </c>
      <c r="C67" s="252" t="str">
        <f ca="1">IFERROR(__xludf.DUMMYFUNCTION("""COMPUTED_VALUE"""),"181")</f>
        <v>181</v>
      </c>
      <c r="D67" s="252" t="e">
        <f ca="1">COUNTIF('One year follow-up_inperson'!#REF!,C67)</f>
        <v>#REF!</v>
      </c>
      <c r="E67" s="418" t="s">
        <v>3</v>
      </c>
      <c r="F67" s="256" t="s">
        <v>32</v>
      </c>
      <c r="G67" s="256" t="s">
        <v>3</v>
      </c>
      <c r="H67" s="254" t="e">
        <f ca="1">D67='One year follow-up_inperson'!#REF!</f>
        <v>#REF!</v>
      </c>
      <c r="I67" s="200"/>
      <c r="J67" s="190" t="e">
        <f>'One year follow-up_inperson'!#REF!</f>
        <v>#REF!</v>
      </c>
      <c r="K67" s="61" t="str">
        <f ca="1">IFERROR(__xludf.DUMMYFUNCTION("""COMPUTED_VALUE"""),"181")</f>
        <v>181</v>
      </c>
      <c r="L67" s="255">
        <f ca="1">COUNTIFS('One year follow-up_inperson'!$B$23:$B$2159,K67,'One year follow-up_inperson'!$R$23:$R$2159,"Yes")</f>
        <v>0</v>
      </c>
      <c r="M67" s="418" t="s">
        <v>3</v>
      </c>
      <c r="N67" s="256" t="s">
        <v>32</v>
      </c>
      <c r="O67" s="256" t="s">
        <v>3</v>
      </c>
      <c r="P67" s="190"/>
      <c r="Q67" s="190" t="e">
        <f>'One year follow-up_inperson'!#REF!</f>
        <v>#REF!</v>
      </c>
      <c r="R67" s="61" t="str">
        <f ca="1">IFERROR(__xludf.DUMMYFUNCTION("""COMPUTED_VALUE"""),"181")</f>
        <v>181</v>
      </c>
      <c r="S67" s="190" t="e">
        <f ca="1">COUNTIFS('One year follow-up_inperson'!#REF!,R67,'One year follow-up_inperson'!#REF!,"No")</f>
        <v>#REF!</v>
      </c>
      <c r="T67" s="418" t="s">
        <v>3</v>
      </c>
      <c r="U67" s="256" t="s">
        <v>32</v>
      </c>
      <c r="V67" s="258" t="s">
        <v>3</v>
      </c>
    </row>
    <row r="68" spans="1:22" ht="14.25">
      <c r="A68" s="246"/>
      <c r="B68" s="190" t="e">
        <f>'One year follow-up_inperson'!#REF!</f>
        <v>#REF!</v>
      </c>
      <c r="C68" s="252" t="str">
        <f ca="1">IFERROR(__xludf.DUMMYFUNCTION("""COMPUTED_VALUE"""),"185")</f>
        <v>185</v>
      </c>
      <c r="D68" s="252">
        <f ca="1">COUNTIF('One year follow-up_inperson'!$B$23:$B$1499,C68)</f>
        <v>0</v>
      </c>
      <c r="E68" s="418" t="s">
        <v>3</v>
      </c>
      <c r="F68" s="256" t="s">
        <v>32</v>
      </c>
      <c r="G68" s="256" t="s">
        <v>3</v>
      </c>
      <c r="H68" s="254" t="e">
        <f ca="1">D68='One year follow-up_inperson'!#REF!</f>
        <v>#REF!</v>
      </c>
      <c r="I68" s="200"/>
      <c r="J68" s="190" t="e">
        <f>'One year follow-up_inperson'!#REF!</f>
        <v>#REF!</v>
      </c>
      <c r="K68" s="61" t="str">
        <f ca="1">IFERROR(__xludf.DUMMYFUNCTION("""COMPUTED_VALUE"""),"185")</f>
        <v>185</v>
      </c>
      <c r="L68" s="255">
        <f ca="1">COUNTIFS('One year follow-up_inperson'!$B$23:$B$2159,K68,'One year follow-up_inperson'!$R$23:$R$2159,"Yes")</f>
        <v>0</v>
      </c>
      <c r="M68" s="418" t="s">
        <v>3</v>
      </c>
      <c r="N68" s="256" t="s">
        <v>32</v>
      </c>
      <c r="O68" s="256" t="s">
        <v>3</v>
      </c>
      <c r="P68" s="190"/>
      <c r="Q68" s="190" t="e">
        <f>'One year follow-up_inperson'!#REF!</f>
        <v>#REF!</v>
      </c>
      <c r="R68" s="61" t="str">
        <f ca="1">IFERROR(__xludf.DUMMYFUNCTION("""COMPUTED_VALUE"""),"185")</f>
        <v>185</v>
      </c>
      <c r="S68" s="190" t="e">
        <f ca="1">COUNTIFS('One year follow-up_inperson'!#REF!,R68,'One year follow-up_inperson'!#REF!,"No")</f>
        <v>#REF!</v>
      </c>
      <c r="T68" s="418" t="s">
        <v>3</v>
      </c>
      <c r="U68" s="256" t="s">
        <v>32</v>
      </c>
      <c r="V68" s="258" t="s">
        <v>3</v>
      </c>
    </row>
    <row r="69" spans="1:22" ht="14.25">
      <c r="A69" s="246"/>
      <c r="B69" s="190" t="e">
        <f>'One year follow-up_inperson'!#REF!</f>
        <v>#REF!</v>
      </c>
      <c r="C69" s="252" t="str">
        <f ca="1">IFERROR(__xludf.DUMMYFUNCTION("""COMPUTED_VALUE"""),"191")</f>
        <v>191</v>
      </c>
      <c r="D69" s="252">
        <f ca="1">COUNTIF('One year follow-up_inperson'!$B$23:$B$1499,C69)</f>
        <v>0</v>
      </c>
      <c r="E69" s="418" t="s">
        <v>3</v>
      </c>
      <c r="F69" s="256" t="s">
        <v>32</v>
      </c>
      <c r="G69" s="256" t="s">
        <v>3</v>
      </c>
      <c r="H69" s="254" t="e">
        <f ca="1">D69='One year follow-up_inperson'!#REF!</f>
        <v>#REF!</v>
      </c>
      <c r="I69" s="200"/>
      <c r="J69" s="190" t="e">
        <f>'One year follow-up_inperson'!#REF!</f>
        <v>#REF!</v>
      </c>
      <c r="K69" s="61" t="str">
        <f ca="1">IFERROR(__xludf.DUMMYFUNCTION("""COMPUTED_VALUE"""),"191")</f>
        <v>191</v>
      </c>
      <c r="L69" s="255">
        <f ca="1">COUNTIFS('One year follow-up_inperson'!$B$23:$B$2159,K69,'One year follow-up_inperson'!$R$23:$R$2159,"Yes")</f>
        <v>0</v>
      </c>
      <c r="M69" s="418" t="s">
        <v>3</v>
      </c>
      <c r="N69" s="256" t="s">
        <v>32</v>
      </c>
      <c r="O69" s="256" t="s">
        <v>3</v>
      </c>
      <c r="P69" s="190"/>
      <c r="Q69" s="190" t="e">
        <f>'One year follow-up_inperson'!#REF!</f>
        <v>#REF!</v>
      </c>
      <c r="R69" s="61" t="str">
        <f ca="1">IFERROR(__xludf.DUMMYFUNCTION("""COMPUTED_VALUE"""),"191")</f>
        <v>191</v>
      </c>
      <c r="S69" s="190" t="e">
        <f ca="1">COUNTIFS('One year follow-up_inperson'!#REF!,R69,'One year follow-up_inperson'!#REF!,"No")</f>
        <v>#REF!</v>
      </c>
      <c r="T69" s="418" t="s">
        <v>3</v>
      </c>
      <c r="U69" s="256" t="s">
        <v>32</v>
      </c>
      <c r="V69" s="258" t="s">
        <v>3</v>
      </c>
    </row>
    <row r="70" spans="1:22" ht="14.25">
      <c r="A70" s="246"/>
      <c r="B70" s="190" t="e">
        <f>'One year follow-up_inperson'!#REF!</f>
        <v>#REF!</v>
      </c>
      <c r="C70" s="252" t="str">
        <f ca="1">IFERROR(__xludf.DUMMYFUNCTION("""COMPUTED_VALUE"""),"193")</f>
        <v>193</v>
      </c>
      <c r="D70" s="252">
        <f ca="1">COUNTIF('One year follow-up_inperson'!$B$23:$B$1499,C70)</f>
        <v>0</v>
      </c>
      <c r="E70" s="256" t="s">
        <v>32</v>
      </c>
      <c r="F70" s="256" t="s">
        <v>5</v>
      </c>
      <c r="G70" s="256" t="s">
        <v>3</v>
      </c>
      <c r="H70" s="254" t="e">
        <f ca="1">D70='One year follow-up_inperson'!#REF!</f>
        <v>#REF!</v>
      </c>
      <c r="I70" s="200"/>
      <c r="J70" s="190" t="e">
        <f>'One year follow-up_inperson'!#REF!</f>
        <v>#REF!</v>
      </c>
      <c r="K70" s="61" t="str">
        <f ca="1">IFERROR(__xludf.DUMMYFUNCTION("""COMPUTED_VALUE"""),"193")</f>
        <v>193</v>
      </c>
      <c r="L70" s="255">
        <f ca="1">COUNTIFS('One year follow-up_inperson'!$B$23:$B$2159,K70,'One year follow-up_inperson'!$R$23:$R$2159,"Yes")</f>
        <v>0</v>
      </c>
      <c r="M70" s="256" t="s">
        <v>32</v>
      </c>
      <c r="N70" s="256" t="s">
        <v>5</v>
      </c>
      <c r="O70" s="256" t="s">
        <v>3</v>
      </c>
      <c r="P70" s="190"/>
      <c r="Q70" s="190" t="e">
        <f>'One year follow-up_inperson'!#REF!</f>
        <v>#REF!</v>
      </c>
      <c r="R70" s="61" t="str">
        <f ca="1">IFERROR(__xludf.DUMMYFUNCTION("""COMPUTED_VALUE"""),"186")</f>
        <v>186</v>
      </c>
      <c r="S70" s="190" t="e">
        <f ca="1">COUNTIFS('One year follow-up_inperson'!#REF!,R70,'One year follow-up_inperson'!#REF!,"No")</f>
        <v>#REF!</v>
      </c>
      <c r="T70" s="418" t="s">
        <v>3</v>
      </c>
      <c r="U70" s="256" t="s">
        <v>5</v>
      </c>
      <c r="V70" s="258" t="s">
        <v>3</v>
      </c>
    </row>
    <row r="71" spans="1:22" ht="14.25">
      <c r="A71" s="246"/>
      <c r="B71" s="190" t="e">
        <f>'One year follow-up_inperson'!#REF!</f>
        <v>#REF!</v>
      </c>
      <c r="C71" s="252" t="str">
        <f ca="1">IFERROR(__xludf.DUMMYFUNCTION("""COMPUTED_VALUE"""),"153")</f>
        <v>153</v>
      </c>
      <c r="D71" s="252">
        <f ca="1">COUNTIF('One year follow-up_inperson'!$B$23:$B$1499,C71)</f>
        <v>0</v>
      </c>
      <c r="E71" s="256" t="s">
        <v>3</v>
      </c>
      <c r="F71" s="256" t="s">
        <v>32</v>
      </c>
      <c r="G71" s="256" t="s">
        <v>3</v>
      </c>
      <c r="H71" s="254" t="e">
        <f ca="1">D71='One year follow-up_inperson'!#REF!</f>
        <v>#REF!</v>
      </c>
      <c r="I71" s="200"/>
      <c r="J71" s="190" t="e">
        <f>'One year follow-up_inperson'!#REF!</f>
        <v>#REF!</v>
      </c>
      <c r="K71" s="61" t="str">
        <f ca="1">IFERROR(__xludf.DUMMYFUNCTION("""COMPUTED_VALUE"""),"153")</f>
        <v>153</v>
      </c>
      <c r="L71" s="255">
        <f ca="1">COUNTIFS('One year follow-up_inperson'!$B$23:$B$2159,K71,'One year follow-up_inperson'!$R$23:$R$2159,"Yes")</f>
        <v>0</v>
      </c>
      <c r="M71" s="256" t="s">
        <v>3</v>
      </c>
      <c r="N71" s="256" t="s">
        <v>32</v>
      </c>
      <c r="O71" s="256" t="s">
        <v>3</v>
      </c>
      <c r="P71" s="190"/>
      <c r="Q71" s="190" t="e">
        <f>'One year follow-up_inperson'!#REF!</f>
        <v>#REF!</v>
      </c>
      <c r="R71" s="61" t="str">
        <f ca="1">IFERROR(__xludf.DUMMYFUNCTION("""COMPUTED_VALUE"""),"186")</f>
        <v>186</v>
      </c>
      <c r="S71" s="190" t="e">
        <f ca="1">COUNTIFS('One year follow-up_inperson'!#REF!,R71,'One year follow-up_inperson'!#REF!,"No")</f>
        <v>#REF!</v>
      </c>
      <c r="T71" s="256" t="s">
        <v>32</v>
      </c>
      <c r="U71" s="256" t="s">
        <v>32</v>
      </c>
      <c r="V71" s="258" t="s">
        <v>3</v>
      </c>
    </row>
    <row r="72" spans="1:22" ht="14.25">
      <c r="A72" s="246"/>
      <c r="B72" s="190"/>
      <c r="C72" s="252"/>
      <c r="D72" s="252"/>
      <c r="E72" s="256"/>
      <c r="F72" s="256"/>
      <c r="G72" s="256"/>
      <c r="H72" s="254"/>
      <c r="I72" s="200"/>
      <c r="J72" s="190"/>
      <c r="K72" s="61"/>
      <c r="L72" s="262"/>
      <c r="M72" s="256"/>
      <c r="N72" s="256"/>
      <c r="O72" s="256"/>
      <c r="P72" s="190"/>
      <c r="Q72" s="190"/>
      <c r="R72" s="61"/>
      <c r="S72" s="190"/>
      <c r="T72" s="256"/>
      <c r="U72" s="256"/>
      <c r="V72" s="258"/>
    </row>
    <row r="73" spans="1:22" ht="14.25">
      <c r="A73" s="246"/>
      <c r="B73" s="190"/>
      <c r="C73" s="252"/>
      <c r="D73" s="252"/>
      <c r="E73" s="256"/>
      <c r="F73" s="256"/>
      <c r="G73" s="256"/>
      <c r="H73" s="254"/>
      <c r="I73" s="200"/>
      <c r="J73" s="190"/>
      <c r="K73" s="61"/>
      <c r="L73" s="262"/>
      <c r="M73" s="256"/>
      <c r="N73" s="256"/>
      <c r="O73" s="256"/>
      <c r="P73" s="190"/>
      <c r="Q73" s="190"/>
      <c r="R73" s="61"/>
      <c r="S73" s="190"/>
      <c r="T73" s="256"/>
      <c r="U73" s="256"/>
      <c r="V73" s="258"/>
    </row>
    <row r="74" spans="1:22" ht="14.25">
      <c r="A74" s="246"/>
      <c r="B74" s="190"/>
      <c r="C74" s="252"/>
      <c r="D74" s="257"/>
      <c r="E74" s="256"/>
      <c r="F74" s="256"/>
      <c r="G74" s="256"/>
      <c r="H74" s="263"/>
      <c r="I74" s="200"/>
      <c r="J74" s="190"/>
      <c r="K74" s="61"/>
      <c r="L74" s="262"/>
      <c r="M74" s="256"/>
      <c r="N74" s="256"/>
      <c r="O74" s="256"/>
      <c r="P74" s="190"/>
      <c r="Q74" s="190"/>
      <c r="R74" s="61"/>
      <c r="S74" s="190"/>
      <c r="T74" s="256"/>
      <c r="U74" s="256"/>
      <c r="V74" s="258"/>
    </row>
    <row r="75" spans="1:22" ht="14.65" thickBot="1">
      <c r="A75" s="246"/>
      <c r="B75" s="190"/>
      <c r="C75" s="252"/>
      <c r="D75" s="257"/>
      <c r="E75" s="256"/>
      <c r="F75" s="256"/>
      <c r="G75" s="256"/>
      <c r="H75" s="263"/>
      <c r="I75" s="200"/>
      <c r="J75" s="190"/>
      <c r="K75" s="61"/>
      <c r="L75" s="262"/>
      <c r="M75" s="256"/>
      <c r="N75" s="256"/>
      <c r="O75" s="256"/>
      <c r="P75" s="190"/>
      <c r="Q75" s="190"/>
      <c r="R75" s="61"/>
      <c r="S75" s="190"/>
      <c r="T75" s="256"/>
      <c r="U75" s="256"/>
      <c r="V75" s="258"/>
    </row>
    <row r="76" spans="1:22" ht="14.65" thickBot="1">
      <c r="A76" s="264"/>
      <c r="B76" s="265" t="s">
        <v>63</v>
      </c>
      <c r="C76" s="266"/>
      <c r="D76" s="324" t="e">
        <f ca="1">SUM(D49:D71)</f>
        <v>#REF!</v>
      </c>
      <c r="E76" s="268" t="e">
        <f ca="1">SUMIF(E49:E71, "Yes", $D$49:$D$71)</f>
        <v>#REF!</v>
      </c>
      <c r="F76" s="268" t="e">
        <f ca="1">SUMIF(F49:F74, "Yes", $D$49:$D$74)</f>
        <v>#REF!</v>
      </c>
      <c r="G76" s="268" t="e">
        <f ca="1">SUMIF(G49:G66, "Yes", $D$49:$D$66)</f>
        <v>#REF!</v>
      </c>
      <c r="H76" s="269"/>
      <c r="I76" s="269"/>
      <c r="J76" s="265" t="s">
        <v>63</v>
      </c>
      <c r="K76" s="266"/>
      <c r="L76" s="267" t="e">
        <f ca="1">SUM(L49:L71)</f>
        <v>#REF!</v>
      </c>
      <c r="M76" s="268" t="e">
        <f ca="1">SUMIF(M49:M71, "Yes", $L$49:$L$71)</f>
        <v>#REF!</v>
      </c>
      <c r="N76" s="268" t="e">
        <f ca="1">SUMIF(N49:N71, "Yes", $L$49:$L$71)</f>
        <v>#REF!</v>
      </c>
      <c r="O76" s="268" t="e">
        <f ca="1">SUMIF(O49:O71, "Yes", $L$49:$L$71)</f>
        <v>#REF!</v>
      </c>
      <c r="P76" s="269"/>
      <c r="Q76" s="265" t="s">
        <v>63</v>
      </c>
      <c r="R76" s="266"/>
      <c r="S76" s="267" t="e">
        <f ca="1">SUM(S49:S66)</f>
        <v>#REF!</v>
      </c>
      <c r="T76" s="268" t="e">
        <f ca="1">SUMIF(T49:T66, "Yes", $L$49:$L$66)</f>
        <v>#REF!</v>
      </c>
      <c r="U76" s="268" t="e">
        <f ca="1">SUMIF(U49:U66, "Yes", $L$49:$L$66)</f>
        <v>#REF!</v>
      </c>
      <c r="V76" s="270" t="e">
        <f ca="1">SUMIF(V49:V66, "Yes", $L$49:$L$66)</f>
        <v>#REF!</v>
      </c>
    </row>
    <row r="77" spans="1:22" ht="14.25">
      <c r="D77" s="197" t="e">
        <f ca="1">D76='One year follow-up_inperson'!H19</f>
        <v>#REF!</v>
      </c>
      <c r="J77" s="2"/>
      <c r="K77" s="2"/>
      <c r="L77" s="54"/>
      <c r="M77" s="55"/>
      <c r="N77" s="55"/>
    </row>
    <row r="78" spans="1:22" ht="14.25">
      <c r="G78" s="49"/>
      <c r="H78" s="49"/>
      <c r="I78" s="49"/>
      <c r="J78" s="6"/>
      <c r="K78" s="6"/>
      <c r="L78" s="6"/>
    </row>
    <row r="79" spans="1:22" ht="14.25">
      <c r="J79" s="6"/>
      <c r="K79" s="6"/>
      <c r="L79" s="6"/>
    </row>
    <row r="80" spans="1:22" ht="14.25">
      <c r="J80" s="6"/>
      <c r="K80" s="6"/>
      <c r="L80" s="6"/>
    </row>
    <row r="81" spans="10:12" ht="14.25">
      <c r="J81" s="6"/>
      <c r="K81" s="6"/>
      <c r="L81" s="6"/>
    </row>
    <row r="82" spans="10:12" ht="14.25">
      <c r="J82" s="6"/>
      <c r="K82" s="6"/>
      <c r="L82" s="6"/>
    </row>
    <row r="83" spans="10:12" ht="14.25">
      <c r="J83" s="6"/>
      <c r="K83" s="6"/>
      <c r="L83" s="6"/>
    </row>
    <row r="84" spans="10:12" ht="14.25">
      <c r="J84" s="6"/>
      <c r="K84" s="6"/>
      <c r="L84" s="6"/>
    </row>
    <row r="85" spans="10:12" ht="14.25">
      <c r="J85" s="6"/>
      <c r="K85" s="6"/>
      <c r="L85" s="6"/>
    </row>
    <row r="86" spans="10:12" ht="14.25">
      <c r="J86" s="6"/>
      <c r="K86" s="6"/>
      <c r="L86" s="6"/>
    </row>
    <row r="87" spans="10:12" ht="14.25">
      <c r="J87" s="6"/>
      <c r="K87" s="6"/>
      <c r="L87" s="6"/>
    </row>
    <row r="88" spans="10:12" ht="14.25">
      <c r="J88" s="6"/>
      <c r="K88" s="6"/>
      <c r="L88" s="6"/>
    </row>
    <row r="89" spans="10:12" ht="14.25">
      <c r="J89" s="6"/>
      <c r="K89" s="6"/>
      <c r="L89" s="6"/>
    </row>
    <row r="90" spans="10:12" ht="14.25">
      <c r="J90" s="6"/>
      <c r="K90" s="6"/>
      <c r="L90" s="6"/>
    </row>
    <row r="91" spans="10:12" ht="14.25">
      <c r="J91" s="6"/>
      <c r="K91" s="6"/>
      <c r="L91" s="6"/>
    </row>
    <row r="92" spans="10:12" ht="14.25">
      <c r="J92" s="6"/>
      <c r="K92" s="6"/>
      <c r="L92" s="6"/>
    </row>
    <row r="93" spans="10:12" ht="14.25">
      <c r="J93" s="6"/>
      <c r="K93" s="6"/>
      <c r="L93" s="6"/>
    </row>
    <row r="94" spans="10:12" ht="14.25">
      <c r="J94" s="6"/>
      <c r="K94" s="6"/>
      <c r="L94" s="6"/>
    </row>
    <row r="95" spans="10:12" ht="14.25">
      <c r="J95" s="6"/>
      <c r="K95" s="6"/>
      <c r="L95" s="6"/>
    </row>
    <row r="96" spans="10:12" ht="14.25">
      <c r="J96" s="6"/>
      <c r="K96" s="6"/>
      <c r="L96" s="6"/>
    </row>
    <row r="97" spans="10:12" ht="14.25">
      <c r="J97" s="6"/>
      <c r="K97" s="6"/>
      <c r="L97" s="6"/>
    </row>
    <row r="98" spans="10:12" ht="14.25">
      <c r="J98" s="6"/>
      <c r="K98" s="6"/>
      <c r="L98" s="6"/>
    </row>
    <row r="99" spans="10:12" ht="14.25">
      <c r="J99" s="6"/>
      <c r="K99" s="6"/>
      <c r="L99" s="6"/>
    </row>
    <row r="100" spans="10:12" ht="14.25">
      <c r="J100" s="6"/>
      <c r="K100" s="6"/>
      <c r="L100" s="6"/>
    </row>
    <row r="101" spans="10:12" ht="14.25">
      <c r="J101" s="6"/>
      <c r="K101" s="6"/>
      <c r="L101" s="6"/>
    </row>
    <row r="102" spans="10:12" ht="14.25">
      <c r="J102" s="6"/>
      <c r="K102" s="6"/>
      <c r="L102" s="6"/>
    </row>
    <row r="103" spans="10:12" ht="14.25">
      <c r="J103" s="6"/>
      <c r="K103" s="6"/>
      <c r="L103" s="6"/>
    </row>
    <row r="104" spans="10:12" ht="14.25">
      <c r="J104" s="6"/>
      <c r="K104" s="6"/>
      <c r="L104" s="6"/>
    </row>
    <row r="105" spans="10:12" ht="14.25">
      <c r="J105" s="6"/>
      <c r="K105" s="6"/>
      <c r="L105" s="6"/>
    </row>
    <row r="106" spans="10:12" ht="14.25">
      <c r="J106" s="6"/>
      <c r="K106" s="6"/>
      <c r="L106" s="6"/>
    </row>
    <row r="107" spans="10:12" ht="14.25">
      <c r="J107" s="6"/>
      <c r="K107" s="6"/>
      <c r="L107" s="6"/>
    </row>
    <row r="108" spans="10:12" ht="14.25">
      <c r="J108" s="6"/>
      <c r="K108" s="6"/>
      <c r="L108" s="6"/>
    </row>
    <row r="109" spans="10:12" ht="14.25">
      <c r="J109" s="6"/>
      <c r="K109" s="6"/>
      <c r="L109" s="6"/>
    </row>
    <row r="110" spans="10:12" ht="14.25">
      <c r="J110" s="6"/>
      <c r="K110" s="6"/>
      <c r="L110" s="6"/>
    </row>
    <row r="111" spans="10:12" ht="14.25">
      <c r="J111" s="6"/>
      <c r="K111" s="6"/>
      <c r="L111" s="6"/>
    </row>
    <row r="112" spans="10:12" ht="14.25">
      <c r="J112" s="6"/>
      <c r="K112" s="6"/>
      <c r="L112" s="6"/>
    </row>
    <row r="113" spans="10:12" ht="14.25">
      <c r="J113" s="6"/>
      <c r="K113" s="6"/>
      <c r="L113" s="6"/>
    </row>
    <row r="114" spans="10:12" ht="14.25">
      <c r="J114" s="6"/>
      <c r="K114" s="6"/>
      <c r="L114" s="6"/>
    </row>
    <row r="115" spans="10:12" ht="14.25">
      <c r="J115" s="6"/>
      <c r="K115" s="6"/>
      <c r="L115" s="6"/>
    </row>
    <row r="116" spans="10:12" ht="14.25">
      <c r="J116" s="6"/>
      <c r="K116" s="6"/>
      <c r="L116" s="6"/>
    </row>
    <row r="117" spans="10:12" ht="14.25">
      <c r="J117" s="6"/>
      <c r="K117" s="6"/>
      <c r="L117" s="6"/>
    </row>
    <row r="118" spans="10:12" ht="14.25">
      <c r="J118" s="6"/>
      <c r="K118" s="6"/>
      <c r="L118" s="6"/>
    </row>
    <row r="119" spans="10:12" ht="14.25">
      <c r="J119" s="6"/>
      <c r="K119" s="6"/>
      <c r="L119" s="6"/>
    </row>
    <row r="120" spans="10:12" ht="14.25">
      <c r="J120" s="6"/>
      <c r="K120" s="6"/>
      <c r="L120" s="6"/>
    </row>
    <row r="121" spans="10:12" ht="14.25">
      <c r="J121" s="6"/>
      <c r="K121" s="6"/>
      <c r="L121" s="6"/>
    </row>
    <row r="122" spans="10:12" ht="14.25">
      <c r="J122" s="6"/>
      <c r="K122" s="6"/>
      <c r="L122" s="6"/>
    </row>
    <row r="123" spans="10:12" ht="14.25">
      <c r="J123" s="6"/>
      <c r="K123" s="6"/>
      <c r="L123" s="6"/>
    </row>
    <row r="124" spans="10:12" ht="14.25">
      <c r="J124" s="6"/>
      <c r="K124" s="6"/>
      <c r="L124" s="6"/>
    </row>
    <row r="125" spans="10:12" ht="14.25">
      <c r="J125" s="6"/>
      <c r="K125" s="6"/>
      <c r="L125" s="6"/>
    </row>
    <row r="126" spans="10:12" ht="14.25">
      <c r="J126" s="6"/>
      <c r="K126" s="6"/>
      <c r="L126" s="6"/>
    </row>
    <row r="127" spans="10:12" ht="14.25">
      <c r="J127" s="6"/>
      <c r="K127" s="6"/>
      <c r="L127" s="6"/>
    </row>
    <row r="128" spans="10:12" ht="14.25">
      <c r="J128" s="6"/>
      <c r="K128" s="6"/>
      <c r="L128" s="6"/>
    </row>
    <row r="129" spans="10:12" ht="14.25">
      <c r="J129" s="6"/>
      <c r="K129" s="6"/>
      <c r="L129" s="6"/>
    </row>
    <row r="130" spans="10:12" ht="14.25">
      <c r="J130" s="6"/>
      <c r="K130" s="6"/>
      <c r="L130" s="6"/>
    </row>
    <row r="131" spans="10:12" ht="14.25">
      <c r="J131" s="6"/>
      <c r="K131" s="6"/>
      <c r="L131" s="6"/>
    </row>
    <row r="132" spans="10:12" ht="14.25">
      <c r="J132" s="6"/>
      <c r="K132" s="6"/>
      <c r="L132" s="6"/>
    </row>
    <row r="133" spans="10:12" ht="14.25">
      <c r="J133" s="6"/>
      <c r="K133" s="6"/>
      <c r="L133" s="6"/>
    </row>
    <row r="134" spans="10:12" ht="14.25">
      <c r="J134" s="6"/>
      <c r="K134" s="6"/>
      <c r="L134" s="6"/>
    </row>
    <row r="135" spans="10:12" ht="14.25">
      <c r="J135" s="6"/>
      <c r="K135" s="6"/>
      <c r="L135" s="6"/>
    </row>
    <row r="136" spans="10:12" ht="14.25">
      <c r="J136" s="6"/>
      <c r="K136" s="6"/>
      <c r="L136" s="6"/>
    </row>
    <row r="137" spans="10:12" ht="14.25">
      <c r="J137" s="6"/>
      <c r="K137" s="6"/>
      <c r="L137" s="6"/>
    </row>
    <row r="138" spans="10:12" ht="14.25">
      <c r="J138" s="6"/>
      <c r="K138" s="6"/>
      <c r="L138" s="6"/>
    </row>
    <row r="139" spans="10:12" ht="14.25">
      <c r="J139" s="6"/>
      <c r="K139" s="6"/>
      <c r="L139" s="6"/>
    </row>
    <row r="140" spans="10:12" ht="14.25">
      <c r="J140" s="6"/>
      <c r="K140" s="6"/>
      <c r="L140" s="6"/>
    </row>
    <row r="141" spans="10:12" ht="14.25">
      <c r="J141" s="6"/>
      <c r="K141" s="6"/>
      <c r="L141" s="6"/>
    </row>
    <row r="142" spans="10:12" ht="14.25">
      <c r="J142" s="6"/>
      <c r="K142" s="6"/>
      <c r="L142" s="6"/>
    </row>
    <row r="143" spans="10:12" ht="14.25">
      <c r="J143" s="6"/>
      <c r="K143" s="6"/>
      <c r="L143" s="6"/>
    </row>
    <row r="144" spans="10:12" ht="14.25">
      <c r="J144" s="6"/>
      <c r="K144" s="6"/>
      <c r="L144" s="6"/>
    </row>
    <row r="145" spans="10:12" ht="14.25">
      <c r="J145" s="6"/>
      <c r="K145" s="6"/>
      <c r="L145" s="6"/>
    </row>
    <row r="146" spans="10:12" ht="14.25">
      <c r="J146" s="6"/>
      <c r="K146" s="6"/>
      <c r="L146" s="6"/>
    </row>
    <row r="147" spans="10:12" ht="14.25">
      <c r="J147" s="6"/>
      <c r="K147" s="6"/>
      <c r="L147" s="6"/>
    </row>
    <row r="148" spans="10:12" ht="14.25">
      <c r="J148" s="6"/>
      <c r="K148" s="6"/>
      <c r="L148" s="6"/>
    </row>
    <row r="149" spans="10:12" ht="14.25">
      <c r="J149" s="6"/>
      <c r="K149" s="6"/>
      <c r="L149" s="6"/>
    </row>
    <row r="150" spans="10:12" ht="14.25">
      <c r="J150" s="6"/>
      <c r="K150" s="6"/>
      <c r="L150" s="6"/>
    </row>
    <row r="151" spans="10:12" ht="14.25">
      <c r="J151" s="6"/>
      <c r="K151" s="6"/>
      <c r="L151" s="6"/>
    </row>
    <row r="152" spans="10:12" ht="14.25">
      <c r="J152" s="6"/>
      <c r="K152" s="6"/>
      <c r="L152" s="6"/>
    </row>
    <row r="153" spans="10:12" ht="14.25">
      <c r="J153" s="6"/>
      <c r="K153" s="6"/>
      <c r="L153" s="6"/>
    </row>
    <row r="154" spans="10:12" ht="14.25">
      <c r="J154" s="6"/>
      <c r="K154" s="6"/>
      <c r="L154" s="6"/>
    </row>
    <row r="155" spans="10:12" ht="14.25">
      <c r="J155" s="6"/>
      <c r="K155" s="6"/>
      <c r="L155" s="6"/>
    </row>
    <row r="156" spans="10:12" ht="14.25">
      <c r="J156" s="6"/>
      <c r="K156" s="6"/>
      <c r="L156" s="6"/>
    </row>
    <row r="157" spans="10:12" ht="14.25">
      <c r="J157" s="6"/>
      <c r="K157" s="6"/>
      <c r="L157" s="6"/>
    </row>
    <row r="158" spans="10:12" ht="14.25">
      <c r="J158" s="6"/>
      <c r="K158" s="6"/>
      <c r="L158" s="6"/>
    </row>
    <row r="159" spans="10:12" ht="14.25">
      <c r="J159" s="6"/>
      <c r="K159" s="6"/>
      <c r="L159" s="6"/>
    </row>
    <row r="160" spans="10:12" ht="14.25">
      <c r="J160" s="6"/>
      <c r="K160" s="6"/>
      <c r="L160" s="6"/>
    </row>
    <row r="161" spans="10:12" ht="14.25">
      <c r="J161" s="6"/>
      <c r="K161" s="6"/>
      <c r="L161" s="6"/>
    </row>
    <row r="162" spans="10:12" ht="14.25">
      <c r="J162" s="6"/>
      <c r="K162" s="6"/>
      <c r="L162" s="6"/>
    </row>
    <row r="163" spans="10:12" ht="14.25">
      <c r="J163" s="6"/>
      <c r="K163" s="6"/>
      <c r="L163" s="6"/>
    </row>
    <row r="164" spans="10:12" ht="14.25">
      <c r="J164" s="6"/>
      <c r="K164" s="6"/>
      <c r="L164" s="6"/>
    </row>
    <row r="165" spans="10:12" ht="14.25">
      <c r="J165" s="6"/>
      <c r="K165" s="6"/>
      <c r="L165" s="6"/>
    </row>
    <row r="166" spans="10:12" ht="14.25">
      <c r="J166" s="6"/>
      <c r="K166" s="6"/>
      <c r="L166" s="6"/>
    </row>
    <row r="167" spans="10:12" ht="14.25">
      <c r="J167" s="6"/>
      <c r="K167" s="6"/>
      <c r="L167" s="6"/>
    </row>
    <row r="168" spans="10:12" ht="14.25">
      <c r="J168" s="6"/>
      <c r="K168" s="6"/>
      <c r="L168" s="6"/>
    </row>
    <row r="169" spans="10:12" ht="14.25">
      <c r="J169" s="6"/>
      <c r="K169" s="6"/>
      <c r="L169" s="6"/>
    </row>
    <row r="170" spans="10:12" ht="14.25">
      <c r="J170" s="6"/>
      <c r="K170" s="6"/>
      <c r="L170" s="6"/>
    </row>
    <row r="171" spans="10:12" ht="14.25">
      <c r="J171" s="6"/>
      <c r="K171" s="6"/>
      <c r="L171" s="6"/>
    </row>
    <row r="172" spans="10:12" ht="14.25">
      <c r="J172" s="6"/>
      <c r="K172" s="6"/>
      <c r="L172" s="6"/>
    </row>
    <row r="173" spans="10:12" ht="14.25">
      <c r="J173" s="6"/>
      <c r="K173" s="6"/>
      <c r="L173" s="6"/>
    </row>
    <row r="174" spans="10:12" ht="14.25">
      <c r="J174" s="6"/>
      <c r="K174" s="6"/>
      <c r="L174" s="6"/>
    </row>
    <row r="175" spans="10:12" ht="14.25">
      <c r="J175" s="6"/>
      <c r="K175" s="6"/>
      <c r="L175" s="6"/>
    </row>
    <row r="176" spans="10:12" ht="14.25">
      <c r="J176" s="6"/>
      <c r="K176" s="6"/>
      <c r="L176" s="6"/>
    </row>
    <row r="177" spans="10:12" ht="14.25">
      <c r="J177" s="6"/>
      <c r="K177" s="6"/>
      <c r="L177" s="6"/>
    </row>
    <row r="178" spans="10:12" ht="14.25">
      <c r="J178" s="6"/>
      <c r="K178" s="6"/>
      <c r="L178" s="6"/>
    </row>
    <row r="179" spans="10:12" ht="14.25">
      <c r="J179" s="6"/>
      <c r="K179" s="6"/>
      <c r="L179" s="6"/>
    </row>
    <row r="180" spans="10:12" ht="14.25">
      <c r="J180" s="6"/>
      <c r="K180" s="6"/>
      <c r="L180" s="6"/>
    </row>
    <row r="181" spans="10:12" ht="14.25">
      <c r="J181" s="6"/>
      <c r="K181" s="6"/>
      <c r="L181" s="6"/>
    </row>
    <row r="182" spans="10:12" ht="14.25">
      <c r="J182" s="6"/>
      <c r="K182" s="6"/>
      <c r="L182" s="6"/>
    </row>
    <row r="183" spans="10:12" ht="14.25">
      <c r="J183" s="6"/>
      <c r="K183" s="6"/>
      <c r="L183" s="6"/>
    </row>
    <row r="184" spans="10:12" ht="14.25">
      <c r="J184" s="6"/>
      <c r="K184" s="6"/>
      <c r="L184" s="6"/>
    </row>
    <row r="185" spans="10:12" ht="14.25">
      <c r="J185" s="6"/>
      <c r="K185" s="6"/>
      <c r="L185" s="6"/>
    </row>
    <row r="186" spans="10:12" ht="14.25">
      <c r="J186" s="6"/>
      <c r="K186" s="6"/>
      <c r="L186" s="6"/>
    </row>
    <row r="187" spans="10:12" ht="14.25">
      <c r="J187" s="6"/>
      <c r="K187" s="6"/>
      <c r="L187" s="6"/>
    </row>
    <row r="188" spans="10:12" ht="14.25">
      <c r="J188" s="6"/>
      <c r="K188" s="6"/>
      <c r="L188" s="6"/>
    </row>
    <row r="189" spans="10:12" ht="14.25">
      <c r="J189" s="6"/>
      <c r="K189" s="6"/>
      <c r="L189" s="6"/>
    </row>
    <row r="190" spans="10:12" ht="14.25">
      <c r="J190" s="6"/>
      <c r="K190" s="6"/>
      <c r="L190" s="6"/>
    </row>
    <row r="191" spans="10:12" ht="14.25">
      <c r="J191" s="6"/>
      <c r="K191" s="6"/>
      <c r="L191" s="6"/>
    </row>
    <row r="192" spans="10:12" ht="14.25">
      <c r="J192" s="6"/>
      <c r="K192" s="6"/>
      <c r="L192" s="6"/>
    </row>
    <row r="193" spans="10:12" ht="14.25">
      <c r="J193" s="6"/>
      <c r="K193" s="6"/>
      <c r="L193" s="6"/>
    </row>
    <row r="194" spans="10:12" ht="14.25">
      <c r="J194" s="6"/>
      <c r="K194" s="6"/>
      <c r="L194" s="6"/>
    </row>
    <row r="195" spans="10:12" ht="14.25">
      <c r="J195" s="6"/>
      <c r="K195" s="6"/>
      <c r="L195" s="6"/>
    </row>
    <row r="196" spans="10:12" ht="14.25">
      <c r="J196" s="6"/>
      <c r="K196" s="6"/>
      <c r="L196" s="6"/>
    </row>
    <row r="197" spans="10:12" ht="14.25">
      <c r="J197" s="6"/>
      <c r="K197" s="6"/>
      <c r="L197" s="6"/>
    </row>
    <row r="198" spans="10:12" ht="14.25">
      <c r="J198" s="6"/>
      <c r="K198" s="6"/>
      <c r="L198" s="6"/>
    </row>
    <row r="199" spans="10:12" ht="14.25">
      <c r="J199" s="6"/>
      <c r="K199" s="6"/>
      <c r="L199" s="6"/>
    </row>
    <row r="200" spans="10:12" ht="14.25">
      <c r="J200" s="6"/>
      <c r="K200" s="6"/>
      <c r="L200" s="6"/>
    </row>
    <row r="201" spans="10:12" ht="14.25">
      <c r="J201" s="6"/>
      <c r="K201" s="6"/>
      <c r="L201" s="6"/>
    </row>
    <row r="202" spans="10:12" ht="14.25">
      <c r="J202" s="6"/>
      <c r="K202" s="6"/>
      <c r="L202" s="6"/>
    </row>
    <row r="203" spans="10:12" ht="14.25">
      <c r="J203" s="6"/>
      <c r="K203" s="6"/>
      <c r="L203" s="6"/>
    </row>
    <row r="204" spans="10:12" ht="14.25">
      <c r="J204" s="6"/>
      <c r="K204" s="6"/>
      <c r="L204" s="6"/>
    </row>
    <row r="205" spans="10:12" ht="14.25">
      <c r="J205" s="6"/>
      <c r="K205" s="6"/>
      <c r="L205" s="6"/>
    </row>
    <row r="206" spans="10:12" ht="14.25">
      <c r="J206" s="6"/>
      <c r="K206" s="6"/>
      <c r="L206" s="6"/>
    </row>
    <row r="207" spans="10:12" ht="14.25">
      <c r="J207" s="6"/>
      <c r="K207" s="6"/>
      <c r="L207" s="6"/>
    </row>
    <row r="208" spans="10:12" ht="14.25">
      <c r="J208" s="6"/>
      <c r="K208" s="6"/>
      <c r="L208" s="6"/>
    </row>
    <row r="209" spans="10:12" ht="14.25">
      <c r="J209" s="6"/>
      <c r="K209" s="6"/>
      <c r="L209" s="6"/>
    </row>
    <row r="210" spans="10:12" ht="14.25">
      <c r="J210" s="6"/>
      <c r="K210" s="6"/>
      <c r="L210" s="6"/>
    </row>
    <row r="211" spans="10:12" ht="14.25">
      <c r="J211" s="6"/>
      <c r="K211" s="6"/>
      <c r="L211" s="6"/>
    </row>
    <row r="212" spans="10:12" ht="14.25">
      <c r="J212" s="6"/>
      <c r="K212" s="6"/>
      <c r="L212" s="6"/>
    </row>
    <row r="213" spans="10:12" ht="14.25">
      <c r="J213" s="6"/>
      <c r="K213" s="6"/>
      <c r="L213" s="6"/>
    </row>
    <row r="214" spans="10:12" ht="14.25">
      <c r="J214" s="6"/>
      <c r="K214" s="6"/>
      <c r="L214" s="6"/>
    </row>
    <row r="215" spans="10:12" ht="14.25">
      <c r="J215" s="6"/>
      <c r="K215" s="6"/>
      <c r="L215" s="6"/>
    </row>
    <row r="216" spans="10:12" ht="14.25">
      <c r="J216" s="6"/>
      <c r="K216" s="6"/>
      <c r="L216" s="6"/>
    </row>
    <row r="217" spans="10:12" ht="14.25">
      <c r="J217" s="6"/>
      <c r="K217" s="6"/>
      <c r="L217" s="6"/>
    </row>
    <row r="218" spans="10:12" ht="14.25">
      <c r="J218" s="6"/>
      <c r="K218" s="6"/>
      <c r="L218" s="6"/>
    </row>
    <row r="219" spans="10:12" ht="14.25">
      <c r="J219" s="6"/>
      <c r="K219" s="6"/>
      <c r="L219" s="6"/>
    </row>
    <row r="220" spans="10:12" ht="14.25">
      <c r="J220" s="6"/>
      <c r="K220" s="6"/>
      <c r="L220" s="6"/>
    </row>
    <row r="221" spans="10:12" ht="14.25">
      <c r="J221" s="6"/>
      <c r="K221" s="6"/>
      <c r="L221" s="6"/>
    </row>
    <row r="222" spans="10:12" ht="14.25">
      <c r="J222" s="6"/>
      <c r="K222" s="6"/>
      <c r="L222" s="6"/>
    </row>
    <row r="223" spans="10:12" ht="14.25">
      <c r="J223" s="6"/>
      <c r="K223" s="6"/>
      <c r="L223" s="6"/>
    </row>
    <row r="224" spans="10:12" ht="14.25">
      <c r="J224" s="6"/>
      <c r="K224" s="6"/>
      <c r="L224" s="6"/>
    </row>
    <row r="225" spans="10:12" ht="14.25">
      <c r="J225" s="6"/>
      <c r="K225" s="6"/>
      <c r="L225" s="6"/>
    </row>
    <row r="226" spans="10:12" ht="14.25">
      <c r="J226" s="6"/>
      <c r="K226" s="6"/>
      <c r="L226" s="6"/>
    </row>
    <row r="227" spans="10:12" ht="14.25">
      <c r="J227" s="6"/>
      <c r="K227" s="6"/>
      <c r="L227" s="6"/>
    </row>
    <row r="228" spans="10:12" ht="14.25">
      <c r="J228" s="6"/>
      <c r="K228" s="6"/>
      <c r="L228" s="6"/>
    </row>
    <row r="229" spans="10:12" ht="14.25">
      <c r="J229" s="6"/>
      <c r="K229" s="6"/>
      <c r="L229" s="6"/>
    </row>
    <row r="230" spans="10:12" ht="14.25">
      <c r="J230" s="6"/>
      <c r="K230" s="6"/>
      <c r="L230" s="6"/>
    </row>
    <row r="231" spans="10:12" ht="14.25">
      <c r="J231" s="6"/>
      <c r="K231" s="6"/>
      <c r="L231" s="6"/>
    </row>
    <row r="232" spans="10:12" ht="14.25">
      <c r="J232" s="6"/>
      <c r="K232" s="6"/>
      <c r="L232" s="6"/>
    </row>
    <row r="233" spans="10:12" ht="14.25">
      <c r="J233" s="6"/>
      <c r="K233" s="6"/>
      <c r="L233" s="6"/>
    </row>
    <row r="234" spans="10:12" ht="14.25">
      <c r="J234" s="6"/>
      <c r="K234" s="6"/>
      <c r="L234" s="6"/>
    </row>
    <row r="235" spans="10:12" ht="14.25">
      <c r="J235" s="6"/>
      <c r="K235" s="6"/>
      <c r="L235" s="6"/>
    </row>
    <row r="236" spans="10:12" ht="14.25">
      <c r="J236" s="6"/>
      <c r="K236" s="6"/>
      <c r="L236" s="6"/>
    </row>
    <row r="237" spans="10:12" ht="14.25">
      <c r="J237" s="6"/>
      <c r="K237" s="6"/>
      <c r="L237" s="6"/>
    </row>
    <row r="238" spans="10:12" ht="14.25">
      <c r="J238" s="6"/>
      <c r="K238" s="6"/>
      <c r="L238" s="6"/>
    </row>
    <row r="239" spans="10:12" ht="14.25">
      <c r="J239" s="6"/>
      <c r="K239" s="6"/>
      <c r="L239" s="6"/>
    </row>
    <row r="240" spans="10:12" ht="14.25">
      <c r="J240" s="6"/>
      <c r="K240" s="6"/>
      <c r="L240" s="6"/>
    </row>
    <row r="241" spans="10:12" ht="14.25">
      <c r="J241" s="6"/>
      <c r="K241" s="6"/>
      <c r="L241" s="6"/>
    </row>
    <row r="242" spans="10:12" ht="14.25">
      <c r="J242" s="6"/>
      <c r="K242" s="6"/>
      <c r="L242" s="6"/>
    </row>
    <row r="243" spans="10:12" ht="14.25">
      <c r="J243" s="6"/>
      <c r="K243" s="6"/>
      <c r="L243" s="6"/>
    </row>
    <row r="244" spans="10:12" ht="14.25">
      <c r="J244" s="6"/>
      <c r="K244" s="6"/>
      <c r="L244" s="6"/>
    </row>
    <row r="245" spans="10:12" ht="14.25">
      <c r="J245" s="6"/>
      <c r="K245" s="6"/>
      <c r="L245" s="6"/>
    </row>
    <row r="246" spans="10:12" ht="14.25">
      <c r="J246" s="6"/>
      <c r="K246" s="6"/>
      <c r="L246" s="6"/>
    </row>
    <row r="247" spans="10:12" ht="14.25">
      <c r="J247" s="6"/>
      <c r="K247" s="6"/>
      <c r="L247" s="6"/>
    </row>
    <row r="248" spans="10:12" ht="14.25">
      <c r="J248" s="6"/>
      <c r="K248" s="6"/>
      <c r="L248" s="6"/>
    </row>
    <row r="249" spans="10:12" ht="14.25">
      <c r="J249" s="6"/>
      <c r="K249" s="6"/>
      <c r="L249" s="6"/>
    </row>
    <row r="250" spans="10:12" ht="14.25">
      <c r="J250" s="6"/>
      <c r="K250" s="6"/>
      <c r="L250" s="6"/>
    </row>
    <row r="251" spans="10:12" ht="14.25">
      <c r="J251" s="6"/>
      <c r="K251" s="6"/>
      <c r="L251" s="6"/>
    </row>
    <row r="252" spans="10:12" ht="14.25">
      <c r="J252" s="6"/>
      <c r="K252" s="6"/>
      <c r="L252" s="6"/>
    </row>
    <row r="253" spans="10:12" ht="14.25">
      <c r="J253" s="6"/>
      <c r="K253" s="6"/>
      <c r="L253" s="6"/>
    </row>
    <row r="254" spans="10:12" ht="14.25">
      <c r="J254" s="6"/>
      <c r="K254" s="6"/>
      <c r="L254" s="6"/>
    </row>
    <row r="255" spans="10:12" ht="14.25">
      <c r="J255" s="6"/>
      <c r="K255" s="6"/>
      <c r="L255" s="6"/>
    </row>
    <row r="256" spans="10:12" ht="14.25">
      <c r="J256" s="6"/>
      <c r="K256" s="6"/>
      <c r="L256" s="6"/>
    </row>
    <row r="257" spans="10:12" ht="14.25">
      <c r="J257" s="6"/>
      <c r="K257" s="6"/>
      <c r="L257" s="6"/>
    </row>
    <row r="258" spans="10:12" ht="14.25">
      <c r="J258" s="6"/>
      <c r="K258" s="6"/>
      <c r="L258" s="6"/>
    </row>
    <row r="259" spans="10:12" ht="14.25">
      <c r="J259" s="6"/>
      <c r="K259" s="6"/>
      <c r="L259" s="6"/>
    </row>
    <row r="260" spans="10:12" ht="14.25">
      <c r="J260" s="6"/>
      <c r="K260" s="6"/>
      <c r="L260" s="6"/>
    </row>
    <row r="261" spans="10:12" ht="14.25">
      <c r="J261" s="6"/>
      <c r="K261" s="6"/>
      <c r="L261" s="6"/>
    </row>
    <row r="262" spans="10:12" ht="14.25">
      <c r="J262" s="6"/>
      <c r="K262" s="6"/>
      <c r="L262" s="6"/>
    </row>
    <row r="263" spans="10:12" ht="14.25">
      <c r="J263" s="6"/>
      <c r="K263" s="6"/>
      <c r="L263" s="6"/>
    </row>
    <row r="264" spans="10:12" ht="14.25">
      <c r="J264" s="6"/>
      <c r="K264" s="6"/>
      <c r="L264" s="6"/>
    </row>
    <row r="265" spans="10:12" ht="14.25">
      <c r="J265" s="6"/>
      <c r="K265" s="6"/>
      <c r="L265" s="6"/>
    </row>
    <row r="266" spans="10:12" ht="14.25">
      <c r="J266" s="6"/>
      <c r="K266" s="6"/>
      <c r="L266" s="6"/>
    </row>
    <row r="267" spans="10:12" ht="14.25">
      <c r="J267" s="6"/>
      <c r="K267" s="6"/>
      <c r="L267" s="6"/>
    </row>
    <row r="268" spans="10:12" ht="14.25">
      <c r="J268" s="6"/>
      <c r="K268" s="6"/>
      <c r="L268" s="6"/>
    </row>
    <row r="269" spans="10:12" ht="14.25">
      <c r="J269" s="6"/>
      <c r="K269" s="6"/>
      <c r="L269" s="6"/>
    </row>
    <row r="270" spans="10:12" ht="14.25">
      <c r="J270" s="6"/>
      <c r="K270" s="6"/>
      <c r="L270" s="6"/>
    </row>
    <row r="271" spans="10:12" ht="14.25">
      <c r="J271" s="6"/>
      <c r="K271" s="6"/>
      <c r="L271" s="6"/>
    </row>
    <row r="272" spans="10:12" ht="14.25">
      <c r="J272" s="6"/>
      <c r="K272" s="6"/>
      <c r="L272" s="6"/>
    </row>
    <row r="273" spans="10:12" ht="14.25">
      <c r="J273" s="6"/>
      <c r="K273" s="6"/>
      <c r="L273" s="6"/>
    </row>
    <row r="274" spans="10:12" ht="14.25">
      <c r="J274" s="6"/>
      <c r="K274" s="6"/>
      <c r="L274" s="6"/>
    </row>
    <row r="275" spans="10:12" ht="14.25">
      <c r="J275" s="6"/>
      <c r="K275" s="6"/>
      <c r="L275" s="6"/>
    </row>
    <row r="276" spans="10:12" ht="14.25">
      <c r="J276" s="6"/>
      <c r="K276" s="6"/>
      <c r="L276" s="6"/>
    </row>
    <row r="277" spans="10:12" ht="14.25">
      <c r="J277" s="6"/>
      <c r="K277" s="6"/>
      <c r="L277" s="6"/>
    </row>
    <row r="278" spans="10:12" ht="14.25">
      <c r="J278" s="6"/>
      <c r="K278" s="6"/>
      <c r="L278" s="6"/>
    </row>
    <row r="279" spans="10:12" ht="14.25">
      <c r="J279" s="6"/>
      <c r="K279" s="6"/>
      <c r="L279" s="6"/>
    </row>
    <row r="280" spans="10:12" ht="14.25">
      <c r="J280" s="6"/>
      <c r="K280" s="6"/>
      <c r="L280" s="6"/>
    </row>
    <row r="281" spans="10:12" ht="14.25">
      <c r="J281" s="6"/>
      <c r="K281" s="6"/>
      <c r="L281" s="6"/>
    </row>
    <row r="282" spans="10:12" ht="14.25">
      <c r="J282" s="6"/>
      <c r="K282" s="6"/>
      <c r="L282" s="6"/>
    </row>
    <row r="283" spans="10:12" ht="14.25">
      <c r="J283" s="6"/>
      <c r="K283" s="6"/>
      <c r="L283" s="6"/>
    </row>
    <row r="284" spans="10:12" ht="14.25">
      <c r="J284" s="6"/>
      <c r="K284" s="6"/>
      <c r="L284" s="6"/>
    </row>
    <row r="285" spans="10:12" ht="14.25">
      <c r="J285" s="6"/>
      <c r="K285" s="6"/>
      <c r="L285" s="6"/>
    </row>
    <row r="286" spans="10:12" ht="14.25">
      <c r="J286" s="6"/>
      <c r="K286" s="6"/>
      <c r="L286" s="6"/>
    </row>
    <row r="287" spans="10:12" ht="14.25">
      <c r="J287" s="6"/>
      <c r="K287" s="6"/>
      <c r="L287" s="6"/>
    </row>
    <row r="288" spans="10:12" ht="14.25">
      <c r="J288" s="6"/>
      <c r="K288" s="6"/>
      <c r="L288" s="6"/>
    </row>
    <row r="289" spans="10:12" ht="14.25">
      <c r="J289" s="6"/>
      <c r="K289" s="6"/>
      <c r="L289" s="6"/>
    </row>
    <row r="290" spans="10:12" ht="14.25">
      <c r="J290" s="6"/>
      <c r="K290" s="6"/>
      <c r="L290" s="6"/>
    </row>
    <row r="291" spans="10:12" ht="14.25">
      <c r="J291" s="6"/>
      <c r="K291" s="6"/>
      <c r="L291" s="6"/>
    </row>
    <row r="292" spans="10:12" ht="14.25">
      <c r="J292" s="6"/>
      <c r="K292" s="6"/>
      <c r="L292" s="6"/>
    </row>
    <row r="293" spans="10:12" ht="14.25">
      <c r="J293" s="6"/>
      <c r="K293" s="6"/>
      <c r="L293" s="6"/>
    </row>
    <row r="294" spans="10:12" ht="14.25">
      <c r="J294" s="6"/>
      <c r="K294" s="6"/>
      <c r="L294" s="6"/>
    </row>
    <row r="295" spans="10:12" ht="14.25">
      <c r="J295" s="6"/>
      <c r="K295" s="6"/>
      <c r="L295" s="6"/>
    </row>
    <row r="296" spans="10:12" ht="14.25">
      <c r="J296" s="6"/>
      <c r="K296" s="6"/>
      <c r="L296" s="6"/>
    </row>
    <row r="297" spans="10:12" ht="14.25">
      <c r="J297" s="6"/>
      <c r="K297" s="6"/>
      <c r="L297" s="6"/>
    </row>
    <row r="298" spans="10:12" ht="14.25">
      <c r="J298" s="6"/>
      <c r="K298" s="6"/>
      <c r="L298" s="6"/>
    </row>
    <row r="299" spans="10:12" ht="14.25">
      <c r="J299" s="6"/>
      <c r="K299" s="6"/>
      <c r="L299" s="6"/>
    </row>
    <row r="300" spans="10:12" ht="14.25">
      <c r="J300" s="6"/>
      <c r="K300" s="6"/>
      <c r="L300" s="6"/>
    </row>
    <row r="301" spans="10:12" ht="14.25">
      <c r="J301" s="6"/>
      <c r="K301" s="6"/>
      <c r="L301" s="6"/>
    </row>
    <row r="302" spans="10:12" ht="14.25">
      <c r="J302" s="6"/>
      <c r="K302" s="6"/>
      <c r="L302" s="6"/>
    </row>
    <row r="303" spans="10:12" ht="14.25">
      <c r="J303" s="6"/>
      <c r="K303" s="6"/>
      <c r="L303" s="6"/>
    </row>
    <row r="304" spans="10:12" ht="14.25">
      <c r="J304" s="6"/>
      <c r="K304" s="6"/>
      <c r="L304" s="6"/>
    </row>
    <row r="305" spans="10:12" ht="14.25">
      <c r="J305" s="6"/>
      <c r="K305" s="6"/>
      <c r="L305" s="6"/>
    </row>
    <row r="306" spans="10:12" ht="14.25">
      <c r="J306" s="6"/>
      <c r="K306" s="6"/>
      <c r="L306" s="6"/>
    </row>
    <row r="307" spans="10:12" ht="14.25">
      <c r="J307" s="6"/>
      <c r="K307" s="6"/>
      <c r="L307" s="6"/>
    </row>
    <row r="308" spans="10:12" ht="14.25">
      <c r="J308" s="6"/>
      <c r="K308" s="6"/>
      <c r="L308" s="6"/>
    </row>
    <row r="309" spans="10:12" ht="14.25">
      <c r="J309" s="6"/>
      <c r="K309" s="6"/>
      <c r="L309" s="6"/>
    </row>
    <row r="310" spans="10:12" ht="14.25">
      <c r="J310" s="6"/>
      <c r="K310" s="6"/>
      <c r="L310" s="6"/>
    </row>
    <row r="311" spans="10:12" ht="14.25">
      <c r="J311" s="6"/>
      <c r="K311" s="6"/>
      <c r="L311" s="6"/>
    </row>
    <row r="312" spans="10:12" ht="14.25">
      <c r="J312" s="6"/>
      <c r="K312" s="6"/>
      <c r="L312" s="6"/>
    </row>
    <row r="313" spans="10:12" ht="14.25">
      <c r="J313" s="6"/>
      <c r="K313" s="6"/>
      <c r="L313" s="6"/>
    </row>
    <row r="314" spans="10:12" ht="14.25">
      <c r="J314" s="6"/>
      <c r="K314" s="6"/>
      <c r="L314" s="6"/>
    </row>
    <row r="315" spans="10:12" ht="14.25">
      <c r="J315" s="6"/>
      <c r="K315" s="6"/>
      <c r="L315" s="6"/>
    </row>
    <row r="316" spans="10:12" ht="14.25">
      <c r="J316" s="6"/>
      <c r="K316" s="6"/>
      <c r="L316" s="6"/>
    </row>
    <row r="317" spans="10:12" ht="14.25">
      <c r="J317" s="6"/>
      <c r="K317" s="6"/>
      <c r="L317" s="6"/>
    </row>
    <row r="318" spans="10:12" ht="14.25">
      <c r="J318" s="6"/>
      <c r="K318" s="6"/>
      <c r="L318" s="6"/>
    </row>
    <row r="319" spans="10:12" ht="14.25">
      <c r="J319" s="6"/>
      <c r="K319" s="6"/>
      <c r="L319" s="6"/>
    </row>
    <row r="320" spans="10:12" ht="14.25">
      <c r="J320" s="6"/>
      <c r="K320" s="6"/>
      <c r="L320" s="6"/>
    </row>
    <row r="321" spans="10:12" ht="14.25">
      <c r="J321" s="6"/>
      <c r="K321" s="6"/>
      <c r="L321" s="6"/>
    </row>
    <row r="322" spans="10:12" ht="14.25">
      <c r="J322" s="6"/>
      <c r="K322" s="6"/>
      <c r="L322" s="6"/>
    </row>
    <row r="323" spans="10:12" ht="14.25">
      <c r="J323" s="6"/>
      <c r="K323" s="6"/>
      <c r="L323" s="6"/>
    </row>
    <row r="324" spans="10:12" ht="14.25">
      <c r="J324" s="6"/>
      <c r="K324" s="6"/>
      <c r="L324" s="6"/>
    </row>
    <row r="325" spans="10:12" ht="14.25">
      <c r="J325" s="6"/>
      <c r="K325" s="6"/>
      <c r="L325" s="6"/>
    </row>
    <row r="326" spans="10:12" ht="14.25">
      <c r="J326" s="6"/>
      <c r="K326" s="6"/>
      <c r="L326" s="6"/>
    </row>
    <row r="327" spans="10:12" ht="14.25">
      <c r="J327" s="6"/>
      <c r="K327" s="6"/>
      <c r="L327" s="6"/>
    </row>
    <row r="328" spans="10:12" ht="14.25">
      <c r="J328" s="6"/>
      <c r="K328" s="6"/>
      <c r="L328" s="6"/>
    </row>
    <row r="329" spans="10:12" ht="14.25">
      <c r="J329" s="6"/>
      <c r="K329" s="6"/>
      <c r="L329" s="6"/>
    </row>
    <row r="330" spans="10:12" ht="14.25">
      <c r="J330" s="6"/>
      <c r="K330" s="6"/>
      <c r="L330" s="6"/>
    </row>
    <row r="331" spans="10:12" ht="14.25">
      <c r="J331" s="6"/>
      <c r="K331" s="6"/>
      <c r="L331" s="6"/>
    </row>
    <row r="332" spans="10:12" ht="14.25">
      <c r="J332" s="6"/>
      <c r="K332" s="6"/>
      <c r="L332" s="6"/>
    </row>
    <row r="333" spans="10:12" ht="14.25">
      <c r="J333" s="6"/>
      <c r="K333" s="6"/>
      <c r="L333" s="6"/>
    </row>
    <row r="334" spans="10:12" ht="14.25">
      <c r="J334" s="6"/>
      <c r="K334" s="6"/>
      <c r="L334" s="6"/>
    </row>
    <row r="335" spans="10:12" ht="14.25">
      <c r="J335" s="6"/>
      <c r="K335" s="6"/>
      <c r="L335" s="6"/>
    </row>
    <row r="336" spans="10:12" ht="14.25">
      <c r="J336" s="6"/>
      <c r="K336" s="6"/>
      <c r="L336" s="6"/>
    </row>
    <row r="337" spans="10:12" ht="14.25">
      <c r="J337" s="6"/>
      <c r="K337" s="6"/>
      <c r="L337" s="6"/>
    </row>
    <row r="338" spans="10:12" ht="14.25">
      <c r="J338" s="6"/>
      <c r="K338" s="6"/>
      <c r="L338" s="6"/>
    </row>
    <row r="339" spans="10:12" ht="14.25">
      <c r="J339" s="6"/>
      <c r="K339" s="6"/>
      <c r="L339" s="6"/>
    </row>
    <row r="340" spans="10:12" ht="14.25">
      <c r="J340" s="6"/>
      <c r="K340" s="6"/>
      <c r="L340" s="6"/>
    </row>
    <row r="341" spans="10:12" ht="14.25">
      <c r="J341" s="6"/>
      <c r="K341" s="6"/>
      <c r="L341" s="6"/>
    </row>
    <row r="342" spans="10:12" ht="14.25">
      <c r="J342" s="6"/>
      <c r="K342" s="6"/>
      <c r="L342" s="6"/>
    </row>
    <row r="343" spans="10:12" ht="14.25">
      <c r="J343" s="6"/>
      <c r="K343" s="6"/>
      <c r="L343" s="6"/>
    </row>
    <row r="344" spans="10:12" ht="14.25">
      <c r="J344" s="6"/>
      <c r="K344" s="6"/>
      <c r="L344" s="6"/>
    </row>
    <row r="345" spans="10:12" ht="14.25">
      <c r="J345" s="6"/>
      <c r="K345" s="6"/>
      <c r="L345" s="6"/>
    </row>
    <row r="346" spans="10:12" ht="14.25">
      <c r="J346" s="6"/>
      <c r="K346" s="6"/>
      <c r="L346" s="6"/>
    </row>
    <row r="347" spans="10:12" ht="14.25">
      <c r="J347" s="6"/>
      <c r="K347" s="6"/>
      <c r="L347" s="6"/>
    </row>
    <row r="348" spans="10:12" ht="14.25">
      <c r="J348" s="6"/>
      <c r="K348" s="6"/>
      <c r="L348" s="6"/>
    </row>
    <row r="349" spans="10:12" ht="14.25">
      <c r="J349" s="6"/>
      <c r="K349" s="6"/>
      <c r="L349" s="6"/>
    </row>
    <row r="350" spans="10:12" ht="14.25">
      <c r="J350" s="6"/>
      <c r="K350" s="6"/>
      <c r="L350" s="6"/>
    </row>
    <row r="351" spans="10:12" ht="14.25">
      <c r="J351" s="6"/>
      <c r="K351" s="6"/>
      <c r="L351" s="6"/>
    </row>
    <row r="352" spans="10:12" ht="14.25">
      <c r="J352" s="6"/>
      <c r="K352" s="6"/>
      <c r="L352" s="6"/>
    </row>
    <row r="353" spans="10:12" ht="14.25">
      <c r="J353" s="6"/>
      <c r="K353" s="6"/>
      <c r="L353" s="6"/>
    </row>
    <row r="354" spans="10:12" ht="14.25">
      <c r="J354" s="6"/>
      <c r="K354" s="6"/>
      <c r="L354" s="6"/>
    </row>
    <row r="355" spans="10:12" ht="14.25">
      <c r="J355" s="6"/>
      <c r="K355" s="6"/>
      <c r="L355" s="6"/>
    </row>
    <row r="356" spans="10:12" ht="14.25">
      <c r="J356" s="6"/>
      <c r="K356" s="6"/>
      <c r="L356" s="6"/>
    </row>
    <row r="357" spans="10:12" ht="14.25">
      <c r="J357" s="6"/>
      <c r="K357" s="6"/>
      <c r="L357" s="6"/>
    </row>
    <row r="358" spans="10:12" ht="14.25">
      <c r="J358" s="6"/>
      <c r="K358" s="6"/>
      <c r="L358" s="6"/>
    </row>
    <row r="359" spans="10:12" ht="14.25">
      <c r="J359" s="6"/>
      <c r="K359" s="6"/>
      <c r="L359" s="6"/>
    </row>
    <row r="360" spans="10:12" ht="14.25">
      <c r="J360" s="6"/>
      <c r="K360" s="6"/>
      <c r="L360" s="6"/>
    </row>
    <row r="361" spans="10:12" ht="14.25">
      <c r="J361" s="6"/>
      <c r="K361" s="6"/>
      <c r="L361" s="6"/>
    </row>
    <row r="362" spans="10:12" ht="14.25">
      <c r="J362" s="6"/>
      <c r="K362" s="6"/>
      <c r="L362" s="6"/>
    </row>
    <row r="363" spans="10:12" ht="14.25">
      <c r="J363" s="6"/>
      <c r="K363" s="6"/>
      <c r="L363" s="6"/>
    </row>
    <row r="364" spans="10:12" ht="14.25">
      <c r="J364" s="6"/>
      <c r="K364" s="6"/>
      <c r="L364" s="6"/>
    </row>
    <row r="365" spans="10:12" ht="14.25">
      <c r="J365" s="6"/>
      <c r="K365" s="6"/>
      <c r="L365" s="6"/>
    </row>
    <row r="366" spans="10:12" ht="14.25">
      <c r="J366" s="6"/>
      <c r="K366" s="6"/>
      <c r="L366" s="6"/>
    </row>
    <row r="367" spans="10:12" ht="14.25">
      <c r="J367" s="6"/>
      <c r="K367" s="6"/>
      <c r="L367" s="6"/>
    </row>
    <row r="368" spans="10:12" ht="14.25">
      <c r="J368" s="6"/>
      <c r="K368" s="6"/>
      <c r="L368" s="6"/>
    </row>
    <row r="369" spans="10:12" ht="14.25">
      <c r="J369" s="6"/>
      <c r="K369" s="6"/>
      <c r="L369" s="6"/>
    </row>
    <row r="370" spans="10:12" ht="14.25">
      <c r="J370" s="6"/>
      <c r="K370" s="6"/>
      <c r="L370" s="6"/>
    </row>
    <row r="371" spans="10:12" ht="14.25">
      <c r="J371" s="6"/>
      <c r="K371" s="6"/>
      <c r="L371" s="6"/>
    </row>
    <row r="372" spans="10:12" ht="14.25">
      <c r="J372" s="6"/>
      <c r="K372" s="6"/>
      <c r="L372" s="6"/>
    </row>
    <row r="373" spans="10:12" ht="14.25">
      <c r="J373" s="6"/>
      <c r="K373" s="6"/>
      <c r="L373" s="6"/>
    </row>
    <row r="374" spans="10:12" ht="14.25">
      <c r="J374" s="6"/>
      <c r="K374" s="6"/>
      <c r="L374" s="6"/>
    </row>
    <row r="375" spans="10:12" ht="14.25">
      <c r="J375" s="6"/>
      <c r="K375" s="6"/>
      <c r="L375" s="6"/>
    </row>
    <row r="376" spans="10:12" ht="14.25">
      <c r="J376" s="6"/>
      <c r="K376" s="6"/>
      <c r="L376" s="6"/>
    </row>
    <row r="377" spans="10:12" ht="14.25">
      <c r="J377" s="6"/>
      <c r="K377" s="6"/>
      <c r="L377" s="6"/>
    </row>
    <row r="378" spans="10:12" ht="14.25">
      <c r="J378" s="6"/>
      <c r="K378" s="6"/>
      <c r="L378" s="6"/>
    </row>
    <row r="379" spans="10:12" ht="14.25">
      <c r="J379" s="6"/>
      <c r="K379" s="6"/>
      <c r="L379" s="6"/>
    </row>
    <row r="380" spans="10:12" ht="14.25">
      <c r="J380" s="6"/>
      <c r="K380" s="6"/>
      <c r="L380" s="6"/>
    </row>
    <row r="381" spans="10:12" ht="14.25">
      <c r="J381" s="6"/>
      <c r="K381" s="6"/>
      <c r="L381" s="6"/>
    </row>
    <row r="382" spans="10:12" ht="14.25">
      <c r="J382" s="6"/>
      <c r="K382" s="6"/>
      <c r="L382" s="6"/>
    </row>
    <row r="383" spans="10:12" ht="14.25">
      <c r="J383" s="6"/>
      <c r="K383" s="6"/>
      <c r="L383" s="6"/>
    </row>
    <row r="384" spans="10:12" ht="14.25">
      <c r="J384" s="6"/>
      <c r="K384" s="6"/>
      <c r="L384" s="6"/>
    </row>
    <row r="385" spans="10:12" ht="14.25">
      <c r="J385" s="6"/>
      <c r="K385" s="6"/>
      <c r="L385" s="6"/>
    </row>
    <row r="386" spans="10:12" ht="14.25">
      <c r="J386" s="6"/>
      <c r="K386" s="6"/>
      <c r="L386" s="6"/>
    </row>
    <row r="387" spans="10:12" ht="14.25">
      <c r="J387" s="6"/>
      <c r="K387" s="6"/>
      <c r="L387" s="6"/>
    </row>
    <row r="388" spans="10:12" ht="14.25">
      <c r="J388" s="6"/>
      <c r="K388" s="6"/>
      <c r="L388" s="6"/>
    </row>
    <row r="389" spans="10:12" ht="14.25">
      <c r="J389" s="6"/>
      <c r="K389" s="6"/>
      <c r="L389" s="6"/>
    </row>
    <row r="390" spans="10:12" ht="14.25">
      <c r="J390" s="6"/>
      <c r="K390" s="6"/>
      <c r="L390" s="6"/>
    </row>
    <row r="391" spans="10:12" ht="14.25">
      <c r="J391" s="6"/>
      <c r="K391" s="6"/>
      <c r="L391" s="6"/>
    </row>
    <row r="392" spans="10:12" ht="14.25">
      <c r="J392" s="6"/>
      <c r="K392" s="6"/>
      <c r="L392" s="6"/>
    </row>
    <row r="393" spans="10:12" ht="14.25">
      <c r="J393" s="6"/>
      <c r="K393" s="6"/>
      <c r="L393" s="6"/>
    </row>
    <row r="394" spans="10:12" ht="14.25">
      <c r="J394" s="6"/>
      <c r="K394" s="6"/>
      <c r="L394" s="6"/>
    </row>
    <row r="395" spans="10:12" ht="14.25">
      <c r="J395" s="6"/>
      <c r="K395" s="6"/>
      <c r="L395" s="6"/>
    </row>
    <row r="396" spans="10:12" ht="14.25">
      <c r="J396" s="6"/>
      <c r="K396" s="6"/>
      <c r="L396" s="6"/>
    </row>
    <row r="397" spans="10:12" ht="14.25">
      <c r="J397" s="6"/>
      <c r="K397" s="6"/>
      <c r="L397" s="6"/>
    </row>
    <row r="398" spans="10:12" ht="14.25">
      <c r="J398" s="6"/>
      <c r="K398" s="6"/>
      <c r="L398" s="6"/>
    </row>
    <row r="399" spans="10:12" ht="14.25">
      <c r="J399" s="6"/>
      <c r="K399" s="6"/>
      <c r="L399" s="6"/>
    </row>
    <row r="400" spans="10:12" ht="14.25">
      <c r="J400" s="6"/>
      <c r="K400" s="6"/>
      <c r="L400" s="6"/>
    </row>
    <row r="401" spans="10:12" ht="14.25">
      <c r="J401" s="6"/>
      <c r="K401" s="6"/>
      <c r="L401" s="6"/>
    </row>
    <row r="402" spans="10:12" ht="14.25">
      <c r="J402" s="6"/>
      <c r="K402" s="6"/>
      <c r="L402" s="6"/>
    </row>
    <row r="403" spans="10:12" ht="14.25">
      <c r="J403" s="6"/>
      <c r="K403" s="6"/>
      <c r="L403" s="6"/>
    </row>
    <row r="404" spans="10:12" ht="14.25">
      <c r="J404" s="6"/>
      <c r="K404" s="6"/>
      <c r="L404" s="6"/>
    </row>
    <row r="405" spans="10:12" ht="14.25">
      <c r="J405" s="6"/>
      <c r="K405" s="6"/>
      <c r="L405" s="6"/>
    </row>
    <row r="406" spans="10:12" ht="14.25">
      <c r="J406" s="6"/>
      <c r="K406" s="6"/>
      <c r="L406" s="6"/>
    </row>
    <row r="407" spans="10:12" ht="14.25">
      <c r="J407" s="6"/>
      <c r="K407" s="6"/>
      <c r="L407" s="6"/>
    </row>
    <row r="408" spans="10:12" ht="14.25">
      <c r="J408" s="6"/>
      <c r="K408" s="6"/>
      <c r="L408" s="6"/>
    </row>
    <row r="409" spans="10:12" ht="14.25">
      <c r="J409" s="6"/>
      <c r="K409" s="6"/>
      <c r="L409" s="6"/>
    </row>
    <row r="410" spans="10:12" ht="14.25">
      <c r="J410" s="6"/>
      <c r="K410" s="6"/>
      <c r="L410" s="6"/>
    </row>
    <row r="411" spans="10:12" ht="14.25">
      <c r="J411" s="6"/>
      <c r="K411" s="6"/>
      <c r="L411" s="6"/>
    </row>
    <row r="412" spans="10:12" ht="14.25">
      <c r="J412" s="6"/>
      <c r="K412" s="6"/>
      <c r="L412" s="6"/>
    </row>
    <row r="413" spans="10:12" ht="14.25">
      <c r="J413" s="6"/>
      <c r="K413" s="6"/>
      <c r="L413" s="6"/>
    </row>
    <row r="414" spans="10:12" ht="14.25">
      <c r="J414" s="6"/>
      <c r="K414" s="6"/>
      <c r="L414" s="6"/>
    </row>
    <row r="415" spans="10:12" ht="14.25">
      <c r="J415" s="6"/>
      <c r="K415" s="6"/>
      <c r="L415" s="6"/>
    </row>
    <row r="416" spans="10:12" ht="14.25">
      <c r="J416" s="6"/>
      <c r="K416" s="6"/>
      <c r="L416" s="6"/>
    </row>
    <row r="417" spans="10:12" ht="14.25">
      <c r="J417" s="6"/>
      <c r="K417" s="6"/>
      <c r="L417" s="6"/>
    </row>
    <row r="418" spans="10:12" ht="14.25">
      <c r="J418" s="6"/>
      <c r="K418" s="6"/>
      <c r="L418" s="6"/>
    </row>
    <row r="419" spans="10:12" ht="14.25">
      <c r="J419" s="6"/>
      <c r="K419" s="6"/>
      <c r="L419" s="6"/>
    </row>
    <row r="420" spans="10:12" ht="14.25">
      <c r="J420" s="6"/>
      <c r="K420" s="6"/>
      <c r="L420" s="6"/>
    </row>
    <row r="421" spans="10:12" ht="14.25">
      <c r="J421" s="6"/>
      <c r="K421" s="6"/>
      <c r="L421" s="6"/>
    </row>
    <row r="422" spans="10:12" ht="14.25">
      <c r="J422" s="6"/>
      <c r="K422" s="6"/>
      <c r="L422" s="6"/>
    </row>
    <row r="423" spans="10:12" ht="14.25">
      <c r="J423" s="6"/>
      <c r="K423" s="6"/>
      <c r="L423" s="6"/>
    </row>
    <row r="424" spans="10:12" ht="14.25">
      <c r="J424" s="6"/>
      <c r="K424" s="6"/>
      <c r="L424" s="6"/>
    </row>
    <row r="425" spans="10:12" ht="14.25">
      <c r="J425" s="6"/>
      <c r="K425" s="6"/>
      <c r="L425" s="6"/>
    </row>
    <row r="426" spans="10:12" ht="14.25">
      <c r="J426" s="6"/>
      <c r="K426" s="6"/>
      <c r="L426" s="6"/>
    </row>
    <row r="427" spans="10:12" ht="14.25">
      <c r="J427" s="6"/>
      <c r="K427" s="6"/>
      <c r="L427" s="6"/>
    </row>
    <row r="428" spans="10:12" ht="14.25">
      <c r="J428" s="6"/>
      <c r="K428" s="6"/>
      <c r="L428" s="6"/>
    </row>
    <row r="429" spans="10:12" ht="14.25">
      <c r="J429" s="6"/>
      <c r="K429" s="6"/>
      <c r="L429" s="6"/>
    </row>
    <row r="430" spans="10:12" ht="14.25">
      <c r="J430" s="6"/>
      <c r="K430" s="6"/>
      <c r="L430" s="6"/>
    </row>
    <row r="431" spans="10:12" ht="14.25">
      <c r="J431" s="6"/>
      <c r="K431" s="6"/>
      <c r="L431" s="6"/>
    </row>
    <row r="432" spans="10:12" ht="14.25">
      <c r="J432" s="6"/>
      <c r="K432" s="6"/>
      <c r="L432" s="6"/>
    </row>
    <row r="433" spans="10:12" ht="14.25">
      <c r="J433" s="6"/>
      <c r="K433" s="6"/>
      <c r="L433" s="6"/>
    </row>
    <row r="434" spans="10:12" ht="14.25">
      <c r="J434" s="6"/>
      <c r="K434" s="6"/>
      <c r="L434" s="6"/>
    </row>
    <row r="435" spans="10:12" ht="14.25">
      <c r="J435" s="6"/>
      <c r="K435" s="6"/>
      <c r="L435" s="6"/>
    </row>
    <row r="436" spans="10:12" ht="14.25">
      <c r="J436" s="6"/>
      <c r="K436" s="6"/>
      <c r="L436" s="6"/>
    </row>
    <row r="437" spans="10:12" ht="14.25">
      <c r="J437" s="6"/>
      <c r="K437" s="6"/>
      <c r="L437" s="6"/>
    </row>
    <row r="438" spans="10:12" ht="14.25">
      <c r="J438" s="6"/>
      <c r="K438" s="6"/>
      <c r="L438" s="6"/>
    </row>
    <row r="439" spans="10:12" ht="14.25">
      <c r="J439" s="6"/>
      <c r="K439" s="6"/>
      <c r="L439" s="6"/>
    </row>
    <row r="440" spans="10:12" ht="14.25">
      <c r="J440" s="6"/>
      <c r="K440" s="6"/>
      <c r="L440" s="6"/>
    </row>
    <row r="441" spans="10:12" ht="14.25">
      <c r="J441" s="6"/>
      <c r="K441" s="6"/>
      <c r="L441" s="6"/>
    </row>
    <row r="442" spans="10:12" ht="14.25">
      <c r="J442" s="6"/>
      <c r="K442" s="6"/>
      <c r="L442" s="6"/>
    </row>
    <row r="443" spans="10:12" ht="14.25">
      <c r="J443" s="6"/>
      <c r="K443" s="6"/>
      <c r="L443" s="6"/>
    </row>
    <row r="444" spans="10:12" ht="14.25">
      <c r="J444" s="6"/>
      <c r="K444" s="6"/>
      <c r="L444" s="6"/>
    </row>
    <row r="445" spans="10:12" ht="14.25">
      <c r="J445" s="6"/>
      <c r="K445" s="6"/>
      <c r="L445" s="6"/>
    </row>
    <row r="446" spans="10:12" ht="14.25">
      <c r="J446" s="6"/>
      <c r="K446" s="6"/>
      <c r="L446" s="6"/>
    </row>
    <row r="447" spans="10:12" ht="14.25">
      <c r="J447" s="6"/>
      <c r="K447" s="6"/>
      <c r="L447" s="6"/>
    </row>
    <row r="448" spans="10:12" ht="14.25">
      <c r="J448" s="6"/>
      <c r="K448" s="6"/>
      <c r="L448" s="6"/>
    </row>
    <row r="449" spans="10:12" ht="14.25">
      <c r="J449" s="6"/>
      <c r="K449" s="6"/>
      <c r="L449" s="6"/>
    </row>
    <row r="450" spans="10:12" ht="14.25">
      <c r="J450" s="6"/>
      <c r="K450" s="6"/>
      <c r="L450" s="6"/>
    </row>
    <row r="451" spans="10:12" ht="14.25">
      <c r="J451" s="6"/>
      <c r="K451" s="6"/>
      <c r="L451" s="6"/>
    </row>
    <row r="452" spans="10:12" ht="14.25">
      <c r="J452" s="6"/>
      <c r="K452" s="6"/>
      <c r="L452" s="6"/>
    </row>
    <row r="453" spans="10:12" ht="14.25">
      <c r="J453" s="6"/>
      <c r="K453" s="6"/>
      <c r="L453" s="6"/>
    </row>
    <row r="454" spans="10:12" ht="14.25">
      <c r="J454" s="6"/>
      <c r="K454" s="6"/>
      <c r="L454" s="6"/>
    </row>
    <row r="455" spans="10:12" ht="14.25">
      <c r="J455" s="6"/>
      <c r="K455" s="6"/>
      <c r="L455" s="6"/>
    </row>
    <row r="456" spans="10:12" ht="14.25">
      <c r="J456" s="6"/>
      <c r="K456" s="6"/>
      <c r="L456" s="6"/>
    </row>
    <row r="457" spans="10:12" ht="14.25">
      <c r="J457" s="6"/>
      <c r="K457" s="6"/>
      <c r="L457" s="6"/>
    </row>
    <row r="458" spans="10:12" ht="14.25">
      <c r="J458" s="6"/>
      <c r="K458" s="6"/>
      <c r="L458" s="6"/>
    </row>
    <row r="459" spans="10:12" ht="14.25">
      <c r="J459" s="6"/>
      <c r="K459" s="6"/>
      <c r="L459" s="6"/>
    </row>
    <row r="460" spans="10:12" ht="14.25">
      <c r="J460" s="6"/>
      <c r="K460" s="6"/>
      <c r="L460" s="6"/>
    </row>
    <row r="461" spans="10:12" ht="14.25">
      <c r="J461" s="6"/>
      <c r="K461" s="6"/>
      <c r="L461" s="6"/>
    </row>
    <row r="462" spans="10:12" ht="14.25">
      <c r="J462" s="6"/>
      <c r="K462" s="6"/>
      <c r="L462" s="6"/>
    </row>
    <row r="463" spans="10:12" ht="14.25">
      <c r="J463" s="6"/>
      <c r="K463" s="6"/>
      <c r="L463" s="6"/>
    </row>
    <row r="464" spans="10:12" ht="14.25">
      <c r="J464" s="6"/>
      <c r="K464" s="6"/>
      <c r="L464" s="6"/>
    </row>
    <row r="465" spans="10:12" ht="14.25">
      <c r="J465" s="6"/>
      <c r="K465" s="6"/>
      <c r="L465" s="6"/>
    </row>
    <row r="466" spans="10:12" ht="14.25">
      <c r="J466" s="6"/>
      <c r="K466" s="6"/>
      <c r="L466" s="6"/>
    </row>
    <row r="467" spans="10:12" ht="14.25">
      <c r="J467" s="6"/>
      <c r="K467" s="6"/>
      <c r="L467" s="6"/>
    </row>
    <row r="468" spans="10:12" ht="14.25">
      <c r="J468" s="6"/>
      <c r="K468" s="6"/>
      <c r="L468" s="6"/>
    </row>
    <row r="469" spans="10:12" ht="14.25">
      <c r="J469" s="6"/>
      <c r="K469" s="6"/>
      <c r="L469" s="6"/>
    </row>
    <row r="470" spans="10:12" ht="14.25">
      <c r="J470" s="6"/>
      <c r="K470" s="6"/>
      <c r="L470" s="6"/>
    </row>
    <row r="471" spans="10:12" ht="14.25">
      <c r="J471" s="6"/>
      <c r="K471" s="6"/>
      <c r="L471" s="6"/>
    </row>
    <row r="472" spans="10:12" ht="14.25">
      <c r="J472" s="6"/>
      <c r="K472" s="6"/>
      <c r="L472" s="6"/>
    </row>
    <row r="473" spans="10:12" ht="14.25">
      <c r="J473" s="6"/>
      <c r="K473" s="6"/>
      <c r="L473" s="6"/>
    </row>
    <row r="474" spans="10:12" ht="14.25">
      <c r="J474" s="6"/>
      <c r="K474" s="6"/>
      <c r="L474" s="6"/>
    </row>
    <row r="475" spans="10:12" ht="14.25">
      <c r="J475" s="6"/>
      <c r="K475" s="6"/>
      <c r="L475" s="6"/>
    </row>
    <row r="476" spans="10:12" ht="14.25">
      <c r="J476" s="6"/>
      <c r="K476" s="6"/>
      <c r="L476" s="6"/>
    </row>
    <row r="477" spans="10:12" ht="14.25">
      <c r="J477" s="6"/>
      <c r="K477" s="6"/>
      <c r="L477" s="6"/>
    </row>
    <row r="478" spans="10:12" ht="14.25">
      <c r="J478" s="6"/>
      <c r="K478" s="6"/>
      <c r="L478" s="6"/>
    </row>
    <row r="479" spans="10:12" ht="14.25">
      <c r="J479" s="6"/>
      <c r="K479" s="6"/>
      <c r="L479" s="6"/>
    </row>
    <row r="480" spans="10:12" ht="14.25">
      <c r="J480" s="6"/>
      <c r="K480" s="6"/>
      <c r="L480" s="6"/>
    </row>
    <row r="481" spans="10:12" ht="14.25">
      <c r="J481" s="6"/>
      <c r="K481" s="6"/>
      <c r="L481" s="6"/>
    </row>
    <row r="482" spans="10:12" ht="14.25">
      <c r="J482" s="6"/>
      <c r="K482" s="6"/>
      <c r="L482" s="6"/>
    </row>
    <row r="483" spans="10:12" ht="14.25">
      <c r="J483" s="6"/>
      <c r="K483" s="6"/>
      <c r="L483" s="6"/>
    </row>
    <row r="484" spans="10:12" ht="14.25">
      <c r="J484" s="6"/>
      <c r="K484" s="6"/>
      <c r="L484" s="6"/>
    </row>
    <row r="485" spans="10:12" ht="14.25">
      <c r="J485" s="6"/>
      <c r="K485" s="6"/>
      <c r="L485" s="6"/>
    </row>
    <row r="486" spans="10:12" ht="14.25">
      <c r="J486" s="6"/>
      <c r="K486" s="6"/>
      <c r="L486" s="6"/>
    </row>
    <row r="487" spans="10:12" ht="14.25">
      <c r="J487" s="6"/>
      <c r="K487" s="6"/>
      <c r="L487" s="6"/>
    </row>
    <row r="488" spans="10:12" ht="14.25">
      <c r="J488" s="6"/>
      <c r="K488" s="6"/>
      <c r="L488" s="6"/>
    </row>
    <row r="489" spans="10:12" ht="14.25">
      <c r="J489" s="6"/>
      <c r="K489" s="6"/>
      <c r="L489" s="6"/>
    </row>
    <row r="490" spans="10:12" ht="14.25">
      <c r="J490" s="6"/>
      <c r="K490" s="6"/>
      <c r="L490" s="6"/>
    </row>
    <row r="491" spans="10:12" ht="14.25">
      <c r="J491" s="6"/>
      <c r="K491" s="6"/>
      <c r="L491" s="6"/>
    </row>
    <row r="492" spans="10:12" ht="14.25">
      <c r="J492" s="6"/>
      <c r="K492" s="6"/>
      <c r="L492" s="6"/>
    </row>
    <row r="493" spans="10:12" ht="14.25">
      <c r="J493" s="6"/>
      <c r="K493" s="6"/>
      <c r="L493" s="6"/>
    </row>
    <row r="494" spans="10:12" ht="14.25">
      <c r="J494" s="6"/>
      <c r="K494" s="6"/>
      <c r="L494" s="6"/>
    </row>
    <row r="495" spans="10:12" ht="14.25">
      <c r="J495" s="6"/>
      <c r="K495" s="6"/>
      <c r="L495" s="6"/>
    </row>
    <row r="496" spans="10:12" ht="14.25">
      <c r="J496" s="6"/>
      <c r="K496" s="6"/>
      <c r="L496" s="6"/>
    </row>
    <row r="497" spans="10:12" ht="14.25">
      <c r="J497" s="6"/>
      <c r="K497" s="6"/>
      <c r="L497" s="6"/>
    </row>
    <row r="498" spans="10:12" ht="14.25">
      <c r="J498" s="6"/>
      <c r="K498" s="6"/>
      <c r="L498" s="6"/>
    </row>
    <row r="499" spans="10:12" ht="14.25">
      <c r="J499" s="6"/>
      <c r="K499" s="6"/>
      <c r="L499" s="6"/>
    </row>
    <row r="500" spans="10:12" ht="14.25">
      <c r="J500" s="6"/>
      <c r="K500" s="6"/>
      <c r="L500" s="6"/>
    </row>
    <row r="501" spans="10:12" ht="14.25">
      <c r="J501" s="6"/>
      <c r="K501" s="6"/>
      <c r="L501" s="6"/>
    </row>
    <row r="502" spans="10:12" ht="14.25">
      <c r="J502" s="6"/>
      <c r="K502" s="6"/>
      <c r="L502" s="6"/>
    </row>
    <row r="503" spans="10:12" ht="14.25">
      <c r="J503" s="6"/>
      <c r="K503" s="6"/>
      <c r="L503" s="6"/>
    </row>
    <row r="504" spans="10:12" ht="14.25">
      <c r="J504" s="6"/>
      <c r="K504" s="6"/>
      <c r="L504" s="6"/>
    </row>
    <row r="505" spans="10:12" ht="14.25">
      <c r="J505" s="6"/>
      <c r="K505" s="6"/>
      <c r="L505" s="6"/>
    </row>
    <row r="506" spans="10:12" ht="14.25">
      <c r="J506" s="6"/>
      <c r="K506" s="6"/>
      <c r="L506" s="6"/>
    </row>
    <row r="507" spans="10:12" ht="14.25">
      <c r="J507" s="6"/>
      <c r="K507" s="6"/>
      <c r="L507" s="6"/>
    </row>
    <row r="508" spans="10:12" ht="14.25">
      <c r="J508" s="6"/>
      <c r="K508" s="6"/>
      <c r="L508" s="6"/>
    </row>
    <row r="509" spans="10:12" ht="14.25">
      <c r="J509" s="6"/>
      <c r="K509" s="6"/>
      <c r="L509" s="6"/>
    </row>
    <row r="510" spans="10:12" ht="14.25">
      <c r="J510" s="6"/>
      <c r="K510" s="6"/>
      <c r="L510" s="6"/>
    </row>
    <row r="511" spans="10:12" ht="14.25">
      <c r="J511" s="6"/>
      <c r="K511" s="6"/>
      <c r="L511" s="6"/>
    </row>
    <row r="512" spans="10:12" ht="14.25">
      <c r="J512" s="6"/>
      <c r="K512" s="6"/>
      <c r="L512" s="6"/>
    </row>
    <row r="513" spans="10:12" ht="14.25">
      <c r="J513" s="6"/>
      <c r="K513" s="6"/>
      <c r="L513" s="6"/>
    </row>
    <row r="514" spans="10:12" ht="14.25">
      <c r="J514" s="6"/>
      <c r="K514" s="6"/>
      <c r="L514" s="6"/>
    </row>
    <row r="515" spans="10:12" ht="14.25">
      <c r="J515" s="6"/>
      <c r="K515" s="6"/>
      <c r="L515" s="6"/>
    </row>
    <row r="516" spans="10:12" ht="14.25">
      <c r="J516" s="6"/>
      <c r="K516" s="6"/>
      <c r="L516" s="6"/>
    </row>
    <row r="517" spans="10:12" ht="14.25">
      <c r="J517" s="6"/>
      <c r="K517" s="6"/>
      <c r="L517" s="6"/>
    </row>
    <row r="518" spans="10:12" ht="14.25">
      <c r="J518" s="6"/>
      <c r="K518" s="6"/>
      <c r="L518" s="6"/>
    </row>
    <row r="519" spans="10:12" ht="14.25">
      <c r="J519" s="6"/>
      <c r="K519" s="6"/>
      <c r="L519" s="6"/>
    </row>
    <row r="520" spans="10:12" ht="14.25">
      <c r="J520" s="6"/>
      <c r="K520" s="6"/>
      <c r="L520" s="6"/>
    </row>
    <row r="521" spans="10:12" ht="14.25">
      <c r="J521" s="6"/>
      <c r="K521" s="6"/>
      <c r="L521" s="6"/>
    </row>
    <row r="522" spans="10:12" ht="14.25">
      <c r="J522" s="6"/>
      <c r="K522" s="6"/>
      <c r="L522" s="6"/>
    </row>
    <row r="523" spans="10:12" ht="14.25">
      <c r="J523" s="6"/>
      <c r="K523" s="6"/>
      <c r="L523" s="6"/>
    </row>
    <row r="524" spans="10:12" ht="14.25">
      <c r="J524" s="6"/>
      <c r="K524" s="6"/>
      <c r="L524" s="6"/>
    </row>
    <row r="525" spans="10:12" ht="14.25">
      <c r="J525" s="6"/>
      <c r="K525" s="6"/>
      <c r="L525" s="6"/>
    </row>
    <row r="526" spans="10:12" ht="14.25">
      <c r="J526" s="6"/>
      <c r="K526" s="6"/>
      <c r="L526" s="6"/>
    </row>
    <row r="527" spans="10:12" ht="14.25">
      <c r="J527" s="6"/>
      <c r="K527" s="6"/>
      <c r="L527" s="6"/>
    </row>
    <row r="528" spans="10:12" ht="14.25">
      <c r="J528" s="6"/>
      <c r="K528" s="6"/>
      <c r="L528" s="6"/>
    </row>
    <row r="529" spans="10:12" ht="14.25">
      <c r="J529" s="6"/>
      <c r="K529" s="6"/>
      <c r="L529" s="6"/>
    </row>
    <row r="530" spans="10:12" ht="14.25">
      <c r="J530" s="6"/>
      <c r="K530" s="6"/>
      <c r="L530" s="6"/>
    </row>
    <row r="531" spans="10:12" ht="14.25">
      <c r="J531" s="6"/>
      <c r="K531" s="6"/>
      <c r="L531" s="6"/>
    </row>
    <row r="532" spans="10:12" ht="14.25">
      <c r="J532" s="6"/>
      <c r="K532" s="6"/>
      <c r="L532" s="6"/>
    </row>
    <row r="533" spans="10:12" ht="14.25">
      <c r="J533" s="6"/>
      <c r="K533" s="6"/>
      <c r="L533" s="6"/>
    </row>
    <row r="534" spans="10:12" ht="14.25">
      <c r="J534" s="6"/>
      <c r="K534" s="6"/>
      <c r="L534" s="6"/>
    </row>
    <row r="535" spans="10:12" ht="14.25">
      <c r="J535" s="6"/>
      <c r="K535" s="6"/>
      <c r="L535" s="6"/>
    </row>
    <row r="536" spans="10:12" ht="14.25">
      <c r="J536" s="6"/>
      <c r="K536" s="6"/>
      <c r="L536" s="6"/>
    </row>
    <row r="537" spans="10:12" ht="14.25">
      <c r="J537" s="6"/>
      <c r="K537" s="6"/>
      <c r="L537" s="6"/>
    </row>
    <row r="538" spans="10:12" ht="14.25">
      <c r="J538" s="6"/>
      <c r="K538" s="6"/>
      <c r="L538" s="6"/>
    </row>
    <row r="539" spans="10:12" ht="14.25">
      <c r="J539" s="6"/>
      <c r="K539" s="6"/>
      <c r="L539" s="6"/>
    </row>
    <row r="540" spans="10:12" ht="14.25">
      <c r="J540" s="6"/>
      <c r="K540" s="6"/>
      <c r="L540" s="6"/>
    </row>
    <row r="541" spans="10:12" ht="14.25">
      <c r="J541" s="6"/>
      <c r="K541" s="6"/>
      <c r="L541" s="6"/>
    </row>
    <row r="542" spans="10:12" ht="14.25">
      <c r="J542" s="6"/>
      <c r="K542" s="6"/>
      <c r="L542" s="6"/>
    </row>
    <row r="543" spans="10:12" ht="14.25">
      <c r="J543" s="6"/>
      <c r="K543" s="6"/>
      <c r="L543" s="6"/>
    </row>
    <row r="544" spans="10:12" ht="14.25">
      <c r="J544" s="6"/>
      <c r="K544" s="6"/>
      <c r="L544" s="6"/>
    </row>
    <row r="545" spans="10:12" ht="14.25">
      <c r="J545" s="6"/>
      <c r="K545" s="6"/>
      <c r="L545" s="6"/>
    </row>
    <row r="546" spans="10:12" ht="14.25">
      <c r="J546" s="6"/>
      <c r="K546" s="6"/>
      <c r="L546" s="6"/>
    </row>
    <row r="547" spans="10:12" ht="14.25">
      <c r="J547" s="6"/>
      <c r="K547" s="6"/>
      <c r="L547" s="6"/>
    </row>
    <row r="548" spans="10:12" ht="14.25">
      <c r="J548" s="6"/>
      <c r="K548" s="6"/>
      <c r="L548" s="6"/>
    </row>
    <row r="549" spans="10:12" ht="14.25">
      <c r="J549" s="6"/>
      <c r="K549" s="6"/>
      <c r="L549" s="6"/>
    </row>
    <row r="550" spans="10:12" ht="14.25">
      <c r="J550" s="6"/>
      <c r="K550" s="6"/>
      <c r="L550" s="6"/>
    </row>
    <row r="551" spans="10:12" ht="14.25">
      <c r="J551" s="6"/>
      <c r="K551" s="6"/>
      <c r="L551" s="6"/>
    </row>
    <row r="552" spans="10:12" ht="14.25">
      <c r="J552" s="6"/>
      <c r="K552" s="6"/>
      <c r="L552" s="6"/>
    </row>
    <row r="553" spans="10:12" ht="14.25">
      <c r="J553" s="6"/>
      <c r="K553" s="6"/>
      <c r="L553" s="6"/>
    </row>
    <row r="554" spans="10:12" ht="14.25">
      <c r="J554" s="6"/>
      <c r="K554" s="6"/>
      <c r="L554" s="6"/>
    </row>
    <row r="555" spans="10:12" ht="14.25">
      <c r="J555" s="6"/>
      <c r="K555" s="6"/>
      <c r="L555" s="6"/>
    </row>
    <row r="556" spans="10:12" ht="14.25">
      <c r="J556" s="6"/>
      <c r="K556" s="6"/>
      <c r="L556" s="6"/>
    </row>
    <row r="557" spans="10:12" ht="14.25">
      <c r="J557" s="6"/>
      <c r="K557" s="6"/>
      <c r="L557" s="6"/>
    </row>
    <row r="558" spans="10:12" ht="14.25">
      <c r="J558" s="6"/>
      <c r="K558" s="6"/>
      <c r="L558" s="6"/>
    </row>
    <row r="559" spans="10:12" ht="14.25">
      <c r="J559" s="6"/>
      <c r="K559" s="6"/>
      <c r="L559" s="6"/>
    </row>
    <row r="560" spans="10:12" ht="14.25">
      <c r="J560" s="6"/>
      <c r="K560" s="6"/>
      <c r="L560" s="6"/>
    </row>
    <row r="561" spans="10:12" ht="14.25">
      <c r="J561" s="6"/>
      <c r="K561" s="6"/>
      <c r="L561" s="6"/>
    </row>
    <row r="562" spans="10:12" ht="14.25">
      <c r="J562" s="6"/>
      <c r="K562" s="6"/>
      <c r="L562" s="6"/>
    </row>
    <row r="563" spans="10:12" ht="14.25">
      <c r="J563" s="6"/>
      <c r="K563" s="6"/>
      <c r="L563" s="6"/>
    </row>
    <row r="564" spans="10:12" ht="14.25">
      <c r="J564" s="6"/>
      <c r="K564" s="6"/>
      <c r="L564" s="6"/>
    </row>
    <row r="565" spans="10:12" ht="14.25">
      <c r="J565" s="6"/>
      <c r="K565" s="6"/>
      <c r="L565" s="6"/>
    </row>
    <row r="566" spans="10:12" ht="14.25">
      <c r="J566" s="6"/>
      <c r="K566" s="6"/>
      <c r="L566" s="6"/>
    </row>
    <row r="567" spans="10:12" ht="14.25">
      <c r="J567" s="6"/>
      <c r="K567" s="6"/>
      <c r="L567" s="6"/>
    </row>
    <row r="568" spans="10:12" ht="14.25">
      <c r="J568" s="6"/>
      <c r="K568" s="6"/>
      <c r="L568" s="6"/>
    </row>
    <row r="569" spans="10:12" ht="14.25">
      <c r="J569" s="6"/>
      <c r="K569" s="6"/>
      <c r="L569" s="6"/>
    </row>
    <row r="570" spans="10:12" ht="14.25">
      <c r="J570" s="6"/>
      <c r="K570" s="6"/>
      <c r="L570" s="6"/>
    </row>
    <row r="571" spans="10:12" ht="14.25">
      <c r="J571" s="6"/>
      <c r="K571" s="6"/>
      <c r="L571" s="6"/>
    </row>
    <row r="572" spans="10:12" ht="14.25">
      <c r="J572" s="6"/>
      <c r="K572" s="6"/>
      <c r="L572" s="6"/>
    </row>
    <row r="573" spans="10:12" ht="14.25">
      <c r="J573" s="6"/>
      <c r="K573" s="6"/>
      <c r="L573" s="6"/>
    </row>
    <row r="574" spans="10:12" ht="14.25">
      <c r="J574" s="6"/>
      <c r="K574" s="6"/>
      <c r="L574" s="6"/>
    </row>
    <row r="575" spans="10:12" ht="14.25">
      <c r="J575" s="6"/>
      <c r="K575" s="6"/>
      <c r="L575" s="6"/>
    </row>
    <row r="576" spans="10:12" ht="14.25">
      <c r="J576" s="6"/>
      <c r="K576" s="6"/>
      <c r="L576" s="6"/>
    </row>
    <row r="577" spans="10:12" ht="14.25">
      <c r="J577" s="6"/>
      <c r="K577" s="6"/>
      <c r="L577" s="6"/>
    </row>
    <row r="578" spans="10:12" ht="14.25">
      <c r="J578" s="6"/>
      <c r="K578" s="6"/>
      <c r="L578" s="6"/>
    </row>
    <row r="579" spans="10:12" ht="14.25">
      <c r="J579" s="6"/>
      <c r="K579" s="6"/>
      <c r="L579" s="6"/>
    </row>
    <row r="580" spans="10:12" ht="14.25">
      <c r="J580" s="6"/>
      <c r="K580" s="6"/>
      <c r="L580" s="6"/>
    </row>
    <row r="581" spans="10:12" ht="14.25">
      <c r="J581" s="6"/>
      <c r="K581" s="6"/>
      <c r="L581" s="6"/>
    </row>
    <row r="582" spans="10:12" ht="14.25">
      <c r="J582" s="6"/>
      <c r="K582" s="6"/>
      <c r="L582" s="6"/>
    </row>
    <row r="583" spans="10:12" ht="14.25">
      <c r="J583" s="6"/>
      <c r="K583" s="6"/>
      <c r="L583" s="6"/>
    </row>
    <row r="584" spans="10:12" ht="14.25">
      <c r="J584" s="6"/>
      <c r="K584" s="6"/>
      <c r="L584" s="6"/>
    </row>
    <row r="585" spans="10:12" ht="14.25">
      <c r="J585" s="6"/>
      <c r="K585" s="6"/>
      <c r="L585" s="6"/>
    </row>
    <row r="586" spans="10:12" ht="14.25">
      <c r="J586" s="6"/>
      <c r="K586" s="6"/>
      <c r="L586" s="6"/>
    </row>
    <row r="587" spans="10:12" ht="14.25">
      <c r="J587" s="6"/>
      <c r="K587" s="6"/>
      <c r="L587" s="6"/>
    </row>
    <row r="588" spans="10:12" ht="14.25">
      <c r="J588" s="6"/>
      <c r="K588" s="6"/>
      <c r="L588" s="6"/>
    </row>
    <row r="589" spans="10:12" ht="14.25">
      <c r="J589" s="6"/>
      <c r="K589" s="6"/>
      <c r="L589" s="6"/>
    </row>
    <row r="590" spans="10:12" ht="14.25">
      <c r="J590" s="6"/>
      <c r="K590" s="6"/>
      <c r="L590" s="6"/>
    </row>
    <row r="591" spans="10:12" ht="14.25">
      <c r="J591" s="6"/>
      <c r="K591" s="6"/>
      <c r="L591" s="6"/>
    </row>
    <row r="592" spans="10:12" ht="14.25">
      <c r="J592" s="6"/>
      <c r="K592" s="6"/>
      <c r="L592" s="6"/>
    </row>
    <row r="593" spans="10:12" ht="14.25">
      <c r="J593" s="6"/>
      <c r="K593" s="6"/>
      <c r="L593" s="6"/>
    </row>
    <row r="594" spans="10:12" ht="14.25">
      <c r="J594" s="6"/>
      <c r="K594" s="6"/>
      <c r="L594" s="6"/>
    </row>
    <row r="595" spans="10:12" ht="14.25">
      <c r="J595" s="6"/>
      <c r="K595" s="6"/>
      <c r="L595" s="6"/>
    </row>
    <row r="596" spans="10:12" ht="14.25">
      <c r="J596" s="6"/>
      <c r="K596" s="6"/>
      <c r="L596" s="6"/>
    </row>
    <row r="597" spans="10:12" ht="14.25">
      <c r="J597" s="6"/>
      <c r="K597" s="6"/>
      <c r="L597" s="6"/>
    </row>
    <row r="598" spans="10:12" ht="14.25">
      <c r="J598" s="6"/>
      <c r="K598" s="6"/>
      <c r="L598" s="6"/>
    </row>
    <row r="599" spans="10:12" ht="14.25">
      <c r="J599" s="6"/>
      <c r="K599" s="6"/>
      <c r="L599" s="6"/>
    </row>
    <row r="600" spans="10:12" ht="14.25">
      <c r="J600" s="6"/>
      <c r="K600" s="6"/>
      <c r="L600" s="6"/>
    </row>
    <row r="601" spans="10:12" ht="14.25">
      <c r="J601" s="6"/>
      <c r="K601" s="6"/>
      <c r="L601" s="6"/>
    </row>
    <row r="602" spans="10:12" ht="14.25">
      <c r="J602" s="6"/>
      <c r="K602" s="6"/>
      <c r="L602" s="6"/>
    </row>
    <row r="603" spans="10:12" ht="14.25">
      <c r="J603" s="6"/>
      <c r="K603" s="6"/>
      <c r="L603" s="6"/>
    </row>
    <row r="604" spans="10:12" ht="14.25">
      <c r="J604" s="6"/>
      <c r="K604" s="6"/>
      <c r="L604" s="6"/>
    </row>
    <row r="605" spans="10:12" ht="14.25">
      <c r="J605" s="6"/>
      <c r="K605" s="6"/>
      <c r="L605" s="6"/>
    </row>
    <row r="606" spans="10:12" ht="14.25">
      <c r="J606" s="6"/>
      <c r="K606" s="6"/>
      <c r="L606" s="6"/>
    </row>
    <row r="607" spans="10:12" ht="14.25">
      <c r="J607" s="6"/>
      <c r="K607" s="6"/>
      <c r="L607" s="6"/>
    </row>
    <row r="608" spans="10:12" ht="14.25">
      <c r="J608" s="6"/>
      <c r="K608" s="6"/>
      <c r="L608" s="6"/>
    </row>
    <row r="609" spans="10:12" ht="14.25">
      <c r="J609" s="6"/>
      <c r="K609" s="6"/>
      <c r="L609" s="6"/>
    </row>
    <row r="610" spans="10:12" ht="14.25">
      <c r="J610" s="6"/>
      <c r="K610" s="6"/>
      <c r="L610" s="6"/>
    </row>
    <row r="611" spans="10:12" ht="14.25">
      <c r="J611" s="6"/>
      <c r="K611" s="6"/>
      <c r="L611" s="6"/>
    </row>
    <row r="612" spans="10:12" ht="14.25">
      <c r="J612" s="6"/>
      <c r="K612" s="6"/>
      <c r="L612" s="6"/>
    </row>
    <row r="613" spans="10:12" ht="14.25">
      <c r="J613" s="6"/>
      <c r="K613" s="6"/>
      <c r="L613" s="6"/>
    </row>
    <row r="614" spans="10:12" ht="14.25">
      <c r="J614" s="6"/>
      <c r="K614" s="6"/>
      <c r="L614" s="6"/>
    </row>
    <row r="615" spans="10:12" ht="14.25">
      <c r="J615" s="6"/>
      <c r="K615" s="6"/>
      <c r="L615" s="6"/>
    </row>
    <row r="616" spans="10:12" ht="14.25">
      <c r="J616" s="6"/>
      <c r="K616" s="6"/>
      <c r="L616" s="6"/>
    </row>
    <row r="617" spans="10:12" ht="14.25">
      <c r="J617" s="6"/>
      <c r="K617" s="6"/>
      <c r="L617" s="6"/>
    </row>
    <row r="618" spans="10:12" ht="14.25">
      <c r="J618" s="6"/>
      <c r="K618" s="6"/>
      <c r="L618" s="6"/>
    </row>
    <row r="619" spans="10:12" ht="14.25">
      <c r="J619" s="6"/>
      <c r="K619" s="6"/>
      <c r="L619" s="6"/>
    </row>
    <row r="620" spans="10:12" ht="14.25">
      <c r="J620" s="6"/>
      <c r="K620" s="6"/>
      <c r="L620" s="6"/>
    </row>
    <row r="621" spans="10:12" ht="14.25">
      <c r="J621" s="6"/>
      <c r="K621" s="6"/>
      <c r="L621" s="6"/>
    </row>
    <row r="622" spans="10:12" ht="14.25">
      <c r="J622" s="6"/>
      <c r="K622" s="6"/>
      <c r="L622" s="6"/>
    </row>
    <row r="623" spans="10:12" ht="14.25">
      <c r="J623" s="6"/>
      <c r="K623" s="6"/>
      <c r="L623" s="6"/>
    </row>
    <row r="624" spans="10:12" ht="14.25">
      <c r="J624" s="6"/>
      <c r="K624" s="6"/>
      <c r="L624" s="6"/>
    </row>
    <row r="625" spans="10:12" ht="14.25">
      <c r="J625" s="6"/>
      <c r="K625" s="6"/>
      <c r="L625" s="6"/>
    </row>
    <row r="626" spans="10:12" ht="14.25">
      <c r="J626" s="6"/>
      <c r="K626" s="6"/>
      <c r="L626" s="6"/>
    </row>
    <row r="627" spans="10:12" ht="14.25">
      <c r="J627" s="6"/>
      <c r="K627" s="6"/>
      <c r="L627" s="6"/>
    </row>
    <row r="628" spans="10:12" ht="14.25">
      <c r="J628" s="6"/>
      <c r="K628" s="6"/>
      <c r="L628" s="6"/>
    </row>
    <row r="629" spans="10:12" ht="14.25">
      <c r="J629" s="6"/>
      <c r="K629" s="6"/>
      <c r="L629" s="6"/>
    </row>
    <row r="630" spans="10:12" ht="14.25">
      <c r="J630" s="6"/>
      <c r="K630" s="6"/>
      <c r="L630" s="6"/>
    </row>
    <row r="631" spans="10:12" ht="14.25">
      <c r="J631" s="6"/>
      <c r="K631" s="6"/>
      <c r="L631" s="6"/>
    </row>
    <row r="632" spans="10:12" ht="14.25">
      <c r="J632" s="6"/>
      <c r="K632" s="6"/>
      <c r="L632" s="6"/>
    </row>
    <row r="633" spans="10:12" ht="14.25">
      <c r="J633" s="6"/>
      <c r="K633" s="6"/>
      <c r="L633" s="6"/>
    </row>
    <row r="634" spans="10:12" ht="14.25">
      <c r="J634" s="6"/>
      <c r="K634" s="6"/>
      <c r="L634" s="6"/>
    </row>
    <row r="635" spans="10:12" ht="14.25">
      <c r="J635" s="6"/>
      <c r="K635" s="6"/>
      <c r="L635" s="6"/>
    </row>
    <row r="636" spans="10:12" ht="14.25">
      <c r="J636" s="6"/>
      <c r="K636" s="6"/>
      <c r="L636" s="6"/>
    </row>
    <row r="637" spans="10:12" ht="14.25">
      <c r="J637" s="6"/>
      <c r="K637" s="6"/>
      <c r="L637" s="6"/>
    </row>
    <row r="638" spans="10:12" ht="14.25">
      <c r="J638" s="6"/>
      <c r="K638" s="6"/>
      <c r="L638" s="6"/>
    </row>
    <row r="639" spans="10:12" ht="14.25">
      <c r="J639" s="6"/>
      <c r="K639" s="6"/>
      <c r="L639" s="6"/>
    </row>
    <row r="640" spans="10:12" ht="14.25">
      <c r="J640" s="6"/>
      <c r="K640" s="6"/>
      <c r="L640" s="6"/>
    </row>
    <row r="641" spans="10:12" ht="14.25">
      <c r="J641" s="6"/>
      <c r="K641" s="6"/>
      <c r="L641" s="6"/>
    </row>
    <row r="642" spans="10:12" ht="14.25">
      <c r="J642" s="6"/>
      <c r="K642" s="6"/>
      <c r="L642" s="6"/>
    </row>
    <row r="643" spans="10:12" ht="14.25">
      <c r="J643" s="6"/>
      <c r="K643" s="6"/>
      <c r="L643" s="6"/>
    </row>
    <row r="644" spans="10:12" ht="14.25">
      <c r="J644" s="6"/>
      <c r="K644" s="6"/>
      <c r="L644" s="6"/>
    </row>
    <row r="645" spans="10:12" ht="14.25">
      <c r="J645" s="6"/>
      <c r="K645" s="6"/>
      <c r="L645" s="6"/>
    </row>
    <row r="646" spans="10:12" ht="14.25">
      <c r="J646" s="6"/>
      <c r="K646" s="6"/>
      <c r="L646" s="6"/>
    </row>
    <row r="647" spans="10:12" ht="14.25">
      <c r="J647" s="6"/>
      <c r="K647" s="6"/>
      <c r="L647" s="6"/>
    </row>
    <row r="648" spans="10:12" ht="14.25">
      <c r="J648" s="6"/>
      <c r="K648" s="6"/>
      <c r="L648" s="6"/>
    </row>
    <row r="649" spans="10:12" ht="14.25">
      <c r="J649" s="6"/>
      <c r="K649" s="6"/>
      <c r="L649" s="6"/>
    </row>
    <row r="650" spans="10:12" ht="14.25">
      <c r="J650" s="6"/>
      <c r="K650" s="6"/>
      <c r="L650" s="6"/>
    </row>
    <row r="651" spans="10:12" ht="14.25">
      <c r="J651" s="6"/>
      <c r="K651" s="6"/>
      <c r="L651" s="6"/>
    </row>
    <row r="652" spans="10:12" ht="14.25">
      <c r="J652" s="6"/>
      <c r="K652" s="6"/>
      <c r="L652" s="6"/>
    </row>
    <row r="653" spans="10:12" ht="14.25">
      <c r="J653" s="6"/>
      <c r="K653" s="6"/>
      <c r="L653" s="6"/>
    </row>
    <row r="654" spans="10:12" ht="14.25">
      <c r="J654" s="6"/>
      <c r="K654" s="6"/>
      <c r="L654" s="6"/>
    </row>
    <row r="655" spans="10:12" ht="14.25">
      <c r="J655" s="6"/>
      <c r="K655" s="6"/>
      <c r="L655" s="6"/>
    </row>
    <row r="656" spans="10:12" ht="14.25">
      <c r="J656" s="6"/>
      <c r="K656" s="6"/>
      <c r="L656" s="6"/>
    </row>
    <row r="657" spans="10:12" ht="14.25">
      <c r="J657" s="6"/>
      <c r="K657" s="6"/>
      <c r="L657" s="6"/>
    </row>
    <row r="658" spans="10:12" ht="14.25">
      <c r="J658" s="6"/>
      <c r="K658" s="6"/>
      <c r="L658" s="6"/>
    </row>
    <row r="659" spans="10:12" ht="14.25">
      <c r="J659" s="6"/>
      <c r="K659" s="6"/>
      <c r="L659" s="6"/>
    </row>
    <row r="660" spans="10:12" ht="14.25">
      <c r="J660" s="6"/>
      <c r="K660" s="6"/>
      <c r="L660" s="6"/>
    </row>
    <row r="661" spans="10:12" ht="14.25">
      <c r="J661" s="6"/>
      <c r="K661" s="6"/>
      <c r="L661" s="6"/>
    </row>
    <row r="662" spans="10:12" ht="14.25">
      <c r="J662" s="6"/>
      <c r="K662" s="6"/>
      <c r="L662" s="6"/>
    </row>
    <row r="663" spans="10:12" ht="14.25">
      <c r="J663" s="6"/>
      <c r="K663" s="6"/>
      <c r="L663" s="6"/>
    </row>
    <row r="664" spans="10:12" ht="14.25">
      <c r="J664" s="6"/>
      <c r="K664" s="6"/>
      <c r="L664" s="6"/>
    </row>
    <row r="665" spans="10:12" ht="14.25">
      <c r="J665" s="6"/>
      <c r="K665" s="6"/>
      <c r="L665" s="6"/>
    </row>
    <row r="666" spans="10:12" ht="14.25">
      <c r="J666" s="6"/>
      <c r="K666" s="6"/>
      <c r="L666" s="6"/>
    </row>
    <row r="667" spans="10:12" ht="14.25">
      <c r="J667" s="6"/>
      <c r="K667" s="6"/>
      <c r="L667" s="6"/>
    </row>
    <row r="668" spans="10:12" ht="14.25">
      <c r="J668" s="6"/>
      <c r="K668" s="6"/>
      <c r="L668" s="6"/>
    </row>
    <row r="669" spans="10:12" ht="14.25">
      <c r="J669" s="6"/>
      <c r="K669" s="6"/>
      <c r="L669" s="6"/>
    </row>
    <row r="670" spans="10:12" ht="14.25">
      <c r="J670" s="6"/>
      <c r="K670" s="6"/>
      <c r="L670" s="6"/>
    </row>
    <row r="671" spans="10:12" ht="14.25">
      <c r="J671" s="6"/>
      <c r="K671" s="6"/>
      <c r="L671" s="6"/>
    </row>
    <row r="672" spans="10:12" ht="14.25">
      <c r="J672" s="6"/>
      <c r="K672" s="6"/>
      <c r="L672" s="6"/>
    </row>
    <row r="673" spans="10:12" ht="14.25">
      <c r="J673" s="6"/>
      <c r="K673" s="6"/>
      <c r="L673" s="6"/>
    </row>
    <row r="674" spans="10:12" ht="14.25">
      <c r="J674" s="6"/>
      <c r="K674" s="6"/>
      <c r="L674" s="6"/>
    </row>
    <row r="675" spans="10:12" ht="14.25">
      <c r="J675" s="6"/>
      <c r="K675" s="6"/>
      <c r="L675" s="6"/>
    </row>
    <row r="676" spans="10:12" ht="14.25">
      <c r="J676" s="6"/>
      <c r="K676" s="6"/>
      <c r="L676" s="6"/>
    </row>
    <row r="677" spans="10:12" ht="14.25">
      <c r="J677" s="6"/>
      <c r="K677" s="6"/>
      <c r="L677" s="6"/>
    </row>
    <row r="678" spans="10:12" ht="14.25">
      <c r="J678" s="6"/>
      <c r="K678" s="6"/>
      <c r="L678" s="6"/>
    </row>
    <row r="679" spans="10:12" ht="14.25">
      <c r="J679" s="6"/>
      <c r="K679" s="6"/>
      <c r="L679" s="6"/>
    </row>
    <row r="680" spans="10:12" ht="14.25">
      <c r="J680" s="6"/>
      <c r="K680" s="6"/>
      <c r="L680" s="6"/>
    </row>
    <row r="681" spans="10:12" ht="14.25">
      <c r="J681" s="6"/>
      <c r="K681" s="6"/>
      <c r="L681" s="6"/>
    </row>
    <row r="682" spans="10:12" ht="14.25">
      <c r="J682" s="6"/>
      <c r="K682" s="6"/>
      <c r="L682" s="6"/>
    </row>
    <row r="683" spans="10:12" ht="14.25">
      <c r="J683" s="6"/>
      <c r="K683" s="6"/>
      <c r="L683" s="6"/>
    </row>
    <row r="684" spans="10:12" ht="14.25">
      <c r="J684" s="6"/>
      <c r="K684" s="6"/>
      <c r="L684" s="6"/>
    </row>
    <row r="685" spans="10:12" ht="14.25">
      <c r="J685" s="6"/>
      <c r="K685" s="6"/>
      <c r="L685" s="6"/>
    </row>
    <row r="686" spans="10:12" ht="14.25">
      <c r="J686" s="6"/>
      <c r="K686" s="6"/>
      <c r="L686" s="6"/>
    </row>
    <row r="687" spans="10:12" ht="14.25">
      <c r="J687" s="6"/>
      <c r="K687" s="6"/>
      <c r="L687" s="6"/>
    </row>
    <row r="688" spans="10:12" ht="14.25">
      <c r="J688" s="6"/>
      <c r="K688" s="6"/>
      <c r="L688" s="6"/>
    </row>
    <row r="689" spans="10:12" ht="14.25">
      <c r="J689" s="6"/>
      <c r="K689" s="6"/>
      <c r="L689" s="6"/>
    </row>
    <row r="690" spans="10:12" ht="14.25">
      <c r="J690" s="6"/>
      <c r="K690" s="6"/>
      <c r="L690" s="6"/>
    </row>
    <row r="691" spans="10:12" ht="14.25">
      <c r="J691" s="6"/>
      <c r="K691" s="6"/>
      <c r="L691" s="6"/>
    </row>
    <row r="692" spans="10:12" ht="14.25">
      <c r="J692" s="6"/>
      <c r="K692" s="6"/>
      <c r="L692" s="6"/>
    </row>
    <row r="693" spans="10:12" ht="14.25">
      <c r="J693" s="6"/>
      <c r="K693" s="6"/>
      <c r="L693" s="6"/>
    </row>
    <row r="694" spans="10:12" ht="14.25">
      <c r="J694" s="6"/>
      <c r="K694" s="6"/>
      <c r="L694" s="6"/>
    </row>
    <row r="695" spans="10:12" ht="14.25">
      <c r="J695" s="6"/>
      <c r="K695" s="6"/>
      <c r="L695" s="6"/>
    </row>
    <row r="696" spans="10:12" ht="14.25">
      <c r="J696" s="6"/>
      <c r="K696" s="6"/>
      <c r="L696" s="6"/>
    </row>
    <row r="697" spans="10:12" ht="14.25">
      <c r="J697" s="6"/>
      <c r="K697" s="6"/>
      <c r="L697" s="6"/>
    </row>
    <row r="698" spans="10:12" ht="14.25">
      <c r="J698" s="6"/>
      <c r="K698" s="6"/>
      <c r="L698" s="6"/>
    </row>
    <row r="699" spans="10:12" ht="14.25">
      <c r="J699" s="6"/>
      <c r="K699" s="6"/>
      <c r="L699" s="6"/>
    </row>
    <row r="700" spans="10:12" ht="14.25">
      <c r="J700" s="6"/>
      <c r="K700" s="6"/>
      <c r="L700" s="6"/>
    </row>
    <row r="701" spans="10:12" ht="14.25">
      <c r="J701" s="6"/>
      <c r="K701" s="6"/>
      <c r="L701" s="6"/>
    </row>
    <row r="702" spans="10:12" ht="14.25">
      <c r="J702" s="6"/>
      <c r="K702" s="6"/>
      <c r="L702" s="6"/>
    </row>
    <row r="703" spans="10:12" ht="14.25">
      <c r="J703" s="6"/>
      <c r="K703" s="6"/>
      <c r="L703" s="6"/>
    </row>
    <row r="704" spans="10:12" ht="14.25">
      <c r="J704" s="6"/>
      <c r="K704" s="6"/>
      <c r="L704" s="6"/>
    </row>
    <row r="705" spans="10:12" ht="14.25">
      <c r="J705" s="6"/>
      <c r="K705" s="6"/>
      <c r="L705" s="6"/>
    </row>
    <row r="706" spans="10:12" ht="14.25">
      <c r="J706" s="6"/>
      <c r="K706" s="6"/>
      <c r="L706" s="6"/>
    </row>
    <row r="707" spans="10:12" ht="14.25">
      <c r="J707" s="6"/>
      <c r="K707" s="6"/>
      <c r="L707" s="6"/>
    </row>
    <row r="708" spans="10:12" ht="14.25">
      <c r="J708" s="6"/>
      <c r="K708" s="6"/>
      <c r="L708" s="6"/>
    </row>
    <row r="709" spans="10:12" ht="14.25">
      <c r="J709" s="6"/>
      <c r="K709" s="6"/>
      <c r="L709" s="6"/>
    </row>
    <row r="710" spans="10:12" ht="14.25">
      <c r="J710" s="6"/>
      <c r="K710" s="6"/>
      <c r="L710" s="6"/>
    </row>
    <row r="711" spans="10:12" ht="14.25">
      <c r="J711" s="6"/>
      <c r="K711" s="6"/>
      <c r="L711" s="6"/>
    </row>
    <row r="712" spans="10:12" ht="14.25">
      <c r="J712" s="6"/>
      <c r="K712" s="6"/>
      <c r="L712" s="6"/>
    </row>
    <row r="713" spans="10:12" ht="14.25">
      <c r="J713" s="6"/>
      <c r="K713" s="6"/>
      <c r="L713" s="6"/>
    </row>
    <row r="714" spans="10:12" ht="14.25">
      <c r="J714" s="6"/>
      <c r="K714" s="6"/>
      <c r="L714" s="6"/>
    </row>
    <row r="715" spans="10:12" ht="14.25">
      <c r="J715" s="6"/>
      <c r="K715" s="6"/>
      <c r="L715" s="6"/>
    </row>
    <row r="716" spans="10:12" ht="14.25">
      <c r="J716" s="6"/>
      <c r="K716" s="6"/>
      <c r="L716" s="6"/>
    </row>
    <row r="717" spans="10:12" ht="14.25">
      <c r="J717" s="6"/>
      <c r="K717" s="6"/>
      <c r="L717" s="6"/>
    </row>
    <row r="718" spans="10:12" ht="14.25">
      <c r="J718" s="6"/>
      <c r="K718" s="6"/>
      <c r="L718" s="6"/>
    </row>
    <row r="719" spans="10:12" ht="14.25">
      <c r="J719" s="6"/>
      <c r="K719" s="6"/>
      <c r="L719" s="6"/>
    </row>
    <row r="720" spans="10:12" ht="14.25">
      <c r="J720" s="6"/>
      <c r="K720" s="6"/>
      <c r="L720" s="6"/>
    </row>
    <row r="721" spans="10:12" ht="14.25">
      <c r="J721" s="6"/>
      <c r="K721" s="6"/>
      <c r="L721" s="6"/>
    </row>
    <row r="722" spans="10:12" ht="14.25">
      <c r="J722" s="6"/>
      <c r="K722" s="6"/>
      <c r="L722" s="6"/>
    </row>
    <row r="723" spans="10:12" ht="14.25">
      <c r="J723" s="6"/>
      <c r="K723" s="6"/>
      <c r="L723" s="6"/>
    </row>
    <row r="724" spans="10:12" ht="14.25">
      <c r="J724" s="6"/>
      <c r="K724" s="6"/>
      <c r="L724" s="6"/>
    </row>
    <row r="725" spans="10:12" ht="14.25">
      <c r="J725" s="6"/>
      <c r="K725" s="6"/>
      <c r="L725" s="6"/>
    </row>
    <row r="726" spans="10:12" ht="14.25">
      <c r="J726" s="6"/>
      <c r="K726" s="6"/>
      <c r="L726" s="6"/>
    </row>
    <row r="727" spans="10:12" ht="14.25">
      <c r="J727" s="6"/>
      <c r="K727" s="6"/>
      <c r="L727" s="6"/>
    </row>
    <row r="728" spans="10:12" ht="14.25">
      <c r="J728" s="6"/>
      <c r="K728" s="6"/>
      <c r="L728" s="6"/>
    </row>
    <row r="729" spans="10:12" ht="14.25">
      <c r="J729" s="6"/>
      <c r="K729" s="6"/>
      <c r="L729" s="6"/>
    </row>
    <row r="730" spans="10:12" ht="14.25">
      <c r="J730" s="6"/>
      <c r="K730" s="6"/>
      <c r="L730" s="6"/>
    </row>
    <row r="731" spans="10:12" ht="14.25">
      <c r="J731" s="6"/>
      <c r="K731" s="6"/>
      <c r="L731" s="6"/>
    </row>
    <row r="732" spans="10:12" ht="14.25">
      <c r="J732" s="6"/>
      <c r="K732" s="6"/>
      <c r="L732" s="6"/>
    </row>
    <row r="733" spans="10:12" ht="14.25">
      <c r="J733" s="6"/>
      <c r="K733" s="6"/>
      <c r="L733" s="6"/>
    </row>
    <row r="734" spans="10:12" ht="14.25">
      <c r="J734" s="6"/>
      <c r="K734" s="6"/>
      <c r="L734" s="6"/>
    </row>
    <row r="735" spans="10:12" ht="14.25">
      <c r="J735" s="6"/>
      <c r="K735" s="6"/>
      <c r="L735" s="6"/>
    </row>
    <row r="736" spans="10:12" ht="14.25">
      <c r="J736" s="6"/>
      <c r="K736" s="6"/>
      <c r="L736" s="6"/>
    </row>
    <row r="737" spans="10:12" ht="14.25">
      <c r="J737" s="6"/>
      <c r="K737" s="6"/>
      <c r="L737" s="6"/>
    </row>
    <row r="738" spans="10:12" ht="14.25">
      <c r="J738" s="6"/>
      <c r="K738" s="6"/>
      <c r="L738" s="6"/>
    </row>
    <row r="739" spans="10:12" ht="14.25">
      <c r="J739" s="6"/>
      <c r="K739" s="6"/>
      <c r="L739" s="6"/>
    </row>
    <row r="740" spans="10:12" ht="14.25">
      <c r="J740" s="6"/>
      <c r="K740" s="6"/>
      <c r="L740" s="6"/>
    </row>
    <row r="741" spans="10:12" ht="14.25">
      <c r="J741" s="6"/>
      <c r="K741" s="6"/>
      <c r="L741" s="6"/>
    </row>
    <row r="742" spans="10:12" ht="14.25">
      <c r="J742" s="6"/>
      <c r="K742" s="6"/>
      <c r="L742" s="6"/>
    </row>
    <row r="743" spans="10:12" ht="14.25">
      <c r="J743" s="6"/>
      <c r="K743" s="6"/>
      <c r="L743" s="6"/>
    </row>
    <row r="744" spans="10:12" ht="14.25">
      <c r="J744" s="6"/>
      <c r="K744" s="6"/>
      <c r="L744" s="6"/>
    </row>
    <row r="745" spans="10:12" ht="14.25">
      <c r="J745" s="6"/>
      <c r="K745" s="6"/>
      <c r="L745" s="6"/>
    </row>
    <row r="746" spans="10:12" ht="14.25">
      <c r="J746" s="6"/>
      <c r="K746" s="6"/>
      <c r="L746" s="6"/>
    </row>
    <row r="747" spans="10:12" ht="14.25">
      <c r="J747" s="6"/>
      <c r="K747" s="6"/>
      <c r="L747" s="6"/>
    </row>
    <row r="748" spans="10:12" ht="14.25">
      <c r="J748" s="6"/>
      <c r="K748" s="6"/>
      <c r="L748" s="6"/>
    </row>
    <row r="749" spans="10:12" ht="14.25">
      <c r="J749" s="6"/>
      <c r="K749" s="6"/>
      <c r="L749" s="6"/>
    </row>
    <row r="750" spans="10:12" ht="14.25">
      <c r="J750" s="6"/>
      <c r="K750" s="6"/>
      <c r="L750" s="6"/>
    </row>
    <row r="751" spans="10:12" ht="14.25">
      <c r="J751" s="6"/>
      <c r="K751" s="6"/>
      <c r="L751" s="6"/>
    </row>
    <row r="752" spans="10:12" ht="14.25">
      <c r="J752" s="6"/>
      <c r="K752" s="6"/>
      <c r="L752" s="6"/>
    </row>
    <row r="753" spans="10:12" ht="14.25">
      <c r="J753" s="6"/>
      <c r="K753" s="6"/>
      <c r="L753" s="6"/>
    </row>
    <row r="754" spans="10:12" ht="14.25">
      <c r="J754" s="6"/>
      <c r="K754" s="6"/>
      <c r="L754" s="6"/>
    </row>
    <row r="755" spans="10:12" ht="14.25">
      <c r="J755" s="6"/>
      <c r="K755" s="6"/>
      <c r="L755" s="6"/>
    </row>
    <row r="756" spans="10:12" ht="14.25">
      <c r="J756" s="6"/>
      <c r="K756" s="6"/>
      <c r="L756" s="6"/>
    </row>
    <row r="757" spans="10:12" ht="14.25">
      <c r="J757" s="6"/>
      <c r="K757" s="6"/>
      <c r="L757" s="6"/>
    </row>
    <row r="758" spans="10:12" ht="14.25">
      <c r="J758" s="6"/>
      <c r="K758" s="6"/>
      <c r="L758" s="6"/>
    </row>
    <row r="759" spans="10:12" ht="14.25">
      <c r="J759" s="6"/>
      <c r="K759" s="6"/>
      <c r="L759" s="6"/>
    </row>
    <row r="760" spans="10:12" ht="14.25">
      <c r="J760" s="6"/>
      <c r="K760" s="6"/>
      <c r="L760" s="6"/>
    </row>
    <row r="761" spans="10:12" ht="14.25">
      <c r="J761" s="6"/>
      <c r="K761" s="6"/>
      <c r="L761" s="6"/>
    </row>
    <row r="762" spans="10:12" ht="14.25">
      <c r="J762" s="6"/>
      <c r="K762" s="6"/>
      <c r="L762" s="6"/>
    </row>
    <row r="763" spans="10:12" ht="14.25">
      <c r="J763" s="6"/>
      <c r="K763" s="6"/>
      <c r="L763" s="6"/>
    </row>
    <row r="764" spans="10:12" ht="14.25">
      <c r="J764" s="6"/>
      <c r="K764" s="6"/>
      <c r="L764" s="6"/>
    </row>
    <row r="765" spans="10:12" ht="14.25">
      <c r="J765" s="6"/>
      <c r="K765" s="6"/>
      <c r="L765" s="6"/>
    </row>
    <row r="766" spans="10:12" ht="14.25">
      <c r="J766" s="6"/>
      <c r="K766" s="6"/>
      <c r="L766" s="6"/>
    </row>
    <row r="767" spans="10:12" ht="14.25">
      <c r="J767" s="6"/>
      <c r="K767" s="6"/>
      <c r="L767" s="6"/>
    </row>
    <row r="768" spans="10:12" ht="14.25">
      <c r="J768" s="6"/>
      <c r="K768" s="6"/>
      <c r="L768" s="6"/>
    </row>
    <row r="769" spans="10:12" ht="14.25">
      <c r="J769" s="6"/>
      <c r="K769" s="6"/>
      <c r="L769" s="6"/>
    </row>
    <row r="770" spans="10:12" ht="14.25">
      <c r="J770" s="6"/>
      <c r="K770" s="6"/>
      <c r="L770" s="6"/>
    </row>
    <row r="771" spans="10:12" ht="14.25">
      <c r="J771" s="6"/>
      <c r="K771" s="6"/>
      <c r="L771" s="6"/>
    </row>
    <row r="772" spans="10:12" ht="14.25">
      <c r="J772" s="6"/>
      <c r="K772" s="6"/>
      <c r="L772" s="6"/>
    </row>
    <row r="773" spans="10:12" ht="14.25">
      <c r="J773" s="6"/>
      <c r="K773" s="6"/>
      <c r="L773" s="6"/>
    </row>
    <row r="774" spans="10:12" ht="14.25">
      <c r="J774" s="6"/>
      <c r="K774" s="6"/>
      <c r="L774" s="6"/>
    </row>
    <row r="775" spans="10:12" ht="14.25">
      <c r="J775" s="6"/>
      <c r="K775" s="6"/>
      <c r="L775" s="6"/>
    </row>
    <row r="776" spans="10:12" ht="14.25">
      <c r="J776" s="6"/>
      <c r="K776" s="6"/>
      <c r="L776" s="6"/>
    </row>
    <row r="777" spans="10:12" ht="14.25">
      <c r="J777" s="6"/>
      <c r="K777" s="6"/>
      <c r="L777" s="6"/>
    </row>
    <row r="778" spans="10:12" ht="14.25">
      <c r="J778" s="6"/>
      <c r="K778" s="6"/>
      <c r="L778" s="6"/>
    </row>
    <row r="779" spans="10:12" ht="14.25">
      <c r="J779" s="6"/>
      <c r="K779" s="6"/>
      <c r="L779" s="6"/>
    </row>
    <row r="780" spans="10:12" ht="14.25">
      <c r="J780" s="6"/>
      <c r="K780" s="6"/>
      <c r="L780" s="6"/>
    </row>
    <row r="781" spans="10:12" ht="14.25">
      <c r="J781" s="6"/>
      <c r="K781" s="6"/>
      <c r="L781" s="6"/>
    </row>
    <row r="782" spans="10:12" ht="14.25">
      <c r="J782" s="6"/>
      <c r="K782" s="6"/>
      <c r="L782" s="6"/>
    </row>
    <row r="783" spans="10:12" ht="14.25">
      <c r="J783" s="6"/>
      <c r="K783" s="6"/>
      <c r="L783" s="6"/>
    </row>
    <row r="784" spans="10:12" ht="14.25">
      <c r="J784" s="6"/>
      <c r="K784" s="6"/>
      <c r="L784" s="6"/>
    </row>
    <row r="785" spans="10:12" ht="14.25">
      <c r="J785" s="6"/>
      <c r="K785" s="6"/>
      <c r="L785" s="6"/>
    </row>
    <row r="786" spans="10:12" ht="14.25">
      <c r="J786" s="6"/>
      <c r="K786" s="6"/>
      <c r="L786" s="6"/>
    </row>
    <row r="787" spans="10:12" ht="14.25">
      <c r="J787" s="6"/>
      <c r="K787" s="6"/>
      <c r="L787" s="6"/>
    </row>
    <row r="788" spans="10:12" ht="14.25">
      <c r="J788" s="6"/>
      <c r="K788" s="6"/>
      <c r="L788" s="6"/>
    </row>
    <row r="789" spans="10:12" ht="14.25">
      <c r="J789" s="6"/>
      <c r="K789" s="6"/>
      <c r="L789" s="6"/>
    </row>
    <row r="790" spans="10:12" ht="14.25">
      <c r="J790" s="6"/>
      <c r="K790" s="6"/>
      <c r="L790" s="6"/>
    </row>
    <row r="791" spans="10:12" ht="14.25">
      <c r="J791" s="6"/>
      <c r="K791" s="6"/>
      <c r="L791" s="6"/>
    </row>
    <row r="792" spans="10:12" ht="14.25">
      <c r="J792" s="6"/>
      <c r="K792" s="6"/>
      <c r="L792" s="6"/>
    </row>
    <row r="793" spans="10:12" ht="14.25">
      <c r="J793" s="6"/>
      <c r="K793" s="6"/>
      <c r="L793" s="6"/>
    </row>
    <row r="794" spans="10:12" ht="14.25">
      <c r="J794" s="6"/>
      <c r="K794" s="6"/>
      <c r="L794" s="6"/>
    </row>
    <row r="795" spans="10:12" ht="14.25">
      <c r="J795" s="6"/>
      <c r="K795" s="6"/>
      <c r="L795" s="6"/>
    </row>
    <row r="796" spans="10:12" ht="14.25">
      <c r="J796" s="6"/>
      <c r="K796" s="6"/>
      <c r="L796" s="6"/>
    </row>
    <row r="797" spans="10:12" ht="14.25">
      <c r="J797" s="6"/>
      <c r="K797" s="6"/>
      <c r="L797" s="6"/>
    </row>
    <row r="798" spans="10:12" ht="14.25">
      <c r="J798" s="6"/>
      <c r="K798" s="6"/>
      <c r="L798" s="6"/>
    </row>
    <row r="799" spans="10:12" ht="14.25">
      <c r="J799" s="6"/>
      <c r="K799" s="6"/>
      <c r="L799" s="6"/>
    </row>
    <row r="800" spans="10:12" ht="14.25">
      <c r="J800" s="6"/>
      <c r="K800" s="6"/>
      <c r="L800" s="6"/>
    </row>
    <row r="801" spans="10:12" ht="14.25">
      <c r="J801" s="6"/>
      <c r="K801" s="6"/>
      <c r="L801" s="6"/>
    </row>
    <row r="802" spans="10:12" ht="14.25">
      <c r="J802" s="6"/>
      <c r="K802" s="6"/>
      <c r="L802" s="6"/>
    </row>
    <row r="803" spans="10:12" ht="14.25">
      <c r="J803" s="6"/>
      <c r="K803" s="6"/>
      <c r="L803" s="6"/>
    </row>
    <row r="804" spans="10:12" ht="14.25">
      <c r="J804" s="6"/>
      <c r="K804" s="6"/>
      <c r="L804" s="6"/>
    </row>
    <row r="805" spans="10:12" ht="14.25">
      <c r="J805" s="6"/>
      <c r="K805" s="6"/>
      <c r="L805" s="6"/>
    </row>
    <row r="806" spans="10:12" ht="14.25">
      <c r="J806" s="6"/>
      <c r="K806" s="6"/>
      <c r="L806" s="6"/>
    </row>
    <row r="807" spans="10:12" ht="14.25">
      <c r="J807" s="6"/>
      <c r="K807" s="6"/>
      <c r="L807" s="6"/>
    </row>
    <row r="808" spans="10:12" ht="14.25">
      <c r="J808" s="6"/>
      <c r="K808" s="6"/>
      <c r="L808" s="6"/>
    </row>
    <row r="809" spans="10:12" ht="14.25">
      <c r="J809" s="6"/>
      <c r="K809" s="6"/>
      <c r="L809" s="6"/>
    </row>
    <row r="810" spans="10:12" ht="14.25">
      <c r="J810" s="6"/>
      <c r="K810" s="6"/>
      <c r="L810" s="6"/>
    </row>
    <row r="811" spans="10:12" ht="14.25">
      <c r="J811" s="6"/>
      <c r="K811" s="6"/>
      <c r="L811" s="6"/>
    </row>
    <row r="812" spans="10:12" ht="14.25">
      <c r="J812" s="6"/>
      <c r="K812" s="6"/>
      <c r="L812" s="6"/>
    </row>
    <row r="813" spans="10:12" ht="14.25">
      <c r="J813" s="6"/>
      <c r="K813" s="6"/>
      <c r="L813" s="6"/>
    </row>
    <row r="814" spans="10:12" ht="14.25">
      <c r="J814" s="6"/>
      <c r="K814" s="6"/>
      <c r="L814" s="6"/>
    </row>
    <row r="815" spans="10:12" ht="14.25">
      <c r="J815" s="6"/>
      <c r="K815" s="6"/>
      <c r="L815" s="6"/>
    </row>
    <row r="816" spans="10:12" ht="14.25">
      <c r="J816" s="6"/>
      <c r="K816" s="6"/>
      <c r="L816" s="6"/>
    </row>
    <row r="817" spans="10:12" ht="14.25">
      <c r="J817" s="6"/>
      <c r="K817" s="6"/>
      <c r="L817" s="6"/>
    </row>
    <row r="818" spans="10:12" ht="14.25">
      <c r="J818" s="6"/>
      <c r="K818" s="6"/>
      <c r="L818" s="6"/>
    </row>
    <row r="819" spans="10:12" ht="14.25">
      <c r="J819" s="6"/>
      <c r="K819" s="6"/>
      <c r="L819" s="6"/>
    </row>
    <row r="820" spans="10:12" ht="14.25">
      <c r="J820" s="6"/>
      <c r="K820" s="6"/>
      <c r="L820" s="6"/>
    </row>
    <row r="821" spans="10:12" ht="14.25">
      <c r="J821" s="6"/>
      <c r="K821" s="6"/>
      <c r="L821" s="6"/>
    </row>
    <row r="822" spans="10:12" ht="14.25">
      <c r="J822" s="6"/>
      <c r="K822" s="6"/>
      <c r="L822" s="6"/>
    </row>
    <row r="823" spans="10:12" ht="14.25">
      <c r="J823" s="6"/>
      <c r="K823" s="6"/>
      <c r="L823" s="6"/>
    </row>
    <row r="824" spans="10:12" ht="14.25">
      <c r="J824" s="6"/>
      <c r="K824" s="6"/>
      <c r="L824" s="6"/>
    </row>
    <row r="825" spans="10:12" ht="14.25">
      <c r="J825" s="6"/>
      <c r="K825" s="6"/>
      <c r="L825" s="6"/>
    </row>
    <row r="826" spans="10:12" ht="14.25">
      <c r="J826" s="6"/>
      <c r="K826" s="6"/>
      <c r="L826" s="6"/>
    </row>
    <row r="827" spans="10:12" ht="14.25">
      <c r="J827" s="6"/>
      <c r="K827" s="6"/>
      <c r="L827" s="6"/>
    </row>
    <row r="828" spans="10:12" ht="14.25">
      <c r="J828" s="6"/>
      <c r="K828" s="6"/>
      <c r="L828" s="6"/>
    </row>
    <row r="829" spans="10:12" ht="14.25">
      <c r="J829" s="6"/>
      <c r="K829" s="6"/>
      <c r="L829" s="6"/>
    </row>
    <row r="830" spans="10:12" ht="14.25">
      <c r="J830" s="6"/>
      <c r="K830" s="6"/>
      <c r="L830" s="6"/>
    </row>
    <row r="831" spans="10:12" ht="14.25">
      <c r="J831" s="6"/>
      <c r="K831" s="6"/>
      <c r="L831" s="6"/>
    </row>
    <row r="832" spans="10:12" ht="14.25">
      <c r="J832" s="6"/>
      <c r="K832" s="6"/>
      <c r="L832" s="6"/>
    </row>
    <row r="833" spans="10:12" ht="14.25">
      <c r="J833" s="6"/>
      <c r="K833" s="6"/>
      <c r="L833" s="6"/>
    </row>
    <row r="834" spans="10:12" ht="14.25">
      <c r="J834" s="6"/>
      <c r="K834" s="6"/>
      <c r="L834" s="6"/>
    </row>
    <row r="835" spans="10:12" ht="14.25">
      <c r="J835" s="6"/>
      <c r="K835" s="6"/>
      <c r="L835" s="6"/>
    </row>
    <row r="836" spans="10:12" ht="14.25">
      <c r="J836" s="6"/>
      <c r="K836" s="6"/>
      <c r="L836" s="6"/>
    </row>
    <row r="837" spans="10:12" ht="14.25">
      <c r="J837" s="6"/>
      <c r="K837" s="6"/>
      <c r="L837" s="6"/>
    </row>
    <row r="838" spans="10:12" ht="14.25">
      <c r="J838" s="6"/>
      <c r="K838" s="6"/>
      <c r="L838" s="6"/>
    </row>
    <row r="839" spans="10:12" ht="14.25">
      <c r="J839" s="6"/>
      <c r="K839" s="6"/>
      <c r="L839" s="6"/>
    </row>
    <row r="840" spans="10:12" ht="14.25">
      <c r="J840" s="6"/>
      <c r="K840" s="6"/>
      <c r="L840" s="6"/>
    </row>
    <row r="841" spans="10:12" ht="14.25">
      <c r="J841" s="6"/>
      <c r="K841" s="6"/>
      <c r="L841" s="6"/>
    </row>
    <row r="842" spans="10:12" ht="14.25">
      <c r="J842" s="6"/>
      <c r="K842" s="6"/>
      <c r="L842" s="6"/>
    </row>
    <row r="843" spans="10:12" ht="14.25">
      <c r="J843" s="6"/>
      <c r="K843" s="6"/>
      <c r="L843" s="6"/>
    </row>
    <row r="844" spans="10:12" ht="14.25">
      <c r="J844" s="6"/>
      <c r="K844" s="6"/>
      <c r="L844" s="6"/>
    </row>
    <row r="845" spans="10:12" ht="14.25">
      <c r="J845" s="6"/>
      <c r="K845" s="6"/>
      <c r="L845" s="6"/>
    </row>
    <row r="846" spans="10:12" ht="14.25">
      <c r="J846" s="6"/>
      <c r="K846" s="6"/>
      <c r="L846" s="6"/>
    </row>
    <row r="847" spans="10:12" ht="14.25">
      <c r="J847" s="6"/>
      <c r="K847" s="6"/>
      <c r="L847" s="6"/>
    </row>
    <row r="848" spans="10:12" ht="14.25">
      <c r="J848" s="6"/>
      <c r="K848" s="6"/>
      <c r="L848" s="6"/>
    </row>
    <row r="849" spans="10:12" ht="14.25">
      <c r="J849" s="6"/>
      <c r="K849" s="6"/>
      <c r="L849" s="6"/>
    </row>
    <row r="850" spans="10:12" ht="14.25">
      <c r="J850" s="6"/>
      <c r="K850" s="6"/>
      <c r="L850" s="6"/>
    </row>
    <row r="851" spans="10:12" ht="14.25">
      <c r="J851" s="6"/>
      <c r="K851" s="6"/>
      <c r="L851" s="6"/>
    </row>
    <row r="852" spans="10:12" ht="14.25">
      <c r="J852" s="6"/>
      <c r="K852" s="6"/>
      <c r="L852" s="6"/>
    </row>
    <row r="853" spans="10:12" ht="14.25">
      <c r="J853" s="6"/>
      <c r="K853" s="6"/>
      <c r="L853" s="6"/>
    </row>
    <row r="854" spans="10:12" ht="14.25">
      <c r="J854" s="6"/>
      <c r="K854" s="6"/>
      <c r="L854" s="6"/>
    </row>
    <row r="855" spans="10:12" ht="14.25">
      <c r="J855" s="6"/>
      <c r="K855" s="6"/>
      <c r="L855" s="6"/>
    </row>
    <row r="856" spans="10:12" ht="14.25">
      <c r="J856" s="6"/>
      <c r="K856" s="6"/>
      <c r="L856" s="6"/>
    </row>
    <row r="857" spans="10:12" ht="14.25">
      <c r="J857" s="6"/>
      <c r="K857" s="6"/>
      <c r="L857" s="6"/>
    </row>
    <row r="858" spans="10:12" ht="14.25">
      <c r="J858" s="6"/>
      <c r="K858" s="6"/>
      <c r="L858" s="6"/>
    </row>
    <row r="859" spans="10:12" ht="14.25">
      <c r="J859" s="6"/>
      <c r="K859" s="6"/>
      <c r="L859" s="6"/>
    </row>
    <row r="860" spans="10:12" ht="14.25">
      <c r="J860" s="6"/>
      <c r="K860" s="6"/>
      <c r="L860" s="6"/>
    </row>
    <row r="861" spans="10:12" ht="14.25">
      <c r="J861" s="6"/>
      <c r="K861" s="6"/>
      <c r="L861" s="6"/>
    </row>
    <row r="862" spans="10:12" ht="14.25">
      <c r="J862" s="6"/>
      <c r="K862" s="6"/>
      <c r="L862" s="6"/>
    </row>
    <row r="863" spans="10:12" ht="14.25">
      <c r="J863" s="6"/>
      <c r="K863" s="6"/>
      <c r="L863" s="6"/>
    </row>
    <row r="864" spans="10:12" ht="14.25">
      <c r="J864" s="6"/>
      <c r="K864" s="6"/>
      <c r="L864" s="6"/>
    </row>
    <row r="865" spans="10:12" ht="14.25">
      <c r="J865" s="6"/>
      <c r="K865" s="6"/>
      <c r="L865" s="6"/>
    </row>
    <row r="866" spans="10:12" ht="14.25">
      <c r="J866" s="6"/>
      <c r="K866" s="6"/>
      <c r="L866" s="6"/>
    </row>
    <row r="867" spans="10:12" ht="14.25">
      <c r="J867" s="6"/>
      <c r="K867" s="6"/>
      <c r="L867" s="6"/>
    </row>
    <row r="868" spans="10:12" ht="14.25">
      <c r="J868" s="6"/>
      <c r="K868" s="6"/>
      <c r="L868" s="6"/>
    </row>
    <row r="869" spans="10:12" ht="14.25">
      <c r="J869" s="6"/>
      <c r="K869" s="6"/>
      <c r="L869" s="6"/>
    </row>
    <row r="870" spans="10:12" ht="14.25">
      <c r="J870" s="6"/>
      <c r="K870" s="6"/>
      <c r="L870" s="6"/>
    </row>
    <row r="871" spans="10:12" ht="14.25">
      <c r="J871" s="6"/>
      <c r="K871" s="6"/>
      <c r="L871" s="6"/>
    </row>
    <row r="872" spans="10:12" ht="14.25">
      <c r="J872" s="6"/>
      <c r="K872" s="6"/>
      <c r="L872" s="6"/>
    </row>
    <row r="873" spans="10:12" ht="14.25">
      <c r="J873" s="6"/>
      <c r="K873" s="6"/>
      <c r="L873" s="6"/>
    </row>
    <row r="874" spans="10:12" ht="14.25">
      <c r="J874" s="6"/>
      <c r="K874" s="6"/>
      <c r="L874" s="6"/>
    </row>
    <row r="875" spans="10:12" ht="14.25">
      <c r="J875" s="6"/>
      <c r="K875" s="6"/>
      <c r="L875" s="6"/>
    </row>
    <row r="876" spans="10:12" ht="14.25">
      <c r="J876" s="6"/>
      <c r="K876" s="6"/>
      <c r="L876" s="6"/>
    </row>
    <row r="877" spans="10:12" ht="14.25">
      <c r="J877" s="6"/>
      <c r="K877" s="6"/>
      <c r="L877" s="6"/>
    </row>
    <row r="878" spans="10:12" ht="14.25">
      <c r="J878" s="6"/>
      <c r="K878" s="6"/>
      <c r="L878" s="6"/>
    </row>
    <row r="879" spans="10:12" ht="14.25">
      <c r="J879" s="6"/>
      <c r="K879" s="6"/>
      <c r="L879" s="6"/>
    </row>
    <row r="880" spans="10:12" ht="14.25">
      <c r="J880" s="6"/>
      <c r="K880" s="6"/>
      <c r="L880" s="6"/>
    </row>
    <row r="881" spans="10:12" ht="14.25">
      <c r="J881" s="6"/>
      <c r="K881" s="6"/>
      <c r="L881" s="6"/>
    </row>
    <row r="882" spans="10:12" ht="14.25">
      <c r="J882" s="6"/>
      <c r="K882" s="6"/>
      <c r="L882" s="6"/>
    </row>
    <row r="883" spans="10:12" ht="14.25">
      <c r="J883" s="6"/>
      <c r="K883" s="6"/>
      <c r="L883" s="6"/>
    </row>
    <row r="884" spans="10:12" ht="14.25">
      <c r="J884" s="6"/>
      <c r="K884" s="6"/>
      <c r="L884" s="6"/>
    </row>
    <row r="885" spans="10:12" ht="14.25">
      <c r="J885" s="6"/>
      <c r="K885" s="6"/>
      <c r="L885" s="6"/>
    </row>
    <row r="886" spans="10:12" ht="14.25">
      <c r="J886" s="6"/>
      <c r="K886" s="6"/>
      <c r="L886" s="6"/>
    </row>
    <row r="887" spans="10:12" ht="14.25">
      <c r="J887" s="6"/>
      <c r="K887" s="6"/>
      <c r="L887" s="6"/>
    </row>
    <row r="888" spans="10:12" ht="14.25">
      <c r="J888" s="6"/>
      <c r="K888" s="6"/>
      <c r="L888" s="6"/>
    </row>
    <row r="889" spans="10:12" ht="14.25">
      <c r="J889" s="6"/>
      <c r="K889" s="6"/>
      <c r="L889" s="6"/>
    </row>
    <row r="890" spans="10:12" ht="14.25">
      <c r="J890" s="6"/>
      <c r="K890" s="6"/>
      <c r="L890" s="6"/>
    </row>
    <row r="891" spans="10:12" ht="14.25">
      <c r="J891" s="6"/>
      <c r="K891" s="6"/>
      <c r="L891" s="6"/>
    </row>
    <row r="892" spans="10:12" ht="14.25">
      <c r="J892" s="6"/>
      <c r="K892" s="6"/>
      <c r="L892" s="6"/>
    </row>
    <row r="893" spans="10:12" ht="14.25">
      <c r="J893" s="6"/>
      <c r="K893" s="6"/>
      <c r="L893" s="6"/>
    </row>
    <row r="894" spans="10:12" ht="14.25">
      <c r="J894" s="6"/>
      <c r="K894" s="6"/>
      <c r="L894" s="6"/>
    </row>
    <row r="895" spans="10:12" ht="14.25">
      <c r="J895" s="6"/>
      <c r="K895" s="6"/>
      <c r="L895" s="6"/>
    </row>
    <row r="896" spans="10:12" ht="14.25">
      <c r="J896" s="6"/>
      <c r="K896" s="6"/>
      <c r="L896" s="6"/>
    </row>
    <row r="897" spans="10:12" ht="14.25">
      <c r="J897" s="6"/>
      <c r="K897" s="6"/>
      <c r="L897" s="6"/>
    </row>
    <row r="898" spans="10:12" ht="14.25">
      <c r="J898" s="6"/>
      <c r="K898" s="6"/>
      <c r="L898" s="6"/>
    </row>
    <row r="899" spans="10:12" ht="14.25">
      <c r="J899" s="6"/>
      <c r="K899" s="6"/>
      <c r="L899" s="6"/>
    </row>
    <row r="900" spans="10:12" ht="14.25">
      <c r="J900" s="6"/>
      <c r="K900" s="6"/>
      <c r="L900" s="6"/>
    </row>
    <row r="901" spans="10:12" ht="14.25">
      <c r="J901" s="6"/>
      <c r="K901" s="6"/>
      <c r="L901" s="6"/>
    </row>
    <row r="902" spans="10:12" ht="14.25">
      <c r="J902" s="6"/>
      <c r="K902" s="6"/>
      <c r="L902" s="6"/>
    </row>
    <row r="903" spans="10:12" ht="14.25">
      <c r="J903" s="6"/>
      <c r="K903" s="6"/>
      <c r="L903" s="6"/>
    </row>
    <row r="904" spans="10:12" ht="14.25">
      <c r="J904" s="6"/>
      <c r="K904" s="6"/>
      <c r="L904" s="6"/>
    </row>
    <row r="905" spans="10:12" ht="14.25">
      <c r="J905" s="6"/>
      <c r="K905" s="6"/>
      <c r="L905" s="6"/>
    </row>
    <row r="906" spans="10:12" ht="14.25">
      <c r="J906" s="6"/>
      <c r="K906" s="6"/>
      <c r="L906" s="6"/>
    </row>
    <row r="907" spans="10:12" ht="14.25">
      <c r="J907" s="6"/>
      <c r="K907" s="6"/>
      <c r="L907" s="6"/>
    </row>
    <row r="908" spans="10:12" ht="14.25">
      <c r="J908" s="6"/>
      <c r="K908" s="6"/>
      <c r="L908" s="6"/>
    </row>
    <row r="909" spans="10:12" ht="14.25">
      <c r="J909" s="6"/>
      <c r="K909" s="6"/>
      <c r="L909" s="6"/>
    </row>
    <row r="910" spans="10:12" ht="14.25">
      <c r="J910" s="6"/>
      <c r="K910" s="6"/>
      <c r="L910" s="6"/>
    </row>
    <row r="911" spans="10:12" ht="14.25">
      <c r="J911" s="6"/>
      <c r="K911" s="6"/>
      <c r="L911" s="6"/>
    </row>
    <row r="912" spans="10:12" ht="14.25">
      <c r="J912" s="6"/>
      <c r="K912" s="6"/>
      <c r="L912" s="6"/>
    </row>
    <row r="913" spans="10:12" ht="14.25">
      <c r="J913" s="6"/>
      <c r="K913" s="6"/>
      <c r="L913" s="6"/>
    </row>
    <row r="914" spans="10:12" ht="14.25">
      <c r="J914" s="6"/>
      <c r="K914" s="6"/>
      <c r="L914" s="6"/>
    </row>
    <row r="915" spans="10:12" ht="14.25">
      <c r="J915" s="6"/>
      <c r="K915" s="6"/>
      <c r="L915" s="6"/>
    </row>
    <row r="916" spans="10:12" ht="14.25">
      <c r="J916" s="6"/>
      <c r="K916" s="6"/>
      <c r="L916" s="6"/>
    </row>
    <row r="917" spans="10:12" ht="14.25">
      <c r="J917" s="6"/>
      <c r="K917" s="6"/>
      <c r="L917" s="6"/>
    </row>
    <row r="918" spans="10:12" ht="14.25">
      <c r="J918" s="6"/>
      <c r="K918" s="6"/>
      <c r="L918" s="6"/>
    </row>
    <row r="919" spans="10:12" ht="14.25">
      <c r="J919" s="6"/>
      <c r="K919" s="6"/>
      <c r="L919" s="6"/>
    </row>
    <row r="920" spans="10:12" ht="14.25">
      <c r="J920" s="6"/>
      <c r="K920" s="6"/>
      <c r="L920" s="6"/>
    </row>
    <row r="921" spans="10:12" ht="14.25">
      <c r="J921" s="6"/>
      <c r="K921" s="6"/>
      <c r="L921" s="6"/>
    </row>
    <row r="922" spans="10:12" ht="14.25">
      <c r="J922" s="6"/>
      <c r="K922" s="6"/>
      <c r="L922" s="6"/>
    </row>
    <row r="923" spans="10:12" ht="14.25">
      <c r="J923" s="6"/>
      <c r="K923" s="6"/>
      <c r="L923" s="6"/>
    </row>
    <row r="924" spans="10:12" ht="14.25">
      <c r="J924" s="6"/>
      <c r="K924" s="6"/>
      <c r="L924" s="6"/>
    </row>
    <row r="925" spans="10:12" ht="14.25">
      <c r="J925" s="6"/>
      <c r="K925" s="6"/>
      <c r="L925" s="6"/>
    </row>
    <row r="926" spans="10:12" ht="14.25">
      <c r="J926" s="6"/>
      <c r="K926" s="6"/>
      <c r="L926" s="6"/>
    </row>
    <row r="927" spans="10:12" ht="14.25">
      <c r="J927" s="6"/>
      <c r="K927" s="6"/>
      <c r="L927" s="6"/>
    </row>
    <row r="928" spans="10:12" ht="14.25">
      <c r="J928" s="6"/>
      <c r="K928" s="6"/>
      <c r="L928" s="6"/>
    </row>
    <row r="929" spans="10:12" ht="14.25">
      <c r="J929" s="6"/>
      <c r="K929" s="6"/>
      <c r="L929" s="6"/>
    </row>
    <row r="930" spans="10:12" ht="14.25">
      <c r="J930" s="6"/>
      <c r="K930" s="6"/>
      <c r="L930" s="6"/>
    </row>
    <row r="931" spans="10:12" ht="14.25">
      <c r="J931" s="6"/>
      <c r="K931" s="6"/>
      <c r="L931" s="6"/>
    </row>
    <row r="932" spans="10:12" ht="14.25">
      <c r="J932" s="6"/>
      <c r="K932" s="6"/>
      <c r="L932" s="6"/>
    </row>
    <row r="933" spans="10:12" ht="14.25">
      <c r="J933" s="6"/>
      <c r="K933" s="6"/>
      <c r="L933" s="6"/>
    </row>
    <row r="934" spans="10:12" ht="14.25">
      <c r="J934" s="6"/>
      <c r="K934" s="6"/>
      <c r="L934" s="6"/>
    </row>
    <row r="935" spans="10:12" ht="14.25">
      <c r="J935" s="6"/>
      <c r="K935" s="6"/>
      <c r="L935" s="6"/>
    </row>
    <row r="936" spans="10:12" ht="14.25">
      <c r="J936" s="6"/>
      <c r="K936" s="6"/>
      <c r="L936" s="6"/>
    </row>
    <row r="937" spans="10:12" ht="14.25">
      <c r="J937" s="6"/>
      <c r="K937" s="6"/>
      <c r="L937" s="6"/>
    </row>
    <row r="938" spans="10:12" ht="14.25">
      <c r="J938" s="6"/>
      <c r="K938" s="6"/>
      <c r="L938" s="6"/>
    </row>
    <row r="939" spans="10:12" ht="14.25">
      <c r="J939" s="6"/>
      <c r="K939" s="6"/>
      <c r="L939" s="6"/>
    </row>
    <row r="940" spans="10:12" ht="14.25">
      <c r="J940" s="6"/>
      <c r="K940" s="6"/>
      <c r="L940" s="6"/>
    </row>
    <row r="941" spans="10:12" ht="14.25">
      <c r="J941" s="6"/>
      <c r="K941" s="6"/>
      <c r="L941" s="6"/>
    </row>
    <row r="942" spans="10:12" ht="14.25">
      <c r="J942" s="6"/>
      <c r="K942" s="6"/>
      <c r="L942" s="6"/>
    </row>
    <row r="943" spans="10:12" ht="14.25">
      <c r="J943" s="6"/>
      <c r="K943" s="6"/>
      <c r="L943" s="6"/>
    </row>
    <row r="944" spans="10:12" ht="14.25">
      <c r="J944" s="6"/>
      <c r="K944" s="6"/>
      <c r="L944" s="6"/>
    </row>
    <row r="945" spans="10:12" ht="14.25">
      <c r="J945" s="6"/>
      <c r="K945" s="6"/>
      <c r="L945" s="6"/>
    </row>
    <row r="946" spans="10:12" ht="14.25">
      <c r="J946" s="6"/>
      <c r="K946" s="6"/>
      <c r="L946" s="6"/>
    </row>
    <row r="947" spans="10:12" ht="14.25">
      <c r="J947" s="6"/>
      <c r="K947" s="6"/>
      <c r="L947" s="6"/>
    </row>
    <row r="948" spans="10:12" ht="14.25">
      <c r="J948" s="6"/>
      <c r="K948" s="6"/>
      <c r="L948" s="6"/>
    </row>
    <row r="949" spans="10:12" ht="14.25">
      <c r="J949" s="6"/>
      <c r="K949" s="6"/>
      <c r="L949" s="6"/>
    </row>
    <row r="950" spans="10:12" ht="14.25">
      <c r="J950" s="6"/>
      <c r="K950" s="6"/>
      <c r="L950" s="6"/>
    </row>
    <row r="951" spans="10:12" ht="14.25">
      <c r="J951" s="6"/>
      <c r="K951" s="6"/>
      <c r="L951" s="6"/>
    </row>
    <row r="952" spans="10:12" ht="14.25">
      <c r="J952" s="6"/>
      <c r="K952" s="6"/>
      <c r="L952" s="6"/>
    </row>
    <row r="953" spans="10:12" ht="14.25">
      <c r="J953" s="6"/>
      <c r="K953" s="6"/>
      <c r="L953" s="6"/>
    </row>
    <row r="954" spans="10:12" ht="14.25">
      <c r="J954" s="6"/>
      <c r="K954" s="6"/>
      <c r="L954" s="6"/>
    </row>
    <row r="955" spans="10:12" ht="14.25">
      <c r="J955" s="6"/>
      <c r="K955" s="6"/>
      <c r="L955" s="6"/>
    </row>
    <row r="956" spans="10:12" ht="14.25">
      <c r="J956" s="6"/>
      <c r="K956" s="6"/>
      <c r="L956" s="6"/>
    </row>
    <row r="957" spans="10:12" ht="14.25">
      <c r="J957" s="6"/>
      <c r="K957" s="6"/>
      <c r="L957" s="6"/>
    </row>
    <row r="958" spans="10:12" ht="14.25">
      <c r="J958" s="6"/>
      <c r="K958" s="6"/>
      <c r="L958" s="6"/>
    </row>
    <row r="959" spans="10:12" ht="14.25">
      <c r="J959" s="6"/>
      <c r="K959" s="6"/>
      <c r="L959" s="6"/>
    </row>
    <row r="960" spans="10:12" ht="14.25">
      <c r="J960" s="6"/>
      <c r="K960" s="6"/>
      <c r="L960" s="6"/>
    </row>
    <row r="961" spans="10:12" ht="14.25">
      <c r="J961" s="6"/>
      <c r="K961" s="6"/>
      <c r="L961" s="6"/>
    </row>
    <row r="962" spans="10:12" ht="14.25">
      <c r="J962" s="6"/>
      <c r="K962" s="6"/>
      <c r="L962" s="6"/>
    </row>
    <row r="963" spans="10:12" ht="14.25">
      <c r="J963" s="6"/>
      <c r="K963" s="6"/>
      <c r="L963" s="6"/>
    </row>
    <row r="964" spans="10:12" ht="14.25">
      <c r="J964" s="6"/>
      <c r="K964" s="6"/>
      <c r="L964" s="6"/>
    </row>
    <row r="965" spans="10:12" ht="14.25">
      <c r="J965" s="6"/>
      <c r="K965" s="6"/>
      <c r="L965" s="6"/>
    </row>
    <row r="966" spans="10:12" ht="14.25">
      <c r="J966" s="6"/>
      <c r="K966" s="6"/>
      <c r="L966" s="6"/>
    </row>
    <row r="967" spans="10:12" ht="14.25">
      <c r="J967" s="6"/>
      <c r="K967" s="6"/>
      <c r="L967" s="6"/>
    </row>
    <row r="968" spans="10:12" ht="14.25">
      <c r="J968" s="6"/>
      <c r="K968" s="6"/>
      <c r="L968" s="6"/>
    </row>
    <row r="969" spans="10:12" ht="14.25">
      <c r="J969" s="6"/>
      <c r="K969" s="6"/>
      <c r="L969" s="6"/>
    </row>
    <row r="970" spans="10:12" ht="14.25">
      <c r="J970" s="6"/>
      <c r="K970" s="6"/>
      <c r="L970" s="6"/>
    </row>
    <row r="971" spans="10:12" ht="14.25">
      <c r="J971" s="6"/>
      <c r="K971" s="6"/>
      <c r="L971" s="6"/>
    </row>
    <row r="972" spans="10:12" ht="14.25">
      <c r="J972" s="6"/>
      <c r="K972" s="6"/>
      <c r="L972" s="6"/>
    </row>
    <row r="973" spans="10:12" ht="14.25">
      <c r="J973" s="6"/>
      <c r="K973" s="6"/>
      <c r="L973" s="6"/>
    </row>
    <row r="974" spans="10:12" ht="14.25">
      <c r="J974" s="6"/>
      <c r="K974" s="6"/>
      <c r="L974" s="6"/>
    </row>
    <row r="975" spans="10:12" ht="14.25">
      <c r="J975" s="6"/>
      <c r="K975" s="6"/>
      <c r="L975" s="6"/>
    </row>
    <row r="976" spans="10:12" ht="14.25">
      <c r="J976" s="6"/>
      <c r="K976" s="6"/>
      <c r="L976" s="6"/>
    </row>
    <row r="977" spans="10:12" ht="14.25">
      <c r="J977" s="6"/>
      <c r="K977" s="6"/>
      <c r="L977" s="6"/>
    </row>
    <row r="978" spans="10:12" ht="14.25">
      <c r="J978" s="6"/>
      <c r="K978" s="6"/>
      <c r="L978" s="6"/>
    </row>
    <row r="979" spans="10:12" ht="14.25">
      <c r="J979" s="6"/>
      <c r="K979" s="6"/>
      <c r="L979" s="6"/>
    </row>
    <row r="980" spans="10:12" ht="14.25">
      <c r="J980" s="6"/>
      <c r="K980" s="6"/>
      <c r="L980" s="6"/>
    </row>
    <row r="981" spans="10:12" ht="14.25">
      <c r="J981" s="6"/>
      <c r="K981" s="6"/>
      <c r="L981" s="6"/>
    </row>
    <row r="982" spans="10:12" ht="14.25">
      <c r="J982" s="6"/>
      <c r="K982" s="6"/>
      <c r="L982" s="6"/>
    </row>
    <row r="983" spans="10:12" ht="14.25">
      <c r="J983" s="6"/>
      <c r="K983" s="6"/>
      <c r="L983" s="6"/>
    </row>
    <row r="984" spans="10:12" ht="14.25">
      <c r="J984" s="6"/>
      <c r="K984" s="6"/>
      <c r="L984" s="6"/>
    </row>
    <row r="985" spans="10:12" ht="14.25">
      <c r="J985" s="6"/>
      <c r="K985" s="6"/>
      <c r="L985" s="6"/>
    </row>
    <row r="986" spans="10:12" ht="14.25">
      <c r="J986" s="6"/>
      <c r="K986" s="6"/>
      <c r="L986" s="6"/>
    </row>
    <row r="987" spans="10:12" ht="14.25">
      <c r="J987" s="6"/>
      <c r="K987" s="6"/>
      <c r="L987" s="6"/>
    </row>
    <row r="988" spans="10:12" ht="14.25">
      <c r="J988" s="6"/>
      <c r="K988" s="6"/>
      <c r="L988" s="6"/>
    </row>
    <row r="989" spans="10:12" ht="14.25">
      <c r="J989" s="6"/>
      <c r="K989" s="6"/>
      <c r="L989" s="6"/>
    </row>
    <row r="990" spans="10:12" ht="14.25">
      <c r="J990" s="6"/>
      <c r="K990" s="6"/>
      <c r="L990" s="6"/>
    </row>
    <row r="991" spans="10:12" ht="14.25">
      <c r="J991" s="6"/>
      <c r="K991" s="6"/>
      <c r="L991" s="6"/>
    </row>
    <row r="992" spans="10:12" ht="14.25">
      <c r="J992" s="6"/>
      <c r="K992" s="6"/>
      <c r="L992" s="6"/>
    </row>
    <row r="993" spans="10:12" ht="14.25">
      <c r="J993" s="6"/>
      <c r="K993" s="6"/>
      <c r="L993" s="6"/>
    </row>
    <row r="994" spans="10:12" ht="14.25">
      <c r="J994" s="6"/>
      <c r="K994" s="6"/>
      <c r="L994" s="6"/>
    </row>
    <row r="995" spans="10:12" ht="14.25">
      <c r="J995" s="6"/>
      <c r="K995" s="6"/>
      <c r="L995" s="6"/>
    </row>
    <row r="996" spans="10:12" ht="14.25">
      <c r="J996" s="6"/>
      <c r="K996" s="6"/>
      <c r="L996" s="6"/>
    </row>
    <row r="997" spans="10:12" ht="14.25">
      <c r="J997" s="6"/>
      <c r="K997" s="6"/>
      <c r="L997" s="6"/>
    </row>
    <row r="998" spans="10:12" ht="14.25">
      <c r="J998" s="6"/>
      <c r="K998" s="6"/>
      <c r="L998" s="6"/>
    </row>
    <row r="999" spans="10:12" ht="14.25">
      <c r="J999" s="6"/>
      <c r="K999" s="6"/>
      <c r="L999" s="6"/>
    </row>
    <row r="1000" spans="10:12" ht="14.25">
      <c r="J1000" s="6"/>
      <c r="K1000" s="6"/>
      <c r="L1000" s="6"/>
    </row>
    <row r="1001" spans="10:12" ht="14.25">
      <c r="J1001" s="6"/>
      <c r="K1001" s="6"/>
      <c r="L1001" s="6"/>
    </row>
  </sheetData>
  <mergeCells count="18">
    <mergeCell ref="Y4:Z4"/>
    <mergeCell ref="O4:P4"/>
    <mergeCell ref="C4:D4"/>
    <mergeCell ref="E4:F4"/>
    <mergeCell ref="G4:H4"/>
    <mergeCell ref="I4:J4"/>
    <mergeCell ref="K4:L4"/>
    <mergeCell ref="M4:N4"/>
    <mergeCell ref="T11:U11"/>
    <mergeCell ref="T12:U12"/>
    <mergeCell ref="Y5:AA5"/>
    <mergeCell ref="AB5:AD5"/>
    <mergeCell ref="V5:X5"/>
    <mergeCell ref="T6:U6"/>
    <mergeCell ref="T7:U7"/>
    <mergeCell ref="T8:U8"/>
    <mergeCell ref="T9:U9"/>
    <mergeCell ref="T10:U10"/>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73"/>
  <sheetViews>
    <sheetView topLeftCell="A19" zoomScale="76" workbookViewId="0">
      <selection activeCell="A31" sqref="A31:C32"/>
    </sheetView>
  </sheetViews>
  <sheetFormatPr defaultColWidth="11" defaultRowHeight="13.5"/>
  <cols>
    <col min="1" max="1" width="14.3125" style="179" customWidth="1"/>
    <col min="2" max="2" width="22.5625" style="179" customWidth="1"/>
    <col min="3" max="3" width="11" style="179"/>
    <col min="4" max="4" width="18" style="179" customWidth="1"/>
    <col min="5" max="5" width="33.5625" style="179" customWidth="1"/>
    <col min="6" max="6" width="28.6875" style="179" customWidth="1"/>
    <col min="7" max="7" width="17.5625" style="179" customWidth="1"/>
    <col min="8" max="8" width="17.6875" style="179" customWidth="1"/>
    <col min="9" max="9" width="66.125" style="179" customWidth="1"/>
    <col min="10" max="10" width="23.5625" style="179" customWidth="1"/>
    <col min="11" max="11" width="19" style="179" customWidth="1"/>
    <col min="12" max="12" width="21.5625" style="179" customWidth="1"/>
    <col min="13" max="13" width="19.125" style="179" customWidth="1"/>
    <col min="14" max="14" width="17.4375" style="179" customWidth="1"/>
    <col min="15" max="15" width="17.5625" style="179" customWidth="1"/>
    <col min="16" max="16" width="24.875" style="179" customWidth="1"/>
    <col min="17" max="17" width="24.125" style="179" customWidth="1"/>
    <col min="18" max="18" width="16.4375" style="179" customWidth="1"/>
    <col min="19" max="19" width="25.125" style="179" customWidth="1"/>
    <col min="20" max="20" width="19.875" style="179" customWidth="1"/>
    <col min="21" max="21" width="24" style="179" customWidth="1"/>
    <col min="22" max="31" width="11" style="179"/>
    <col min="32" max="32" width="13.125" style="179" customWidth="1"/>
    <col min="33" max="16384" width="11" style="179"/>
  </cols>
  <sheetData>
    <row r="1" spans="1:39" ht="27">
      <c r="A1" s="189"/>
      <c r="B1" s="189"/>
      <c r="C1" s="198" t="s">
        <v>102</v>
      </c>
      <c r="D1" s="183" t="s">
        <v>77</v>
      </c>
      <c r="E1" s="183"/>
      <c r="F1" s="662" t="s">
        <v>116</v>
      </c>
      <c r="G1" s="663"/>
      <c r="H1" s="182" t="s">
        <v>58</v>
      </c>
      <c r="I1" s="193" t="s">
        <v>98</v>
      </c>
      <c r="J1" s="193" t="s">
        <v>100</v>
      </c>
      <c r="K1" s="193" t="s">
        <v>101</v>
      </c>
      <c r="L1" s="388" t="s">
        <v>119</v>
      </c>
    </row>
    <row r="2" spans="1:39" ht="15" customHeight="1">
      <c r="A2" s="189"/>
      <c r="B2" s="189"/>
      <c r="C2" s="369">
        <v>0.6</v>
      </c>
      <c r="D2" s="182">
        <v>1</v>
      </c>
      <c r="E2" s="470">
        <v>279</v>
      </c>
      <c r="F2" s="662" t="s">
        <v>156</v>
      </c>
      <c r="G2" s="663"/>
      <c r="H2" s="395">
        <v>279</v>
      </c>
      <c r="I2" s="420">
        <v>28</v>
      </c>
      <c r="J2" s="182">
        <v>17</v>
      </c>
      <c r="K2" s="521">
        <f>I2*60%</f>
        <v>16.8</v>
      </c>
      <c r="L2" s="521">
        <f>J2-K2</f>
        <v>0.19999999999999929</v>
      </c>
      <c r="AF2" s="658" t="s">
        <v>667</v>
      </c>
      <c r="AG2" s="658"/>
      <c r="AI2" s="658" t="s">
        <v>668</v>
      </c>
      <c r="AJ2" s="658"/>
      <c r="AL2" s="659" t="s">
        <v>669</v>
      </c>
      <c r="AM2" s="659"/>
    </row>
    <row r="3" spans="1:39" ht="15" customHeight="1">
      <c r="A3" s="189"/>
      <c r="B3" s="189"/>
      <c r="C3" s="371"/>
      <c r="D3" s="182">
        <v>2</v>
      </c>
      <c r="E3" s="470">
        <v>280</v>
      </c>
      <c r="F3" s="662" t="s">
        <v>157</v>
      </c>
      <c r="G3" s="663"/>
      <c r="H3" s="395">
        <v>280</v>
      </c>
      <c r="I3" s="420">
        <v>50</v>
      </c>
      <c r="J3" s="420">
        <v>22</v>
      </c>
      <c r="K3" s="521">
        <f>I3*60%</f>
        <v>30</v>
      </c>
      <c r="L3" s="521">
        <f t="shared" ref="L3:L12" si="0">J3-K3</f>
        <v>-8</v>
      </c>
      <c r="AF3" s="562">
        <v>10</v>
      </c>
      <c r="AG3" s="179">
        <f>COUNTIF(G33:G420,"10")</f>
        <v>0</v>
      </c>
      <c r="AI3" s="464">
        <v>19</v>
      </c>
      <c r="AJ3" s="179">
        <f>COUNTIF(G33:G429,"19")</f>
        <v>6</v>
      </c>
      <c r="AL3" s="562">
        <v>26</v>
      </c>
      <c r="AM3" s="179">
        <f>COUNTIF(G33:G430,"26")</f>
        <v>12</v>
      </c>
    </row>
    <row r="4" spans="1:39" ht="15" customHeight="1">
      <c r="A4" s="189"/>
      <c r="B4" s="189"/>
      <c r="C4" s="371"/>
      <c r="D4" s="182">
        <v>3</v>
      </c>
      <c r="E4" s="470">
        <v>281</v>
      </c>
      <c r="F4" s="662" t="s">
        <v>160</v>
      </c>
      <c r="G4" s="663"/>
      <c r="H4" s="395">
        <v>281</v>
      </c>
      <c r="I4" s="420">
        <v>34</v>
      </c>
      <c r="J4" s="420">
        <v>15</v>
      </c>
      <c r="K4" s="521">
        <f>I4*50%</f>
        <v>17</v>
      </c>
      <c r="L4" s="521">
        <f t="shared" si="0"/>
        <v>-2</v>
      </c>
      <c r="AF4" s="562">
        <v>11</v>
      </c>
      <c r="AG4" s="179">
        <f>COUNTIF(G30:G421,"11")</f>
        <v>0</v>
      </c>
      <c r="AI4" s="464">
        <v>20</v>
      </c>
      <c r="AJ4" s="179">
        <f>COUNTIF(G33:G430,"20")</f>
        <v>13</v>
      </c>
      <c r="AL4" s="562">
        <v>27</v>
      </c>
      <c r="AM4" s="179">
        <f>COUNTIF(G33:G430,"27")</f>
        <v>5</v>
      </c>
    </row>
    <row r="5" spans="1:39" ht="15" customHeight="1">
      <c r="A5" s="189"/>
      <c r="B5" s="189"/>
      <c r="C5" s="371"/>
      <c r="D5" s="182">
        <v>4</v>
      </c>
      <c r="E5" s="470">
        <v>282</v>
      </c>
      <c r="F5" s="662" t="s">
        <v>161</v>
      </c>
      <c r="G5" s="663"/>
      <c r="H5" s="395">
        <v>282</v>
      </c>
      <c r="I5" s="420">
        <v>55</v>
      </c>
      <c r="J5" s="420">
        <v>37</v>
      </c>
      <c r="K5" s="521">
        <f>I5*50%</f>
        <v>27.5</v>
      </c>
      <c r="L5" s="521">
        <f t="shared" si="0"/>
        <v>9.5</v>
      </c>
      <c r="AF5" s="562">
        <v>12</v>
      </c>
      <c r="AG5" s="179">
        <f>COUNTIF(G33:G422,"12")</f>
        <v>0</v>
      </c>
      <c r="AI5" s="562">
        <v>21</v>
      </c>
      <c r="AJ5" s="179">
        <f>COUNTIF(G33:G430,"21")</f>
        <v>10</v>
      </c>
      <c r="AL5" s="562">
        <v>28</v>
      </c>
      <c r="AM5" s="179">
        <f>COUNTIF(G33:G430,"28")</f>
        <v>7</v>
      </c>
    </row>
    <row r="6" spans="1:39" ht="15" customHeight="1">
      <c r="A6" s="189"/>
      <c r="B6" s="189"/>
      <c r="C6" s="371"/>
      <c r="D6" s="182">
        <v>5</v>
      </c>
      <c r="E6" s="470">
        <v>283</v>
      </c>
      <c r="F6" s="662" t="s">
        <v>162</v>
      </c>
      <c r="G6" s="663"/>
      <c r="H6" s="395">
        <v>283</v>
      </c>
      <c r="I6" s="420">
        <v>26</v>
      </c>
      <c r="J6" s="420">
        <v>4</v>
      </c>
      <c r="K6" s="521">
        <f>I6*50%</f>
        <v>13</v>
      </c>
      <c r="L6" s="521">
        <f t="shared" si="0"/>
        <v>-9</v>
      </c>
      <c r="AF6" s="562">
        <v>13</v>
      </c>
      <c r="AG6" s="179">
        <f>COUNTIF(G33:G423,"13")</f>
        <v>0</v>
      </c>
      <c r="AI6" s="562">
        <v>22</v>
      </c>
      <c r="AJ6" s="179">
        <f>COUNTIF(G33:G430,"22")</f>
        <v>14</v>
      </c>
      <c r="AL6" s="562">
        <v>29</v>
      </c>
      <c r="AM6" s="179">
        <f>COUNTIF(G33:G430,"29")</f>
        <v>5</v>
      </c>
    </row>
    <row r="7" spans="1:39" ht="15" customHeight="1">
      <c r="A7" s="189"/>
      <c r="B7" s="189"/>
      <c r="C7" s="371"/>
      <c r="D7" s="182">
        <v>6</v>
      </c>
      <c r="E7" s="470">
        <v>284</v>
      </c>
      <c r="F7" s="662" t="s">
        <v>163</v>
      </c>
      <c r="G7" s="663"/>
      <c r="H7" s="395">
        <v>284</v>
      </c>
      <c r="I7" s="420"/>
      <c r="J7" s="420"/>
      <c r="K7" s="521">
        <f t="shared" ref="K7" si="1">I7*60%</f>
        <v>0</v>
      </c>
      <c r="L7" s="521">
        <f t="shared" si="0"/>
        <v>0</v>
      </c>
      <c r="AF7" s="562">
        <v>14</v>
      </c>
      <c r="AG7" s="179">
        <f>COUNTIF(G33:G424,"14")</f>
        <v>0</v>
      </c>
      <c r="AI7" s="562">
        <v>23</v>
      </c>
      <c r="AJ7" s="179">
        <f>COUNTIF(G33:G430,"23")</f>
        <v>25</v>
      </c>
      <c r="AL7" s="562">
        <v>30</v>
      </c>
      <c r="AM7" s="379">
        <f>COUNTIF(G33:G430,"30")</f>
        <v>13</v>
      </c>
    </row>
    <row r="8" spans="1:39" ht="15" customHeight="1">
      <c r="A8" s="189"/>
      <c r="B8" s="189"/>
      <c r="C8" s="184"/>
      <c r="D8" s="182">
        <v>7</v>
      </c>
      <c r="E8" s="546">
        <v>285</v>
      </c>
      <c r="F8" s="662" t="s">
        <v>164</v>
      </c>
      <c r="G8" s="663"/>
      <c r="H8" s="395">
        <v>285</v>
      </c>
      <c r="I8" s="420">
        <v>25</v>
      </c>
      <c r="J8" s="420">
        <v>9</v>
      </c>
      <c r="K8" s="366">
        <f>I8*50%</f>
        <v>12.5</v>
      </c>
      <c r="L8" s="366">
        <f t="shared" si="0"/>
        <v>-3.5</v>
      </c>
      <c r="AF8" s="562">
        <v>15</v>
      </c>
      <c r="AG8" s="179">
        <f>COUNTIF(G33:G425,"15")</f>
        <v>0</v>
      </c>
      <c r="AI8" s="562">
        <v>24</v>
      </c>
      <c r="AJ8" s="179">
        <f>COUNTIF(G33:G430,"24")</f>
        <v>18</v>
      </c>
      <c r="AL8" s="562">
        <v>31</v>
      </c>
      <c r="AM8" s="379">
        <f>COUNTIF(G33:G430,"31")</f>
        <v>2</v>
      </c>
    </row>
    <row r="9" spans="1:39" ht="15" customHeight="1">
      <c r="A9" s="189"/>
      <c r="B9" s="189"/>
      <c r="C9" s="65"/>
      <c r="D9" s="182">
        <v>8</v>
      </c>
      <c r="E9" s="470">
        <v>286</v>
      </c>
      <c r="F9" s="662" t="s">
        <v>165</v>
      </c>
      <c r="G9" s="663"/>
      <c r="H9" s="395">
        <v>286</v>
      </c>
      <c r="I9" s="420">
        <v>23</v>
      </c>
      <c r="J9" s="420">
        <v>15</v>
      </c>
      <c r="K9" s="521">
        <f>I9*50%</f>
        <v>11.5</v>
      </c>
      <c r="L9" s="521">
        <f t="shared" si="0"/>
        <v>3.5</v>
      </c>
      <c r="AF9" s="562">
        <v>16</v>
      </c>
      <c r="AG9" s="179">
        <f>COUNTIF(G33:G426,"16")</f>
        <v>0</v>
      </c>
      <c r="AI9" s="562">
        <v>25</v>
      </c>
      <c r="AJ9" s="179">
        <f>COUNTIF(G33:G430,"25")</f>
        <v>3</v>
      </c>
      <c r="AL9" s="562">
        <v>32</v>
      </c>
      <c r="AM9" s="179">
        <f>COUNTIF(G33:G430,"32")</f>
        <v>7</v>
      </c>
    </row>
    <row r="10" spans="1:39" ht="15" customHeight="1">
      <c r="A10" s="189"/>
      <c r="B10" s="189"/>
      <c r="C10" s="65"/>
      <c r="D10" s="182">
        <v>9</v>
      </c>
      <c r="E10" s="470">
        <v>289</v>
      </c>
      <c r="F10" s="508" t="s">
        <v>155</v>
      </c>
      <c r="G10" s="509"/>
      <c r="H10" s="395">
        <v>289</v>
      </c>
      <c r="I10" s="420">
        <v>66</v>
      </c>
      <c r="J10" s="420">
        <v>41</v>
      </c>
      <c r="K10" s="521">
        <f>I10*60%</f>
        <v>39.6</v>
      </c>
      <c r="L10" s="521">
        <f t="shared" si="0"/>
        <v>1.3999999999999986</v>
      </c>
      <c r="AF10" s="562">
        <v>17</v>
      </c>
      <c r="AG10" s="179">
        <f>COUNTIF(G33:G427,"17")</f>
        <v>3</v>
      </c>
      <c r="AJ10" s="562">
        <f>SUM(AJ3:AJ9)</f>
        <v>89</v>
      </c>
      <c r="AL10" s="562">
        <v>33</v>
      </c>
      <c r="AM10" s="179">
        <f>COUNTIF(G33:G430,"33")</f>
        <v>7</v>
      </c>
    </row>
    <row r="11" spans="1:39" ht="19.05" customHeight="1">
      <c r="A11" s="189"/>
      <c r="B11" s="189"/>
      <c r="C11" s="371"/>
      <c r="D11" s="182">
        <v>10</v>
      </c>
      <c r="E11" s="470">
        <v>290</v>
      </c>
      <c r="F11" s="662" t="s">
        <v>159</v>
      </c>
      <c r="G11" s="663"/>
      <c r="H11" s="395">
        <v>290</v>
      </c>
      <c r="I11" s="420">
        <f>34+34</f>
        <v>68</v>
      </c>
      <c r="J11" s="420">
        <v>20</v>
      </c>
      <c r="K11" s="521">
        <f>I11*60%</f>
        <v>40.799999999999997</v>
      </c>
      <c r="L11" s="521">
        <f t="shared" si="0"/>
        <v>-20.799999999999997</v>
      </c>
      <c r="P11" s="379"/>
      <c r="Q11" s="379"/>
      <c r="R11" s="379"/>
      <c r="S11" s="379"/>
      <c r="T11" s="379"/>
      <c r="AF11" s="562">
        <v>18</v>
      </c>
      <c r="AG11" s="179">
        <f>COUNTIF(G33:G428,"18")</f>
        <v>6</v>
      </c>
      <c r="AL11" s="562">
        <v>34</v>
      </c>
      <c r="AM11" s="179">
        <f>COUNTIF(G33:G430,"34")</f>
        <v>2</v>
      </c>
    </row>
    <row r="12" spans="1:39" s="379" customFormat="1" ht="17" customHeight="1">
      <c r="A12" s="184"/>
      <c r="B12" s="184"/>
      <c r="C12" s="184"/>
      <c r="D12" s="182">
        <v>11</v>
      </c>
      <c r="E12" s="470">
        <v>291</v>
      </c>
      <c r="F12" s="662" t="s">
        <v>158</v>
      </c>
      <c r="G12" s="663"/>
      <c r="H12" s="395">
        <v>291</v>
      </c>
      <c r="I12" s="278">
        <v>128</v>
      </c>
      <c r="J12" s="278">
        <v>61</v>
      </c>
      <c r="K12" s="521">
        <f>I12*60%</f>
        <v>76.8</v>
      </c>
      <c r="L12" s="521">
        <f t="shared" si="0"/>
        <v>-15.799999999999997</v>
      </c>
      <c r="M12" s="179"/>
      <c r="N12" s="179"/>
      <c r="O12" s="179"/>
      <c r="P12" s="195"/>
      <c r="Q12" s="195"/>
      <c r="R12" s="195"/>
      <c r="S12" s="195"/>
      <c r="T12" s="195"/>
      <c r="AG12" s="464">
        <f ca="1">SUM(AG3:AG13)</f>
        <v>9</v>
      </c>
      <c r="AH12" s="464"/>
      <c r="AJ12" s="464"/>
      <c r="AL12" s="562">
        <v>35</v>
      </c>
      <c r="AM12" s="179">
        <f>COUNTIF(G33:G430,"35")</f>
        <v>8</v>
      </c>
    </row>
    <row r="13" spans="1:39" s="379" customFormat="1" ht="17" customHeight="1">
      <c r="A13" s="184"/>
      <c r="B13" s="184"/>
      <c r="C13" s="184"/>
      <c r="D13" s="182"/>
      <c r="E13" s="510" t="s">
        <v>166</v>
      </c>
      <c r="F13" s="508"/>
      <c r="G13" s="509"/>
      <c r="H13" s="395"/>
      <c r="I13" s="278"/>
      <c r="J13" s="278"/>
      <c r="K13" s="521"/>
      <c r="L13" s="521"/>
      <c r="M13" s="179"/>
      <c r="N13" s="179"/>
      <c r="O13" s="179"/>
      <c r="P13" s="463"/>
      <c r="Q13" s="463"/>
      <c r="R13" s="463"/>
      <c r="S13" s="463"/>
      <c r="T13" s="463"/>
      <c r="AH13" s="464"/>
      <c r="AM13" s="464">
        <f>SUM(AM3:AM12)</f>
        <v>68</v>
      </c>
    </row>
    <row r="14" spans="1:39" s="379" customFormat="1" ht="17" customHeight="1">
      <c r="A14" s="184"/>
      <c r="B14" s="184"/>
      <c r="C14" s="184"/>
      <c r="D14" s="182"/>
      <c r="E14" s="510" t="s">
        <v>167</v>
      </c>
      <c r="F14" s="508"/>
      <c r="G14" s="509"/>
      <c r="H14" s="395"/>
      <c r="I14" s="278"/>
      <c r="J14" s="278"/>
      <c r="K14" s="521"/>
      <c r="L14" s="521"/>
      <c r="M14" s="179"/>
      <c r="N14" s="179"/>
      <c r="O14" s="179"/>
      <c r="P14" s="463"/>
      <c r="Q14" s="463"/>
      <c r="R14" s="463"/>
      <c r="S14" s="463"/>
      <c r="T14" s="463"/>
      <c r="AH14" s="464"/>
    </row>
    <row r="15" spans="1:39" ht="14.25">
      <c r="A15" s="61"/>
      <c r="B15" s="61"/>
      <c r="C15" s="65"/>
      <c r="D15" s="182"/>
      <c r="E15" s="470"/>
      <c r="F15" s="685" t="s">
        <v>121</v>
      </c>
      <c r="G15" s="686"/>
      <c r="H15" s="389"/>
      <c r="I15" s="389">
        <f>SUM(I2:I14)</f>
        <v>503</v>
      </c>
      <c r="J15" s="390">
        <f>SUM(J2:J14)</f>
        <v>241</v>
      </c>
      <c r="K15" s="476">
        <f>SUM(K3:K14)</f>
        <v>268.7</v>
      </c>
      <c r="L15" s="521">
        <f>SUM(L2:O14)</f>
        <v>-44.5</v>
      </c>
      <c r="P15" s="61"/>
      <c r="Q15" s="61"/>
      <c r="R15" s="65"/>
      <c r="S15" s="61"/>
      <c r="T15" s="65"/>
      <c r="U15" s="61"/>
      <c r="V15" s="61"/>
      <c r="W15" s="61"/>
      <c r="X15" s="61"/>
      <c r="Y15" s="61"/>
      <c r="Z15" s="61"/>
      <c r="AA15" s="61"/>
      <c r="AB15" s="61"/>
      <c r="AC15" s="61"/>
    </row>
    <row r="16" spans="1:39" ht="14.25">
      <c r="A16" s="61"/>
      <c r="B16" s="61"/>
      <c r="C16" s="65"/>
      <c r="D16" s="189"/>
      <c r="E16" s="189"/>
      <c r="F16" s="380"/>
      <c r="G16" s="380"/>
      <c r="H16" s="380"/>
      <c r="I16" s="380"/>
      <c r="J16" s="380"/>
      <c r="K16" s="381"/>
      <c r="L16" s="382"/>
      <c r="M16" s="382"/>
      <c r="N16" s="382"/>
      <c r="O16" s="382"/>
      <c r="P16" s="61"/>
      <c r="Q16" s="61"/>
      <c r="R16" s="65"/>
      <c r="S16" s="61"/>
      <c r="T16" s="65"/>
      <c r="U16" s="61"/>
      <c r="V16" s="61"/>
      <c r="W16" s="61"/>
      <c r="X16" s="61"/>
      <c r="Y16" s="61"/>
      <c r="Z16" s="61"/>
      <c r="AA16" s="61"/>
      <c r="AB16" s="61"/>
      <c r="AC16" s="61"/>
    </row>
    <row r="17" spans="1:37" ht="14.25">
      <c r="A17" s="61"/>
      <c r="B17" s="61"/>
      <c r="C17" s="463"/>
      <c r="D17" s="189"/>
      <c r="E17" s="189"/>
      <c r="F17" s="668" t="s">
        <v>0</v>
      </c>
      <c r="G17" s="668"/>
      <c r="H17" s="380"/>
      <c r="I17" s="380"/>
      <c r="J17" s="380"/>
      <c r="K17" s="381"/>
      <c r="L17" s="382"/>
      <c r="M17" s="382"/>
      <c r="N17" s="382"/>
      <c r="O17" s="382"/>
      <c r="P17" s="61"/>
      <c r="Q17" s="61"/>
      <c r="R17" s="65"/>
      <c r="S17" s="61"/>
      <c r="T17" s="65"/>
      <c r="U17" s="61"/>
      <c r="V17" s="61"/>
      <c r="W17" s="61"/>
      <c r="X17" s="61"/>
      <c r="Y17" s="61"/>
      <c r="Z17" s="61"/>
      <c r="AA17" s="61"/>
      <c r="AB17" s="61"/>
      <c r="AC17" s="61"/>
      <c r="AI17" s="562"/>
    </row>
    <row r="18" spans="1:37" ht="14.25">
      <c r="A18" s="61"/>
      <c r="B18" s="61"/>
      <c r="C18" s="463"/>
      <c r="D18" s="189"/>
      <c r="E18" s="189"/>
      <c r="F18" s="417" t="s">
        <v>2</v>
      </c>
      <c r="G18" s="372">
        <f>COUNTIF(F33:F506, "Female")</f>
        <v>241</v>
      </c>
      <c r="H18" s="380"/>
      <c r="I18" s="380"/>
      <c r="J18" s="380"/>
      <c r="K18" s="381"/>
      <c r="L18" s="382"/>
      <c r="M18" s="382"/>
      <c r="N18" s="382"/>
      <c r="O18" s="382"/>
      <c r="P18" s="61"/>
      <c r="Q18" s="61"/>
      <c r="R18" s="65"/>
      <c r="S18" s="61"/>
      <c r="T18" s="65"/>
      <c r="U18" s="61"/>
      <c r="V18" s="61"/>
      <c r="W18" s="61"/>
      <c r="X18" s="61"/>
      <c r="Y18" s="61"/>
      <c r="Z18" s="61"/>
      <c r="AA18" s="61"/>
      <c r="AB18" s="61"/>
      <c r="AC18" s="61"/>
    </row>
    <row r="19" spans="1:37" ht="14.25">
      <c r="A19" s="61"/>
      <c r="B19" s="61"/>
      <c r="C19" s="463"/>
      <c r="D19" s="189"/>
      <c r="E19" s="189"/>
      <c r="F19" s="417" t="s">
        <v>4</v>
      </c>
      <c r="G19" s="372">
        <f>COUNTIF(F151:F506, "Male")</f>
        <v>0</v>
      </c>
      <c r="H19" s="380"/>
      <c r="I19" s="380"/>
      <c r="J19" s="380"/>
      <c r="K19" s="466"/>
      <c r="L19" s="382"/>
      <c r="M19" s="382"/>
      <c r="N19" s="382"/>
      <c r="O19" s="382"/>
      <c r="P19" s="61"/>
      <c r="Q19" s="61"/>
      <c r="R19" s="65"/>
      <c r="S19" s="61"/>
      <c r="T19" s="65"/>
      <c r="U19" s="61"/>
      <c r="V19" s="61"/>
      <c r="W19" s="61"/>
      <c r="X19" s="61"/>
      <c r="Y19" s="61"/>
      <c r="Z19" s="61"/>
      <c r="AA19" s="61"/>
      <c r="AB19" s="61"/>
      <c r="AC19" s="61"/>
    </row>
    <row r="20" spans="1:37" ht="14.25">
      <c r="A20" s="61"/>
      <c r="B20" s="61"/>
      <c r="C20" s="463"/>
      <c r="D20" s="189"/>
      <c r="E20" s="189"/>
      <c r="F20" s="416" t="s">
        <v>89</v>
      </c>
      <c r="G20" s="465">
        <f>SUM(G18:G19)</f>
        <v>241</v>
      </c>
      <c r="H20" s="481" t="b">
        <f>J15=G18+G19</f>
        <v>1</v>
      </c>
      <c r="I20" s="380"/>
      <c r="J20" s="380"/>
      <c r="K20" s="381"/>
      <c r="L20" s="382"/>
      <c r="M20" s="382"/>
      <c r="N20" s="382"/>
      <c r="O20" s="382"/>
      <c r="P20" s="61"/>
      <c r="Q20" s="61"/>
      <c r="R20" s="65"/>
      <c r="S20" s="61"/>
      <c r="T20" s="65"/>
      <c r="U20" s="61"/>
      <c r="V20" s="61"/>
      <c r="W20" s="61"/>
      <c r="X20" s="61"/>
      <c r="Y20" s="61"/>
      <c r="Z20" s="61"/>
      <c r="AA20" s="61"/>
      <c r="AB20" s="61"/>
      <c r="AC20" s="61"/>
      <c r="AK20" s="562"/>
    </row>
    <row r="21" spans="1:37" ht="14.25">
      <c r="A21" s="61"/>
      <c r="B21" s="61"/>
      <c r="C21" s="463"/>
      <c r="D21" s="189"/>
      <c r="E21" s="189"/>
      <c r="F21" s="416" t="s">
        <v>88</v>
      </c>
      <c r="G21" s="380"/>
      <c r="H21" s="380"/>
      <c r="I21" s="380"/>
      <c r="J21" s="380"/>
      <c r="K21" s="381"/>
      <c r="L21" s="382"/>
      <c r="M21" s="382"/>
      <c r="N21" s="382"/>
      <c r="O21" s="382"/>
      <c r="P21" s="61"/>
      <c r="Q21" s="61"/>
      <c r="R21" s="65"/>
      <c r="S21" s="61"/>
      <c r="T21" s="65"/>
      <c r="U21" s="61"/>
      <c r="V21" s="61"/>
      <c r="W21" s="61"/>
      <c r="X21" s="61"/>
      <c r="Y21" s="61"/>
      <c r="Z21" s="61"/>
      <c r="AA21" s="61"/>
      <c r="AB21" s="61"/>
      <c r="AC21" s="61"/>
    </row>
    <row r="22" spans="1:37" ht="14.25">
      <c r="A22" s="61"/>
      <c r="B22" s="61"/>
      <c r="C22" s="65"/>
      <c r="D22" s="189"/>
      <c r="E22" s="189"/>
      <c r="F22" s="417" t="s">
        <v>134</v>
      </c>
      <c r="G22" s="364">
        <f>COUNTIF(G33:G410, "&lt;=18")</f>
        <v>9</v>
      </c>
      <c r="H22" s="380"/>
      <c r="I22" s="380"/>
      <c r="J22" s="380"/>
      <c r="K22" s="381"/>
      <c r="L22" s="382"/>
      <c r="M22" s="382"/>
      <c r="N22" s="382"/>
      <c r="O22" s="382"/>
      <c r="P22" s="61"/>
      <c r="Q22" s="61"/>
      <c r="R22" s="65"/>
      <c r="S22" s="61"/>
      <c r="T22" s="65"/>
      <c r="U22" s="61"/>
      <c r="V22" s="61"/>
      <c r="W22" s="61"/>
      <c r="X22" s="61"/>
      <c r="Y22" s="61"/>
      <c r="Z22" s="61"/>
      <c r="AA22" s="61"/>
      <c r="AB22" s="61"/>
      <c r="AC22" s="61"/>
    </row>
    <row r="23" spans="1:37" ht="14.25">
      <c r="A23" s="61"/>
      <c r="B23" s="61"/>
      <c r="C23" s="65"/>
      <c r="D23" s="189"/>
      <c r="E23" s="189"/>
      <c r="F23" s="417" t="s">
        <v>136</v>
      </c>
      <c r="G23" s="364">
        <f>AJ10</f>
        <v>89</v>
      </c>
      <c r="H23" s="380"/>
      <c r="I23" s="380"/>
      <c r="J23" s="380"/>
      <c r="K23" s="381"/>
      <c r="L23" s="382"/>
      <c r="M23" s="382"/>
      <c r="N23" s="382"/>
      <c r="O23" s="382"/>
      <c r="P23" s="61"/>
      <c r="Q23" s="61"/>
      <c r="R23" s="65"/>
      <c r="S23" s="61"/>
      <c r="T23" s="65"/>
      <c r="U23" s="61"/>
      <c r="V23" s="61"/>
      <c r="W23" s="61"/>
      <c r="X23" s="61"/>
      <c r="Y23" s="61"/>
      <c r="Z23" s="61"/>
      <c r="AA23" s="61"/>
      <c r="AB23" s="61"/>
      <c r="AC23" s="61"/>
    </row>
    <row r="24" spans="1:37" ht="14.25">
      <c r="A24" s="61"/>
      <c r="B24" s="61"/>
      <c r="C24" s="65"/>
      <c r="D24" s="189"/>
      <c r="E24" s="189"/>
      <c r="F24" s="417" t="s">
        <v>137</v>
      </c>
      <c r="G24" s="364">
        <f>AM13</f>
        <v>68</v>
      </c>
      <c r="H24" s="380"/>
      <c r="I24" s="380"/>
      <c r="J24" s="380"/>
      <c r="K24" s="381"/>
      <c r="L24" s="382"/>
      <c r="M24" s="382"/>
      <c r="N24" s="382"/>
      <c r="O24" s="382"/>
      <c r="P24" s="61"/>
      <c r="Q24" s="61"/>
      <c r="R24" s="65"/>
      <c r="S24" s="61"/>
      <c r="T24" s="65"/>
      <c r="U24" s="61"/>
      <c r="V24" s="61"/>
      <c r="W24" s="61"/>
      <c r="X24" s="61"/>
      <c r="Y24" s="61"/>
      <c r="Z24" s="61"/>
      <c r="AA24" s="61"/>
      <c r="AB24" s="61"/>
      <c r="AC24" s="61"/>
    </row>
    <row r="25" spans="1:37" ht="14.25">
      <c r="A25" s="61"/>
      <c r="B25" s="61"/>
      <c r="C25" s="65"/>
      <c r="D25" s="189"/>
      <c r="E25" s="189"/>
      <c r="F25" s="417" t="s">
        <v>135</v>
      </c>
      <c r="G25" s="364">
        <f>COUNTIF(G33:G410, "&gt;35")</f>
        <v>75</v>
      </c>
      <c r="H25" s="380"/>
      <c r="I25" s="380"/>
      <c r="J25" s="380"/>
      <c r="K25" s="381"/>
      <c r="L25" s="382"/>
      <c r="M25" s="382"/>
      <c r="N25" s="382"/>
      <c r="O25" s="382"/>
      <c r="P25" s="61"/>
      <c r="Q25" s="61"/>
      <c r="R25" s="65"/>
      <c r="S25" s="61"/>
      <c r="T25" s="65"/>
      <c r="U25" s="61"/>
      <c r="V25" s="61"/>
      <c r="W25" s="61"/>
      <c r="X25" s="61"/>
      <c r="Y25" s="61"/>
      <c r="Z25" s="61"/>
      <c r="AA25" s="61"/>
      <c r="AB25" s="61"/>
      <c r="AC25" s="61"/>
    </row>
    <row r="26" spans="1:37" ht="14.25">
      <c r="A26" s="61"/>
      <c r="B26" s="61"/>
      <c r="C26" s="65"/>
      <c r="D26" s="189"/>
      <c r="E26" s="189"/>
      <c r="F26" s="416" t="s">
        <v>89</v>
      </c>
      <c r="G26" s="380">
        <f>SUM(G22:G25)</f>
        <v>241</v>
      </c>
      <c r="H26" s="389" t="b">
        <f>G26=J15</f>
        <v>1</v>
      </c>
      <c r="I26" s="380"/>
      <c r="J26" s="380"/>
      <c r="K26" s="381"/>
      <c r="L26" s="382"/>
      <c r="M26" s="382"/>
      <c r="N26" s="382"/>
      <c r="O26" s="382"/>
      <c r="P26" s="61"/>
      <c r="Q26" s="61"/>
      <c r="R26" s="65"/>
      <c r="S26" s="61"/>
      <c r="T26" s="65"/>
      <c r="U26" s="61"/>
      <c r="V26" s="61"/>
      <c r="W26" s="61"/>
      <c r="X26" s="61"/>
      <c r="Y26" s="61"/>
      <c r="Z26" s="61"/>
      <c r="AA26" s="61"/>
      <c r="AB26" s="61"/>
      <c r="AC26" s="61"/>
    </row>
    <row r="27" spans="1:37" ht="14.25">
      <c r="A27" s="61"/>
      <c r="B27" s="61"/>
      <c r="C27" s="65"/>
      <c r="D27" s="189"/>
      <c r="E27" s="189"/>
      <c r="F27" s="416"/>
      <c r="G27" s="380"/>
      <c r="H27" s="380"/>
      <c r="I27" s="380"/>
      <c r="J27" s="380"/>
      <c r="K27" s="381"/>
      <c r="L27" s="382"/>
      <c r="M27" s="382"/>
      <c r="N27" s="382"/>
      <c r="O27" s="382"/>
      <c r="P27" s="61"/>
      <c r="Q27" s="61"/>
      <c r="R27" s="65"/>
      <c r="S27" s="61"/>
      <c r="T27" s="65"/>
      <c r="U27" s="61"/>
      <c r="V27" s="61"/>
      <c r="W27" s="61"/>
      <c r="X27" s="61"/>
      <c r="Y27" s="61"/>
      <c r="Z27" s="61"/>
      <c r="AA27" s="61"/>
      <c r="AB27" s="61"/>
      <c r="AC27" s="61"/>
    </row>
    <row r="28" spans="1:37" ht="14.65" thickBot="1">
      <c r="A28" s="19"/>
      <c r="B28" s="80"/>
      <c r="C28" s="474"/>
      <c r="D28" s="60"/>
      <c r="E28" s="475"/>
      <c r="F28" s="159" t="s">
        <v>105</v>
      </c>
      <c r="G28" s="160"/>
      <c r="H28" s="185"/>
      <c r="I28" s="374"/>
      <c r="J28" s="373"/>
      <c r="K28" s="373"/>
      <c r="L28" s="373"/>
      <c r="M28" s="373"/>
      <c r="N28" s="18"/>
      <c r="O28" s="18"/>
      <c r="P28" s="18"/>
      <c r="Q28" s="18"/>
      <c r="R28" s="57"/>
      <c r="S28" s="18"/>
      <c r="T28" s="57"/>
      <c r="U28" s="58"/>
      <c r="V28" s="58"/>
      <c r="W28" s="58"/>
      <c r="X28" s="58"/>
      <c r="Y28" s="58"/>
      <c r="Z28" s="58"/>
      <c r="AA28" s="58"/>
      <c r="AB28" s="58"/>
      <c r="AC28" s="58"/>
    </row>
    <row r="29" spans="1:37" ht="27.5" customHeight="1" thickBot="1">
      <c r="A29" s="19"/>
      <c r="B29" s="80"/>
      <c r="C29" s="474"/>
      <c r="D29" s="60"/>
      <c r="E29" s="475"/>
      <c r="F29" s="20" t="s">
        <v>22</v>
      </c>
      <c r="G29" s="160"/>
      <c r="H29" s="581">
        <f>SUM(J2:J14)</f>
        <v>241</v>
      </c>
      <c r="J29" s="374"/>
      <c r="K29" s="373"/>
      <c r="L29" s="385"/>
      <c r="M29" s="373"/>
      <c r="N29" s="18"/>
      <c r="O29" s="18"/>
      <c r="P29" s="18"/>
      <c r="Q29" s="18"/>
      <c r="R29" s="57"/>
      <c r="S29" s="18"/>
      <c r="T29" s="57"/>
      <c r="U29" s="58"/>
      <c r="V29" s="58"/>
      <c r="W29" s="58"/>
      <c r="X29" s="58"/>
      <c r="Y29" s="58"/>
      <c r="Z29" s="58"/>
      <c r="AA29" s="58"/>
      <c r="AB29" s="58"/>
      <c r="AC29" s="58"/>
    </row>
    <row r="30" spans="1:37" ht="14.65" thickBot="1">
      <c r="A30" s="19"/>
      <c r="B30" s="80"/>
      <c r="C30" s="474"/>
      <c r="D30" s="58"/>
      <c r="E30" s="61"/>
      <c r="F30" s="18"/>
      <c r="G30" s="80"/>
      <c r="H30" s="20"/>
      <c r="I30" s="375"/>
      <c r="J30" s="375" t="s">
        <v>144</v>
      </c>
      <c r="K30" s="375"/>
      <c r="L30" s="375"/>
      <c r="M30" s="375"/>
      <c r="N30" s="18"/>
      <c r="O30" s="18"/>
      <c r="P30" s="18"/>
      <c r="Q30" s="18"/>
      <c r="R30" s="57"/>
      <c r="S30" s="18"/>
      <c r="T30" s="57"/>
      <c r="U30" s="58"/>
      <c r="V30" s="58"/>
      <c r="W30" s="58"/>
      <c r="X30" s="58"/>
      <c r="Y30" s="58"/>
      <c r="Z30" s="58"/>
      <c r="AA30" s="58"/>
      <c r="AB30" s="58"/>
      <c r="AC30" s="58"/>
    </row>
    <row r="31" spans="1:37" ht="241.05" customHeight="1" thickBot="1">
      <c r="A31" s="678"/>
      <c r="B31" s="660" t="s">
        <v>370</v>
      </c>
      <c r="C31" s="680" t="s">
        <v>120</v>
      </c>
      <c r="D31" s="660" t="s">
        <v>25</v>
      </c>
      <c r="E31" s="660" t="s">
        <v>148</v>
      </c>
      <c r="F31" s="682" t="s">
        <v>0</v>
      </c>
      <c r="G31" s="682" t="s">
        <v>88</v>
      </c>
      <c r="H31" s="660" t="s">
        <v>26</v>
      </c>
      <c r="I31" s="666" t="s">
        <v>27</v>
      </c>
      <c r="J31" s="669" t="s">
        <v>69</v>
      </c>
      <c r="K31" s="670"/>
      <c r="L31" s="671"/>
      <c r="M31" s="672" t="s">
        <v>28</v>
      </c>
      <c r="N31" s="673"/>
      <c r="O31" s="673"/>
      <c r="P31" s="673"/>
      <c r="Q31" s="674"/>
      <c r="R31" s="664" t="s">
        <v>31</v>
      </c>
      <c r="S31" s="161" t="s">
        <v>29</v>
      </c>
      <c r="T31" s="664" t="s">
        <v>30</v>
      </c>
      <c r="U31" s="675"/>
      <c r="V31" s="59"/>
      <c r="W31" s="59"/>
      <c r="X31" s="59"/>
      <c r="Y31" s="59"/>
      <c r="Z31" s="59"/>
      <c r="AA31" s="59"/>
      <c r="AB31" s="59"/>
      <c r="AC31" s="59"/>
    </row>
    <row r="32" spans="1:37" ht="76.25" customHeight="1" thickBot="1">
      <c r="A32" s="679"/>
      <c r="B32" s="677"/>
      <c r="C32" s="681"/>
      <c r="D32" s="661"/>
      <c r="E32" s="661"/>
      <c r="F32" s="684"/>
      <c r="G32" s="683"/>
      <c r="H32" s="661"/>
      <c r="I32" s="667"/>
      <c r="J32" s="376" t="s">
        <v>70</v>
      </c>
      <c r="K32" s="376" t="s">
        <v>75</v>
      </c>
      <c r="L32" s="376" t="s">
        <v>71</v>
      </c>
      <c r="M32" s="377" t="s">
        <v>87</v>
      </c>
      <c r="N32" s="377" t="s">
        <v>94</v>
      </c>
      <c r="O32" s="377" t="s">
        <v>95</v>
      </c>
      <c r="P32" s="378" t="s">
        <v>96</v>
      </c>
      <c r="Q32" s="377" t="s">
        <v>97</v>
      </c>
      <c r="R32" s="665"/>
      <c r="S32" s="330"/>
      <c r="T32" s="665"/>
      <c r="U32" s="676"/>
      <c r="V32" s="61"/>
      <c r="W32" s="61"/>
      <c r="X32" s="61"/>
      <c r="Y32" s="61"/>
      <c r="Z32" s="61"/>
      <c r="AA32" s="61"/>
      <c r="AB32" s="61"/>
      <c r="AC32" s="61"/>
    </row>
    <row r="33" spans="1:29" ht="67.25" customHeight="1">
      <c r="A33" s="368">
        <v>1</v>
      </c>
      <c r="B33" s="550" t="s">
        <v>493</v>
      </c>
      <c r="C33" s="272" t="str">
        <f t="shared" ref="C33:C150" si="2">LEFT(D33,3)</f>
        <v>279</v>
      </c>
      <c r="D33" s="539">
        <v>2791</v>
      </c>
      <c r="E33" s="539" t="s">
        <v>325</v>
      </c>
      <c r="F33" s="540" t="s">
        <v>2</v>
      </c>
      <c r="G33" s="469">
        <v>43</v>
      </c>
      <c r="H33" s="541" t="s">
        <v>3</v>
      </c>
      <c r="I33" s="587" t="s">
        <v>338</v>
      </c>
      <c r="J33" s="275">
        <f>IF(OR(ISNUMBER(SEARCH("confidence",I33))=TRUE,ISNUMBER(SEARCH("hope for the future",I33))=TRUE,ISNUMBER(SEARCH("communicate",I33))=TRUE,ISNUMBER(SEARCH("worthy",I33))=TRUE,ISNUMBER(SEARCH("thought",I33))=TRUE,ISNUMBER(SEARCH("open",I33))=TRUE,ISNUMBER(SEARCH("believe",I33))=TRUE,ISNUMBER(SEARCH("confident",I33))=TRUE,ISNUMBER(SEARCH("empower",I33))=TRUE),1,0)</f>
        <v>0</v>
      </c>
      <c r="K33" s="275">
        <f>IF(OR(ISNUMBER(SEARCH("decision",I33))=TRUE,ISNUMBER(SEARCH("save",I33))=TRUE,ISNUMBER(SEARCH("saving",I33))=TRUE,ISNUMBER(SEARCH("started",I33))=TRUE,ISNUMBER(SEARCH("buy",I33))=TRUE,ISNUMBER(SEARCH("bought",I33))=TRUE),1,0)</f>
        <v>1</v>
      </c>
      <c r="L33" s="275">
        <f>IF(OR(ISNUMBER(SEARCH("active",I33))=TRUE,ISNUMBER(SEARCH("proactive",I33))=TRUE,ISNUMBER(SEARCH("face challenge",I33))=TRUE),1,0)</f>
        <v>0</v>
      </c>
      <c r="M33" s="275">
        <f>IF(OR(J33=1,K33=1,L33=1),1,0)</f>
        <v>1</v>
      </c>
      <c r="N33" s="276">
        <f>IF(OR(ISNUMBER(SEARCH("started a business",I33))=TRUE,ISNUMBER(SEARCH("started an income generating activity",I33))=TRUE,ISNUMBER(SEARCH("a business",I33))=TRUE),1,0)</f>
        <v>1</v>
      </c>
      <c r="O33" s="276">
        <f>IF(OR(ISNUMBER(SEARCH("got a job",I33))=TRUE,ISNUMBER(SEARCH("got an internship",I33))=TRUE,ISNUMBER(SEARCH("got a promotion",I33))=TRUE),1,0)</f>
        <v>0</v>
      </c>
      <c r="P33" s="276">
        <f>IF(OR(ISNUMBER(SEARCH("school admission",I33))=TRUE,ISNUMBER(SEARCH("perfomance in class",I33))=TRUE,ISNUMBER(SEARCH("scholarship",I33))=TRUE,ISNUMBER(SEARCH("pursue higher education",I33))=TRUE),1,0)</f>
        <v>0</v>
      </c>
      <c r="Q33" s="276">
        <f>IF(OR(ISNUMBER(SEARCH("leadership role",I33))=TRUE),1,0)</f>
        <v>0</v>
      </c>
      <c r="R33" s="329">
        <f>IF(OR(M33=1,N33=1,O33=1,P33=1,Q33=1),1,0)</f>
        <v>1</v>
      </c>
      <c r="S33" s="273"/>
      <c r="T33" s="274" t="str">
        <f>IF(ISNA(VLOOKUP(D33,'One year follow-up_inperson'!$C:$C,1,FALSE)),"No","Yes")</f>
        <v>No</v>
      </c>
      <c r="U33" s="592" t="s">
        <v>679</v>
      </c>
      <c r="V33" s="61"/>
      <c r="W33" s="61"/>
      <c r="X33" s="61"/>
      <c r="Y33" s="61"/>
      <c r="Z33" s="61"/>
      <c r="AA33" s="61"/>
      <c r="AB33" s="61"/>
      <c r="AC33" s="61"/>
    </row>
    <row r="34" spans="1:29" ht="67.25" customHeight="1">
      <c r="A34" s="368">
        <v>2</v>
      </c>
      <c r="B34" s="550" t="s">
        <v>493</v>
      </c>
      <c r="C34" s="272" t="str">
        <f t="shared" si="2"/>
        <v>279</v>
      </c>
      <c r="D34" s="539">
        <v>2792</v>
      </c>
      <c r="E34" s="539" t="s">
        <v>326</v>
      </c>
      <c r="F34" s="540" t="s">
        <v>2</v>
      </c>
      <c r="G34" s="469">
        <v>39</v>
      </c>
      <c r="H34" s="541" t="s">
        <v>3</v>
      </c>
      <c r="I34" s="541" t="s">
        <v>339</v>
      </c>
      <c r="J34" s="275">
        <f t="shared" ref="J34:J49" si="3">IF(OR(ISNUMBER(SEARCH("confidence",I34))=TRUE,ISNUMBER(SEARCH("hope for the future",I34))=TRUE,ISNUMBER(SEARCH("communicate",I34))=TRUE,ISNUMBER(SEARCH("worthy",I34))=TRUE,ISNUMBER(SEARCH("thought",I34))=TRUE,ISNUMBER(SEARCH("open",I34))=TRUE,ISNUMBER(SEARCH("believe",I34))=TRUE,ISNUMBER(SEARCH("confident",I34))=TRUE,ISNUMBER(SEARCH("empower",I34))=TRUE),1,0)</f>
        <v>0</v>
      </c>
      <c r="K34" s="275">
        <f t="shared" ref="K34:K49" si="4">IF(OR(ISNUMBER(SEARCH("decision",I34))=TRUE,ISNUMBER(SEARCH("save",I34))=TRUE,ISNUMBER(SEARCH("saving",I34))=TRUE,ISNUMBER(SEARCH("started",I34))=TRUE,ISNUMBER(SEARCH("buy",I34))=TRUE,ISNUMBER(SEARCH("bought",I34))=TRUE),1,0)</f>
        <v>1</v>
      </c>
      <c r="L34" s="275">
        <f t="shared" ref="L34:L49" si="5">IF(OR(ISNUMBER(SEARCH("active",I34))=TRUE,ISNUMBER(SEARCH("proactive",I34))=TRUE,ISNUMBER(SEARCH("face challenge",I34))=TRUE),1,0)</f>
        <v>0</v>
      </c>
      <c r="M34" s="275">
        <f t="shared" ref="M34:M49" si="6">IF(OR(J34=1,K34=1,L34=1),1,0)</f>
        <v>1</v>
      </c>
      <c r="N34" s="276">
        <f t="shared" ref="N34:N49" si="7">IF(OR(ISNUMBER(SEARCH("started a business",I34))=TRUE,ISNUMBER(SEARCH("started an income generating activity",I34))=TRUE,ISNUMBER(SEARCH("a business",I34))=TRUE),1,0)</f>
        <v>1</v>
      </c>
      <c r="O34" s="276">
        <f t="shared" ref="O34:O49" si="8">IF(OR(ISNUMBER(SEARCH("got a job",I34))=TRUE,ISNUMBER(SEARCH("got an internship",I34))=TRUE,ISNUMBER(SEARCH("got a promotion",I34))=TRUE),1,0)</f>
        <v>0</v>
      </c>
      <c r="P34" s="276">
        <f t="shared" ref="P34:P49" si="9">IF(OR(ISNUMBER(SEARCH("school admission",I34))=TRUE,ISNUMBER(SEARCH("perfomance in class",I34))=TRUE,ISNUMBER(SEARCH("scholarship",I34))=TRUE,ISNUMBER(SEARCH("pursue higher education",I34))=TRUE),1,0)</f>
        <v>0</v>
      </c>
      <c r="Q34" s="276">
        <f t="shared" ref="Q34:Q49" si="10">IF(OR(ISNUMBER(SEARCH("leadership role",I34))=TRUE),1,0)</f>
        <v>0</v>
      </c>
      <c r="R34" s="329">
        <f t="shared" ref="R34:R49" si="11">IF(OR(M34=1,N34=1,O34=1,P34=1,Q34=1),1,0)</f>
        <v>1</v>
      </c>
      <c r="S34" s="273"/>
      <c r="T34" s="274" t="str">
        <f>IF(ISNA(VLOOKUP(D34,'One year follow-up_inperson'!$C:$C,1,FALSE)),"No","Yes")</f>
        <v>No</v>
      </c>
      <c r="U34" s="592" t="s">
        <v>679</v>
      </c>
      <c r="V34" s="61"/>
      <c r="W34" s="61"/>
      <c r="X34" s="61"/>
      <c r="Y34" s="61"/>
      <c r="Z34" s="61"/>
      <c r="AA34" s="61"/>
      <c r="AB34" s="61"/>
      <c r="AC34" s="61"/>
    </row>
    <row r="35" spans="1:29" ht="67.25" customHeight="1">
      <c r="A35" s="368">
        <v>3</v>
      </c>
      <c r="B35" s="550" t="s">
        <v>493</v>
      </c>
      <c r="C35" s="272" t="str">
        <f t="shared" si="2"/>
        <v>279</v>
      </c>
      <c r="D35" s="539">
        <v>2794</v>
      </c>
      <c r="E35" s="539" t="s">
        <v>327</v>
      </c>
      <c r="F35" s="540" t="s">
        <v>2</v>
      </c>
      <c r="G35" s="469">
        <v>37</v>
      </c>
      <c r="H35" s="541" t="s">
        <v>3</v>
      </c>
      <c r="I35" s="541" t="s">
        <v>340</v>
      </c>
      <c r="J35" s="275">
        <f t="shared" si="3"/>
        <v>1</v>
      </c>
      <c r="K35" s="275">
        <f t="shared" si="4"/>
        <v>0</v>
      </c>
      <c r="L35" s="275">
        <f t="shared" si="5"/>
        <v>0</v>
      </c>
      <c r="M35" s="275">
        <f t="shared" si="6"/>
        <v>1</v>
      </c>
      <c r="N35" s="276">
        <f t="shared" si="7"/>
        <v>0</v>
      </c>
      <c r="O35" s="276">
        <f t="shared" si="8"/>
        <v>0</v>
      </c>
      <c r="P35" s="276">
        <f t="shared" si="9"/>
        <v>0</v>
      </c>
      <c r="Q35" s="276">
        <f t="shared" si="10"/>
        <v>0</v>
      </c>
      <c r="R35" s="329">
        <f t="shared" si="11"/>
        <v>1</v>
      </c>
      <c r="S35" s="273"/>
      <c r="T35" s="274" t="str">
        <f>IF(ISNA(VLOOKUP(D35,'One year follow-up_inperson'!$C:$C,1,FALSE)),"No","Yes")</f>
        <v>No</v>
      </c>
      <c r="U35" s="592" t="s">
        <v>679</v>
      </c>
      <c r="V35" s="61"/>
      <c r="W35" s="61"/>
      <c r="X35" s="61"/>
      <c r="Y35" s="61"/>
      <c r="Z35" s="61"/>
      <c r="AA35" s="61"/>
      <c r="AB35" s="61"/>
      <c r="AC35" s="61"/>
    </row>
    <row r="36" spans="1:29" ht="67.25" customHeight="1">
      <c r="A36" s="368">
        <v>4</v>
      </c>
      <c r="B36" s="550" t="s">
        <v>493</v>
      </c>
      <c r="C36" s="272" t="str">
        <f t="shared" si="2"/>
        <v>279</v>
      </c>
      <c r="D36" s="539">
        <v>27917</v>
      </c>
      <c r="E36" s="539" t="s">
        <v>328</v>
      </c>
      <c r="F36" s="540" t="s">
        <v>2</v>
      </c>
      <c r="G36" s="469">
        <v>53</v>
      </c>
      <c r="H36" s="541" t="s">
        <v>5</v>
      </c>
      <c r="I36" s="541"/>
      <c r="J36" s="275">
        <f t="shared" si="3"/>
        <v>0</v>
      </c>
      <c r="K36" s="275">
        <f t="shared" si="4"/>
        <v>0</v>
      </c>
      <c r="L36" s="275">
        <f t="shared" si="5"/>
        <v>0</v>
      </c>
      <c r="M36" s="275">
        <f t="shared" si="6"/>
        <v>0</v>
      </c>
      <c r="N36" s="276">
        <f t="shared" si="7"/>
        <v>0</v>
      </c>
      <c r="O36" s="276">
        <f t="shared" si="8"/>
        <v>0</v>
      </c>
      <c r="P36" s="276">
        <f t="shared" si="9"/>
        <v>0</v>
      </c>
      <c r="Q36" s="276">
        <f t="shared" si="10"/>
        <v>0</v>
      </c>
      <c r="R36" s="329">
        <f t="shared" si="11"/>
        <v>0</v>
      </c>
      <c r="S36" s="273"/>
      <c r="T36" s="274" t="str">
        <f>IF(ISNA(VLOOKUP(D36,'One year follow-up_inperson'!$C:$C,1,FALSE)),"No","Yes")</f>
        <v>No</v>
      </c>
      <c r="U36" s="592" t="s">
        <v>679</v>
      </c>
      <c r="V36" s="61"/>
      <c r="W36" s="61"/>
      <c r="X36" s="61"/>
      <c r="Y36" s="61"/>
      <c r="Z36" s="61"/>
      <c r="AA36" s="61"/>
      <c r="AB36" s="61"/>
      <c r="AC36" s="61"/>
    </row>
    <row r="37" spans="1:29" ht="67.25" customHeight="1">
      <c r="A37" s="368">
        <v>5</v>
      </c>
      <c r="B37" s="550" t="s">
        <v>493</v>
      </c>
      <c r="C37" s="272" t="str">
        <f t="shared" si="2"/>
        <v>279</v>
      </c>
      <c r="D37" s="539">
        <v>27920</v>
      </c>
      <c r="E37" s="539" t="s">
        <v>329</v>
      </c>
      <c r="F37" s="540" t="s">
        <v>2</v>
      </c>
      <c r="G37" s="469">
        <v>62</v>
      </c>
      <c r="H37" s="541" t="s">
        <v>3</v>
      </c>
      <c r="I37" s="541" t="s">
        <v>341</v>
      </c>
      <c r="J37" s="275">
        <f t="shared" si="3"/>
        <v>0</v>
      </c>
      <c r="K37" s="275">
        <f t="shared" si="4"/>
        <v>1</v>
      </c>
      <c r="L37" s="275">
        <f t="shared" si="5"/>
        <v>0</v>
      </c>
      <c r="M37" s="275">
        <f t="shared" si="6"/>
        <v>1</v>
      </c>
      <c r="N37" s="276">
        <f t="shared" si="7"/>
        <v>0</v>
      </c>
      <c r="O37" s="276">
        <f t="shared" si="8"/>
        <v>0</v>
      </c>
      <c r="P37" s="276">
        <f t="shared" si="9"/>
        <v>0</v>
      </c>
      <c r="Q37" s="276">
        <f t="shared" si="10"/>
        <v>0</v>
      </c>
      <c r="R37" s="329">
        <f t="shared" si="11"/>
        <v>1</v>
      </c>
      <c r="S37" s="273"/>
      <c r="T37" s="274" t="str">
        <f>IF(ISNA(VLOOKUP(D37,'One year follow-up_inperson'!$C:$C,1,FALSE)),"No","Yes")</f>
        <v>No</v>
      </c>
      <c r="U37" s="592" t="s">
        <v>679</v>
      </c>
      <c r="V37" s="61"/>
      <c r="W37" s="61"/>
      <c r="X37" s="61"/>
      <c r="Y37" s="61"/>
      <c r="Z37" s="61"/>
      <c r="AA37" s="61"/>
      <c r="AB37" s="61"/>
      <c r="AC37" s="61"/>
    </row>
    <row r="38" spans="1:29" ht="67.25" customHeight="1">
      <c r="A38" s="368">
        <v>6</v>
      </c>
      <c r="B38" s="550" t="s">
        <v>493</v>
      </c>
      <c r="C38" s="272" t="str">
        <f t="shared" si="2"/>
        <v>279</v>
      </c>
      <c r="D38" s="539">
        <v>27921</v>
      </c>
      <c r="E38" s="539" t="s">
        <v>330</v>
      </c>
      <c r="F38" s="540" t="s">
        <v>2</v>
      </c>
      <c r="G38" s="469">
        <v>26</v>
      </c>
      <c r="H38" s="541" t="s">
        <v>3</v>
      </c>
      <c r="I38" s="541" t="s">
        <v>342</v>
      </c>
      <c r="J38" s="275">
        <f t="shared" si="3"/>
        <v>1</v>
      </c>
      <c r="K38" s="275">
        <f t="shared" si="4"/>
        <v>1</v>
      </c>
      <c r="L38" s="275">
        <f t="shared" si="5"/>
        <v>0</v>
      </c>
      <c r="M38" s="275">
        <f t="shared" si="6"/>
        <v>1</v>
      </c>
      <c r="N38" s="276">
        <f t="shared" si="7"/>
        <v>1</v>
      </c>
      <c r="O38" s="276">
        <f t="shared" si="8"/>
        <v>0</v>
      </c>
      <c r="P38" s="276">
        <f t="shared" si="9"/>
        <v>0</v>
      </c>
      <c r="Q38" s="276">
        <f t="shared" si="10"/>
        <v>0</v>
      </c>
      <c r="R38" s="329">
        <f t="shared" si="11"/>
        <v>1</v>
      </c>
      <c r="S38" s="273"/>
      <c r="T38" s="274" t="str">
        <f>IF(ISNA(VLOOKUP(D38,'One year follow-up_inperson'!$C:$C,1,FALSE)),"No","Yes")</f>
        <v>No</v>
      </c>
      <c r="U38" s="592" t="s">
        <v>679</v>
      </c>
      <c r="V38" s="61"/>
      <c r="W38" s="61"/>
      <c r="X38" s="61"/>
      <c r="Y38" s="61"/>
      <c r="Z38" s="61"/>
      <c r="AA38" s="61"/>
      <c r="AB38" s="61"/>
      <c r="AC38" s="61"/>
    </row>
    <row r="39" spans="1:29" ht="67.25" customHeight="1">
      <c r="A39" s="368">
        <v>7</v>
      </c>
      <c r="B39" s="550" t="s">
        <v>493</v>
      </c>
      <c r="C39" s="272" t="str">
        <f t="shared" si="2"/>
        <v>279</v>
      </c>
      <c r="D39" s="539">
        <v>27924</v>
      </c>
      <c r="E39" s="539" t="s">
        <v>644</v>
      </c>
      <c r="F39" s="540" t="s">
        <v>2</v>
      </c>
      <c r="G39" s="469">
        <v>60</v>
      </c>
      <c r="H39" s="541" t="s">
        <v>3</v>
      </c>
      <c r="I39" s="541" t="s">
        <v>343</v>
      </c>
      <c r="J39" s="275">
        <f t="shared" si="3"/>
        <v>0</v>
      </c>
      <c r="K39" s="275">
        <f t="shared" si="4"/>
        <v>1</v>
      </c>
      <c r="L39" s="275">
        <f t="shared" si="5"/>
        <v>0</v>
      </c>
      <c r="M39" s="275">
        <f t="shared" si="6"/>
        <v>1</v>
      </c>
      <c r="N39" s="276">
        <f t="shared" si="7"/>
        <v>0</v>
      </c>
      <c r="O39" s="276">
        <f t="shared" si="8"/>
        <v>0</v>
      </c>
      <c r="P39" s="276">
        <f t="shared" si="9"/>
        <v>0</v>
      </c>
      <c r="Q39" s="276">
        <f t="shared" si="10"/>
        <v>0</v>
      </c>
      <c r="R39" s="329">
        <f t="shared" si="11"/>
        <v>1</v>
      </c>
      <c r="S39" s="273"/>
      <c r="T39" s="274" t="str">
        <f>IF(ISNA(VLOOKUP(D39,'One year follow-up_inperson'!$C:$C,1,FALSE)),"No","Yes")</f>
        <v>No</v>
      </c>
      <c r="U39" s="592" t="s">
        <v>679</v>
      </c>
      <c r="V39" s="61"/>
      <c r="W39" s="61"/>
      <c r="X39" s="61"/>
      <c r="Y39" s="61"/>
      <c r="Z39" s="61"/>
      <c r="AA39" s="61"/>
      <c r="AB39" s="61"/>
      <c r="AC39" s="61"/>
    </row>
    <row r="40" spans="1:29" ht="67.25" customHeight="1">
      <c r="A40" s="368">
        <v>8</v>
      </c>
      <c r="B40" s="550" t="s">
        <v>493</v>
      </c>
      <c r="C40" s="272" t="str">
        <f t="shared" si="2"/>
        <v>279</v>
      </c>
      <c r="D40" s="539">
        <v>27925</v>
      </c>
      <c r="E40" s="539" t="s">
        <v>331</v>
      </c>
      <c r="F40" s="540" t="s">
        <v>2</v>
      </c>
      <c r="G40" s="469">
        <v>64</v>
      </c>
      <c r="H40" s="541" t="s">
        <v>3</v>
      </c>
      <c r="I40" s="541" t="s">
        <v>344</v>
      </c>
      <c r="J40" s="275">
        <f t="shared" si="3"/>
        <v>0</v>
      </c>
      <c r="K40" s="275">
        <f t="shared" si="4"/>
        <v>0</v>
      </c>
      <c r="L40" s="275">
        <f t="shared" si="5"/>
        <v>0</v>
      </c>
      <c r="M40" s="275">
        <f t="shared" si="6"/>
        <v>0</v>
      </c>
      <c r="N40" s="276">
        <f t="shared" si="7"/>
        <v>0</v>
      </c>
      <c r="O40" s="276">
        <f t="shared" si="8"/>
        <v>0</v>
      </c>
      <c r="P40" s="276">
        <f t="shared" si="9"/>
        <v>0</v>
      </c>
      <c r="Q40" s="276">
        <f t="shared" si="10"/>
        <v>0</v>
      </c>
      <c r="R40" s="329">
        <f t="shared" si="11"/>
        <v>0</v>
      </c>
      <c r="S40" s="273"/>
      <c r="T40" s="274" t="str">
        <f>IF(ISNA(VLOOKUP(D40,'One year follow-up_inperson'!$C:$C,1,FALSE)),"No","Yes")</f>
        <v>No</v>
      </c>
      <c r="U40" s="592" t="s">
        <v>679</v>
      </c>
      <c r="V40" s="61"/>
      <c r="W40" s="61"/>
      <c r="X40" s="61"/>
      <c r="Y40" s="61"/>
      <c r="Z40" s="61"/>
      <c r="AA40" s="61"/>
      <c r="AB40" s="61"/>
      <c r="AC40" s="61"/>
    </row>
    <row r="41" spans="1:29" ht="67.25" customHeight="1">
      <c r="A41" s="368">
        <v>9</v>
      </c>
      <c r="B41" s="550" t="s">
        <v>493</v>
      </c>
      <c r="C41" s="272" t="str">
        <f t="shared" si="2"/>
        <v>279</v>
      </c>
      <c r="D41" s="539">
        <v>27926</v>
      </c>
      <c r="E41" s="539" t="s">
        <v>332</v>
      </c>
      <c r="F41" s="540" t="s">
        <v>2</v>
      </c>
      <c r="G41" s="469">
        <v>40</v>
      </c>
      <c r="H41" s="541" t="s">
        <v>3</v>
      </c>
      <c r="I41" s="541" t="s">
        <v>345</v>
      </c>
      <c r="J41" s="275">
        <f t="shared" si="3"/>
        <v>0</v>
      </c>
      <c r="K41" s="275">
        <f t="shared" si="4"/>
        <v>1</v>
      </c>
      <c r="L41" s="275">
        <f t="shared" si="5"/>
        <v>0</v>
      </c>
      <c r="M41" s="275">
        <f t="shared" si="6"/>
        <v>1</v>
      </c>
      <c r="N41" s="276">
        <f t="shared" si="7"/>
        <v>1</v>
      </c>
      <c r="O41" s="276">
        <f t="shared" si="8"/>
        <v>0</v>
      </c>
      <c r="P41" s="276">
        <f t="shared" si="9"/>
        <v>0</v>
      </c>
      <c r="Q41" s="276">
        <f t="shared" si="10"/>
        <v>0</v>
      </c>
      <c r="R41" s="329">
        <f t="shared" si="11"/>
        <v>1</v>
      </c>
      <c r="S41" s="273"/>
      <c r="T41" s="274" t="str">
        <f>IF(ISNA(VLOOKUP(D41,'One year follow-up_inperson'!$C:$C,1,FALSE)),"No","Yes")</f>
        <v>No</v>
      </c>
      <c r="U41" s="592" t="s">
        <v>679</v>
      </c>
      <c r="V41" s="61"/>
      <c r="W41" s="61"/>
      <c r="X41" s="61"/>
      <c r="Y41" s="61"/>
      <c r="Z41" s="61"/>
      <c r="AA41" s="61"/>
      <c r="AB41" s="61"/>
      <c r="AC41" s="61"/>
    </row>
    <row r="42" spans="1:29" ht="67.25" customHeight="1">
      <c r="A42" s="368">
        <v>10</v>
      </c>
      <c r="B42" s="550" t="s">
        <v>493</v>
      </c>
      <c r="C42" s="272" t="str">
        <f t="shared" si="2"/>
        <v>279</v>
      </c>
      <c r="D42" s="539">
        <v>27928</v>
      </c>
      <c r="E42" s="539" t="s">
        <v>333</v>
      </c>
      <c r="F42" s="540" t="s">
        <v>2</v>
      </c>
      <c r="G42" s="469">
        <v>35</v>
      </c>
      <c r="H42" s="541" t="s">
        <v>3</v>
      </c>
      <c r="I42" s="541" t="s">
        <v>346</v>
      </c>
      <c r="J42" s="275">
        <f t="shared" si="3"/>
        <v>0</v>
      </c>
      <c r="K42" s="275">
        <f t="shared" si="4"/>
        <v>1</v>
      </c>
      <c r="L42" s="275">
        <f t="shared" si="5"/>
        <v>0</v>
      </c>
      <c r="M42" s="275">
        <f t="shared" si="6"/>
        <v>1</v>
      </c>
      <c r="N42" s="276">
        <f t="shared" si="7"/>
        <v>0</v>
      </c>
      <c r="O42" s="276">
        <f t="shared" si="8"/>
        <v>0</v>
      </c>
      <c r="P42" s="276">
        <f t="shared" si="9"/>
        <v>0</v>
      </c>
      <c r="Q42" s="276">
        <f t="shared" si="10"/>
        <v>0</v>
      </c>
      <c r="R42" s="329">
        <f t="shared" si="11"/>
        <v>1</v>
      </c>
      <c r="S42" s="273"/>
      <c r="T42" s="274" t="str">
        <f>IF(ISNA(VLOOKUP(D42,'One year follow-up_inperson'!$C:$C,1,FALSE)),"No","Yes")</f>
        <v>No</v>
      </c>
      <c r="U42" s="592" t="s">
        <v>679</v>
      </c>
      <c r="V42" s="61"/>
      <c r="W42" s="61"/>
      <c r="X42" s="61"/>
      <c r="Y42" s="61"/>
      <c r="Z42" s="61"/>
      <c r="AA42" s="61"/>
      <c r="AB42" s="61"/>
      <c r="AC42" s="61"/>
    </row>
    <row r="43" spans="1:29" ht="67.25" customHeight="1">
      <c r="A43" s="368">
        <v>11</v>
      </c>
      <c r="B43" s="550" t="s">
        <v>493</v>
      </c>
      <c r="C43" s="272" t="str">
        <f t="shared" si="2"/>
        <v>279</v>
      </c>
      <c r="D43" s="539">
        <v>27934</v>
      </c>
      <c r="E43" s="539" t="s">
        <v>334</v>
      </c>
      <c r="F43" s="540" t="s">
        <v>2</v>
      </c>
      <c r="G43" s="469">
        <v>63</v>
      </c>
      <c r="H43" s="541" t="s">
        <v>3</v>
      </c>
      <c r="I43" s="541" t="s">
        <v>347</v>
      </c>
      <c r="J43" s="275">
        <f t="shared" si="3"/>
        <v>0</v>
      </c>
      <c r="K43" s="275">
        <f t="shared" si="4"/>
        <v>1</v>
      </c>
      <c r="L43" s="275">
        <f t="shared" si="5"/>
        <v>0</v>
      </c>
      <c r="M43" s="275">
        <f t="shared" si="6"/>
        <v>1</v>
      </c>
      <c r="N43" s="276">
        <f t="shared" si="7"/>
        <v>1</v>
      </c>
      <c r="O43" s="276">
        <f t="shared" si="8"/>
        <v>0</v>
      </c>
      <c r="P43" s="276">
        <f t="shared" si="9"/>
        <v>0</v>
      </c>
      <c r="Q43" s="276">
        <f t="shared" si="10"/>
        <v>0</v>
      </c>
      <c r="R43" s="329">
        <f t="shared" si="11"/>
        <v>1</v>
      </c>
      <c r="S43" s="273"/>
      <c r="T43" s="274" t="str">
        <f>IF(ISNA(VLOOKUP(D43,'One year follow-up_inperson'!$C:$C,1,FALSE)),"No","Yes")</f>
        <v>No</v>
      </c>
      <c r="U43" s="592" t="s">
        <v>679</v>
      </c>
      <c r="V43" s="61"/>
      <c r="W43" s="61"/>
      <c r="X43" s="61"/>
      <c r="Y43" s="61"/>
      <c r="Z43" s="61"/>
      <c r="AA43" s="61"/>
      <c r="AB43" s="61"/>
      <c r="AC43" s="61"/>
    </row>
    <row r="44" spans="1:29" ht="67.25" customHeight="1">
      <c r="A44" s="368">
        <v>12</v>
      </c>
      <c r="B44" s="550" t="s">
        <v>371</v>
      </c>
      <c r="C44" s="272" t="str">
        <f t="shared" si="2"/>
        <v>279</v>
      </c>
      <c r="D44" s="539">
        <v>27932</v>
      </c>
      <c r="E44" s="539" t="s">
        <v>642</v>
      </c>
      <c r="F44" s="540" t="s">
        <v>2</v>
      </c>
      <c r="G44" s="469">
        <v>33</v>
      </c>
      <c r="H44" s="541" t="s">
        <v>3</v>
      </c>
      <c r="I44" s="541" t="s">
        <v>643</v>
      </c>
      <c r="J44" s="275">
        <f t="shared" si="3"/>
        <v>0</v>
      </c>
      <c r="K44" s="275">
        <f t="shared" si="4"/>
        <v>1</v>
      </c>
      <c r="L44" s="275">
        <f t="shared" si="5"/>
        <v>0</v>
      </c>
      <c r="M44" s="275">
        <f t="shared" si="6"/>
        <v>1</v>
      </c>
      <c r="N44" s="276">
        <f t="shared" si="7"/>
        <v>0</v>
      </c>
      <c r="O44" s="276">
        <f t="shared" si="8"/>
        <v>0</v>
      </c>
      <c r="P44" s="276">
        <f t="shared" si="9"/>
        <v>0</v>
      </c>
      <c r="Q44" s="276">
        <f t="shared" si="10"/>
        <v>0</v>
      </c>
      <c r="R44" s="329">
        <f t="shared" si="11"/>
        <v>1</v>
      </c>
      <c r="S44" s="273"/>
      <c r="T44" s="274" t="str">
        <f>IF(ISNA(VLOOKUP(D44,'One year follow-up_inperson'!$C:$C,1,FALSE)),"No","Yes")</f>
        <v>No</v>
      </c>
      <c r="U44" s="592" t="s">
        <v>679</v>
      </c>
      <c r="V44" s="61"/>
      <c r="W44" s="61"/>
      <c r="X44" s="61"/>
      <c r="Y44" s="61"/>
      <c r="Z44" s="61"/>
      <c r="AA44" s="61"/>
      <c r="AB44" s="61"/>
      <c r="AC44" s="61"/>
    </row>
    <row r="45" spans="1:29" ht="109.25" customHeight="1">
      <c r="A45" s="368">
        <v>13</v>
      </c>
      <c r="B45" s="550" t="s">
        <v>371</v>
      </c>
      <c r="C45" s="272" t="str">
        <f t="shared" si="2"/>
        <v>279</v>
      </c>
      <c r="D45" s="539">
        <v>27935</v>
      </c>
      <c r="E45" s="539" t="s">
        <v>640</v>
      </c>
      <c r="F45" s="540" t="s">
        <v>2</v>
      </c>
      <c r="G45" s="469">
        <v>57</v>
      </c>
      <c r="H45" s="541" t="s">
        <v>3</v>
      </c>
      <c r="I45" s="541" t="s">
        <v>641</v>
      </c>
      <c r="J45" s="275">
        <f t="shared" si="3"/>
        <v>0</v>
      </c>
      <c r="K45" s="275">
        <f t="shared" si="4"/>
        <v>1</v>
      </c>
      <c r="L45" s="275">
        <f t="shared" si="5"/>
        <v>0</v>
      </c>
      <c r="M45" s="275">
        <f t="shared" si="6"/>
        <v>1</v>
      </c>
      <c r="N45" s="276">
        <f t="shared" si="7"/>
        <v>1</v>
      </c>
      <c r="O45" s="276">
        <f t="shared" si="8"/>
        <v>0</v>
      </c>
      <c r="P45" s="276">
        <f t="shared" si="9"/>
        <v>0</v>
      </c>
      <c r="Q45" s="276">
        <f t="shared" si="10"/>
        <v>0</v>
      </c>
      <c r="R45" s="329">
        <f t="shared" si="11"/>
        <v>1</v>
      </c>
      <c r="S45" s="273"/>
      <c r="T45" s="274" t="str">
        <f>IF(ISNA(VLOOKUP(D45,'One year follow-up_inperson'!$C:$C,1,FALSE)),"No","Yes")</f>
        <v>No</v>
      </c>
      <c r="U45" s="592" t="s">
        <v>679</v>
      </c>
      <c r="V45" s="61"/>
      <c r="W45" s="61"/>
      <c r="X45" s="61"/>
      <c r="Y45" s="61"/>
      <c r="Z45" s="61"/>
      <c r="AA45" s="61"/>
      <c r="AB45" s="61"/>
      <c r="AC45" s="61"/>
    </row>
    <row r="46" spans="1:29" ht="67.25" customHeight="1">
      <c r="A46" s="368">
        <v>14</v>
      </c>
      <c r="B46" s="550" t="s">
        <v>493</v>
      </c>
      <c r="C46" s="272" t="str">
        <f t="shared" si="2"/>
        <v>279</v>
      </c>
      <c r="D46" s="539">
        <v>27936</v>
      </c>
      <c r="E46" s="539" t="s">
        <v>335</v>
      </c>
      <c r="F46" s="540" t="s">
        <v>2</v>
      </c>
      <c r="G46" s="469">
        <v>45</v>
      </c>
      <c r="H46" s="541" t="s">
        <v>3</v>
      </c>
      <c r="I46" s="541" t="s">
        <v>348</v>
      </c>
      <c r="J46" s="275">
        <f t="shared" si="3"/>
        <v>0</v>
      </c>
      <c r="K46" s="275">
        <f t="shared" si="4"/>
        <v>1</v>
      </c>
      <c r="L46" s="275">
        <f t="shared" si="5"/>
        <v>0</v>
      </c>
      <c r="M46" s="275">
        <f t="shared" si="6"/>
        <v>1</v>
      </c>
      <c r="N46" s="276">
        <f t="shared" si="7"/>
        <v>1</v>
      </c>
      <c r="O46" s="276">
        <f t="shared" si="8"/>
        <v>0</v>
      </c>
      <c r="P46" s="276">
        <f t="shared" si="9"/>
        <v>0</v>
      </c>
      <c r="Q46" s="276">
        <f t="shared" si="10"/>
        <v>0</v>
      </c>
      <c r="R46" s="329">
        <f t="shared" si="11"/>
        <v>1</v>
      </c>
      <c r="S46" s="273"/>
      <c r="T46" s="274" t="str">
        <f>IF(ISNA(VLOOKUP(D46,'One year follow-up_inperson'!$C:$C,1,FALSE)),"No","Yes")</f>
        <v>No</v>
      </c>
      <c r="U46" s="592" t="s">
        <v>679</v>
      </c>
      <c r="V46" s="61"/>
      <c r="W46" s="61"/>
      <c r="X46" s="61"/>
      <c r="Y46" s="61"/>
      <c r="Z46" s="61"/>
      <c r="AA46" s="61"/>
      <c r="AB46" s="61"/>
      <c r="AC46" s="61"/>
    </row>
    <row r="47" spans="1:29" ht="67.25" customHeight="1">
      <c r="A47" s="368">
        <v>15</v>
      </c>
      <c r="B47" s="550" t="s">
        <v>493</v>
      </c>
      <c r="C47" s="272" t="str">
        <f t="shared" si="2"/>
        <v>279</v>
      </c>
      <c r="D47" s="539">
        <v>27937</v>
      </c>
      <c r="E47" s="539" t="s">
        <v>336</v>
      </c>
      <c r="F47" s="540" t="s">
        <v>2</v>
      </c>
      <c r="G47" s="469">
        <v>30</v>
      </c>
      <c r="H47" s="541" t="s">
        <v>3</v>
      </c>
      <c r="I47" s="541" t="s">
        <v>349</v>
      </c>
      <c r="J47" s="275">
        <f t="shared" si="3"/>
        <v>0</v>
      </c>
      <c r="K47" s="275">
        <f t="shared" si="4"/>
        <v>0</v>
      </c>
      <c r="L47" s="275">
        <f t="shared" si="5"/>
        <v>0</v>
      </c>
      <c r="M47" s="275">
        <f t="shared" si="6"/>
        <v>0</v>
      </c>
      <c r="N47" s="276">
        <f t="shared" si="7"/>
        <v>0</v>
      </c>
      <c r="O47" s="276">
        <f t="shared" si="8"/>
        <v>0</v>
      </c>
      <c r="P47" s="276">
        <f t="shared" si="9"/>
        <v>0</v>
      </c>
      <c r="Q47" s="276">
        <f t="shared" si="10"/>
        <v>0</v>
      </c>
      <c r="R47" s="329">
        <f t="shared" si="11"/>
        <v>0</v>
      </c>
      <c r="S47" s="273"/>
      <c r="T47" s="274" t="str">
        <f>IF(ISNA(VLOOKUP(D47,'One year follow-up_inperson'!$C:$C,1,FALSE)),"No","Yes")</f>
        <v>No</v>
      </c>
      <c r="U47" s="592" t="s">
        <v>679</v>
      </c>
      <c r="V47" s="61"/>
      <c r="W47" s="61"/>
      <c r="X47" s="61"/>
      <c r="Y47" s="61"/>
      <c r="Z47" s="61"/>
      <c r="AA47" s="61"/>
      <c r="AB47" s="61"/>
      <c r="AC47" s="61"/>
    </row>
    <row r="48" spans="1:29" ht="67.25" customHeight="1">
      <c r="A48" s="368">
        <v>16</v>
      </c>
      <c r="B48" s="550" t="s">
        <v>493</v>
      </c>
      <c r="C48" s="272" t="str">
        <f t="shared" si="2"/>
        <v>279</v>
      </c>
      <c r="D48" s="539">
        <v>27938</v>
      </c>
      <c r="E48" s="539" t="s">
        <v>337</v>
      </c>
      <c r="F48" s="540" t="s">
        <v>2</v>
      </c>
      <c r="G48" s="469">
        <v>38</v>
      </c>
      <c r="H48" s="541" t="s">
        <v>3</v>
      </c>
      <c r="I48" s="541" t="s">
        <v>350</v>
      </c>
      <c r="J48" s="275">
        <f t="shared" si="3"/>
        <v>0</v>
      </c>
      <c r="K48" s="275">
        <f t="shared" si="4"/>
        <v>1</v>
      </c>
      <c r="L48" s="275">
        <f t="shared" si="5"/>
        <v>0</v>
      </c>
      <c r="M48" s="275">
        <f t="shared" si="6"/>
        <v>1</v>
      </c>
      <c r="N48" s="276">
        <f t="shared" si="7"/>
        <v>1</v>
      </c>
      <c r="O48" s="276">
        <f t="shared" si="8"/>
        <v>0</v>
      </c>
      <c r="P48" s="276">
        <f t="shared" si="9"/>
        <v>0</v>
      </c>
      <c r="Q48" s="276">
        <f t="shared" si="10"/>
        <v>0</v>
      </c>
      <c r="R48" s="329">
        <f t="shared" si="11"/>
        <v>1</v>
      </c>
      <c r="S48" s="273"/>
      <c r="T48" s="274" t="str">
        <f>IF(ISNA(VLOOKUP(D48,'One year follow-up_inperson'!$C:$C,1,FALSE)),"No","Yes")</f>
        <v>No</v>
      </c>
      <c r="U48" s="592" t="s">
        <v>679</v>
      </c>
      <c r="V48" s="61"/>
      <c r="W48" s="61"/>
      <c r="X48" s="61"/>
      <c r="Y48" s="61"/>
      <c r="Z48" s="61"/>
      <c r="AA48" s="61"/>
      <c r="AB48" s="61"/>
      <c r="AC48" s="61"/>
    </row>
    <row r="49" spans="1:29" ht="121.8" customHeight="1">
      <c r="A49" s="368">
        <v>17</v>
      </c>
      <c r="B49" s="550" t="s">
        <v>371</v>
      </c>
      <c r="C49" s="272" t="str">
        <f t="shared" si="2"/>
        <v>279</v>
      </c>
      <c r="D49" s="539">
        <v>27939</v>
      </c>
      <c r="E49" s="539" t="s">
        <v>638</v>
      </c>
      <c r="F49" s="575" t="s">
        <v>2</v>
      </c>
      <c r="G49" s="469">
        <v>41</v>
      </c>
      <c r="H49" s="541" t="s">
        <v>3</v>
      </c>
      <c r="I49" s="541" t="s">
        <v>639</v>
      </c>
      <c r="J49" s="275">
        <f t="shared" si="3"/>
        <v>1</v>
      </c>
      <c r="K49" s="275">
        <f t="shared" si="4"/>
        <v>1</v>
      </c>
      <c r="L49" s="275">
        <f t="shared" si="5"/>
        <v>0</v>
      </c>
      <c r="M49" s="275">
        <f t="shared" si="6"/>
        <v>1</v>
      </c>
      <c r="N49" s="276">
        <f t="shared" si="7"/>
        <v>1</v>
      </c>
      <c r="O49" s="276">
        <f t="shared" si="8"/>
        <v>0</v>
      </c>
      <c r="P49" s="276">
        <f t="shared" si="9"/>
        <v>0</v>
      </c>
      <c r="Q49" s="276">
        <f t="shared" si="10"/>
        <v>0</v>
      </c>
      <c r="R49" s="329">
        <f t="shared" si="11"/>
        <v>1</v>
      </c>
      <c r="S49" s="273"/>
      <c r="T49" s="274" t="str">
        <f>IF(ISNA(VLOOKUP(D49,'One year follow-up_inperson'!$C:$C,1,FALSE)),"No","Yes")</f>
        <v>No</v>
      </c>
      <c r="U49" s="592" t="s">
        <v>679</v>
      </c>
      <c r="V49" s="61"/>
      <c r="W49" s="61"/>
      <c r="X49" s="61"/>
      <c r="Y49" s="61"/>
      <c r="Z49" s="61"/>
      <c r="AA49" s="61"/>
      <c r="AB49" s="61"/>
      <c r="AC49" s="61"/>
    </row>
    <row r="50" spans="1:29" ht="67.25" customHeight="1">
      <c r="A50" s="368">
        <v>18</v>
      </c>
      <c r="B50" s="550" t="s">
        <v>493</v>
      </c>
      <c r="C50" s="272" t="str">
        <f>LEFT(D50,3)</f>
        <v>280</v>
      </c>
      <c r="D50" s="534">
        <v>2801</v>
      </c>
      <c r="E50" s="182" t="s">
        <v>287</v>
      </c>
      <c r="F50" s="535" t="s">
        <v>2</v>
      </c>
      <c r="G50" s="469">
        <v>33</v>
      </c>
      <c r="H50" s="537" t="s">
        <v>3</v>
      </c>
      <c r="I50" s="538" t="s">
        <v>323</v>
      </c>
      <c r="J50" s="275">
        <f>IF(OR(ISNUMBER(SEARCH("confidence",I50))=TRUE,ISNUMBER(SEARCH("hope for the future",I50))=TRUE,ISNUMBER(SEARCH("communicate",I50))=TRUE,ISNUMBER(SEARCH("worthy",I50))=TRUE,ISNUMBER(SEARCH("thought",I50))=TRUE,ISNUMBER(SEARCH("open",I50))=TRUE,ISNUMBER(SEARCH("believe",I50))=TRUE,ISNUMBER(SEARCH("confident",I50))=TRUE,ISNUMBER(SEARCH("empower",I50))=TRUE),1,0)</f>
        <v>0</v>
      </c>
      <c r="K50" s="275">
        <f>IF(OR(ISNUMBER(SEARCH("decision",I50))=TRUE,ISNUMBER(SEARCH("save",I50))=TRUE,ISNUMBER(SEARCH("saving",I50))=TRUE,ISNUMBER(SEARCH("started",I50))=TRUE,ISNUMBER(SEARCH("buy",I50))=TRUE,ISNUMBER(SEARCH("bought",I50))=TRUE),1,0)</f>
        <v>1</v>
      </c>
      <c r="L50" s="275">
        <f>IF(OR(ISNUMBER(SEARCH("active",I50))=TRUE,ISNUMBER(SEARCH("proactive",I50))=TRUE,ISNUMBER(SEARCH("face challenge",I50))=TRUE),1,0)</f>
        <v>0</v>
      </c>
      <c r="M50" s="275">
        <f>IF(OR(J50=1,K50=1,L50=1),1,0)</f>
        <v>1</v>
      </c>
      <c r="N50" s="276">
        <f>IF(OR(ISNUMBER(SEARCH("started a business",I50))=TRUE,ISNUMBER(SEARCH("started an income generating activity",I50))=TRUE,ISNUMBER(SEARCH("a business",I50))=TRUE),1,0)</f>
        <v>0</v>
      </c>
      <c r="O50" s="276">
        <f>IF(OR(ISNUMBER(SEARCH("got a job",I50))=TRUE,ISNUMBER(SEARCH("got an internship",I50))=TRUE,ISNUMBER(SEARCH("got a promotion",I50))=TRUE),1,0)</f>
        <v>0</v>
      </c>
      <c r="P50" s="276">
        <f>IF(OR(ISNUMBER(SEARCH("school admission",I50))=TRUE,ISNUMBER(SEARCH("perfomance in class",I50))=TRUE,ISNUMBER(SEARCH("scholarship",I50))=TRUE,ISNUMBER(SEARCH("pursue higher education",I50))=TRUE),1,0)</f>
        <v>0</v>
      </c>
      <c r="Q50" s="276">
        <f>IF(OR(ISNUMBER(SEARCH("leadership role",I50))=TRUE),1,0)</f>
        <v>0</v>
      </c>
      <c r="R50" s="329">
        <f>IF(OR(M50=1,N50=1,O50=1,P50=1,Q50=1),1,0)</f>
        <v>1</v>
      </c>
      <c r="S50" s="273"/>
      <c r="T50" s="274" t="str">
        <f>IF(ISNA(VLOOKUP(D50,'One year follow-up_inperson'!$C:$C,1,FALSE)),"No","Yes")</f>
        <v>No</v>
      </c>
      <c r="U50" s="592" t="s">
        <v>679</v>
      </c>
      <c r="V50" s="61"/>
      <c r="W50" s="61"/>
      <c r="X50" s="61"/>
      <c r="Y50" s="61"/>
      <c r="Z50" s="61"/>
      <c r="AA50" s="61"/>
      <c r="AB50" s="61"/>
      <c r="AC50" s="61"/>
    </row>
    <row r="51" spans="1:29" ht="72.5" customHeight="1">
      <c r="A51" s="368">
        <v>19</v>
      </c>
      <c r="B51" s="550" t="s">
        <v>493</v>
      </c>
      <c r="C51" s="272" t="str">
        <f t="shared" si="2"/>
        <v>280</v>
      </c>
      <c r="D51" s="534">
        <v>2802</v>
      </c>
      <c r="E51" s="182" t="s">
        <v>288</v>
      </c>
      <c r="F51" s="535" t="s">
        <v>2</v>
      </c>
      <c r="G51" s="469">
        <v>41</v>
      </c>
      <c r="H51" s="537" t="s">
        <v>3</v>
      </c>
      <c r="I51" s="538" t="s">
        <v>324</v>
      </c>
      <c r="J51" s="275">
        <f t="shared" ref="J51:J71" si="12">IF(OR(ISNUMBER(SEARCH("confidence",I51))=TRUE,ISNUMBER(SEARCH("hope for the future",I51))=TRUE,ISNUMBER(SEARCH("communicate",I51))=TRUE,ISNUMBER(SEARCH("worthy",I51))=TRUE,ISNUMBER(SEARCH("thought",I51))=TRUE,ISNUMBER(SEARCH("open",I51))=TRUE,ISNUMBER(SEARCH("believe",I51))=TRUE,ISNUMBER(SEARCH("confident",I51))=TRUE,ISNUMBER(SEARCH("empower",I51))=TRUE),1,0)</f>
        <v>0</v>
      </c>
      <c r="K51" s="275">
        <f t="shared" ref="K51:K71" si="13">IF(OR(ISNUMBER(SEARCH("decision",I51))=TRUE,ISNUMBER(SEARCH("save",I51))=TRUE,ISNUMBER(SEARCH("saving",I51))=TRUE,ISNUMBER(SEARCH("started",I51))=TRUE,ISNUMBER(SEARCH("buy",I51))=TRUE,ISNUMBER(SEARCH("bought",I51))=TRUE),1,0)</f>
        <v>1</v>
      </c>
      <c r="L51" s="275">
        <f t="shared" ref="L51:L71" si="14">IF(OR(ISNUMBER(SEARCH("active",I51))=TRUE,ISNUMBER(SEARCH("proactive",I51))=TRUE,ISNUMBER(SEARCH("face challenge",I51))=TRUE),1,0)</f>
        <v>0</v>
      </c>
      <c r="M51" s="275">
        <f t="shared" ref="M51:M71" si="15">IF(OR(J51=1,K51=1,L51=1),1,0)</f>
        <v>1</v>
      </c>
      <c r="N51" s="276">
        <f t="shared" ref="N51:N71" si="16">IF(OR(ISNUMBER(SEARCH("started a business",I51))=TRUE,ISNUMBER(SEARCH("started an income generating activity",I51))=TRUE,ISNUMBER(SEARCH("a business",I51))=TRUE),1,0)</f>
        <v>1</v>
      </c>
      <c r="O51" s="276">
        <f t="shared" ref="O51:O71" si="17">IF(OR(ISNUMBER(SEARCH("got a job",I51))=TRUE,ISNUMBER(SEARCH("got an internship",I51))=TRUE,ISNUMBER(SEARCH("got a promotion",I51))=TRUE),1,0)</f>
        <v>0</v>
      </c>
      <c r="P51" s="276">
        <f t="shared" ref="P51:P71" si="18">IF(OR(ISNUMBER(SEARCH("school admission",I51))=TRUE,ISNUMBER(SEARCH("perfomance in class",I51))=TRUE,ISNUMBER(SEARCH("scholarship",I51))=TRUE,ISNUMBER(SEARCH("pursue higher education",I51))=TRUE),1,0)</f>
        <v>0</v>
      </c>
      <c r="Q51" s="276">
        <f t="shared" ref="Q51:Q71" si="19">IF(OR(ISNUMBER(SEARCH("leadership role",I51))=TRUE),1,0)</f>
        <v>0</v>
      </c>
      <c r="R51" s="329">
        <f t="shared" ref="R51:R71" si="20">IF(OR(M51=1,N51=1,O51=1,P51=1,Q51=1),1,0)</f>
        <v>1</v>
      </c>
      <c r="S51" s="273"/>
      <c r="T51" s="274" t="str">
        <f>IF(ISNA(VLOOKUP(D51,'One year follow-up_inperson'!$C:$C,1,FALSE)),"No","Yes")</f>
        <v>No</v>
      </c>
      <c r="U51" s="592" t="s">
        <v>679</v>
      </c>
      <c r="V51" s="61"/>
      <c r="W51" s="61"/>
      <c r="X51" s="61"/>
      <c r="Y51" s="61"/>
      <c r="Z51" s="61"/>
      <c r="AA51" s="61"/>
      <c r="AB51" s="61"/>
      <c r="AC51" s="61"/>
    </row>
    <row r="52" spans="1:29" ht="97.8" customHeight="1">
      <c r="A52" s="368">
        <v>20</v>
      </c>
      <c r="B52" s="550" t="s">
        <v>493</v>
      </c>
      <c r="C52" s="272" t="str">
        <f t="shared" si="2"/>
        <v>280</v>
      </c>
      <c r="D52" s="534">
        <v>2803</v>
      </c>
      <c r="E52" s="182" t="s">
        <v>289</v>
      </c>
      <c r="F52" s="535" t="s">
        <v>2</v>
      </c>
      <c r="G52" s="469">
        <v>35</v>
      </c>
      <c r="H52" s="537" t="s">
        <v>3</v>
      </c>
      <c r="I52" s="537" t="s">
        <v>308</v>
      </c>
      <c r="J52" s="275">
        <f t="shared" si="12"/>
        <v>1</v>
      </c>
      <c r="K52" s="275">
        <f t="shared" si="13"/>
        <v>0</v>
      </c>
      <c r="L52" s="275">
        <f t="shared" si="14"/>
        <v>0</v>
      </c>
      <c r="M52" s="275">
        <f t="shared" si="15"/>
        <v>1</v>
      </c>
      <c r="N52" s="276">
        <f t="shared" si="16"/>
        <v>0</v>
      </c>
      <c r="O52" s="276">
        <f t="shared" si="17"/>
        <v>0</v>
      </c>
      <c r="P52" s="276">
        <f t="shared" si="18"/>
        <v>0</v>
      </c>
      <c r="Q52" s="276">
        <f t="shared" si="19"/>
        <v>0</v>
      </c>
      <c r="R52" s="329">
        <f t="shared" si="20"/>
        <v>1</v>
      </c>
      <c r="S52" s="273"/>
      <c r="T52" s="274" t="str">
        <f>IF(ISNA(VLOOKUP(D52,'One year follow-up_inperson'!$C:$C,1,FALSE)),"No","Yes")</f>
        <v>No</v>
      </c>
      <c r="U52" s="592" t="s">
        <v>679</v>
      </c>
      <c r="V52" s="61"/>
      <c r="W52" s="61"/>
      <c r="X52" s="61"/>
      <c r="Y52" s="61"/>
      <c r="Z52" s="61"/>
      <c r="AA52" s="61"/>
      <c r="AB52" s="61"/>
      <c r="AC52" s="61"/>
    </row>
    <row r="53" spans="1:29" ht="97.8" customHeight="1">
      <c r="A53" s="368">
        <v>21</v>
      </c>
      <c r="B53" s="550" t="s">
        <v>493</v>
      </c>
      <c r="C53" s="272" t="str">
        <f t="shared" si="2"/>
        <v>280</v>
      </c>
      <c r="D53" s="534">
        <v>2804</v>
      </c>
      <c r="E53" s="182" t="s">
        <v>290</v>
      </c>
      <c r="F53" s="535" t="s">
        <v>2</v>
      </c>
      <c r="G53" s="469">
        <v>47</v>
      </c>
      <c r="H53" s="537" t="s">
        <v>3</v>
      </c>
      <c r="I53" s="537" t="s">
        <v>309</v>
      </c>
      <c r="J53" s="275">
        <f t="shared" si="12"/>
        <v>0</v>
      </c>
      <c r="K53" s="275">
        <f t="shared" si="13"/>
        <v>1</v>
      </c>
      <c r="L53" s="275">
        <f t="shared" si="14"/>
        <v>0</v>
      </c>
      <c r="M53" s="275">
        <f t="shared" si="15"/>
        <v>1</v>
      </c>
      <c r="N53" s="276">
        <f t="shared" si="16"/>
        <v>0</v>
      </c>
      <c r="O53" s="276">
        <f t="shared" si="17"/>
        <v>0</v>
      </c>
      <c r="P53" s="276">
        <f t="shared" si="18"/>
        <v>0</v>
      </c>
      <c r="Q53" s="276">
        <f t="shared" si="19"/>
        <v>0</v>
      </c>
      <c r="R53" s="329">
        <f t="shared" si="20"/>
        <v>1</v>
      </c>
      <c r="S53" s="273"/>
      <c r="T53" s="274" t="str">
        <f>IF(ISNA(VLOOKUP(D53,'One year follow-up_inperson'!$C:$C,1,FALSE)),"No","Yes")</f>
        <v>No</v>
      </c>
      <c r="U53" s="592" t="s">
        <v>679</v>
      </c>
      <c r="V53" s="61"/>
      <c r="W53" s="61"/>
      <c r="X53" s="61"/>
      <c r="Y53" s="61"/>
      <c r="Z53" s="61"/>
      <c r="AA53" s="61"/>
      <c r="AB53" s="61"/>
      <c r="AC53" s="61"/>
    </row>
    <row r="54" spans="1:29" ht="97.8" customHeight="1">
      <c r="A54" s="368">
        <v>22</v>
      </c>
      <c r="B54" s="550" t="s">
        <v>493</v>
      </c>
      <c r="C54" s="272" t="str">
        <f t="shared" si="2"/>
        <v>280</v>
      </c>
      <c r="D54" s="534">
        <v>2807</v>
      </c>
      <c r="E54" s="182" t="s">
        <v>291</v>
      </c>
      <c r="F54" s="535" t="s">
        <v>2</v>
      </c>
      <c r="G54" s="469">
        <v>30</v>
      </c>
      <c r="H54" s="537" t="s">
        <v>3</v>
      </c>
      <c r="I54" s="537" t="s">
        <v>310</v>
      </c>
      <c r="J54" s="275">
        <f t="shared" si="12"/>
        <v>0</v>
      </c>
      <c r="K54" s="275">
        <f t="shared" si="13"/>
        <v>1</v>
      </c>
      <c r="L54" s="275">
        <f t="shared" si="14"/>
        <v>0</v>
      </c>
      <c r="M54" s="275">
        <f t="shared" si="15"/>
        <v>1</v>
      </c>
      <c r="N54" s="276">
        <f t="shared" si="16"/>
        <v>0</v>
      </c>
      <c r="O54" s="276">
        <f t="shared" si="17"/>
        <v>0</v>
      </c>
      <c r="P54" s="276">
        <f t="shared" si="18"/>
        <v>0</v>
      </c>
      <c r="Q54" s="276">
        <f t="shared" si="19"/>
        <v>0</v>
      </c>
      <c r="R54" s="329">
        <f t="shared" si="20"/>
        <v>1</v>
      </c>
      <c r="S54" s="273"/>
      <c r="T54" s="274" t="str">
        <f>IF(ISNA(VLOOKUP(D54,'One year follow-up_inperson'!$C:$C,1,FALSE)),"No","Yes")</f>
        <v>No</v>
      </c>
      <c r="U54" s="592" t="s">
        <v>679</v>
      </c>
      <c r="V54" s="61"/>
      <c r="W54" s="61"/>
      <c r="X54" s="61"/>
      <c r="Y54" s="61"/>
      <c r="Z54" s="61"/>
      <c r="AA54" s="61"/>
      <c r="AB54" s="61"/>
      <c r="AC54" s="61"/>
    </row>
    <row r="55" spans="1:29" ht="97.8" customHeight="1">
      <c r="A55" s="368">
        <v>23</v>
      </c>
      <c r="B55" s="550" t="s">
        <v>493</v>
      </c>
      <c r="C55" s="272" t="str">
        <f t="shared" si="2"/>
        <v>280</v>
      </c>
      <c r="D55" s="534">
        <v>2809</v>
      </c>
      <c r="E55" s="182" t="s">
        <v>292</v>
      </c>
      <c r="F55" s="535" t="s">
        <v>2</v>
      </c>
      <c r="G55" s="469">
        <v>50</v>
      </c>
      <c r="H55" s="537" t="s">
        <v>3</v>
      </c>
      <c r="I55" s="537" t="s">
        <v>311</v>
      </c>
      <c r="J55" s="275">
        <f t="shared" si="12"/>
        <v>1</v>
      </c>
      <c r="K55" s="275">
        <f t="shared" si="13"/>
        <v>1</v>
      </c>
      <c r="L55" s="275">
        <f t="shared" si="14"/>
        <v>0</v>
      </c>
      <c r="M55" s="275">
        <f t="shared" si="15"/>
        <v>1</v>
      </c>
      <c r="N55" s="276">
        <f t="shared" si="16"/>
        <v>0</v>
      </c>
      <c r="O55" s="276">
        <f t="shared" si="17"/>
        <v>0</v>
      </c>
      <c r="P55" s="276">
        <f t="shared" si="18"/>
        <v>0</v>
      </c>
      <c r="Q55" s="276">
        <f t="shared" si="19"/>
        <v>0</v>
      </c>
      <c r="R55" s="329">
        <f t="shared" si="20"/>
        <v>1</v>
      </c>
      <c r="S55" s="273"/>
      <c r="T55" s="274" t="str">
        <f>IF(ISNA(VLOOKUP(D55,'One year follow-up_inperson'!$C:$C,1,FALSE)),"No","Yes")</f>
        <v>No</v>
      </c>
      <c r="U55" s="592" t="s">
        <v>679</v>
      </c>
      <c r="V55" s="61"/>
      <c r="W55" s="61"/>
      <c r="X55" s="61"/>
      <c r="Y55" s="61"/>
      <c r="Z55" s="61"/>
      <c r="AA55" s="61"/>
      <c r="AB55" s="61"/>
      <c r="AC55" s="61"/>
    </row>
    <row r="56" spans="1:29" ht="97.8" customHeight="1">
      <c r="A56" s="368">
        <v>24</v>
      </c>
      <c r="B56" s="550" t="s">
        <v>493</v>
      </c>
      <c r="C56" s="272" t="str">
        <f t="shared" si="2"/>
        <v>280</v>
      </c>
      <c r="D56" s="534">
        <v>28011</v>
      </c>
      <c r="E56" s="182" t="s">
        <v>293</v>
      </c>
      <c r="F56" s="535" t="s">
        <v>2</v>
      </c>
      <c r="G56" s="469">
        <v>32</v>
      </c>
      <c r="H56" s="537" t="s">
        <v>3</v>
      </c>
      <c r="I56" s="537" t="s">
        <v>312</v>
      </c>
      <c r="J56" s="275">
        <f t="shared" si="12"/>
        <v>1</v>
      </c>
      <c r="K56" s="275">
        <f t="shared" si="13"/>
        <v>0</v>
      </c>
      <c r="L56" s="275">
        <f t="shared" si="14"/>
        <v>0</v>
      </c>
      <c r="M56" s="275">
        <f t="shared" si="15"/>
        <v>1</v>
      </c>
      <c r="N56" s="276">
        <f t="shared" si="16"/>
        <v>0</v>
      </c>
      <c r="O56" s="276">
        <f t="shared" si="17"/>
        <v>0</v>
      </c>
      <c r="P56" s="276">
        <f t="shared" si="18"/>
        <v>0</v>
      </c>
      <c r="Q56" s="276">
        <f t="shared" si="19"/>
        <v>0</v>
      </c>
      <c r="R56" s="329">
        <f t="shared" si="20"/>
        <v>1</v>
      </c>
      <c r="S56" s="273"/>
      <c r="T56" s="274" t="str">
        <f>IF(ISNA(VLOOKUP(D56,'One year follow-up_inperson'!$C:$C,1,FALSE)),"No","Yes")</f>
        <v>No</v>
      </c>
      <c r="U56" s="592" t="s">
        <v>679</v>
      </c>
      <c r="V56" s="61"/>
      <c r="W56" s="61"/>
      <c r="X56" s="61"/>
      <c r="Y56" s="61"/>
      <c r="Z56" s="61"/>
      <c r="AA56" s="61"/>
      <c r="AB56" s="61"/>
      <c r="AC56" s="61"/>
    </row>
    <row r="57" spans="1:29" ht="97.8" customHeight="1">
      <c r="A57" s="368">
        <v>25</v>
      </c>
      <c r="B57" s="550" t="s">
        <v>493</v>
      </c>
      <c r="C57" s="272" t="str">
        <f t="shared" si="2"/>
        <v>280</v>
      </c>
      <c r="D57" s="534">
        <v>28014</v>
      </c>
      <c r="E57" s="182" t="s">
        <v>294</v>
      </c>
      <c r="F57" s="535" t="s">
        <v>2</v>
      </c>
      <c r="G57" s="469">
        <v>30</v>
      </c>
      <c r="H57" s="537" t="s">
        <v>3</v>
      </c>
      <c r="I57" s="537" t="s">
        <v>313</v>
      </c>
      <c r="J57" s="275">
        <f t="shared" si="12"/>
        <v>1</v>
      </c>
      <c r="K57" s="275">
        <f t="shared" si="13"/>
        <v>0</v>
      </c>
      <c r="L57" s="275">
        <f t="shared" si="14"/>
        <v>0</v>
      </c>
      <c r="M57" s="275">
        <f t="shared" si="15"/>
        <v>1</v>
      </c>
      <c r="N57" s="276">
        <f t="shared" si="16"/>
        <v>0</v>
      </c>
      <c r="O57" s="276">
        <f t="shared" si="17"/>
        <v>0</v>
      </c>
      <c r="P57" s="276">
        <f t="shared" si="18"/>
        <v>0</v>
      </c>
      <c r="Q57" s="276">
        <f t="shared" si="19"/>
        <v>0</v>
      </c>
      <c r="R57" s="329">
        <f t="shared" si="20"/>
        <v>1</v>
      </c>
      <c r="S57" s="273"/>
      <c r="T57" s="274" t="str">
        <f>IF(ISNA(VLOOKUP(D57,'One year follow-up_inperson'!$C:$C,1,FALSE)),"No","Yes")</f>
        <v>No</v>
      </c>
      <c r="U57" s="592" t="s">
        <v>679</v>
      </c>
      <c r="V57" s="61"/>
      <c r="W57" s="61"/>
      <c r="X57" s="61"/>
      <c r="Y57" s="61"/>
      <c r="Z57" s="61"/>
      <c r="AA57" s="61"/>
      <c r="AB57" s="61"/>
      <c r="AC57" s="61"/>
    </row>
    <row r="58" spans="1:29" ht="97.8" customHeight="1">
      <c r="A58" s="368">
        <v>26</v>
      </c>
      <c r="B58" s="550" t="s">
        <v>493</v>
      </c>
      <c r="C58" s="272" t="str">
        <f t="shared" si="2"/>
        <v>280</v>
      </c>
      <c r="D58" s="534">
        <v>28015</v>
      </c>
      <c r="E58" s="182" t="s">
        <v>295</v>
      </c>
      <c r="F58" s="535" t="s">
        <v>2</v>
      </c>
      <c r="G58" s="469">
        <v>60</v>
      </c>
      <c r="H58" s="537" t="s">
        <v>3</v>
      </c>
      <c r="I58" s="537" t="s">
        <v>314</v>
      </c>
      <c r="J58" s="275">
        <f t="shared" si="12"/>
        <v>0</v>
      </c>
      <c r="K58" s="275">
        <f t="shared" si="13"/>
        <v>1</v>
      </c>
      <c r="L58" s="275">
        <f t="shared" si="14"/>
        <v>0</v>
      </c>
      <c r="M58" s="275">
        <f t="shared" si="15"/>
        <v>1</v>
      </c>
      <c r="N58" s="276">
        <f t="shared" si="16"/>
        <v>0</v>
      </c>
      <c r="O58" s="276">
        <f t="shared" si="17"/>
        <v>0</v>
      </c>
      <c r="P58" s="276">
        <f t="shared" si="18"/>
        <v>0</v>
      </c>
      <c r="Q58" s="276">
        <f t="shared" si="19"/>
        <v>0</v>
      </c>
      <c r="R58" s="329">
        <f t="shared" si="20"/>
        <v>1</v>
      </c>
      <c r="S58" s="273"/>
      <c r="T58" s="274" t="str">
        <f>IF(ISNA(VLOOKUP(D58,'One year follow-up_inperson'!$C:$C,1,FALSE)),"No","Yes")</f>
        <v>No</v>
      </c>
      <c r="U58" s="592" t="s">
        <v>679</v>
      </c>
      <c r="V58" s="61"/>
      <c r="W58" s="61"/>
      <c r="X58" s="61"/>
      <c r="Y58" s="61"/>
      <c r="Z58" s="61"/>
      <c r="AA58" s="61"/>
      <c r="AB58" s="61"/>
      <c r="AC58" s="61"/>
    </row>
    <row r="59" spans="1:29" ht="97.8" customHeight="1">
      <c r="A59" s="368">
        <v>27</v>
      </c>
      <c r="B59" s="550" t="s">
        <v>493</v>
      </c>
      <c r="C59" s="272" t="str">
        <f t="shared" si="2"/>
        <v>280</v>
      </c>
      <c r="D59" s="534">
        <v>28016</v>
      </c>
      <c r="E59" s="182" t="s">
        <v>296</v>
      </c>
      <c r="F59" s="535" t="s">
        <v>2</v>
      </c>
      <c r="G59" s="469">
        <v>35</v>
      </c>
      <c r="H59" s="537" t="s">
        <v>3</v>
      </c>
      <c r="I59" s="537" t="s">
        <v>315</v>
      </c>
      <c r="J59" s="275">
        <f t="shared" si="12"/>
        <v>0</v>
      </c>
      <c r="K59" s="275">
        <f t="shared" si="13"/>
        <v>0</v>
      </c>
      <c r="L59" s="275">
        <f t="shared" si="14"/>
        <v>0</v>
      </c>
      <c r="M59" s="275">
        <f t="shared" si="15"/>
        <v>0</v>
      </c>
      <c r="N59" s="276">
        <f t="shared" si="16"/>
        <v>0</v>
      </c>
      <c r="O59" s="276">
        <f t="shared" si="17"/>
        <v>0</v>
      </c>
      <c r="P59" s="276">
        <f t="shared" si="18"/>
        <v>0</v>
      </c>
      <c r="Q59" s="276">
        <f t="shared" si="19"/>
        <v>0</v>
      </c>
      <c r="R59" s="329">
        <f t="shared" si="20"/>
        <v>0</v>
      </c>
      <c r="S59" s="273"/>
      <c r="T59" s="274" t="str">
        <f>IF(ISNA(VLOOKUP(D59,'One year follow-up_inperson'!$C:$C,1,FALSE)),"No","Yes")</f>
        <v>No</v>
      </c>
      <c r="U59" s="592" t="s">
        <v>679</v>
      </c>
      <c r="V59" s="61"/>
      <c r="W59" s="61"/>
      <c r="X59" s="61"/>
      <c r="Y59" s="61"/>
      <c r="Z59" s="61"/>
      <c r="AA59" s="61"/>
      <c r="AB59" s="61"/>
      <c r="AC59" s="61"/>
    </row>
    <row r="60" spans="1:29" ht="97.8" customHeight="1">
      <c r="A60" s="368">
        <v>28</v>
      </c>
      <c r="B60" s="550" t="s">
        <v>493</v>
      </c>
      <c r="C60" s="272" t="str">
        <f t="shared" si="2"/>
        <v>280</v>
      </c>
      <c r="D60" s="534">
        <v>28017</v>
      </c>
      <c r="E60" s="182" t="s">
        <v>297</v>
      </c>
      <c r="F60" s="535" t="s">
        <v>2</v>
      </c>
      <c r="G60" s="469">
        <v>38</v>
      </c>
      <c r="H60" s="537" t="s">
        <v>5</v>
      </c>
      <c r="I60" s="537" t="s">
        <v>316</v>
      </c>
      <c r="J60" s="275">
        <f t="shared" si="12"/>
        <v>1</v>
      </c>
      <c r="K60" s="275">
        <f t="shared" si="13"/>
        <v>0</v>
      </c>
      <c r="L60" s="275">
        <f t="shared" si="14"/>
        <v>0</v>
      </c>
      <c r="M60" s="275">
        <f t="shared" si="15"/>
        <v>1</v>
      </c>
      <c r="N60" s="276">
        <f t="shared" si="16"/>
        <v>0</v>
      </c>
      <c r="O60" s="276">
        <f t="shared" si="17"/>
        <v>0</v>
      </c>
      <c r="P60" s="276">
        <f t="shared" si="18"/>
        <v>0</v>
      </c>
      <c r="Q60" s="276">
        <f t="shared" si="19"/>
        <v>0</v>
      </c>
      <c r="R60" s="329">
        <f t="shared" si="20"/>
        <v>1</v>
      </c>
      <c r="S60" s="273"/>
      <c r="T60" s="274" t="str">
        <f>IF(ISNA(VLOOKUP(D60,'One year follow-up_inperson'!$C:$C,1,FALSE)),"No","Yes")</f>
        <v>No</v>
      </c>
      <c r="U60" s="592" t="s">
        <v>679</v>
      </c>
      <c r="V60" s="61"/>
      <c r="W60" s="61"/>
      <c r="X60" s="61"/>
      <c r="Y60" s="61"/>
      <c r="Z60" s="61"/>
      <c r="AA60" s="61"/>
      <c r="AB60" s="61"/>
      <c r="AC60" s="61"/>
    </row>
    <row r="61" spans="1:29" ht="97.8" customHeight="1">
      <c r="A61" s="368">
        <v>29</v>
      </c>
      <c r="B61" s="550" t="s">
        <v>493</v>
      </c>
      <c r="C61" s="272" t="str">
        <f t="shared" si="2"/>
        <v>280</v>
      </c>
      <c r="D61" s="534">
        <v>28019</v>
      </c>
      <c r="E61" s="182" t="s">
        <v>298</v>
      </c>
      <c r="F61" s="535" t="s">
        <v>2</v>
      </c>
      <c r="G61" s="469">
        <v>34</v>
      </c>
      <c r="H61" s="537" t="s">
        <v>3</v>
      </c>
      <c r="I61" s="537" t="s">
        <v>673</v>
      </c>
      <c r="J61" s="275">
        <f t="shared" si="12"/>
        <v>0</v>
      </c>
      <c r="K61" s="275">
        <f t="shared" si="13"/>
        <v>1</v>
      </c>
      <c r="L61" s="275">
        <f t="shared" si="14"/>
        <v>0</v>
      </c>
      <c r="M61" s="275">
        <f t="shared" si="15"/>
        <v>1</v>
      </c>
      <c r="N61" s="276">
        <f t="shared" si="16"/>
        <v>1</v>
      </c>
      <c r="O61" s="276">
        <f t="shared" si="17"/>
        <v>0</v>
      </c>
      <c r="P61" s="276">
        <f t="shared" si="18"/>
        <v>0</v>
      </c>
      <c r="Q61" s="276">
        <f t="shared" si="19"/>
        <v>0</v>
      </c>
      <c r="R61" s="329">
        <f t="shared" si="20"/>
        <v>1</v>
      </c>
      <c r="S61" s="273"/>
      <c r="T61" s="274" t="str">
        <f>IF(ISNA(VLOOKUP(D61,'One year follow-up_inperson'!$C:$C,1,FALSE)),"No","Yes")</f>
        <v>No</v>
      </c>
      <c r="U61" s="592" t="s">
        <v>679</v>
      </c>
      <c r="V61" s="61"/>
      <c r="W61" s="61"/>
      <c r="X61" s="61"/>
      <c r="Y61" s="61"/>
      <c r="Z61" s="61"/>
      <c r="AA61" s="61"/>
      <c r="AB61" s="61"/>
      <c r="AC61" s="61"/>
    </row>
    <row r="62" spans="1:29" ht="97.8" customHeight="1">
      <c r="A62" s="368">
        <v>30</v>
      </c>
      <c r="B62" s="550" t="s">
        <v>493</v>
      </c>
      <c r="C62" s="272" t="str">
        <f t="shared" si="2"/>
        <v>280</v>
      </c>
      <c r="D62" s="534">
        <v>28020</v>
      </c>
      <c r="E62" s="182" t="s">
        <v>299</v>
      </c>
      <c r="F62" s="535" t="s">
        <v>2</v>
      </c>
      <c r="G62" s="469">
        <v>41</v>
      </c>
      <c r="H62" s="537" t="s">
        <v>3</v>
      </c>
      <c r="I62" s="537" t="s">
        <v>674</v>
      </c>
      <c r="J62" s="275">
        <f t="shared" si="12"/>
        <v>0</v>
      </c>
      <c r="K62" s="275">
        <f t="shared" si="13"/>
        <v>0</v>
      </c>
      <c r="L62" s="275">
        <f t="shared" si="14"/>
        <v>0</v>
      </c>
      <c r="M62" s="275">
        <f t="shared" si="15"/>
        <v>0</v>
      </c>
      <c r="N62" s="276">
        <f t="shared" si="16"/>
        <v>0</v>
      </c>
      <c r="O62" s="276">
        <f t="shared" si="17"/>
        <v>0</v>
      </c>
      <c r="P62" s="276">
        <f t="shared" si="18"/>
        <v>0</v>
      </c>
      <c r="Q62" s="276">
        <f t="shared" si="19"/>
        <v>0</v>
      </c>
      <c r="R62" s="329">
        <f t="shared" si="20"/>
        <v>0</v>
      </c>
      <c r="S62" s="273"/>
      <c r="T62" s="274" t="str">
        <f>IF(ISNA(VLOOKUP(D62,'One year follow-up_inperson'!$C:$C,1,FALSE)),"No","Yes")</f>
        <v>No</v>
      </c>
      <c r="U62" s="592" t="s">
        <v>679</v>
      </c>
      <c r="V62" s="61"/>
      <c r="W62" s="61"/>
      <c r="X62" s="61"/>
      <c r="Y62" s="61"/>
      <c r="Z62" s="61"/>
      <c r="AA62" s="61"/>
      <c r="AB62" s="61"/>
      <c r="AC62" s="61"/>
    </row>
    <row r="63" spans="1:29" ht="97.8" customHeight="1">
      <c r="A63" s="368">
        <v>31</v>
      </c>
      <c r="B63" s="550" t="s">
        <v>493</v>
      </c>
      <c r="C63" s="272" t="str">
        <f t="shared" si="2"/>
        <v>280</v>
      </c>
      <c r="D63" s="534">
        <v>28021</v>
      </c>
      <c r="E63" s="182" t="s">
        <v>300</v>
      </c>
      <c r="F63" s="535" t="s">
        <v>2</v>
      </c>
      <c r="G63" s="469">
        <v>39</v>
      </c>
      <c r="H63" s="537" t="s">
        <v>3</v>
      </c>
      <c r="I63" s="537" t="s">
        <v>317</v>
      </c>
      <c r="J63" s="275">
        <f t="shared" si="12"/>
        <v>0</v>
      </c>
      <c r="K63" s="275">
        <f t="shared" si="13"/>
        <v>0</v>
      </c>
      <c r="L63" s="275">
        <f t="shared" si="14"/>
        <v>0</v>
      </c>
      <c r="M63" s="275">
        <f t="shared" si="15"/>
        <v>0</v>
      </c>
      <c r="N63" s="276">
        <f t="shared" si="16"/>
        <v>0</v>
      </c>
      <c r="O63" s="276">
        <f t="shared" si="17"/>
        <v>0</v>
      </c>
      <c r="P63" s="276">
        <f t="shared" si="18"/>
        <v>0</v>
      </c>
      <c r="Q63" s="276">
        <f t="shared" si="19"/>
        <v>0</v>
      </c>
      <c r="R63" s="329">
        <f t="shared" si="20"/>
        <v>0</v>
      </c>
      <c r="S63" s="273"/>
      <c r="T63" s="274" t="str">
        <f>IF(ISNA(VLOOKUP(D63,'One year follow-up_inperson'!$C:$C,1,FALSE)),"No","Yes")</f>
        <v>No</v>
      </c>
      <c r="U63" s="592" t="s">
        <v>679</v>
      </c>
      <c r="V63" s="61"/>
      <c r="W63" s="61"/>
      <c r="X63" s="61"/>
      <c r="Y63" s="61"/>
      <c r="Z63" s="61"/>
      <c r="AA63" s="61"/>
      <c r="AB63" s="61"/>
      <c r="AC63" s="61"/>
    </row>
    <row r="64" spans="1:29" ht="97.8" customHeight="1">
      <c r="A64" s="368">
        <v>32</v>
      </c>
      <c r="B64" s="550" t="s">
        <v>493</v>
      </c>
      <c r="C64" s="272" t="str">
        <f t="shared" si="2"/>
        <v>280</v>
      </c>
      <c r="D64" s="534">
        <v>28029</v>
      </c>
      <c r="E64" s="182" t="s">
        <v>301</v>
      </c>
      <c r="F64" s="535" t="s">
        <v>2</v>
      </c>
      <c r="G64" s="469">
        <v>60</v>
      </c>
      <c r="H64" s="537" t="s">
        <v>3</v>
      </c>
      <c r="I64" s="537" t="s">
        <v>318</v>
      </c>
      <c r="J64" s="275">
        <f t="shared" si="12"/>
        <v>0</v>
      </c>
      <c r="K64" s="275">
        <f t="shared" si="13"/>
        <v>0</v>
      </c>
      <c r="L64" s="275">
        <f t="shared" si="14"/>
        <v>0</v>
      </c>
      <c r="M64" s="275">
        <f t="shared" si="15"/>
        <v>0</v>
      </c>
      <c r="N64" s="276">
        <f t="shared" si="16"/>
        <v>0</v>
      </c>
      <c r="O64" s="276">
        <f t="shared" si="17"/>
        <v>0</v>
      </c>
      <c r="P64" s="276">
        <f t="shared" si="18"/>
        <v>0</v>
      </c>
      <c r="Q64" s="276">
        <f t="shared" si="19"/>
        <v>0</v>
      </c>
      <c r="R64" s="329">
        <f t="shared" si="20"/>
        <v>0</v>
      </c>
      <c r="S64" s="273"/>
      <c r="T64" s="274" t="str">
        <f>IF(ISNA(VLOOKUP(D64,'One year follow-up_inperson'!$C:$C,1,FALSE)),"No","Yes")</f>
        <v>No</v>
      </c>
      <c r="U64" s="592" t="s">
        <v>679</v>
      </c>
      <c r="V64" s="61"/>
      <c r="W64" s="61"/>
      <c r="X64" s="61"/>
      <c r="Y64" s="61"/>
      <c r="Z64" s="61"/>
      <c r="AA64" s="61"/>
      <c r="AB64" s="61"/>
      <c r="AC64" s="61"/>
    </row>
    <row r="65" spans="1:29" ht="97.8" customHeight="1">
      <c r="A65" s="368">
        <v>33</v>
      </c>
      <c r="B65" s="550" t="s">
        <v>493</v>
      </c>
      <c r="C65" s="272" t="str">
        <f t="shared" si="2"/>
        <v>280</v>
      </c>
      <c r="D65" s="534">
        <v>28032</v>
      </c>
      <c r="E65" s="182" t="s">
        <v>302</v>
      </c>
      <c r="F65" s="535" t="s">
        <v>2</v>
      </c>
      <c r="G65" s="469">
        <v>53</v>
      </c>
      <c r="H65" s="537" t="s">
        <v>3</v>
      </c>
      <c r="I65" s="537" t="s">
        <v>319</v>
      </c>
      <c r="J65" s="275">
        <f t="shared" si="12"/>
        <v>1</v>
      </c>
      <c r="K65" s="275">
        <f t="shared" si="13"/>
        <v>1</v>
      </c>
      <c r="L65" s="275">
        <f t="shared" si="14"/>
        <v>0</v>
      </c>
      <c r="M65" s="275">
        <f t="shared" si="15"/>
        <v>1</v>
      </c>
      <c r="N65" s="276">
        <f t="shared" si="16"/>
        <v>0</v>
      </c>
      <c r="O65" s="276">
        <f t="shared" si="17"/>
        <v>0</v>
      </c>
      <c r="P65" s="276">
        <f t="shared" si="18"/>
        <v>0</v>
      </c>
      <c r="Q65" s="276">
        <f t="shared" si="19"/>
        <v>0</v>
      </c>
      <c r="R65" s="329">
        <f t="shared" si="20"/>
        <v>1</v>
      </c>
      <c r="S65" s="273"/>
      <c r="T65" s="274" t="str">
        <f>IF(ISNA(VLOOKUP(D65,'One year follow-up_inperson'!$C:$C,1,FALSE)),"No","Yes")</f>
        <v>No</v>
      </c>
      <c r="U65" s="592" t="s">
        <v>679</v>
      </c>
      <c r="V65" s="61"/>
      <c r="W65" s="61"/>
      <c r="X65" s="61"/>
      <c r="Y65" s="61"/>
      <c r="Z65" s="61"/>
      <c r="AA65" s="61"/>
      <c r="AB65" s="61"/>
      <c r="AC65" s="61"/>
    </row>
    <row r="66" spans="1:29" ht="97.8" customHeight="1">
      <c r="A66" s="368">
        <v>34</v>
      </c>
      <c r="B66" s="550" t="s">
        <v>493</v>
      </c>
      <c r="C66" s="272" t="str">
        <f t="shared" si="2"/>
        <v>280</v>
      </c>
      <c r="D66" s="534">
        <v>28037</v>
      </c>
      <c r="E66" s="182" t="s">
        <v>274</v>
      </c>
      <c r="F66" s="535" t="s">
        <v>2</v>
      </c>
      <c r="G66" s="469">
        <v>51</v>
      </c>
      <c r="H66" s="537" t="s">
        <v>3</v>
      </c>
      <c r="I66" s="537" t="s">
        <v>320</v>
      </c>
      <c r="J66" s="275">
        <f t="shared" si="12"/>
        <v>0</v>
      </c>
      <c r="K66" s="275">
        <f t="shared" si="13"/>
        <v>1</v>
      </c>
      <c r="L66" s="275">
        <f t="shared" si="14"/>
        <v>0</v>
      </c>
      <c r="M66" s="275">
        <f t="shared" si="15"/>
        <v>1</v>
      </c>
      <c r="N66" s="276">
        <f t="shared" si="16"/>
        <v>0</v>
      </c>
      <c r="O66" s="276">
        <f t="shared" si="17"/>
        <v>0</v>
      </c>
      <c r="P66" s="276">
        <f t="shared" si="18"/>
        <v>0</v>
      </c>
      <c r="Q66" s="276">
        <f t="shared" si="19"/>
        <v>0</v>
      </c>
      <c r="R66" s="329">
        <f t="shared" si="20"/>
        <v>1</v>
      </c>
      <c r="S66" s="273"/>
      <c r="T66" s="274" t="str">
        <f>IF(ISNA(VLOOKUP(D66,'One year follow-up_inperson'!$C:$C,1,FALSE)),"No","Yes")</f>
        <v>No</v>
      </c>
      <c r="U66" s="592" t="s">
        <v>679</v>
      </c>
      <c r="V66" s="61"/>
      <c r="W66" s="61"/>
      <c r="X66" s="61"/>
      <c r="Y66" s="61"/>
      <c r="Z66" s="61"/>
      <c r="AA66" s="61"/>
      <c r="AB66" s="61"/>
      <c r="AC66" s="61"/>
    </row>
    <row r="67" spans="1:29" ht="97.8" customHeight="1">
      <c r="A67" s="368">
        <v>35</v>
      </c>
      <c r="B67" s="550" t="s">
        <v>493</v>
      </c>
      <c r="C67" s="272" t="str">
        <f t="shared" si="2"/>
        <v>280</v>
      </c>
      <c r="D67" s="534">
        <v>28041</v>
      </c>
      <c r="E67" s="182" t="s">
        <v>303</v>
      </c>
      <c r="F67" s="535" t="s">
        <v>2</v>
      </c>
      <c r="G67" s="469">
        <v>30</v>
      </c>
      <c r="H67" s="537" t="s">
        <v>3</v>
      </c>
      <c r="I67" s="537" t="s">
        <v>321</v>
      </c>
      <c r="J67" s="275">
        <f t="shared" si="12"/>
        <v>0</v>
      </c>
      <c r="K67" s="275">
        <f t="shared" si="13"/>
        <v>0</v>
      </c>
      <c r="L67" s="275">
        <f t="shared" si="14"/>
        <v>0</v>
      </c>
      <c r="M67" s="275">
        <f t="shared" si="15"/>
        <v>0</v>
      </c>
      <c r="N67" s="276">
        <f t="shared" si="16"/>
        <v>0</v>
      </c>
      <c r="O67" s="276">
        <f t="shared" si="17"/>
        <v>0</v>
      </c>
      <c r="P67" s="276">
        <f t="shared" si="18"/>
        <v>0</v>
      </c>
      <c r="Q67" s="276">
        <f t="shared" si="19"/>
        <v>0</v>
      </c>
      <c r="R67" s="329">
        <f t="shared" si="20"/>
        <v>0</v>
      </c>
      <c r="S67" s="273"/>
      <c r="T67" s="274" t="str">
        <f>IF(ISNA(VLOOKUP(D67,'One year follow-up_inperson'!$C:$C,1,FALSE)),"No","Yes")</f>
        <v>No</v>
      </c>
      <c r="U67" s="592" t="s">
        <v>679</v>
      </c>
      <c r="V67" s="61"/>
      <c r="W67" s="61"/>
      <c r="X67" s="61"/>
      <c r="Y67" s="61"/>
      <c r="Z67" s="61"/>
      <c r="AA67" s="61"/>
      <c r="AB67" s="61"/>
      <c r="AC67" s="61"/>
    </row>
    <row r="68" spans="1:29" ht="97.8" customHeight="1">
      <c r="A68" s="368">
        <v>36</v>
      </c>
      <c r="B68" s="550" t="s">
        <v>493</v>
      </c>
      <c r="C68" s="272" t="str">
        <f t="shared" si="2"/>
        <v>280</v>
      </c>
      <c r="D68" s="534">
        <v>28048</v>
      </c>
      <c r="E68" s="182" t="s">
        <v>304</v>
      </c>
      <c r="F68" s="535" t="s">
        <v>2</v>
      </c>
      <c r="G68" s="469">
        <v>60</v>
      </c>
      <c r="H68" s="537" t="s">
        <v>3</v>
      </c>
      <c r="I68" s="537" t="s">
        <v>472</v>
      </c>
      <c r="J68" s="275">
        <f t="shared" si="12"/>
        <v>1</v>
      </c>
      <c r="K68" s="275">
        <f t="shared" si="13"/>
        <v>0</v>
      </c>
      <c r="L68" s="275">
        <f t="shared" si="14"/>
        <v>0</v>
      </c>
      <c r="M68" s="275">
        <f t="shared" si="15"/>
        <v>1</v>
      </c>
      <c r="N68" s="276">
        <f t="shared" si="16"/>
        <v>0</v>
      </c>
      <c r="O68" s="276">
        <f t="shared" si="17"/>
        <v>0</v>
      </c>
      <c r="P68" s="276">
        <f t="shared" si="18"/>
        <v>0</v>
      </c>
      <c r="Q68" s="276">
        <f t="shared" si="19"/>
        <v>0</v>
      </c>
      <c r="R68" s="329">
        <f t="shared" si="20"/>
        <v>1</v>
      </c>
      <c r="S68" s="273"/>
      <c r="T68" s="274" t="str">
        <f>IF(ISNA(VLOOKUP(D68,'One year follow-up_inperson'!$C:$C,1,FALSE)),"No","Yes")</f>
        <v>No</v>
      </c>
      <c r="U68" s="592" t="s">
        <v>679</v>
      </c>
      <c r="V68" s="61"/>
      <c r="W68" s="61"/>
      <c r="X68" s="61"/>
      <c r="Y68" s="61"/>
      <c r="Z68" s="61"/>
      <c r="AA68" s="61"/>
      <c r="AB68" s="61"/>
      <c r="AC68" s="61"/>
    </row>
    <row r="69" spans="1:29" ht="97.8" customHeight="1">
      <c r="A69" s="368">
        <v>37</v>
      </c>
      <c r="B69" s="550" t="s">
        <v>493</v>
      </c>
      <c r="C69" s="272" t="str">
        <f t="shared" si="2"/>
        <v>280</v>
      </c>
      <c r="D69" s="534">
        <v>28049</v>
      </c>
      <c r="E69" s="182" t="s">
        <v>305</v>
      </c>
      <c r="F69" s="535" t="s">
        <v>2</v>
      </c>
      <c r="G69" s="469">
        <v>50</v>
      </c>
      <c r="H69" s="537" t="s">
        <v>3</v>
      </c>
      <c r="I69" s="537" t="s">
        <v>322</v>
      </c>
      <c r="J69" s="275">
        <f t="shared" si="12"/>
        <v>0</v>
      </c>
      <c r="K69" s="275">
        <f t="shared" si="13"/>
        <v>1</v>
      </c>
      <c r="L69" s="275">
        <f t="shared" si="14"/>
        <v>0</v>
      </c>
      <c r="M69" s="275">
        <f t="shared" si="15"/>
        <v>1</v>
      </c>
      <c r="N69" s="276">
        <f t="shared" si="16"/>
        <v>0</v>
      </c>
      <c r="O69" s="276">
        <f t="shared" si="17"/>
        <v>0</v>
      </c>
      <c r="P69" s="276">
        <f t="shared" si="18"/>
        <v>0</v>
      </c>
      <c r="Q69" s="276">
        <f t="shared" si="19"/>
        <v>0</v>
      </c>
      <c r="R69" s="329">
        <f t="shared" si="20"/>
        <v>1</v>
      </c>
      <c r="S69" s="273"/>
      <c r="T69" s="274" t="str">
        <f>IF(ISNA(VLOOKUP(D69,'One year follow-up_inperson'!$C:$C,1,FALSE)),"No","Yes")</f>
        <v>No</v>
      </c>
      <c r="U69" s="592" t="s">
        <v>679</v>
      </c>
      <c r="V69" s="61"/>
      <c r="W69" s="61"/>
      <c r="X69" s="61"/>
      <c r="Y69" s="61"/>
      <c r="Z69" s="61"/>
      <c r="AA69" s="61"/>
      <c r="AB69" s="61"/>
      <c r="AC69" s="61"/>
    </row>
    <row r="70" spans="1:29" ht="97.8" customHeight="1">
      <c r="A70" s="368">
        <v>38</v>
      </c>
      <c r="B70" s="550" t="s">
        <v>493</v>
      </c>
      <c r="C70" s="272" t="str">
        <f t="shared" si="2"/>
        <v>280</v>
      </c>
      <c r="D70" s="534">
        <v>28050</v>
      </c>
      <c r="E70" s="182" t="s">
        <v>306</v>
      </c>
      <c r="F70" s="535" t="s">
        <v>2</v>
      </c>
      <c r="G70" s="469">
        <v>43</v>
      </c>
      <c r="H70" s="537" t="s">
        <v>3</v>
      </c>
      <c r="I70" s="537" t="s">
        <v>471</v>
      </c>
      <c r="J70" s="275">
        <f t="shared" si="12"/>
        <v>0</v>
      </c>
      <c r="K70" s="275">
        <f t="shared" si="13"/>
        <v>1</v>
      </c>
      <c r="L70" s="275">
        <f t="shared" si="14"/>
        <v>0</v>
      </c>
      <c r="M70" s="275">
        <f t="shared" si="15"/>
        <v>1</v>
      </c>
      <c r="N70" s="276">
        <f t="shared" si="16"/>
        <v>1</v>
      </c>
      <c r="O70" s="276">
        <f t="shared" si="17"/>
        <v>0</v>
      </c>
      <c r="P70" s="276">
        <f t="shared" si="18"/>
        <v>0</v>
      </c>
      <c r="Q70" s="276">
        <f t="shared" si="19"/>
        <v>0</v>
      </c>
      <c r="R70" s="329">
        <f t="shared" si="20"/>
        <v>1</v>
      </c>
      <c r="S70" s="273"/>
      <c r="T70" s="274" t="str">
        <f>IF(ISNA(VLOOKUP(D70,'One year follow-up_inperson'!$C:$C,1,FALSE)),"No","Yes")</f>
        <v>No</v>
      </c>
      <c r="U70" s="592" t="s">
        <v>679</v>
      </c>
      <c r="V70" s="61"/>
      <c r="W70" s="61"/>
      <c r="X70" s="61"/>
      <c r="Y70" s="61"/>
      <c r="Z70" s="61"/>
      <c r="AA70" s="61"/>
      <c r="AB70" s="61"/>
      <c r="AC70" s="61"/>
    </row>
    <row r="71" spans="1:29" ht="97.8" customHeight="1">
      <c r="A71" s="368">
        <v>39</v>
      </c>
      <c r="B71" s="550" t="s">
        <v>493</v>
      </c>
      <c r="C71" s="272" t="str">
        <f t="shared" si="2"/>
        <v>280</v>
      </c>
      <c r="D71" s="534">
        <v>28052</v>
      </c>
      <c r="E71" s="182" t="s">
        <v>307</v>
      </c>
      <c r="F71" s="535" t="s">
        <v>2</v>
      </c>
      <c r="G71" s="469">
        <v>23</v>
      </c>
      <c r="H71" s="537" t="s">
        <v>3</v>
      </c>
      <c r="I71" s="537" t="s">
        <v>470</v>
      </c>
      <c r="J71" s="275">
        <f t="shared" si="12"/>
        <v>1</v>
      </c>
      <c r="K71" s="275">
        <f t="shared" si="13"/>
        <v>0</v>
      </c>
      <c r="L71" s="275">
        <f t="shared" si="14"/>
        <v>0</v>
      </c>
      <c r="M71" s="275">
        <f t="shared" si="15"/>
        <v>1</v>
      </c>
      <c r="N71" s="276">
        <f t="shared" si="16"/>
        <v>0</v>
      </c>
      <c r="O71" s="276">
        <f t="shared" si="17"/>
        <v>0</v>
      </c>
      <c r="P71" s="276">
        <f t="shared" si="18"/>
        <v>0</v>
      </c>
      <c r="Q71" s="276">
        <f t="shared" si="19"/>
        <v>0</v>
      </c>
      <c r="R71" s="329">
        <f t="shared" si="20"/>
        <v>1</v>
      </c>
      <c r="S71" s="273"/>
      <c r="T71" s="274" t="str">
        <f>IF(ISNA(VLOOKUP(D71,'One year follow-up_inperson'!$C:$C,1,FALSE)),"No","Yes")</f>
        <v>No</v>
      </c>
      <c r="U71" s="592" t="s">
        <v>679</v>
      </c>
      <c r="V71" s="61"/>
      <c r="W71" s="61"/>
      <c r="X71" s="61"/>
      <c r="Y71" s="61"/>
      <c r="Z71" s="61"/>
      <c r="AA71" s="61"/>
      <c r="AB71" s="61"/>
      <c r="AC71" s="61"/>
    </row>
    <row r="72" spans="1:29" ht="97.8" customHeight="1">
      <c r="A72" s="368">
        <v>40</v>
      </c>
      <c r="B72" s="368"/>
      <c r="C72" s="272" t="str">
        <f>LEFT(D72,3)</f>
        <v>281</v>
      </c>
      <c r="D72" s="531">
        <v>2812</v>
      </c>
      <c r="E72" s="182" t="s">
        <v>261</v>
      </c>
      <c r="F72" s="532" t="s">
        <v>2</v>
      </c>
      <c r="G72" s="536">
        <v>38</v>
      </c>
      <c r="H72" s="532" t="s">
        <v>3</v>
      </c>
      <c r="I72" s="533" t="s">
        <v>275</v>
      </c>
      <c r="J72" s="275">
        <f>IF(OR(ISNUMBER(SEARCH("confidence",I72))=TRUE,ISNUMBER(SEARCH("hope for the future",I72))=TRUE,ISNUMBER(SEARCH("communicate",I72))=TRUE,ISNUMBER(SEARCH("worthy",I72))=TRUE,ISNUMBER(SEARCH("thought",I72))=TRUE,ISNUMBER(SEARCH("open",I72))=TRUE,ISNUMBER(SEARCH("believe",I72))=TRUE,ISNUMBER(SEARCH("confident",I72))=TRUE,ISNUMBER(SEARCH("empower",I72))=TRUE),1,0)</f>
        <v>0</v>
      </c>
      <c r="K72" s="275">
        <f>IF(OR(ISNUMBER(SEARCH("decision",I72))=TRUE,ISNUMBER(SEARCH("save",I72))=TRUE,ISNUMBER(SEARCH("saving",I72))=TRUE,ISNUMBER(SEARCH("started",I72))=TRUE,ISNUMBER(SEARCH("buy",I72))=TRUE,ISNUMBER(SEARCH("bought",I72))=TRUE),1,0)</f>
        <v>1</v>
      </c>
      <c r="L72" s="275">
        <f>IF(OR(ISNUMBER(SEARCH("active",I72))=TRUE,ISNUMBER(SEARCH("proactive",I72))=TRUE,ISNUMBER(SEARCH("face challenge",I72))=TRUE),1,0)</f>
        <v>0</v>
      </c>
      <c r="M72" s="275">
        <f>IF(OR(J72=1,K72=1,L72=1),1,0)</f>
        <v>1</v>
      </c>
      <c r="N72" s="276">
        <f>IF(OR(ISNUMBER(SEARCH("started a business",I72))=TRUE,ISNUMBER(SEARCH("started an income generating activity",I72))=TRUE,ISNUMBER(SEARCH("a business",I72))=TRUE),1,0)</f>
        <v>0</v>
      </c>
      <c r="O72" s="276">
        <f>IF(OR(ISNUMBER(SEARCH("got a job",I72))=TRUE,ISNUMBER(SEARCH("got an internship",I72))=TRUE,ISNUMBER(SEARCH("got a promotion",I72))=TRUE),1,0)</f>
        <v>0</v>
      </c>
      <c r="P72" s="276">
        <f>IF(OR(ISNUMBER(SEARCH("school admission",I72))=TRUE,ISNUMBER(SEARCH("perfomance in class",I72))=TRUE,ISNUMBER(SEARCH("scholarship",I72))=TRUE,ISNUMBER(SEARCH("pursue higher education",I72))=TRUE),1,0)</f>
        <v>0</v>
      </c>
      <c r="Q72" s="276">
        <f>IF(OR(ISNUMBER(SEARCH("leadership role",I72))=TRUE),1,0)</f>
        <v>0</v>
      </c>
      <c r="R72" s="329">
        <f>IF(OR(M72=1,N72=1,O72=1,P72=1,Q72=1),1,0)</f>
        <v>1</v>
      </c>
      <c r="S72" s="273"/>
      <c r="T72" s="274" t="str">
        <f>IF(ISNA(VLOOKUP(D72,'One year follow-up_inperson'!$C:$C,1,FALSE)),"No","Yes")</f>
        <v>No</v>
      </c>
      <c r="U72" s="592" t="s">
        <v>679</v>
      </c>
      <c r="V72" s="61"/>
      <c r="W72" s="61"/>
      <c r="X72" s="61"/>
      <c r="Y72" s="61"/>
      <c r="Z72" s="61"/>
      <c r="AA72" s="61"/>
      <c r="AB72" s="61"/>
      <c r="AC72" s="61"/>
    </row>
    <row r="73" spans="1:29" ht="97.8" customHeight="1">
      <c r="A73" s="368">
        <v>41</v>
      </c>
      <c r="B73" s="368"/>
      <c r="C73" s="272" t="str">
        <f t="shared" si="2"/>
        <v>281</v>
      </c>
      <c r="D73" s="531">
        <v>2813</v>
      </c>
      <c r="E73" s="182" t="s">
        <v>262</v>
      </c>
      <c r="F73" s="532" t="s">
        <v>2</v>
      </c>
      <c r="G73" s="469">
        <v>38</v>
      </c>
      <c r="H73" s="532" t="s">
        <v>3</v>
      </c>
      <c r="I73" s="533" t="s">
        <v>276</v>
      </c>
      <c r="J73" s="275">
        <f t="shared" ref="J73:J86" si="21">IF(OR(ISNUMBER(SEARCH("confidence",I73))=TRUE,ISNUMBER(SEARCH("hope for the future",I73))=TRUE,ISNUMBER(SEARCH("communicate",I73))=TRUE,ISNUMBER(SEARCH("worthy",I73))=TRUE,ISNUMBER(SEARCH("thought",I73))=TRUE,ISNUMBER(SEARCH("open",I73))=TRUE,ISNUMBER(SEARCH("believe",I73))=TRUE,ISNUMBER(SEARCH("confident",I73))=TRUE,ISNUMBER(SEARCH("empower",I73))=TRUE),1,0)</f>
        <v>1</v>
      </c>
      <c r="K73" s="275">
        <f t="shared" ref="K73:K86" si="22">IF(OR(ISNUMBER(SEARCH("decision",I73))=TRUE,ISNUMBER(SEARCH("save",I73))=TRUE,ISNUMBER(SEARCH("saving",I73))=TRUE,ISNUMBER(SEARCH("started",I73))=TRUE,ISNUMBER(SEARCH("buy",I73))=TRUE,ISNUMBER(SEARCH("bought",I73))=TRUE),1,0)</f>
        <v>1</v>
      </c>
      <c r="L73" s="275">
        <f t="shared" ref="L73:L86" si="23">IF(OR(ISNUMBER(SEARCH("active",I73))=TRUE,ISNUMBER(SEARCH("proactive",I73))=TRUE,ISNUMBER(SEARCH("face challenge",I73))=TRUE),1,0)</f>
        <v>0</v>
      </c>
      <c r="M73" s="275">
        <f t="shared" ref="M73:M86" si="24">IF(OR(J73=1,K73=1,L73=1),1,0)</f>
        <v>1</v>
      </c>
      <c r="N73" s="276">
        <f t="shared" ref="N73:N86" si="25">IF(OR(ISNUMBER(SEARCH("started a business",I73))=TRUE,ISNUMBER(SEARCH("started an income generating activity",I73))=TRUE,ISNUMBER(SEARCH("a business",I73))=TRUE),1,0)</f>
        <v>1</v>
      </c>
      <c r="O73" s="276">
        <f t="shared" ref="O73:O86" si="26">IF(OR(ISNUMBER(SEARCH("got a job",I73))=TRUE,ISNUMBER(SEARCH("got an internship",I73))=TRUE,ISNUMBER(SEARCH("got a promotion",I73))=TRUE),1,0)</f>
        <v>0</v>
      </c>
      <c r="P73" s="276">
        <f t="shared" ref="P73:P86" si="27">IF(OR(ISNUMBER(SEARCH("school admission",I73))=TRUE,ISNUMBER(SEARCH("perfomance in class",I73))=TRUE,ISNUMBER(SEARCH("scholarship",I73))=TRUE,ISNUMBER(SEARCH("pursue higher education",I73))=TRUE),1,0)</f>
        <v>0</v>
      </c>
      <c r="Q73" s="276">
        <f t="shared" ref="Q73:Q86" si="28">IF(OR(ISNUMBER(SEARCH("leadership role",I73))=TRUE),1,0)</f>
        <v>0</v>
      </c>
      <c r="R73" s="329">
        <f t="shared" ref="R73:R86" si="29">IF(OR(M73=1,N73=1,O73=1,P73=1,Q73=1),1,0)</f>
        <v>1</v>
      </c>
      <c r="S73" s="273"/>
      <c r="T73" s="274" t="str">
        <f>IF(ISNA(VLOOKUP(D73,'One year follow-up_inperson'!$C:$C,1,FALSE)),"No","Yes")</f>
        <v>No</v>
      </c>
      <c r="U73" s="592" t="s">
        <v>679</v>
      </c>
      <c r="V73" s="61"/>
      <c r="W73" s="61"/>
      <c r="X73" s="61"/>
      <c r="Y73" s="61"/>
      <c r="Z73" s="61"/>
      <c r="AA73" s="61"/>
      <c r="AB73" s="61"/>
      <c r="AC73" s="61"/>
    </row>
    <row r="74" spans="1:29" ht="70.8" customHeight="1">
      <c r="A74" s="368">
        <v>42</v>
      </c>
      <c r="B74" s="368"/>
      <c r="C74" s="272" t="str">
        <f t="shared" si="2"/>
        <v>281</v>
      </c>
      <c r="D74" s="531">
        <v>28114</v>
      </c>
      <c r="E74" s="182" t="s">
        <v>263</v>
      </c>
      <c r="F74" s="532" t="s">
        <v>2</v>
      </c>
      <c r="G74" s="469">
        <v>32</v>
      </c>
      <c r="H74" s="532" t="s">
        <v>3</v>
      </c>
      <c r="I74" s="533" t="s">
        <v>277</v>
      </c>
      <c r="J74" s="275">
        <f t="shared" si="21"/>
        <v>0</v>
      </c>
      <c r="K74" s="275">
        <f t="shared" si="22"/>
        <v>1</v>
      </c>
      <c r="L74" s="275">
        <f t="shared" si="23"/>
        <v>0</v>
      </c>
      <c r="M74" s="275">
        <f t="shared" si="24"/>
        <v>1</v>
      </c>
      <c r="N74" s="276">
        <f t="shared" si="25"/>
        <v>1</v>
      </c>
      <c r="O74" s="276">
        <f t="shared" si="26"/>
        <v>0</v>
      </c>
      <c r="P74" s="276">
        <f t="shared" si="27"/>
        <v>0</v>
      </c>
      <c r="Q74" s="276">
        <f t="shared" si="28"/>
        <v>0</v>
      </c>
      <c r="R74" s="329">
        <f t="shared" si="29"/>
        <v>1</v>
      </c>
      <c r="S74" s="273"/>
      <c r="T74" s="274" t="str">
        <f>IF(ISNA(VLOOKUP(D74,'One year follow-up_inperson'!$C:$C,1,FALSE)),"No","Yes")</f>
        <v>No</v>
      </c>
      <c r="U74" s="592" t="s">
        <v>679</v>
      </c>
      <c r="V74" s="61"/>
      <c r="W74" s="61"/>
      <c r="X74" s="61"/>
      <c r="Y74" s="61"/>
      <c r="Z74" s="61"/>
      <c r="AA74" s="61"/>
      <c r="AB74" s="61"/>
      <c r="AC74" s="61"/>
    </row>
    <row r="75" spans="1:29" ht="59.55" customHeight="1">
      <c r="A75" s="368">
        <v>43</v>
      </c>
      <c r="B75" s="368"/>
      <c r="C75" s="272" t="str">
        <f t="shared" si="2"/>
        <v>281</v>
      </c>
      <c r="D75" s="531">
        <v>28115</v>
      </c>
      <c r="E75" s="182" t="s">
        <v>264</v>
      </c>
      <c r="F75" s="532" t="s">
        <v>2</v>
      </c>
      <c r="G75" s="469">
        <v>30</v>
      </c>
      <c r="H75" s="532" t="s">
        <v>3</v>
      </c>
      <c r="I75" s="532" t="s">
        <v>278</v>
      </c>
      <c r="J75" s="275">
        <f t="shared" si="21"/>
        <v>1</v>
      </c>
      <c r="K75" s="275">
        <f t="shared" si="22"/>
        <v>0</v>
      </c>
      <c r="L75" s="275">
        <f t="shared" si="23"/>
        <v>0</v>
      </c>
      <c r="M75" s="275">
        <f t="shared" si="24"/>
        <v>1</v>
      </c>
      <c r="N75" s="276">
        <f t="shared" si="25"/>
        <v>0</v>
      </c>
      <c r="O75" s="276">
        <f t="shared" si="26"/>
        <v>0</v>
      </c>
      <c r="P75" s="276">
        <f t="shared" si="27"/>
        <v>0</v>
      </c>
      <c r="Q75" s="276">
        <f t="shared" si="28"/>
        <v>0</v>
      </c>
      <c r="R75" s="329">
        <f t="shared" si="29"/>
        <v>1</v>
      </c>
      <c r="S75" s="273"/>
      <c r="T75" s="274" t="str">
        <f>IF(ISNA(VLOOKUP(D75,'One year follow-up_inperson'!$C:$C,1,FALSE)),"No","Yes")</f>
        <v>No</v>
      </c>
      <c r="U75" s="592" t="s">
        <v>679</v>
      </c>
      <c r="V75" s="61"/>
      <c r="W75" s="61"/>
      <c r="X75" s="61"/>
      <c r="Y75" s="61"/>
      <c r="Z75" s="61"/>
      <c r="AA75" s="61"/>
      <c r="AB75" s="61"/>
      <c r="AC75" s="61"/>
    </row>
    <row r="76" spans="1:29" ht="72" customHeight="1">
      <c r="A76" s="368">
        <v>44</v>
      </c>
      <c r="B76" s="368"/>
      <c r="C76" s="272" t="str">
        <f t="shared" si="2"/>
        <v>281</v>
      </c>
      <c r="D76" s="531">
        <v>28116</v>
      </c>
      <c r="E76" s="182" t="s">
        <v>265</v>
      </c>
      <c r="F76" s="532" t="s">
        <v>2</v>
      </c>
      <c r="G76" s="469">
        <v>40</v>
      </c>
      <c r="H76" s="532" t="s">
        <v>3</v>
      </c>
      <c r="I76" s="533" t="s">
        <v>279</v>
      </c>
      <c r="J76" s="275">
        <f t="shared" si="21"/>
        <v>1</v>
      </c>
      <c r="K76" s="275">
        <f t="shared" si="22"/>
        <v>1</v>
      </c>
      <c r="L76" s="275">
        <f t="shared" si="23"/>
        <v>0</v>
      </c>
      <c r="M76" s="275">
        <f t="shared" si="24"/>
        <v>1</v>
      </c>
      <c r="N76" s="276">
        <f t="shared" si="25"/>
        <v>1</v>
      </c>
      <c r="O76" s="276">
        <f t="shared" si="26"/>
        <v>0</v>
      </c>
      <c r="P76" s="276">
        <f t="shared" si="27"/>
        <v>0</v>
      </c>
      <c r="Q76" s="276">
        <f t="shared" si="28"/>
        <v>0</v>
      </c>
      <c r="R76" s="329">
        <f t="shared" si="29"/>
        <v>1</v>
      </c>
      <c r="S76" s="273"/>
      <c r="T76" s="274" t="str">
        <f>IF(ISNA(VLOOKUP(D76,'One year follow-up_inperson'!$C:$C,1,FALSE)),"No","Yes")</f>
        <v>No</v>
      </c>
      <c r="U76" s="592" t="s">
        <v>679</v>
      </c>
      <c r="V76" s="61"/>
      <c r="W76" s="61"/>
      <c r="X76" s="61"/>
      <c r="Y76" s="61"/>
      <c r="Z76" s="61"/>
      <c r="AA76" s="61"/>
      <c r="AB76" s="61"/>
      <c r="AC76" s="61"/>
    </row>
    <row r="77" spans="1:29" ht="52.8" customHeight="1">
      <c r="A77" s="368">
        <v>45</v>
      </c>
      <c r="B77" s="368"/>
      <c r="C77" s="272" t="str">
        <f t="shared" si="2"/>
        <v>281</v>
      </c>
      <c r="D77" s="531">
        <v>28117</v>
      </c>
      <c r="E77" s="182" t="s">
        <v>266</v>
      </c>
      <c r="F77" s="532" t="s">
        <v>2</v>
      </c>
      <c r="G77" s="469">
        <v>62</v>
      </c>
      <c r="H77" s="532" t="s">
        <v>3</v>
      </c>
      <c r="I77" s="532" t="s">
        <v>280</v>
      </c>
      <c r="J77" s="275">
        <f t="shared" si="21"/>
        <v>0</v>
      </c>
      <c r="K77" s="275">
        <f t="shared" si="22"/>
        <v>1</v>
      </c>
      <c r="L77" s="275">
        <f t="shared" si="23"/>
        <v>0</v>
      </c>
      <c r="M77" s="275">
        <f t="shared" si="24"/>
        <v>1</v>
      </c>
      <c r="N77" s="276">
        <f t="shared" si="25"/>
        <v>1</v>
      </c>
      <c r="O77" s="276">
        <f t="shared" si="26"/>
        <v>0</v>
      </c>
      <c r="P77" s="276">
        <f t="shared" si="27"/>
        <v>0</v>
      </c>
      <c r="Q77" s="276">
        <f t="shared" si="28"/>
        <v>0</v>
      </c>
      <c r="R77" s="329">
        <f t="shared" si="29"/>
        <v>1</v>
      </c>
      <c r="S77" s="273"/>
      <c r="T77" s="274" t="str">
        <f>IF(ISNA(VLOOKUP(D77,'One year follow-up_inperson'!$C:$C,1,FALSE)),"No","Yes")</f>
        <v>No</v>
      </c>
      <c r="U77" s="592" t="s">
        <v>679</v>
      </c>
      <c r="V77" s="61"/>
      <c r="W77" s="61"/>
      <c r="X77" s="61"/>
      <c r="Y77" s="61"/>
      <c r="Z77" s="61"/>
      <c r="AA77" s="61"/>
      <c r="AB77" s="61"/>
      <c r="AC77" s="61"/>
    </row>
    <row r="78" spans="1:29" ht="58.25" customHeight="1">
      <c r="A78" s="368">
        <v>46</v>
      </c>
      <c r="B78" s="368"/>
      <c r="C78" s="272" t="str">
        <f t="shared" si="2"/>
        <v>281</v>
      </c>
      <c r="D78" s="531">
        <v>28118</v>
      </c>
      <c r="E78" s="182" t="s">
        <v>267</v>
      </c>
      <c r="F78" s="532" t="s">
        <v>2</v>
      </c>
      <c r="G78" s="469">
        <v>35</v>
      </c>
      <c r="H78" s="532" t="s">
        <v>3</v>
      </c>
      <c r="I78" s="533" t="s">
        <v>469</v>
      </c>
      <c r="J78" s="275">
        <f t="shared" si="21"/>
        <v>1</v>
      </c>
      <c r="K78" s="275">
        <f t="shared" si="22"/>
        <v>0</v>
      </c>
      <c r="L78" s="275">
        <f t="shared" si="23"/>
        <v>0</v>
      </c>
      <c r="M78" s="275">
        <f t="shared" si="24"/>
        <v>1</v>
      </c>
      <c r="N78" s="276">
        <f t="shared" si="25"/>
        <v>0</v>
      </c>
      <c r="O78" s="276">
        <f t="shared" si="26"/>
        <v>0</v>
      </c>
      <c r="P78" s="276">
        <f t="shared" si="27"/>
        <v>0</v>
      </c>
      <c r="Q78" s="276">
        <f t="shared" si="28"/>
        <v>0</v>
      </c>
      <c r="R78" s="329">
        <f t="shared" si="29"/>
        <v>1</v>
      </c>
      <c r="S78" s="273"/>
      <c r="T78" s="274" t="str">
        <f>IF(ISNA(VLOOKUP(D78,'One year follow-up_inperson'!$C:$C,1,FALSE)),"No","Yes")</f>
        <v>No</v>
      </c>
      <c r="U78" s="592" t="s">
        <v>679</v>
      </c>
      <c r="V78" s="61"/>
      <c r="W78" s="61"/>
      <c r="X78" s="61"/>
      <c r="Y78" s="61"/>
      <c r="Z78" s="61"/>
      <c r="AA78" s="61"/>
      <c r="AB78" s="61"/>
      <c r="AC78" s="61"/>
    </row>
    <row r="79" spans="1:29" ht="67.25" customHeight="1">
      <c r="A79" s="368">
        <v>47</v>
      </c>
      <c r="B79" s="368"/>
      <c r="C79" s="272" t="str">
        <f t="shared" si="2"/>
        <v>281</v>
      </c>
      <c r="D79" s="531">
        <v>28119</v>
      </c>
      <c r="E79" s="182" t="s">
        <v>268</v>
      </c>
      <c r="F79" s="532" t="s">
        <v>2</v>
      </c>
      <c r="G79" s="469">
        <v>45</v>
      </c>
      <c r="H79" s="532" t="s">
        <v>3</v>
      </c>
      <c r="I79" s="533" t="s">
        <v>281</v>
      </c>
      <c r="J79" s="275">
        <f t="shared" si="21"/>
        <v>0</v>
      </c>
      <c r="K79" s="275">
        <f t="shared" si="22"/>
        <v>1</v>
      </c>
      <c r="L79" s="275">
        <f t="shared" si="23"/>
        <v>0</v>
      </c>
      <c r="M79" s="275">
        <f t="shared" si="24"/>
        <v>1</v>
      </c>
      <c r="N79" s="276">
        <f t="shared" si="25"/>
        <v>1</v>
      </c>
      <c r="O79" s="276">
        <f t="shared" si="26"/>
        <v>0</v>
      </c>
      <c r="P79" s="276">
        <f t="shared" si="27"/>
        <v>0</v>
      </c>
      <c r="Q79" s="276">
        <f t="shared" si="28"/>
        <v>0</v>
      </c>
      <c r="R79" s="329">
        <f t="shared" si="29"/>
        <v>1</v>
      </c>
      <c r="S79" s="273"/>
      <c r="T79" s="274" t="str">
        <f>IF(ISNA(VLOOKUP(D79,'One year follow-up_inperson'!$C:$C,1,FALSE)),"No","Yes")</f>
        <v>No</v>
      </c>
      <c r="U79" s="592" t="s">
        <v>679</v>
      </c>
      <c r="V79" s="61"/>
      <c r="W79" s="61"/>
      <c r="X79" s="61"/>
      <c r="Y79" s="61"/>
      <c r="Z79" s="61"/>
      <c r="AA79" s="61"/>
      <c r="AB79" s="61"/>
      <c r="AC79" s="61"/>
    </row>
    <row r="80" spans="1:29" ht="52.8" customHeight="1">
      <c r="A80" s="368">
        <v>48</v>
      </c>
      <c r="B80" s="368"/>
      <c r="C80" s="272" t="str">
        <f t="shared" si="2"/>
        <v>281</v>
      </c>
      <c r="D80" s="531">
        <v>28120</v>
      </c>
      <c r="E80" s="182" t="s">
        <v>269</v>
      </c>
      <c r="F80" s="532" t="s">
        <v>2</v>
      </c>
      <c r="G80" s="469">
        <v>38</v>
      </c>
      <c r="H80" s="532" t="s">
        <v>3</v>
      </c>
      <c r="I80" s="533" t="s">
        <v>282</v>
      </c>
      <c r="J80" s="275">
        <f t="shared" si="21"/>
        <v>1</v>
      </c>
      <c r="K80" s="275">
        <f t="shared" si="22"/>
        <v>0</v>
      </c>
      <c r="L80" s="275">
        <f t="shared" si="23"/>
        <v>0</v>
      </c>
      <c r="M80" s="275">
        <f t="shared" si="24"/>
        <v>1</v>
      </c>
      <c r="N80" s="276">
        <f t="shared" si="25"/>
        <v>0</v>
      </c>
      <c r="O80" s="276">
        <f t="shared" si="26"/>
        <v>0</v>
      </c>
      <c r="P80" s="276">
        <f t="shared" si="27"/>
        <v>0</v>
      </c>
      <c r="Q80" s="276">
        <f t="shared" si="28"/>
        <v>0</v>
      </c>
      <c r="R80" s="329">
        <f t="shared" si="29"/>
        <v>1</v>
      </c>
      <c r="S80" s="273"/>
      <c r="T80" s="274" t="str">
        <f>IF(ISNA(VLOOKUP(D80,'One year follow-up_inperson'!$C:$C,1,FALSE)),"No","Yes")</f>
        <v>No</v>
      </c>
      <c r="U80" s="592" t="s">
        <v>679</v>
      </c>
      <c r="V80" s="61"/>
      <c r="W80" s="61"/>
      <c r="X80" s="61"/>
      <c r="Y80" s="61"/>
      <c r="Z80" s="61"/>
      <c r="AA80" s="61"/>
      <c r="AB80" s="61"/>
      <c r="AC80" s="61"/>
    </row>
    <row r="81" spans="1:29" ht="52.8" customHeight="1">
      <c r="A81" s="368">
        <v>49</v>
      </c>
      <c r="B81" s="368"/>
      <c r="C81" s="272" t="str">
        <f t="shared" si="2"/>
        <v>281</v>
      </c>
      <c r="D81" s="531">
        <v>28129</v>
      </c>
      <c r="E81" s="182" t="s">
        <v>359</v>
      </c>
      <c r="F81" s="532" t="s">
        <v>2</v>
      </c>
      <c r="G81" s="469">
        <v>37</v>
      </c>
      <c r="H81" s="532" t="s">
        <v>3</v>
      </c>
      <c r="I81" s="533" t="s">
        <v>360</v>
      </c>
      <c r="J81" s="275">
        <f t="shared" si="21"/>
        <v>1</v>
      </c>
      <c r="K81" s="275">
        <f t="shared" si="22"/>
        <v>1</v>
      </c>
      <c r="L81" s="275">
        <f t="shared" si="23"/>
        <v>0</v>
      </c>
      <c r="M81" s="275">
        <f t="shared" si="24"/>
        <v>1</v>
      </c>
      <c r="N81" s="276">
        <f t="shared" si="25"/>
        <v>1</v>
      </c>
      <c r="O81" s="276">
        <f t="shared" si="26"/>
        <v>0</v>
      </c>
      <c r="P81" s="276">
        <f t="shared" si="27"/>
        <v>0</v>
      </c>
      <c r="Q81" s="276">
        <f t="shared" si="28"/>
        <v>0</v>
      </c>
      <c r="R81" s="329">
        <f t="shared" si="29"/>
        <v>1</v>
      </c>
      <c r="S81" s="273"/>
      <c r="T81" s="274" t="str">
        <f>IF(ISNA(VLOOKUP(D81,'One year follow-up_inperson'!$C:$C,1,FALSE)),"No","Yes")</f>
        <v>No</v>
      </c>
      <c r="U81" s="592" t="s">
        <v>679</v>
      </c>
      <c r="V81" s="61"/>
      <c r="W81" s="61"/>
      <c r="X81" s="61"/>
      <c r="Y81" s="61"/>
      <c r="Z81" s="61"/>
      <c r="AA81" s="61"/>
      <c r="AB81" s="61"/>
      <c r="AC81" s="61"/>
    </row>
    <row r="82" spans="1:29" ht="60" customHeight="1">
      <c r="A82" s="368">
        <v>50</v>
      </c>
      <c r="B82" s="368"/>
      <c r="C82" s="272" t="str">
        <f t="shared" si="2"/>
        <v>281</v>
      </c>
      <c r="D82" s="531">
        <v>28132</v>
      </c>
      <c r="E82" s="182" t="s">
        <v>270</v>
      </c>
      <c r="F82" s="532" t="s">
        <v>2</v>
      </c>
      <c r="G82" s="469">
        <v>40</v>
      </c>
      <c r="H82" s="532" t="s">
        <v>3</v>
      </c>
      <c r="I82" s="533" t="s">
        <v>283</v>
      </c>
      <c r="J82" s="275">
        <f t="shared" si="21"/>
        <v>1</v>
      </c>
      <c r="K82" s="275">
        <f t="shared" si="22"/>
        <v>1</v>
      </c>
      <c r="L82" s="275">
        <f t="shared" si="23"/>
        <v>0</v>
      </c>
      <c r="M82" s="275">
        <f t="shared" si="24"/>
        <v>1</v>
      </c>
      <c r="N82" s="276">
        <f t="shared" si="25"/>
        <v>0</v>
      </c>
      <c r="O82" s="276">
        <f t="shared" si="26"/>
        <v>0</v>
      </c>
      <c r="P82" s="276">
        <f t="shared" si="27"/>
        <v>0</v>
      </c>
      <c r="Q82" s="276">
        <f t="shared" si="28"/>
        <v>0</v>
      </c>
      <c r="R82" s="329">
        <f t="shared" si="29"/>
        <v>1</v>
      </c>
      <c r="S82" s="273"/>
      <c r="T82" s="274" t="str">
        <f>IF(ISNA(VLOOKUP(D82,'One year follow-up_inperson'!$C:$C,1,FALSE)),"No","Yes")</f>
        <v>No</v>
      </c>
      <c r="U82" s="592" t="s">
        <v>679</v>
      </c>
      <c r="V82" s="61"/>
      <c r="W82" s="61"/>
      <c r="X82" s="61"/>
      <c r="Y82" s="61"/>
      <c r="Z82" s="61"/>
      <c r="AA82" s="61"/>
      <c r="AB82" s="61"/>
      <c r="AC82" s="61"/>
    </row>
    <row r="83" spans="1:29" ht="72" customHeight="1">
      <c r="A83" s="368">
        <v>51</v>
      </c>
      <c r="B83" s="368"/>
      <c r="C83" s="272" t="str">
        <f t="shared" si="2"/>
        <v>281</v>
      </c>
      <c r="D83" s="531">
        <v>28133</v>
      </c>
      <c r="E83" s="182" t="s">
        <v>271</v>
      </c>
      <c r="F83" s="532" t="s">
        <v>2</v>
      </c>
      <c r="G83" s="469">
        <v>35</v>
      </c>
      <c r="H83" s="532" t="s">
        <v>3</v>
      </c>
      <c r="I83" s="533" t="s">
        <v>284</v>
      </c>
      <c r="J83" s="275">
        <f t="shared" si="21"/>
        <v>1</v>
      </c>
      <c r="K83" s="275">
        <f t="shared" si="22"/>
        <v>0</v>
      </c>
      <c r="L83" s="275">
        <f t="shared" si="23"/>
        <v>0</v>
      </c>
      <c r="M83" s="275">
        <f t="shared" si="24"/>
        <v>1</v>
      </c>
      <c r="N83" s="276">
        <f t="shared" si="25"/>
        <v>0</v>
      </c>
      <c r="O83" s="276">
        <f t="shared" si="26"/>
        <v>0</v>
      </c>
      <c r="P83" s="276">
        <f t="shared" si="27"/>
        <v>0</v>
      </c>
      <c r="Q83" s="276">
        <f t="shared" si="28"/>
        <v>0</v>
      </c>
      <c r="R83" s="329">
        <f t="shared" si="29"/>
        <v>1</v>
      </c>
      <c r="S83" s="273"/>
      <c r="T83" s="274" t="str">
        <f>IF(ISNA(VLOOKUP(D83,'One year follow-up_inperson'!$C:$C,1,FALSE)),"No","Yes")</f>
        <v>No</v>
      </c>
      <c r="U83" s="592" t="s">
        <v>679</v>
      </c>
      <c r="V83" s="61"/>
      <c r="W83" s="61"/>
      <c r="X83" s="61"/>
      <c r="Y83" s="61"/>
      <c r="Z83" s="61"/>
      <c r="AA83" s="61"/>
      <c r="AB83" s="61"/>
      <c r="AC83" s="61"/>
    </row>
    <row r="84" spans="1:29" ht="68.55" customHeight="1">
      <c r="A84" s="368">
        <v>52</v>
      </c>
      <c r="B84" s="368"/>
      <c r="C84" s="272" t="str">
        <f t="shared" si="2"/>
        <v>281</v>
      </c>
      <c r="D84" s="531">
        <v>28122</v>
      </c>
      <c r="E84" s="182" t="s">
        <v>272</v>
      </c>
      <c r="F84" s="532" t="s">
        <v>2</v>
      </c>
      <c r="G84" s="469">
        <v>32</v>
      </c>
      <c r="H84" s="532" t="s">
        <v>3</v>
      </c>
      <c r="I84" s="533" t="s">
        <v>285</v>
      </c>
      <c r="J84" s="275">
        <f t="shared" si="21"/>
        <v>1</v>
      </c>
      <c r="K84" s="275">
        <f t="shared" si="22"/>
        <v>0</v>
      </c>
      <c r="L84" s="275">
        <f t="shared" si="23"/>
        <v>0</v>
      </c>
      <c r="M84" s="275">
        <f t="shared" si="24"/>
        <v>1</v>
      </c>
      <c r="N84" s="276">
        <f t="shared" si="25"/>
        <v>0</v>
      </c>
      <c r="O84" s="276">
        <f t="shared" si="26"/>
        <v>0</v>
      </c>
      <c r="P84" s="276">
        <f t="shared" si="27"/>
        <v>0</v>
      </c>
      <c r="Q84" s="276">
        <f t="shared" si="28"/>
        <v>0</v>
      </c>
      <c r="R84" s="329">
        <f t="shared" si="29"/>
        <v>1</v>
      </c>
      <c r="S84" s="273"/>
      <c r="T84" s="274" t="str">
        <f>IF(ISNA(VLOOKUP(D84,'One year follow-up_inperson'!$C:$C,1,FALSE)),"No","Yes")</f>
        <v>No</v>
      </c>
      <c r="U84" s="592" t="s">
        <v>679</v>
      </c>
      <c r="V84" s="61"/>
      <c r="W84" s="61"/>
      <c r="X84" s="61"/>
      <c r="Y84" s="61"/>
      <c r="Z84" s="61"/>
      <c r="AA84" s="61"/>
      <c r="AB84" s="61"/>
      <c r="AC84" s="61"/>
    </row>
    <row r="85" spans="1:29" ht="54.5" customHeight="1">
      <c r="A85" s="368">
        <v>53</v>
      </c>
      <c r="B85" s="368"/>
      <c r="C85" s="272" t="str">
        <f t="shared" si="2"/>
        <v>281</v>
      </c>
      <c r="D85" s="531">
        <v>28126</v>
      </c>
      <c r="E85" s="182" t="s">
        <v>273</v>
      </c>
      <c r="F85" s="532" t="s">
        <v>2</v>
      </c>
      <c r="G85" s="469">
        <v>48</v>
      </c>
      <c r="H85" s="532" t="s">
        <v>3</v>
      </c>
      <c r="I85" s="533" t="s">
        <v>468</v>
      </c>
      <c r="J85" s="275">
        <f t="shared" si="21"/>
        <v>1</v>
      </c>
      <c r="K85" s="275">
        <f t="shared" si="22"/>
        <v>0</v>
      </c>
      <c r="L85" s="275">
        <f t="shared" si="23"/>
        <v>0</v>
      </c>
      <c r="M85" s="275">
        <f t="shared" si="24"/>
        <v>1</v>
      </c>
      <c r="N85" s="276">
        <f t="shared" si="25"/>
        <v>0</v>
      </c>
      <c r="O85" s="276">
        <f t="shared" si="26"/>
        <v>0</v>
      </c>
      <c r="P85" s="276">
        <f t="shared" si="27"/>
        <v>0</v>
      </c>
      <c r="Q85" s="276">
        <f t="shared" si="28"/>
        <v>0</v>
      </c>
      <c r="R85" s="329">
        <f t="shared" si="29"/>
        <v>1</v>
      </c>
      <c r="S85" s="273"/>
      <c r="T85" s="274" t="str">
        <f>IF(ISNA(VLOOKUP(D85,'One year follow-up_inperson'!$C:$C,1,FALSE)),"No","Yes")</f>
        <v>No</v>
      </c>
      <c r="U85" s="592" t="s">
        <v>679</v>
      </c>
      <c r="V85" s="61"/>
      <c r="W85" s="61"/>
      <c r="X85" s="61"/>
      <c r="Y85" s="61"/>
      <c r="Z85" s="61"/>
      <c r="AA85" s="61"/>
      <c r="AB85" s="61"/>
      <c r="AC85" s="61"/>
    </row>
    <row r="86" spans="1:29" ht="72" customHeight="1">
      <c r="A86" s="368">
        <v>54</v>
      </c>
      <c r="B86" s="368"/>
      <c r="C86" s="272" t="str">
        <f t="shared" si="2"/>
        <v>281</v>
      </c>
      <c r="D86" s="531">
        <v>28127</v>
      </c>
      <c r="E86" s="182" t="s">
        <v>274</v>
      </c>
      <c r="F86" s="532" t="s">
        <v>2</v>
      </c>
      <c r="G86" s="469">
        <v>42</v>
      </c>
      <c r="H86" s="532" t="s">
        <v>3</v>
      </c>
      <c r="I86" s="533" t="s">
        <v>286</v>
      </c>
      <c r="J86" s="275">
        <f t="shared" si="21"/>
        <v>0</v>
      </c>
      <c r="K86" s="275">
        <f t="shared" si="22"/>
        <v>1</v>
      </c>
      <c r="L86" s="275">
        <f t="shared" si="23"/>
        <v>0</v>
      </c>
      <c r="M86" s="275">
        <f t="shared" si="24"/>
        <v>1</v>
      </c>
      <c r="N86" s="276">
        <f t="shared" si="25"/>
        <v>0</v>
      </c>
      <c r="O86" s="276">
        <f t="shared" si="26"/>
        <v>0</v>
      </c>
      <c r="P86" s="276">
        <f t="shared" si="27"/>
        <v>0</v>
      </c>
      <c r="Q86" s="276">
        <f t="shared" si="28"/>
        <v>0</v>
      </c>
      <c r="R86" s="329">
        <f t="shared" si="29"/>
        <v>1</v>
      </c>
      <c r="S86" s="273"/>
      <c r="T86" s="274" t="str">
        <f>IF(ISNA(VLOOKUP(D86,'One year follow-up_inperson'!$C:$C,1,FALSE)),"No","Yes")</f>
        <v>No</v>
      </c>
      <c r="U86" s="592" t="s">
        <v>679</v>
      </c>
      <c r="V86" s="61"/>
      <c r="W86" s="61"/>
      <c r="X86" s="61"/>
      <c r="Y86" s="61"/>
      <c r="Z86" s="61"/>
      <c r="AA86" s="61"/>
      <c r="AB86" s="61"/>
      <c r="AC86" s="61"/>
    </row>
    <row r="87" spans="1:29" ht="97.8" customHeight="1">
      <c r="A87" s="368">
        <v>55</v>
      </c>
      <c r="B87" s="368"/>
      <c r="C87" s="272" t="str">
        <f>LEFT(D87,3)</f>
        <v>282</v>
      </c>
      <c r="D87" s="527">
        <v>2823</v>
      </c>
      <c r="E87" s="182" t="s">
        <v>199</v>
      </c>
      <c r="F87" s="529" t="s">
        <v>2</v>
      </c>
      <c r="G87" s="182">
        <v>64</v>
      </c>
      <c r="H87" s="530" t="s">
        <v>3</v>
      </c>
      <c r="I87" s="530" t="s">
        <v>234</v>
      </c>
      <c r="J87" s="275">
        <f t="shared" ref="J87:J127" si="30">IF(OR(ISNUMBER(SEARCH("confidence",I87))=TRUE,ISNUMBER(SEARCH("hope for the future",I87))=TRUE,ISNUMBER(SEARCH("communicate",I87))=TRUE,ISNUMBER(SEARCH("worthy",I87))=TRUE,ISNUMBER(SEARCH("thought",I87))=TRUE,ISNUMBER(SEARCH("open",I87))=TRUE,ISNUMBER(SEARCH("believe",I87))=TRUE,ISNUMBER(SEARCH("confident",I87))=TRUE,ISNUMBER(SEARCH("empower",I87))=TRUE),1,0)</f>
        <v>1</v>
      </c>
      <c r="K87" s="275">
        <f>IF(OR(ISNUMBER(SEARCH("decision",I87))=TRUE,ISNUMBER(SEARCH("save",I87))=TRUE,ISNUMBER(SEARCH("saving",I87))=TRUE,ISNUMBER(SEARCH("started",I87))=TRUE,ISNUMBER(SEARCH("buy",I87))=TRUE,ISNUMBER(SEARCH("bought",I87))=TRUE),1,0)</f>
        <v>0</v>
      </c>
      <c r="L87" s="275">
        <f>IF(OR(ISNUMBER(SEARCH("active",I87))=TRUE,ISNUMBER(SEARCH("proactive",I87))=TRUE,ISNUMBER(SEARCH("face challenge",I87))=TRUE),1,0)</f>
        <v>0</v>
      </c>
      <c r="M87" s="275">
        <f>IF(OR(J87=1,K87=1,L87=1),1,0)</f>
        <v>1</v>
      </c>
      <c r="N87" s="276">
        <f>IF(OR(ISNUMBER(SEARCH("started a business",I87))=TRUE,ISNUMBER(SEARCH("started an income generating activity",I87))=TRUE,ISNUMBER(SEARCH("a business",I87))=TRUE),1,0)</f>
        <v>0</v>
      </c>
      <c r="O87" s="276">
        <f>IF(OR(ISNUMBER(SEARCH("got a job",I87))=TRUE,ISNUMBER(SEARCH("got an internship",I87))=TRUE,ISNUMBER(SEARCH("got a promotion",I87))=TRUE),1,0)</f>
        <v>0</v>
      </c>
      <c r="P87" s="276">
        <f>IF(OR(ISNUMBER(SEARCH("school admission",I87))=TRUE,ISNUMBER(SEARCH("perfomance in class",I87))=TRUE,ISNUMBER(SEARCH("scholarship",I87))=TRUE,ISNUMBER(SEARCH("pursue higher education",I87))=TRUE),1,0)</f>
        <v>0</v>
      </c>
      <c r="Q87" s="276">
        <f>IF(OR(ISNUMBER(SEARCH("leadership role",I87))=TRUE),1,0)</f>
        <v>0</v>
      </c>
      <c r="R87" s="329">
        <f>IF(OR(M87=1,N87=1,O87=1,P87=1,Q87=1),1,0)</f>
        <v>1</v>
      </c>
      <c r="S87" s="273"/>
      <c r="T87" s="274" t="str">
        <f>IF(ISNA(VLOOKUP(D87,'One year follow-up_inperson'!$C:$C,1,FALSE)),"No","Yes")</f>
        <v>No</v>
      </c>
      <c r="U87" s="592" t="s">
        <v>679</v>
      </c>
      <c r="V87" s="61"/>
      <c r="W87" s="61"/>
      <c r="X87" s="61"/>
      <c r="Y87" s="61"/>
      <c r="Z87" s="61"/>
      <c r="AA87" s="61"/>
      <c r="AB87" s="61"/>
      <c r="AC87" s="61"/>
    </row>
    <row r="88" spans="1:29" ht="58.8" customHeight="1">
      <c r="A88" s="368">
        <v>56</v>
      </c>
      <c r="B88" s="368"/>
      <c r="C88" s="272" t="str">
        <f t="shared" si="2"/>
        <v>282</v>
      </c>
      <c r="D88" s="527">
        <v>2825</v>
      </c>
      <c r="E88" s="182" t="s">
        <v>200</v>
      </c>
      <c r="F88" s="529" t="s">
        <v>2</v>
      </c>
      <c r="G88" s="182">
        <v>48</v>
      </c>
      <c r="H88" s="530" t="s">
        <v>3</v>
      </c>
      <c r="I88" s="530" t="s">
        <v>235</v>
      </c>
      <c r="J88" s="275">
        <f t="shared" si="30"/>
        <v>0</v>
      </c>
      <c r="K88" s="275">
        <f t="shared" ref="K88:K123" si="31">IF(OR(ISNUMBER(SEARCH("decision",I88))=TRUE,ISNUMBER(SEARCH("save",I88))=TRUE,ISNUMBER(SEARCH("saving",I88))=TRUE,ISNUMBER(SEARCH("started",I88))=TRUE,ISNUMBER(SEARCH("buy",I88))=TRUE,ISNUMBER(SEARCH("bought",I88))=TRUE),1,0)</f>
        <v>1</v>
      </c>
      <c r="L88" s="275">
        <f t="shared" ref="L88:L123" si="32">IF(OR(ISNUMBER(SEARCH("active",I88))=TRUE,ISNUMBER(SEARCH("proactive",I88))=TRUE,ISNUMBER(SEARCH("face challenge",I88))=TRUE),1,0)</f>
        <v>0</v>
      </c>
      <c r="M88" s="275">
        <f t="shared" ref="M88:M123" si="33">IF(OR(J88=1,K88=1,L88=1),1,0)</f>
        <v>1</v>
      </c>
      <c r="N88" s="276">
        <f t="shared" ref="N88:N123" si="34">IF(OR(ISNUMBER(SEARCH("started a business",I88))=TRUE,ISNUMBER(SEARCH("started an income generating activity",I88))=TRUE,ISNUMBER(SEARCH("a business",I88))=TRUE),1,0)</f>
        <v>0</v>
      </c>
      <c r="O88" s="276">
        <f t="shared" ref="O88:O123" si="35">IF(OR(ISNUMBER(SEARCH("got a job",I88))=TRUE,ISNUMBER(SEARCH("got an internship",I88))=TRUE,ISNUMBER(SEARCH("got a promotion",I88))=TRUE),1,0)</f>
        <v>0</v>
      </c>
      <c r="P88" s="276">
        <f t="shared" ref="P88:P123" si="36">IF(OR(ISNUMBER(SEARCH("school admission",I88))=TRUE,ISNUMBER(SEARCH("perfomance in class",I88))=TRUE,ISNUMBER(SEARCH("scholarship",I88))=TRUE,ISNUMBER(SEARCH("pursue higher education",I88))=TRUE),1,0)</f>
        <v>0</v>
      </c>
      <c r="Q88" s="276">
        <f t="shared" ref="Q88:Q123" si="37">IF(OR(ISNUMBER(SEARCH("leadership role",I88))=TRUE),1,0)</f>
        <v>0</v>
      </c>
      <c r="R88" s="329">
        <f t="shared" ref="R88:R123" si="38">IF(OR(M88=1,N88=1,O88=1,P88=1,Q88=1),1,0)</f>
        <v>1</v>
      </c>
      <c r="S88" s="273"/>
      <c r="T88" s="274" t="str">
        <f>IF(ISNA(VLOOKUP(D88,'One year follow-up_inperson'!$C:$C,1,FALSE)),"No","Yes")</f>
        <v>No</v>
      </c>
      <c r="U88" s="592" t="s">
        <v>679</v>
      </c>
      <c r="V88" s="61"/>
      <c r="W88" s="61"/>
      <c r="X88" s="61"/>
      <c r="Y88" s="61"/>
      <c r="Z88" s="61"/>
      <c r="AA88" s="61"/>
      <c r="AB88" s="61"/>
      <c r="AC88" s="61"/>
    </row>
    <row r="89" spans="1:29" ht="113.55" customHeight="1">
      <c r="A89" s="368">
        <v>57</v>
      </c>
      <c r="B89" s="368"/>
      <c r="C89" s="272" t="str">
        <f t="shared" si="2"/>
        <v>282</v>
      </c>
      <c r="D89" s="527">
        <v>2826</v>
      </c>
      <c r="E89" s="182" t="s">
        <v>201</v>
      </c>
      <c r="F89" s="529" t="s">
        <v>2</v>
      </c>
      <c r="G89" s="182">
        <v>50</v>
      </c>
      <c r="H89" s="530" t="s">
        <v>3</v>
      </c>
      <c r="I89" s="530" t="s">
        <v>236</v>
      </c>
      <c r="J89" s="275">
        <f t="shared" si="30"/>
        <v>1</v>
      </c>
      <c r="K89" s="275">
        <f t="shared" si="31"/>
        <v>1</v>
      </c>
      <c r="L89" s="275">
        <f t="shared" si="32"/>
        <v>1</v>
      </c>
      <c r="M89" s="275">
        <f t="shared" si="33"/>
        <v>1</v>
      </c>
      <c r="N89" s="276">
        <f t="shared" si="34"/>
        <v>0</v>
      </c>
      <c r="O89" s="276">
        <f t="shared" si="35"/>
        <v>0</v>
      </c>
      <c r="P89" s="276">
        <f t="shared" si="36"/>
        <v>0</v>
      </c>
      <c r="Q89" s="276">
        <f t="shared" si="37"/>
        <v>0</v>
      </c>
      <c r="R89" s="329">
        <f t="shared" si="38"/>
        <v>1</v>
      </c>
      <c r="S89" s="273"/>
      <c r="T89" s="274" t="str">
        <f>IF(ISNA(VLOOKUP(D89,'One year follow-up_inperson'!$C:$C,1,FALSE)),"No","Yes")</f>
        <v>No</v>
      </c>
      <c r="U89" s="592" t="s">
        <v>679</v>
      </c>
      <c r="V89" s="61"/>
      <c r="W89" s="61"/>
      <c r="X89" s="61"/>
      <c r="Y89" s="61"/>
      <c r="Z89" s="61"/>
      <c r="AA89" s="61"/>
      <c r="AB89" s="61"/>
      <c r="AC89" s="61"/>
    </row>
    <row r="90" spans="1:29" ht="81" customHeight="1">
      <c r="A90" s="368">
        <v>58</v>
      </c>
      <c r="B90" s="368"/>
      <c r="C90" s="272" t="str">
        <f t="shared" si="2"/>
        <v>282</v>
      </c>
      <c r="D90" s="527">
        <v>2827</v>
      </c>
      <c r="E90" s="182" t="s">
        <v>202</v>
      </c>
      <c r="F90" s="529" t="s">
        <v>2</v>
      </c>
      <c r="G90" s="182">
        <v>48</v>
      </c>
      <c r="H90" s="528" t="s">
        <v>3</v>
      </c>
      <c r="I90" s="530" t="s">
        <v>237</v>
      </c>
      <c r="J90" s="275">
        <f t="shared" si="30"/>
        <v>1</v>
      </c>
      <c r="K90" s="275">
        <f t="shared" si="31"/>
        <v>0</v>
      </c>
      <c r="L90" s="275">
        <f t="shared" si="32"/>
        <v>0</v>
      </c>
      <c r="M90" s="275">
        <f t="shared" si="33"/>
        <v>1</v>
      </c>
      <c r="N90" s="276">
        <f t="shared" si="34"/>
        <v>0</v>
      </c>
      <c r="O90" s="276">
        <f t="shared" si="35"/>
        <v>0</v>
      </c>
      <c r="P90" s="276">
        <f t="shared" si="36"/>
        <v>0</v>
      </c>
      <c r="Q90" s="276">
        <f t="shared" si="37"/>
        <v>0</v>
      </c>
      <c r="R90" s="329">
        <f t="shared" si="38"/>
        <v>1</v>
      </c>
      <c r="S90" s="273"/>
      <c r="T90" s="274" t="str">
        <f>IF(ISNA(VLOOKUP(D90,'One year follow-up_inperson'!$C:$C,1,FALSE)),"No","Yes")</f>
        <v>No</v>
      </c>
      <c r="U90" s="592" t="s">
        <v>679</v>
      </c>
      <c r="V90" s="61"/>
      <c r="W90" s="61"/>
      <c r="X90" s="61"/>
      <c r="Y90" s="61"/>
      <c r="Z90" s="61"/>
      <c r="AA90" s="61"/>
      <c r="AB90" s="61"/>
      <c r="AC90" s="61"/>
    </row>
    <row r="91" spans="1:29" ht="97.25" customHeight="1">
      <c r="A91" s="368">
        <v>59</v>
      </c>
      <c r="B91" s="368"/>
      <c r="C91" s="272" t="str">
        <f t="shared" si="2"/>
        <v>282</v>
      </c>
      <c r="D91" s="527">
        <v>2829</v>
      </c>
      <c r="E91" s="182" t="s">
        <v>203</v>
      </c>
      <c r="F91" s="529" t="s">
        <v>2</v>
      </c>
      <c r="G91" s="182">
        <v>39</v>
      </c>
      <c r="H91" s="528" t="s">
        <v>3</v>
      </c>
      <c r="I91" s="530" t="s">
        <v>238</v>
      </c>
      <c r="J91" s="275">
        <f t="shared" si="30"/>
        <v>1</v>
      </c>
      <c r="K91" s="275">
        <f t="shared" si="31"/>
        <v>0</v>
      </c>
      <c r="L91" s="275">
        <f t="shared" si="32"/>
        <v>0</v>
      </c>
      <c r="M91" s="275">
        <f t="shared" si="33"/>
        <v>1</v>
      </c>
      <c r="N91" s="276">
        <f t="shared" si="34"/>
        <v>0</v>
      </c>
      <c r="O91" s="276">
        <f t="shared" si="35"/>
        <v>0</v>
      </c>
      <c r="P91" s="276">
        <f t="shared" si="36"/>
        <v>0</v>
      </c>
      <c r="Q91" s="276">
        <f t="shared" si="37"/>
        <v>0</v>
      </c>
      <c r="R91" s="329">
        <f t="shared" si="38"/>
        <v>1</v>
      </c>
      <c r="S91" s="273"/>
      <c r="T91" s="274" t="str">
        <f>IF(ISNA(VLOOKUP(D91,'One year follow-up_inperson'!$C:$C,1,FALSE)),"No","Yes")</f>
        <v>No</v>
      </c>
      <c r="U91" s="592" t="s">
        <v>679</v>
      </c>
      <c r="V91" s="61"/>
      <c r="W91" s="61"/>
      <c r="X91" s="61"/>
      <c r="Y91" s="61"/>
      <c r="Z91" s="61"/>
      <c r="AA91" s="61"/>
      <c r="AB91" s="61"/>
      <c r="AC91" s="61"/>
    </row>
    <row r="92" spans="1:29" ht="56.55" customHeight="1">
      <c r="A92" s="368">
        <v>60</v>
      </c>
      <c r="B92" s="368"/>
      <c r="C92" s="272" t="str">
        <f t="shared" si="2"/>
        <v>282</v>
      </c>
      <c r="D92" s="527">
        <v>28210</v>
      </c>
      <c r="E92" s="182" t="s">
        <v>204</v>
      </c>
      <c r="F92" s="529" t="s">
        <v>2</v>
      </c>
      <c r="G92" s="182">
        <v>37</v>
      </c>
      <c r="H92" s="528" t="s">
        <v>3</v>
      </c>
      <c r="I92" s="530" t="s">
        <v>239</v>
      </c>
      <c r="J92" s="275">
        <f t="shared" si="30"/>
        <v>0</v>
      </c>
      <c r="K92" s="275">
        <f t="shared" si="31"/>
        <v>1</v>
      </c>
      <c r="L92" s="275">
        <f t="shared" si="32"/>
        <v>0</v>
      </c>
      <c r="M92" s="275">
        <f t="shared" si="33"/>
        <v>1</v>
      </c>
      <c r="N92" s="276">
        <f t="shared" si="34"/>
        <v>1</v>
      </c>
      <c r="O92" s="276">
        <f t="shared" si="35"/>
        <v>0</v>
      </c>
      <c r="P92" s="276">
        <f t="shared" si="36"/>
        <v>0</v>
      </c>
      <c r="Q92" s="276">
        <f t="shared" si="37"/>
        <v>0</v>
      </c>
      <c r="R92" s="329">
        <f t="shared" si="38"/>
        <v>1</v>
      </c>
      <c r="S92" s="273"/>
      <c r="T92" s="274" t="str">
        <f>IF(ISNA(VLOOKUP(D92,'One year follow-up_inperson'!$C:$C,1,FALSE)),"No","Yes")</f>
        <v>No</v>
      </c>
      <c r="U92" s="592" t="s">
        <v>679</v>
      </c>
      <c r="V92" s="61"/>
      <c r="W92" s="61"/>
      <c r="X92" s="61"/>
      <c r="Y92" s="61"/>
      <c r="Z92" s="61"/>
      <c r="AA92" s="61"/>
      <c r="AB92" s="61"/>
      <c r="AC92" s="61"/>
    </row>
    <row r="93" spans="1:29" ht="115.8" customHeight="1">
      <c r="A93" s="368">
        <v>61</v>
      </c>
      <c r="B93" s="368"/>
      <c r="C93" s="272" t="str">
        <f t="shared" si="2"/>
        <v>282</v>
      </c>
      <c r="D93" s="527">
        <v>28211</v>
      </c>
      <c r="E93" s="182" t="s">
        <v>361</v>
      </c>
      <c r="F93" s="529" t="s">
        <v>2</v>
      </c>
      <c r="G93" s="182">
        <v>43</v>
      </c>
      <c r="H93" s="528" t="s">
        <v>3</v>
      </c>
      <c r="I93" s="530" t="s">
        <v>240</v>
      </c>
      <c r="J93" s="275">
        <f t="shared" si="30"/>
        <v>1</v>
      </c>
      <c r="K93" s="275">
        <f t="shared" si="31"/>
        <v>1</v>
      </c>
      <c r="L93" s="275">
        <f t="shared" si="32"/>
        <v>0</v>
      </c>
      <c r="M93" s="275">
        <f t="shared" si="33"/>
        <v>1</v>
      </c>
      <c r="N93" s="276">
        <f t="shared" si="34"/>
        <v>0</v>
      </c>
      <c r="O93" s="276">
        <f t="shared" si="35"/>
        <v>0</v>
      </c>
      <c r="P93" s="276">
        <f t="shared" si="36"/>
        <v>0</v>
      </c>
      <c r="Q93" s="276">
        <f t="shared" si="37"/>
        <v>0</v>
      </c>
      <c r="R93" s="329">
        <f t="shared" si="38"/>
        <v>1</v>
      </c>
      <c r="S93" s="273"/>
      <c r="T93" s="274" t="str">
        <f>IF(ISNA(VLOOKUP(D93,'One year follow-up_inperson'!$C:$C,1,FALSE)),"No","Yes")</f>
        <v>No</v>
      </c>
      <c r="U93" s="592" t="s">
        <v>679</v>
      </c>
      <c r="V93" s="61"/>
      <c r="W93" s="61"/>
      <c r="X93" s="61"/>
      <c r="Y93" s="61"/>
      <c r="Z93" s="61"/>
      <c r="AA93" s="61"/>
      <c r="AB93" s="61"/>
      <c r="AC93" s="61"/>
    </row>
    <row r="94" spans="1:29" ht="77.55" customHeight="1">
      <c r="A94" s="368">
        <v>62</v>
      </c>
      <c r="B94" s="368"/>
      <c r="C94" s="272" t="str">
        <f t="shared" si="2"/>
        <v>282</v>
      </c>
      <c r="D94" s="527">
        <v>28212</v>
      </c>
      <c r="E94" s="182" t="s">
        <v>205</v>
      </c>
      <c r="F94" s="529" t="s">
        <v>2</v>
      </c>
      <c r="G94" s="182">
        <v>47</v>
      </c>
      <c r="H94" s="528" t="s">
        <v>3</v>
      </c>
      <c r="I94" s="530" t="s">
        <v>241</v>
      </c>
      <c r="J94" s="275">
        <f t="shared" si="30"/>
        <v>1</v>
      </c>
      <c r="K94" s="275">
        <f t="shared" si="31"/>
        <v>1</v>
      </c>
      <c r="L94" s="275">
        <f t="shared" si="32"/>
        <v>0</v>
      </c>
      <c r="M94" s="275">
        <f t="shared" si="33"/>
        <v>1</v>
      </c>
      <c r="N94" s="276">
        <f t="shared" si="34"/>
        <v>1</v>
      </c>
      <c r="O94" s="276">
        <f t="shared" si="35"/>
        <v>0</v>
      </c>
      <c r="P94" s="276">
        <f t="shared" si="36"/>
        <v>0</v>
      </c>
      <c r="Q94" s="276">
        <f t="shared" si="37"/>
        <v>0</v>
      </c>
      <c r="R94" s="329">
        <f t="shared" si="38"/>
        <v>1</v>
      </c>
      <c r="S94" s="273"/>
      <c r="T94" s="274" t="str">
        <f>IF(ISNA(VLOOKUP(D94,'One year follow-up_inperson'!$C:$C,1,FALSE)),"No","Yes")</f>
        <v>No</v>
      </c>
      <c r="U94" s="592" t="s">
        <v>679</v>
      </c>
      <c r="V94" s="61"/>
      <c r="W94" s="61"/>
      <c r="X94" s="61"/>
      <c r="Y94" s="61"/>
      <c r="Z94" s="61"/>
      <c r="AA94" s="61"/>
      <c r="AB94" s="61"/>
      <c r="AC94" s="61"/>
    </row>
    <row r="95" spans="1:29" ht="69" customHeight="1">
      <c r="A95" s="368">
        <v>63</v>
      </c>
      <c r="B95" s="368"/>
      <c r="C95" s="272" t="str">
        <f t="shared" si="2"/>
        <v>282</v>
      </c>
      <c r="D95" s="527">
        <v>28213</v>
      </c>
      <c r="E95" s="182" t="s">
        <v>206</v>
      </c>
      <c r="F95" s="529" t="s">
        <v>2</v>
      </c>
      <c r="G95" s="182">
        <v>26</v>
      </c>
      <c r="H95" s="528" t="s">
        <v>3</v>
      </c>
      <c r="I95" s="530" t="s">
        <v>242</v>
      </c>
      <c r="J95" s="275">
        <f t="shared" si="30"/>
        <v>1</v>
      </c>
      <c r="K95" s="275">
        <f t="shared" si="31"/>
        <v>0</v>
      </c>
      <c r="L95" s="275">
        <f t="shared" si="32"/>
        <v>0</v>
      </c>
      <c r="M95" s="275">
        <f t="shared" si="33"/>
        <v>1</v>
      </c>
      <c r="N95" s="276">
        <f t="shared" si="34"/>
        <v>0</v>
      </c>
      <c r="O95" s="276">
        <f t="shared" si="35"/>
        <v>0</v>
      </c>
      <c r="P95" s="276">
        <f t="shared" si="36"/>
        <v>0</v>
      </c>
      <c r="Q95" s="276">
        <f t="shared" si="37"/>
        <v>0</v>
      </c>
      <c r="R95" s="329">
        <f t="shared" si="38"/>
        <v>1</v>
      </c>
      <c r="S95" s="273"/>
      <c r="T95" s="274" t="str">
        <f>IF(ISNA(VLOOKUP(D95,'One year follow-up_inperson'!$C:$C,1,FALSE)),"No","Yes")</f>
        <v>No</v>
      </c>
      <c r="U95" s="592" t="s">
        <v>679</v>
      </c>
      <c r="V95" s="61"/>
      <c r="W95" s="61"/>
      <c r="X95" s="61"/>
      <c r="Y95" s="61"/>
      <c r="Z95" s="61"/>
      <c r="AA95" s="61"/>
      <c r="AB95" s="61"/>
      <c r="AC95" s="61"/>
    </row>
    <row r="96" spans="1:29" ht="74.55" customHeight="1">
      <c r="A96" s="368">
        <v>64</v>
      </c>
      <c r="B96" s="368"/>
      <c r="C96" s="272" t="str">
        <f t="shared" si="2"/>
        <v>282</v>
      </c>
      <c r="D96" s="527">
        <v>28214</v>
      </c>
      <c r="E96" s="182" t="s">
        <v>207</v>
      </c>
      <c r="F96" s="529" t="s">
        <v>2</v>
      </c>
      <c r="G96" s="182">
        <v>43</v>
      </c>
      <c r="H96" s="528" t="s">
        <v>3</v>
      </c>
      <c r="I96" s="530" t="s">
        <v>243</v>
      </c>
      <c r="J96" s="275">
        <f t="shared" si="30"/>
        <v>0</v>
      </c>
      <c r="K96" s="275">
        <f t="shared" si="31"/>
        <v>1</v>
      </c>
      <c r="L96" s="275">
        <f t="shared" si="32"/>
        <v>0</v>
      </c>
      <c r="M96" s="275">
        <f t="shared" si="33"/>
        <v>1</v>
      </c>
      <c r="N96" s="276">
        <f t="shared" si="34"/>
        <v>0</v>
      </c>
      <c r="O96" s="276">
        <f t="shared" si="35"/>
        <v>0</v>
      </c>
      <c r="P96" s="276">
        <f t="shared" si="36"/>
        <v>0</v>
      </c>
      <c r="Q96" s="276">
        <f t="shared" si="37"/>
        <v>0</v>
      </c>
      <c r="R96" s="329">
        <f t="shared" si="38"/>
        <v>1</v>
      </c>
      <c r="S96" s="273"/>
      <c r="T96" s="274" t="str">
        <f>IF(ISNA(VLOOKUP(D96,'One year follow-up_inperson'!$C:$C,1,FALSE)),"No","Yes")</f>
        <v>No</v>
      </c>
      <c r="U96" s="592" t="s">
        <v>679</v>
      </c>
      <c r="V96" s="61"/>
      <c r="W96" s="61"/>
      <c r="X96" s="61"/>
      <c r="Y96" s="61"/>
      <c r="Z96" s="61"/>
      <c r="AA96" s="61"/>
      <c r="AB96" s="61"/>
      <c r="AC96" s="61"/>
    </row>
    <row r="97" spans="1:29" ht="65.55" customHeight="1">
      <c r="A97" s="368">
        <v>65</v>
      </c>
      <c r="B97" s="368"/>
      <c r="C97" s="272" t="str">
        <f t="shared" si="2"/>
        <v>282</v>
      </c>
      <c r="D97" s="527">
        <v>28215</v>
      </c>
      <c r="E97" s="182" t="s">
        <v>208</v>
      </c>
      <c r="F97" s="529" t="s">
        <v>2</v>
      </c>
      <c r="G97" s="182">
        <v>30</v>
      </c>
      <c r="H97" s="528" t="s">
        <v>3</v>
      </c>
      <c r="I97" s="530" t="s">
        <v>467</v>
      </c>
      <c r="J97" s="275">
        <f t="shared" si="30"/>
        <v>1</v>
      </c>
      <c r="K97" s="275">
        <f t="shared" si="31"/>
        <v>0</v>
      </c>
      <c r="L97" s="275">
        <f t="shared" si="32"/>
        <v>0</v>
      </c>
      <c r="M97" s="275">
        <f t="shared" si="33"/>
        <v>1</v>
      </c>
      <c r="N97" s="276">
        <f t="shared" si="34"/>
        <v>0</v>
      </c>
      <c r="O97" s="276">
        <f t="shared" si="35"/>
        <v>0</v>
      </c>
      <c r="P97" s="276">
        <f t="shared" si="36"/>
        <v>0</v>
      </c>
      <c r="Q97" s="276">
        <f t="shared" si="37"/>
        <v>0</v>
      </c>
      <c r="R97" s="329">
        <f t="shared" si="38"/>
        <v>1</v>
      </c>
      <c r="S97" s="273"/>
      <c r="T97" s="274" t="str">
        <f>IF(ISNA(VLOOKUP(D97,'One year follow-up_inperson'!$C:$C,1,FALSE)),"No","Yes")</f>
        <v>No</v>
      </c>
      <c r="U97" s="592" t="s">
        <v>679</v>
      </c>
      <c r="V97" s="61"/>
      <c r="W97" s="61"/>
      <c r="X97" s="61"/>
      <c r="Y97" s="61"/>
      <c r="Z97" s="61"/>
      <c r="AA97" s="61"/>
      <c r="AB97" s="61"/>
      <c r="AC97" s="61"/>
    </row>
    <row r="98" spans="1:29" ht="56.55" customHeight="1">
      <c r="A98" s="368">
        <v>66</v>
      </c>
      <c r="B98" s="368"/>
      <c r="C98" s="272" t="str">
        <f t="shared" si="2"/>
        <v>282</v>
      </c>
      <c r="D98" s="527">
        <v>28217</v>
      </c>
      <c r="E98" s="182" t="s">
        <v>209</v>
      </c>
      <c r="F98" s="529" t="s">
        <v>2</v>
      </c>
      <c r="G98" s="182">
        <v>33</v>
      </c>
      <c r="H98" s="528" t="s">
        <v>5</v>
      </c>
      <c r="I98" s="528"/>
      <c r="J98" s="275">
        <f t="shared" si="30"/>
        <v>0</v>
      </c>
      <c r="K98" s="275">
        <f t="shared" si="31"/>
        <v>0</v>
      </c>
      <c r="L98" s="275">
        <f t="shared" si="32"/>
        <v>0</v>
      </c>
      <c r="M98" s="275">
        <f t="shared" si="33"/>
        <v>0</v>
      </c>
      <c r="N98" s="276">
        <f t="shared" si="34"/>
        <v>0</v>
      </c>
      <c r="O98" s="276">
        <f t="shared" si="35"/>
        <v>0</v>
      </c>
      <c r="P98" s="276">
        <f t="shared" si="36"/>
        <v>0</v>
      </c>
      <c r="Q98" s="276">
        <f t="shared" si="37"/>
        <v>0</v>
      </c>
      <c r="R98" s="329">
        <f t="shared" si="38"/>
        <v>0</v>
      </c>
      <c r="S98" s="273"/>
      <c r="T98" s="274" t="str">
        <f>IF(ISNA(VLOOKUP(D98,'One year follow-up_inperson'!$C:$C,1,FALSE)),"No","Yes")</f>
        <v>No</v>
      </c>
      <c r="U98" s="592" t="s">
        <v>679</v>
      </c>
      <c r="V98" s="61"/>
      <c r="W98" s="61"/>
      <c r="X98" s="61"/>
      <c r="Y98" s="61"/>
      <c r="Z98" s="61"/>
      <c r="AA98" s="61"/>
      <c r="AB98" s="61"/>
      <c r="AC98" s="61"/>
    </row>
    <row r="99" spans="1:29" ht="51" customHeight="1">
      <c r="A99" s="368">
        <v>67</v>
      </c>
      <c r="B99" s="368"/>
      <c r="C99" s="272" t="str">
        <f t="shared" si="2"/>
        <v>282</v>
      </c>
      <c r="D99" s="527">
        <v>28218</v>
      </c>
      <c r="E99" s="182" t="s">
        <v>210</v>
      </c>
      <c r="F99" s="529" t="s">
        <v>2</v>
      </c>
      <c r="G99" s="182">
        <v>40</v>
      </c>
      <c r="H99" s="528" t="s">
        <v>5</v>
      </c>
      <c r="I99" s="528"/>
      <c r="J99" s="275">
        <f t="shared" si="30"/>
        <v>0</v>
      </c>
      <c r="K99" s="275">
        <f t="shared" si="31"/>
        <v>0</v>
      </c>
      <c r="L99" s="275">
        <f t="shared" si="32"/>
        <v>0</v>
      </c>
      <c r="M99" s="275">
        <f t="shared" si="33"/>
        <v>0</v>
      </c>
      <c r="N99" s="276">
        <f t="shared" si="34"/>
        <v>0</v>
      </c>
      <c r="O99" s="276">
        <f t="shared" si="35"/>
        <v>0</v>
      </c>
      <c r="P99" s="276">
        <f t="shared" si="36"/>
        <v>0</v>
      </c>
      <c r="Q99" s="276">
        <f t="shared" si="37"/>
        <v>0</v>
      </c>
      <c r="R99" s="329">
        <f t="shared" si="38"/>
        <v>0</v>
      </c>
      <c r="S99" s="273"/>
      <c r="T99" s="274" t="str">
        <f>IF(ISNA(VLOOKUP(D99,'One year follow-up_inperson'!$C:$C,1,FALSE)),"No","Yes")</f>
        <v>No</v>
      </c>
      <c r="U99" s="592" t="s">
        <v>679</v>
      </c>
      <c r="V99" s="61"/>
      <c r="W99" s="61"/>
      <c r="X99" s="61"/>
      <c r="Y99" s="61"/>
      <c r="Z99" s="61"/>
      <c r="AA99" s="61"/>
      <c r="AB99" s="61"/>
      <c r="AC99" s="61"/>
    </row>
    <row r="100" spans="1:29" ht="68.55" customHeight="1">
      <c r="A100" s="368">
        <v>68</v>
      </c>
      <c r="B100" s="368"/>
      <c r="C100" s="272" t="str">
        <f t="shared" si="2"/>
        <v>282</v>
      </c>
      <c r="D100" s="527">
        <v>28222</v>
      </c>
      <c r="E100" s="182" t="s">
        <v>211</v>
      </c>
      <c r="F100" s="529" t="s">
        <v>2</v>
      </c>
      <c r="G100" s="182">
        <v>33</v>
      </c>
      <c r="H100" s="528" t="s">
        <v>3</v>
      </c>
      <c r="I100" s="530" t="s">
        <v>244</v>
      </c>
      <c r="J100" s="275">
        <f t="shared" si="30"/>
        <v>1</v>
      </c>
      <c r="K100" s="275">
        <f t="shared" si="31"/>
        <v>0</v>
      </c>
      <c r="L100" s="275">
        <f t="shared" si="32"/>
        <v>0</v>
      </c>
      <c r="M100" s="275">
        <f t="shared" si="33"/>
        <v>1</v>
      </c>
      <c r="N100" s="276">
        <f t="shared" si="34"/>
        <v>0</v>
      </c>
      <c r="O100" s="276">
        <f t="shared" si="35"/>
        <v>0</v>
      </c>
      <c r="P100" s="276">
        <f t="shared" si="36"/>
        <v>0</v>
      </c>
      <c r="Q100" s="276">
        <f t="shared" si="37"/>
        <v>0</v>
      </c>
      <c r="R100" s="329">
        <f t="shared" si="38"/>
        <v>1</v>
      </c>
      <c r="S100" s="273"/>
      <c r="T100" s="274" t="str">
        <f>IF(ISNA(VLOOKUP(D100,'One year follow-up_inperson'!$C:$C,1,FALSE)),"No","Yes")</f>
        <v>No</v>
      </c>
      <c r="U100" s="592" t="s">
        <v>679</v>
      </c>
      <c r="V100" s="61"/>
      <c r="W100" s="61"/>
      <c r="X100" s="61"/>
      <c r="Y100" s="61"/>
      <c r="Z100" s="61"/>
      <c r="AA100" s="61"/>
      <c r="AB100" s="61"/>
      <c r="AC100" s="61"/>
    </row>
    <row r="101" spans="1:29" ht="57.5" customHeight="1">
      <c r="A101" s="368">
        <v>69</v>
      </c>
      <c r="B101" s="368"/>
      <c r="C101" s="272" t="str">
        <f t="shared" si="2"/>
        <v>282</v>
      </c>
      <c r="D101" s="527">
        <v>28223</v>
      </c>
      <c r="E101" s="182" t="s">
        <v>212</v>
      </c>
      <c r="F101" s="529" t="s">
        <v>2</v>
      </c>
      <c r="G101" s="182">
        <v>32</v>
      </c>
      <c r="H101" s="528" t="s">
        <v>5</v>
      </c>
      <c r="I101" s="528"/>
      <c r="J101" s="275">
        <f t="shared" si="30"/>
        <v>0</v>
      </c>
      <c r="K101" s="275">
        <f t="shared" si="31"/>
        <v>0</v>
      </c>
      <c r="L101" s="275">
        <f t="shared" si="32"/>
        <v>0</v>
      </c>
      <c r="M101" s="275">
        <f t="shared" si="33"/>
        <v>0</v>
      </c>
      <c r="N101" s="276">
        <f t="shared" si="34"/>
        <v>0</v>
      </c>
      <c r="O101" s="276">
        <f t="shared" si="35"/>
        <v>0</v>
      </c>
      <c r="P101" s="276">
        <f t="shared" si="36"/>
        <v>0</v>
      </c>
      <c r="Q101" s="276">
        <f t="shared" si="37"/>
        <v>0</v>
      </c>
      <c r="R101" s="329">
        <f t="shared" si="38"/>
        <v>0</v>
      </c>
      <c r="S101" s="273"/>
      <c r="T101" s="274" t="str">
        <f>IF(ISNA(VLOOKUP(D101,'One year follow-up_inperson'!$C:$C,1,FALSE)),"No","Yes")</f>
        <v>No</v>
      </c>
      <c r="U101" s="592" t="s">
        <v>679</v>
      </c>
      <c r="V101" s="61"/>
      <c r="W101" s="61"/>
      <c r="X101" s="61"/>
      <c r="Y101" s="61"/>
      <c r="Z101" s="61"/>
      <c r="AA101" s="61"/>
      <c r="AB101" s="61"/>
      <c r="AC101" s="61"/>
    </row>
    <row r="102" spans="1:29" ht="75.5" customHeight="1">
      <c r="A102" s="368">
        <v>70</v>
      </c>
      <c r="B102" s="368"/>
      <c r="C102" s="272" t="str">
        <f t="shared" si="2"/>
        <v>282</v>
      </c>
      <c r="D102" s="527">
        <v>28224</v>
      </c>
      <c r="E102" s="182" t="s">
        <v>213</v>
      </c>
      <c r="F102" s="529" t="s">
        <v>2</v>
      </c>
      <c r="G102" s="182">
        <v>31</v>
      </c>
      <c r="H102" s="528" t="s">
        <v>3</v>
      </c>
      <c r="I102" s="530" t="s">
        <v>245</v>
      </c>
      <c r="J102" s="275">
        <f t="shared" si="30"/>
        <v>1</v>
      </c>
      <c r="K102" s="275">
        <f t="shared" si="31"/>
        <v>0</v>
      </c>
      <c r="L102" s="275">
        <f t="shared" si="32"/>
        <v>0</v>
      </c>
      <c r="M102" s="275">
        <f t="shared" si="33"/>
        <v>1</v>
      </c>
      <c r="N102" s="276">
        <f t="shared" si="34"/>
        <v>0</v>
      </c>
      <c r="O102" s="276">
        <f t="shared" si="35"/>
        <v>0</v>
      </c>
      <c r="P102" s="276">
        <f t="shared" si="36"/>
        <v>0</v>
      </c>
      <c r="Q102" s="276">
        <f t="shared" si="37"/>
        <v>0</v>
      </c>
      <c r="R102" s="329">
        <f t="shared" si="38"/>
        <v>1</v>
      </c>
      <c r="S102" s="273"/>
      <c r="T102" s="274" t="str">
        <f>IF(ISNA(VLOOKUP(D102,'One year follow-up_inperson'!$C:$C,1,FALSE)),"No","Yes")</f>
        <v>No</v>
      </c>
      <c r="U102" s="592" t="s">
        <v>679</v>
      </c>
      <c r="V102" s="61"/>
      <c r="W102" s="61"/>
      <c r="X102" s="61"/>
      <c r="Y102" s="61"/>
      <c r="Z102" s="61"/>
      <c r="AA102" s="61"/>
      <c r="AB102" s="61"/>
      <c r="AC102" s="61"/>
    </row>
    <row r="103" spans="1:29" ht="87.5" customHeight="1">
      <c r="A103" s="368">
        <v>71</v>
      </c>
      <c r="B103" s="368"/>
      <c r="C103" s="272" t="str">
        <f t="shared" si="2"/>
        <v>282</v>
      </c>
      <c r="D103" s="527">
        <v>28225</v>
      </c>
      <c r="E103" s="182" t="s">
        <v>214</v>
      </c>
      <c r="F103" s="529" t="s">
        <v>2</v>
      </c>
      <c r="G103" s="182">
        <v>35</v>
      </c>
      <c r="H103" s="528" t="s">
        <v>3</v>
      </c>
      <c r="I103" s="530" t="s">
        <v>246</v>
      </c>
      <c r="J103" s="275">
        <f t="shared" si="30"/>
        <v>0</v>
      </c>
      <c r="K103" s="275">
        <f t="shared" si="31"/>
        <v>1</v>
      </c>
      <c r="L103" s="275">
        <f t="shared" si="32"/>
        <v>0</v>
      </c>
      <c r="M103" s="275">
        <f t="shared" si="33"/>
        <v>1</v>
      </c>
      <c r="N103" s="276">
        <f t="shared" si="34"/>
        <v>1</v>
      </c>
      <c r="O103" s="276">
        <f t="shared" si="35"/>
        <v>0</v>
      </c>
      <c r="P103" s="276">
        <f t="shared" si="36"/>
        <v>0</v>
      </c>
      <c r="Q103" s="276">
        <f t="shared" si="37"/>
        <v>0</v>
      </c>
      <c r="R103" s="329">
        <f t="shared" si="38"/>
        <v>1</v>
      </c>
      <c r="S103" s="273"/>
      <c r="T103" s="274" t="str">
        <f>IF(ISNA(VLOOKUP(D103,'One year follow-up_inperson'!$C:$C,1,FALSE)),"No","Yes")</f>
        <v>No</v>
      </c>
      <c r="U103" s="592" t="s">
        <v>679</v>
      </c>
      <c r="V103" s="61"/>
      <c r="W103" s="61"/>
      <c r="X103" s="61"/>
      <c r="Y103" s="61"/>
      <c r="Z103" s="61"/>
      <c r="AA103" s="61"/>
      <c r="AB103" s="61"/>
      <c r="AC103" s="61"/>
    </row>
    <row r="104" spans="1:29" ht="62.55" customHeight="1">
      <c r="A104" s="368">
        <v>72</v>
      </c>
      <c r="B104" s="368"/>
      <c r="C104" s="272" t="str">
        <f t="shared" si="2"/>
        <v>282</v>
      </c>
      <c r="D104" s="527">
        <v>28226</v>
      </c>
      <c r="E104" s="182" t="s">
        <v>215</v>
      </c>
      <c r="F104" s="529" t="s">
        <v>2</v>
      </c>
      <c r="G104" s="182">
        <v>37</v>
      </c>
      <c r="H104" s="528" t="s">
        <v>5</v>
      </c>
      <c r="I104" s="528"/>
      <c r="J104" s="275">
        <f t="shared" si="30"/>
        <v>0</v>
      </c>
      <c r="K104" s="275">
        <f t="shared" si="31"/>
        <v>0</v>
      </c>
      <c r="L104" s="275">
        <f t="shared" si="32"/>
        <v>0</v>
      </c>
      <c r="M104" s="275">
        <f t="shared" si="33"/>
        <v>0</v>
      </c>
      <c r="N104" s="276">
        <f t="shared" si="34"/>
        <v>0</v>
      </c>
      <c r="O104" s="276">
        <f t="shared" si="35"/>
        <v>0</v>
      </c>
      <c r="P104" s="276">
        <f t="shared" si="36"/>
        <v>0</v>
      </c>
      <c r="Q104" s="276">
        <f t="shared" si="37"/>
        <v>0</v>
      </c>
      <c r="R104" s="329">
        <f t="shared" si="38"/>
        <v>0</v>
      </c>
      <c r="S104" s="273"/>
      <c r="T104" s="274" t="str">
        <f>IF(ISNA(VLOOKUP(D104,'One year follow-up_inperson'!$C:$C,1,FALSE)),"No","Yes")</f>
        <v>No</v>
      </c>
      <c r="U104" s="592" t="s">
        <v>679</v>
      </c>
      <c r="V104" s="61"/>
      <c r="W104" s="61"/>
      <c r="X104" s="61"/>
      <c r="Y104" s="61"/>
      <c r="Z104" s="61"/>
      <c r="AA104" s="61"/>
      <c r="AB104" s="61"/>
      <c r="AC104" s="61"/>
    </row>
    <row r="105" spans="1:29" ht="67.8" customHeight="1">
      <c r="A105" s="368">
        <v>73</v>
      </c>
      <c r="B105" s="368"/>
      <c r="C105" s="272" t="str">
        <f t="shared" si="2"/>
        <v>282</v>
      </c>
      <c r="D105" s="527">
        <v>28227</v>
      </c>
      <c r="E105" s="182" t="s">
        <v>216</v>
      </c>
      <c r="F105" s="529" t="s">
        <v>2</v>
      </c>
      <c r="G105" s="182">
        <v>39</v>
      </c>
      <c r="H105" s="528" t="s">
        <v>3</v>
      </c>
      <c r="I105" s="530" t="s">
        <v>247</v>
      </c>
      <c r="J105" s="275">
        <f t="shared" si="30"/>
        <v>1</v>
      </c>
      <c r="K105" s="275">
        <f t="shared" si="31"/>
        <v>0</v>
      </c>
      <c r="L105" s="275">
        <f t="shared" si="32"/>
        <v>0</v>
      </c>
      <c r="M105" s="275">
        <f t="shared" si="33"/>
        <v>1</v>
      </c>
      <c r="N105" s="276">
        <f t="shared" si="34"/>
        <v>0</v>
      </c>
      <c r="O105" s="276">
        <f t="shared" si="35"/>
        <v>0</v>
      </c>
      <c r="P105" s="276">
        <f t="shared" si="36"/>
        <v>0</v>
      </c>
      <c r="Q105" s="276">
        <f t="shared" si="37"/>
        <v>0</v>
      </c>
      <c r="R105" s="329">
        <f t="shared" si="38"/>
        <v>1</v>
      </c>
      <c r="S105" s="273"/>
      <c r="T105" s="274" t="str">
        <f>IF(ISNA(VLOOKUP(D105,'One year follow-up_inperson'!$C:$C,1,FALSE)),"No","Yes")</f>
        <v>No</v>
      </c>
      <c r="U105" s="592" t="s">
        <v>679</v>
      </c>
      <c r="V105" s="61"/>
      <c r="W105" s="61"/>
      <c r="X105" s="61"/>
      <c r="Y105" s="61"/>
      <c r="Z105" s="61"/>
      <c r="AA105" s="61"/>
      <c r="AB105" s="61"/>
      <c r="AC105" s="61"/>
    </row>
    <row r="106" spans="1:29" ht="86.55" customHeight="1">
      <c r="A106" s="368">
        <v>74</v>
      </c>
      <c r="B106" s="368"/>
      <c r="C106" s="272" t="str">
        <f t="shared" si="2"/>
        <v>282</v>
      </c>
      <c r="D106" s="527">
        <v>28230</v>
      </c>
      <c r="E106" s="182" t="s">
        <v>217</v>
      </c>
      <c r="F106" s="529" t="s">
        <v>2</v>
      </c>
      <c r="G106" s="182">
        <v>40</v>
      </c>
      <c r="H106" s="528" t="s">
        <v>3</v>
      </c>
      <c r="I106" s="530" t="s">
        <v>248</v>
      </c>
      <c r="J106" s="275">
        <f t="shared" si="30"/>
        <v>0</v>
      </c>
      <c r="K106" s="275">
        <f t="shared" si="31"/>
        <v>1</v>
      </c>
      <c r="L106" s="275">
        <f t="shared" si="32"/>
        <v>0</v>
      </c>
      <c r="M106" s="275">
        <f t="shared" si="33"/>
        <v>1</v>
      </c>
      <c r="N106" s="276">
        <f t="shared" si="34"/>
        <v>0</v>
      </c>
      <c r="O106" s="276">
        <f t="shared" si="35"/>
        <v>0</v>
      </c>
      <c r="P106" s="276">
        <f t="shared" si="36"/>
        <v>0</v>
      </c>
      <c r="Q106" s="276">
        <f t="shared" si="37"/>
        <v>0</v>
      </c>
      <c r="R106" s="329">
        <f t="shared" si="38"/>
        <v>1</v>
      </c>
      <c r="S106" s="273"/>
      <c r="T106" s="274" t="str">
        <f>IF(ISNA(VLOOKUP(D106,'One year follow-up_inperson'!$C:$C,1,FALSE)),"No","Yes")</f>
        <v>No</v>
      </c>
      <c r="U106" s="592" t="s">
        <v>679</v>
      </c>
      <c r="V106" s="61"/>
      <c r="W106" s="61"/>
      <c r="X106" s="61"/>
      <c r="Y106" s="61"/>
      <c r="Z106" s="61"/>
      <c r="AA106" s="61"/>
      <c r="AB106" s="61"/>
      <c r="AC106" s="61"/>
    </row>
    <row r="107" spans="1:29" ht="75.5" customHeight="1">
      <c r="A107" s="368">
        <v>75</v>
      </c>
      <c r="B107" s="368"/>
      <c r="C107" s="272" t="str">
        <f t="shared" si="2"/>
        <v>282</v>
      </c>
      <c r="D107" s="527">
        <v>28231</v>
      </c>
      <c r="E107" s="182" t="s">
        <v>218</v>
      </c>
      <c r="F107" s="529" t="s">
        <v>2</v>
      </c>
      <c r="G107" s="182">
        <v>35</v>
      </c>
      <c r="H107" s="528" t="s">
        <v>3</v>
      </c>
      <c r="I107" s="530" t="s">
        <v>466</v>
      </c>
      <c r="J107" s="275">
        <f t="shared" si="30"/>
        <v>1</v>
      </c>
      <c r="K107" s="275">
        <f t="shared" si="31"/>
        <v>0</v>
      </c>
      <c r="L107" s="275">
        <f t="shared" si="32"/>
        <v>0</v>
      </c>
      <c r="M107" s="275">
        <f t="shared" si="33"/>
        <v>1</v>
      </c>
      <c r="N107" s="276">
        <f t="shared" si="34"/>
        <v>0</v>
      </c>
      <c r="O107" s="276">
        <f t="shared" si="35"/>
        <v>0</v>
      </c>
      <c r="P107" s="276">
        <f t="shared" si="36"/>
        <v>0</v>
      </c>
      <c r="Q107" s="276">
        <f t="shared" si="37"/>
        <v>0</v>
      </c>
      <c r="R107" s="329">
        <f t="shared" si="38"/>
        <v>1</v>
      </c>
      <c r="S107" s="273"/>
      <c r="T107" s="274" t="str">
        <f>IF(ISNA(VLOOKUP(D107,'One year follow-up_inperson'!$C:$C,1,FALSE)),"No","Yes")</f>
        <v>No</v>
      </c>
      <c r="U107" s="592" t="s">
        <v>679</v>
      </c>
      <c r="V107" s="61"/>
      <c r="W107" s="61"/>
      <c r="X107" s="61"/>
      <c r="Y107" s="61"/>
      <c r="Z107" s="61"/>
      <c r="AA107" s="61"/>
      <c r="AB107" s="61"/>
      <c r="AC107" s="61"/>
    </row>
    <row r="108" spans="1:29" ht="73.8" customHeight="1">
      <c r="A108" s="368">
        <v>76</v>
      </c>
      <c r="B108" s="368"/>
      <c r="C108" s="272" t="str">
        <f t="shared" si="2"/>
        <v>282</v>
      </c>
      <c r="D108" s="527">
        <v>28232</v>
      </c>
      <c r="E108" s="182" t="s">
        <v>219</v>
      </c>
      <c r="F108" s="529" t="s">
        <v>2</v>
      </c>
      <c r="G108" s="182">
        <v>41</v>
      </c>
      <c r="H108" s="528" t="s">
        <v>5</v>
      </c>
      <c r="I108" s="530" t="s">
        <v>465</v>
      </c>
      <c r="J108" s="275">
        <f t="shared" si="30"/>
        <v>1</v>
      </c>
      <c r="K108" s="275">
        <f t="shared" si="31"/>
        <v>0</v>
      </c>
      <c r="L108" s="275">
        <f t="shared" si="32"/>
        <v>0</v>
      </c>
      <c r="M108" s="275">
        <f t="shared" si="33"/>
        <v>1</v>
      </c>
      <c r="N108" s="276">
        <f t="shared" si="34"/>
        <v>0</v>
      </c>
      <c r="O108" s="276">
        <f t="shared" si="35"/>
        <v>0</v>
      </c>
      <c r="P108" s="276">
        <f t="shared" si="36"/>
        <v>0</v>
      </c>
      <c r="Q108" s="276">
        <f t="shared" si="37"/>
        <v>0</v>
      </c>
      <c r="R108" s="329">
        <f t="shared" si="38"/>
        <v>1</v>
      </c>
      <c r="S108" s="273"/>
      <c r="T108" s="274" t="str">
        <f>IF(ISNA(VLOOKUP(D108,'One year follow-up_inperson'!$C:$C,1,FALSE)),"No","Yes")</f>
        <v>No</v>
      </c>
      <c r="U108" s="592" t="s">
        <v>679</v>
      </c>
      <c r="V108" s="61"/>
      <c r="W108" s="61"/>
      <c r="X108" s="61"/>
      <c r="Y108" s="61"/>
      <c r="Z108" s="61"/>
      <c r="AA108" s="61"/>
      <c r="AB108" s="61"/>
      <c r="AC108" s="61"/>
    </row>
    <row r="109" spans="1:29" ht="84" customHeight="1">
      <c r="A109" s="368">
        <v>77</v>
      </c>
      <c r="B109" s="368"/>
      <c r="C109" s="272" t="str">
        <f t="shared" si="2"/>
        <v>282</v>
      </c>
      <c r="D109" s="527">
        <v>28233</v>
      </c>
      <c r="E109" s="182" t="s">
        <v>220</v>
      </c>
      <c r="F109" s="529" t="s">
        <v>2</v>
      </c>
      <c r="G109" s="182">
        <v>28</v>
      </c>
      <c r="H109" s="528" t="s">
        <v>3</v>
      </c>
      <c r="I109" s="530" t="s">
        <v>249</v>
      </c>
      <c r="J109" s="275">
        <f t="shared" si="30"/>
        <v>0</v>
      </c>
      <c r="K109" s="275">
        <f t="shared" si="31"/>
        <v>1</v>
      </c>
      <c r="L109" s="275">
        <f t="shared" si="32"/>
        <v>0</v>
      </c>
      <c r="M109" s="275">
        <f t="shared" si="33"/>
        <v>1</v>
      </c>
      <c r="N109" s="276">
        <f t="shared" si="34"/>
        <v>1</v>
      </c>
      <c r="O109" s="276">
        <f t="shared" si="35"/>
        <v>0</v>
      </c>
      <c r="P109" s="276">
        <f t="shared" si="36"/>
        <v>0</v>
      </c>
      <c r="Q109" s="276">
        <f t="shared" si="37"/>
        <v>0</v>
      </c>
      <c r="R109" s="329">
        <f t="shared" si="38"/>
        <v>1</v>
      </c>
      <c r="S109" s="273"/>
      <c r="T109" s="274" t="str">
        <f>IF(ISNA(VLOOKUP(D109,'One year follow-up_inperson'!$C:$C,1,FALSE)),"No","Yes")</f>
        <v>No</v>
      </c>
      <c r="U109" s="592" t="s">
        <v>679</v>
      </c>
      <c r="V109" s="61"/>
      <c r="W109" s="61"/>
      <c r="X109" s="61"/>
      <c r="Y109" s="61"/>
      <c r="Z109" s="61"/>
      <c r="AA109" s="61"/>
      <c r="AB109" s="61"/>
      <c r="AC109" s="61"/>
    </row>
    <row r="110" spans="1:29" ht="71.55" customHeight="1">
      <c r="A110" s="368">
        <v>78</v>
      </c>
      <c r="B110" s="368"/>
      <c r="C110" s="272" t="str">
        <f t="shared" si="2"/>
        <v>282</v>
      </c>
      <c r="D110" s="527">
        <v>28234</v>
      </c>
      <c r="E110" s="182" t="s">
        <v>221</v>
      </c>
      <c r="F110" s="529" t="s">
        <v>2</v>
      </c>
      <c r="G110" s="182">
        <v>23</v>
      </c>
      <c r="H110" s="528" t="s">
        <v>5</v>
      </c>
      <c r="I110" s="528"/>
      <c r="J110" s="275">
        <f t="shared" si="30"/>
        <v>0</v>
      </c>
      <c r="K110" s="275">
        <f t="shared" si="31"/>
        <v>0</v>
      </c>
      <c r="L110" s="275">
        <f t="shared" si="32"/>
        <v>0</v>
      </c>
      <c r="M110" s="275">
        <f t="shared" si="33"/>
        <v>0</v>
      </c>
      <c r="N110" s="276">
        <f t="shared" si="34"/>
        <v>0</v>
      </c>
      <c r="O110" s="276">
        <f t="shared" si="35"/>
        <v>0</v>
      </c>
      <c r="P110" s="276">
        <f t="shared" si="36"/>
        <v>0</v>
      </c>
      <c r="Q110" s="276">
        <f t="shared" si="37"/>
        <v>0</v>
      </c>
      <c r="R110" s="329">
        <f t="shared" si="38"/>
        <v>0</v>
      </c>
      <c r="S110" s="273"/>
      <c r="T110" s="274" t="str">
        <f>IF(ISNA(VLOOKUP(D110,'One year follow-up_inperson'!$C:$C,1,FALSE)),"No","Yes")</f>
        <v>No</v>
      </c>
      <c r="U110" s="592" t="s">
        <v>679</v>
      </c>
      <c r="V110" s="61"/>
      <c r="W110" s="61"/>
      <c r="X110" s="61"/>
      <c r="Y110" s="61"/>
      <c r="Z110" s="61"/>
      <c r="AA110" s="61"/>
      <c r="AB110" s="61"/>
      <c r="AC110" s="61"/>
    </row>
    <row r="111" spans="1:29" ht="52.25" customHeight="1">
      <c r="A111" s="368">
        <v>79</v>
      </c>
      <c r="B111" s="368"/>
      <c r="C111" s="272" t="str">
        <f t="shared" si="2"/>
        <v>282</v>
      </c>
      <c r="D111" s="527">
        <v>28235</v>
      </c>
      <c r="E111" s="182" t="s">
        <v>222</v>
      </c>
      <c r="F111" s="529" t="s">
        <v>2</v>
      </c>
      <c r="G111" s="182">
        <v>26</v>
      </c>
      <c r="H111" s="528" t="s">
        <v>3</v>
      </c>
      <c r="I111" s="530" t="s">
        <v>250</v>
      </c>
      <c r="J111" s="275">
        <f t="shared" si="30"/>
        <v>0</v>
      </c>
      <c r="K111" s="275">
        <f t="shared" si="31"/>
        <v>1</v>
      </c>
      <c r="L111" s="275">
        <f t="shared" si="32"/>
        <v>0</v>
      </c>
      <c r="M111" s="275">
        <f t="shared" si="33"/>
        <v>1</v>
      </c>
      <c r="N111" s="276">
        <f t="shared" si="34"/>
        <v>1</v>
      </c>
      <c r="O111" s="276">
        <f t="shared" si="35"/>
        <v>0</v>
      </c>
      <c r="P111" s="276">
        <f t="shared" si="36"/>
        <v>0</v>
      </c>
      <c r="Q111" s="276">
        <f t="shared" si="37"/>
        <v>0</v>
      </c>
      <c r="R111" s="329">
        <f t="shared" si="38"/>
        <v>1</v>
      </c>
      <c r="S111" s="273"/>
      <c r="T111" s="274" t="str">
        <f>IF(ISNA(VLOOKUP(D111,'One year follow-up_inperson'!$C:$C,1,FALSE)),"No","Yes")</f>
        <v>No</v>
      </c>
      <c r="U111" s="592" t="s">
        <v>679</v>
      </c>
      <c r="V111" s="61"/>
      <c r="W111" s="61"/>
      <c r="X111" s="61"/>
      <c r="Y111" s="61"/>
      <c r="Z111" s="61"/>
      <c r="AA111" s="61"/>
      <c r="AB111" s="61"/>
      <c r="AC111" s="61"/>
    </row>
    <row r="112" spans="1:29" ht="46.8" customHeight="1">
      <c r="A112" s="368">
        <v>80</v>
      </c>
      <c r="B112" s="368"/>
      <c r="C112" s="272" t="str">
        <f t="shared" si="2"/>
        <v>282</v>
      </c>
      <c r="D112" s="527">
        <v>28236</v>
      </c>
      <c r="E112" s="182" t="s">
        <v>223</v>
      </c>
      <c r="F112" s="529" t="s">
        <v>2</v>
      </c>
      <c r="G112" s="182">
        <v>33</v>
      </c>
      <c r="H112" s="528" t="s">
        <v>3</v>
      </c>
      <c r="I112" s="530" t="s">
        <v>251</v>
      </c>
      <c r="J112" s="275">
        <f t="shared" si="30"/>
        <v>0</v>
      </c>
      <c r="K112" s="275">
        <f t="shared" si="31"/>
        <v>0</v>
      </c>
      <c r="L112" s="275">
        <f t="shared" si="32"/>
        <v>1</v>
      </c>
      <c r="M112" s="275">
        <f t="shared" si="33"/>
        <v>1</v>
      </c>
      <c r="N112" s="276">
        <f t="shared" si="34"/>
        <v>0</v>
      </c>
      <c r="O112" s="276">
        <f t="shared" si="35"/>
        <v>0</v>
      </c>
      <c r="P112" s="276">
        <f t="shared" si="36"/>
        <v>0</v>
      </c>
      <c r="Q112" s="276">
        <f t="shared" si="37"/>
        <v>0</v>
      </c>
      <c r="R112" s="329">
        <f t="shared" si="38"/>
        <v>1</v>
      </c>
      <c r="S112" s="273"/>
      <c r="T112" s="274" t="str">
        <f>IF(ISNA(VLOOKUP(D112,'One year follow-up_inperson'!$C:$C,1,FALSE)),"No","Yes")</f>
        <v>No</v>
      </c>
      <c r="U112" s="592" t="s">
        <v>679</v>
      </c>
      <c r="V112" s="61"/>
      <c r="W112" s="61"/>
      <c r="X112" s="61"/>
      <c r="Y112" s="61"/>
      <c r="Z112" s="61"/>
      <c r="AA112" s="61"/>
      <c r="AB112" s="61"/>
      <c r="AC112" s="61"/>
    </row>
    <row r="113" spans="1:29" ht="82.8" customHeight="1">
      <c r="A113" s="368">
        <v>81</v>
      </c>
      <c r="B113" s="368"/>
      <c r="C113" s="272" t="str">
        <f t="shared" si="2"/>
        <v>282</v>
      </c>
      <c r="D113" s="527">
        <v>28237</v>
      </c>
      <c r="E113" s="183" t="s">
        <v>253</v>
      </c>
      <c r="F113" s="529" t="s">
        <v>2</v>
      </c>
      <c r="G113" s="182">
        <v>32</v>
      </c>
      <c r="H113" s="528" t="s">
        <v>3</v>
      </c>
      <c r="I113" s="530" t="s">
        <v>252</v>
      </c>
      <c r="J113" s="275">
        <f t="shared" si="30"/>
        <v>0</v>
      </c>
      <c r="K113" s="275">
        <f t="shared" si="31"/>
        <v>1</v>
      </c>
      <c r="L113" s="275">
        <f t="shared" si="32"/>
        <v>0</v>
      </c>
      <c r="M113" s="275">
        <f t="shared" si="33"/>
        <v>1</v>
      </c>
      <c r="N113" s="276">
        <f t="shared" si="34"/>
        <v>0</v>
      </c>
      <c r="O113" s="276">
        <f t="shared" si="35"/>
        <v>0</v>
      </c>
      <c r="P113" s="276">
        <f t="shared" si="36"/>
        <v>0</v>
      </c>
      <c r="Q113" s="276">
        <f t="shared" si="37"/>
        <v>0</v>
      </c>
      <c r="R113" s="329">
        <f t="shared" si="38"/>
        <v>1</v>
      </c>
      <c r="S113" s="273"/>
      <c r="T113" s="274" t="str">
        <f>IF(ISNA(VLOOKUP(D113,'One year follow-up_inperson'!$C:$C,1,FALSE)),"No","Yes")</f>
        <v>No</v>
      </c>
      <c r="U113" s="592" t="s">
        <v>679</v>
      </c>
      <c r="V113" s="61"/>
      <c r="W113" s="61"/>
      <c r="X113" s="61"/>
      <c r="Y113" s="61"/>
      <c r="Z113" s="61"/>
      <c r="AA113" s="61"/>
      <c r="AB113" s="61"/>
      <c r="AC113" s="61"/>
    </row>
    <row r="114" spans="1:29" ht="76.25" customHeight="1">
      <c r="A114" s="368">
        <v>82</v>
      </c>
      <c r="B114" s="368"/>
      <c r="C114" s="272" t="str">
        <f t="shared" si="2"/>
        <v>282</v>
      </c>
      <c r="D114" s="527">
        <v>28240</v>
      </c>
      <c r="E114" s="182" t="s">
        <v>224</v>
      </c>
      <c r="F114" s="529" t="s">
        <v>2</v>
      </c>
      <c r="G114" s="182">
        <v>37</v>
      </c>
      <c r="H114" s="528" t="s">
        <v>5</v>
      </c>
      <c r="I114" s="528"/>
      <c r="J114" s="275">
        <f t="shared" si="30"/>
        <v>0</v>
      </c>
      <c r="K114" s="275">
        <f t="shared" si="31"/>
        <v>0</v>
      </c>
      <c r="L114" s="275">
        <f t="shared" si="32"/>
        <v>0</v>
      </c>
      <c r="M114" s="275">
        <f t="shared" si="33"/>
        <v>0</v>
      </c>
      <c r="N114" s="276">
        <f t="shared" si="34"/>
        <v>0</v>
      </c>
      <c r="O114" s="276">
        <f t="shared" si="35"/>
        <v>0</v>
      </c>
      <c r="P114" s="276">
        <f t="shared" si="36"/>
        <v>0</v>
      </c>
      <c r="Q114" s="276">
        <f t="shared" si="37"/>
        <v>0</v>
      </c>
      <c r="R114" s="329">
        <f t="shared" si="38"/>
        <v>0</v>
      </c>
      <c r="S114" s="273"/>
      <c r="T114" s="274" t="str">
        <f>IF(ISNA(VLOOKUP(D114,'One year follow-up_inperson'!$C:$C,1,FALSE)),"No","Yes")</f>
        <v>No</v>
      </c>
      <c r="U114" s="592" t="s">
        <v>679</v>
      </c>
      <c r="V114" s="61"/>
      <c r="W114" s="61"/>
      <c r="X114" s="61"/>
      <c r="Y114" s="61"/>
      <c r="Z114" s="61"/>
      <c r="AA114" s="61"/>
      <c r="AB114" s="61"/>
      <c r="AC114" s="61"/>
    </row>
    <row r="115" spans="1:29" ht="133.25" customHeight="1">
      <c r="A115" s="368">
        <v>83</v>
      </c>
      <c r="B115" s="368"/>
      <c r="C115" s="272" t="str">
        <f t="shared" si="2"/>
        <v>282</v>
      </c>
      <c r="D115" s="527">
        <v>28241</v>
      </c>
      <c r="E115" s="182" t="s">
        <v>225</v>
      </c>
      <c r="F115" s="529" t="s">
        <v>2</v>
      </c>
      <c r="G115" s="182">
        <v>41</v>
      </c>
      <c r="H115" s="528" t="s">
        <v>3</v>
      </c>
      <c r="I115" s="530" t="s">
        <v>254</v>
      </c>
      <c r="J115" s="275">
        <f t="shared" si="30"/>
        <v>0</v>
      </c>
      <c r="K115" s="275">
        <f t="shared" si="31"/>
        <v>1</v>
      </c>
      <c r="L115" s="275">
        <f t="shared" si="32"/>
        <v>0</v>
      </c>
      <c r="M115" s="275">
        <f t="shared" si="33"/>
        <v>1</v>
      </c>
      <c r="N115" s="276">
        <f>IF(OR(ISNUMBER(SEARCH("started a business",I115))=TRUE,ISNUMBER(SEARCH("started an income-generating activity",I115))=TRUE,ISNUMBER(SEARCH("a business",I115))=TRUE),1,0)</f>
        <v>1</v>
      </c>
      <c r="O115" s="276">
        <f t="shared" si="35"/>
        <v>0</v>
      </c>
      <c r="P115" s="276">
        <f t="shared" si="36"/>
        <v>0</v>
      </c>
      <c r="Q115" s="276">
        <f t="shared" si="37"/>
        <v>0</v>
      </c>
      <c r="R115" s="329">
        <f t="shared" si="38"/>
        <v>1</v>
      </c>
      <c r="S115" s="273"/>
      <c r="T115" s="274" t="str">
        <f>IF(ISNA(VLOOKUP(D115,'One year follow-up_inperson'!$C:$C,1,FALSE)),"No","Yes")</f>
        <v>No</v>
      </c>
      <c r="U115" s="592" t="s">
        <v>679</v>
      </c>
      <c r="V115" s="61"/>
      <c r="W115" s="61"/>
      <c r="X115" s="61"/>
      <c r="Y115" s="61"/>
      <c r="Z115" s="61"/>
      <c r="AA115" s="61"/>
      <c r="AB115" s="61"/>
      <c r="AC115" s="61"/>
    </row>
    <row r="116" spans="1:29" ht="71.55" customHeight="1">
      <c r="A116" s="368">
        <v>84</v>
      </c>
      <c r="B116" s="368"/>
      <c r="C116" s="272" t="str">
        <f t="shared" si="2"/>
        <v>282</v>
      </c>
      <c r="D116" s="527">
        <v>28242</v>
      </c>
      <c r="E116" s="182" t="s">
        <v>226</v>
      </c>
      <c r="F116" s="529" t="s">
        <v>2</v>
      </c>
      <c r="G116" s="182">
        <v>29</v>
      </c>
      <c r="H116" s="528" t="s">
        <v>3</v>
      </c>
      <c r="I116" s="530" t="s">
        <v>255</v>
      </c>
      <c r="J116" s="275">
        <f t="shared" si="30"/>
        <v>0</v>
      </c>
      <c r="K116" s="275">
        <f t="shared" si="31"/>
        <v>1</v>
      </c>
      <c r="L116" s="275">
        <f t="shared" si="32"/>
        <v>0</v>
      </c>
      <c r="M116" s="275">
        <f t="shared" si="33"/>
        <v>1</v>
      </c>
      <c r="N116" s="276">
        <f t="shared" si="34"/>
        <v>1</v>
      </c>
      <c r="O116" s="276">
        <f t="shared" si="35"/>
        <v>0</v>
      </c>
      <c r="P116" s="276">
        <f t="shared" si="36"/>
        <v>0</v>
      </c>
      <c r="Q116" s="276">
        <f t="shared" si="37"/>
        <v>0</v>
      </c>
      <c r="R116" s="329">
        <f t="shared" si="38"/>
        <v>1</v>
      </c>
      <c r="S116" s="273"/>
      <c r="T116" s="274" t="str">
        <f>IF(ISNA(VLOOKUP(D116,'One year follow-up_inperson'!$C:$C,1,FALSE)),"No","Yes")</f>
        <v>No</v>
      </c>
      <c r="U116" s="592" t="s">
        <v>679</v>
      </c>
      <c r="V116" s="61"/>
      <c r="W116" s="61"/>
      <c r="X116" s="61"/>
      <c r="Y116" s="61"/>
      <c r="Z116" s="61"/>
      <c r="AA116" s="61"/>
      <c r="AB116" s="61"/>
      <c r="AC116" s="61"/>
    </row>
    <row r="117" spans="1:29" ht="61.25" customHeight="1">
      <c r="A117" s="368">
        <v>85</v>
      </c>
      <c r="B117" s="368"/>
      <c r="C117" s="272" t="str">
        <f t="shared" si="2"/>
        <v>282</v>
      </c>
      <c r="D117" s="527">
        <v>28244</v>
      </c>
      <c r="E117" s="182" t="s">
        <v>227</v>
      </c>
      <c r="F117" s="529" t="s">
        <v>2</v>
      </c>
      <c r="G117" s="182">
        <v>40</v>
      </c>
      <c r="H117" s="528" t="s">
        <v>3</v>
      </c>
      <c r="I117" s="528" t="s">
        <v>464</v>
      </c>
      <c r="J117" s="275">
        <f t="shared" si="30"/>
        <v>0</v>
      </c>
      <c r="K117" s="275">
        <f t="shared" si="31"/>
        <v>0</v>
      </c>
      <c r="L117" s="275">
        <f t="shared" si="32"/>
        <v>1</v>
      </c>
      <c r="M117" s="275">
        <f t="shared" si="33"/>
        <v>1</v>
      </c>
      <c r="N117" s="276">
        <f t="shared" si="34"/>
        <v>0</v>
      </c>
      <c r="O117" s="276">
        <f t="shared" si="35"/>
        <v>0</v>
      </c>
      <c r="P117" s="276">
        <f t="shared" si="36"/>
        <v>0</v>
      </c>
      <c r="Q117" s="276">
        <f t="shared" si="37"/>
        <v>0</v>
      </c>
      <c r="R117" s="329">
        <f t="shared" si="38"/>
        <v>1</v>
      </c>
      <c r="S117" s="273"/>
      <c r="T117" s="274" t="str">
        <f>IF(ISNA(VLOOKUP(D117,'One year follow-up_inperson'!$C:$C,1,FALSE)),"No","Yes")</f>
        <v>No</v>
      </c>
      <c r="U117" s="592" t="s">
        <v>679</v>
      </c>
      <c r="V117" s="61"/>
      <c r="W117" s="61"/>
      <c r="X117" s="61"/>
      <c r="Y117" s="61"/>
      <c r="Z117" s="61"/>
      <c r="AA117" s="61"/>
      <c r="AB117" s="61"/>
      <c r="AC117" s="61"/>
    </row>
    <row r="118" spans="1:29" ht="45" customHeight="1">
      <c r="A118" s="368">
        <v>86</v>
      </c>
      <c r="B118" s="368"/>
      <c r="C118" s="272" t="str">
        <f t="shared" si="2"/>
        <v>282</v>
      </c>
      <c r="D118" s="527">
        <v>28245</v>
      </c>
      <c r="E118" s="182" t="s">
        <v>228</v>
      </c>
      <c r="F118" s="529" t="s">
        <v>2</v>
      </c>
      <c r="G118" s="182">
        <v>41</v>
      </c>
      <c r="H118" s="528" t="s">
        <v>3</v>
      </c>
      <c r="I118" s="530" t="s">
        <v>463</v>
      </c>
      <c r="J118" s="275">
        <f t="shared" si="30"/>
        <v>1</v>
      </c>
      <c r="K118" s="275">
        <f t="shared" si="31"/>
        <v>0</v>
      </c>
      <c r="L118" s="275">
        <f t="shared" si="32"/>
        <v>0</v>
      </c>
      <c r="M118" s="275">
        <f t="shared" si="33"/>
        <v>1</v>
      </c>
      <c r="N118" s="276">
        <f t="shared" si="34"/>
        <v>0</v>
      </c>
      <c r="O118" s="276">
        <f t="shared" si="35"/>
        <v>0</v>
      </c>
      <c r="P118" s="276">
        <f t="shared" si="36"/>
        <v>0</v>
      </c>
      <c r="Q118" s="276">
        <f t="shared" si="37"/>
        <v>0</v>
      </c>
      <c r="R118" s="329">
        <f t="shared" si="38"/>
        <v>1</v>
      </c>
      <c r="S118" s="273"/>
      <c r="T118" s="274" t="str">
        <f>IF(ISNA(VLOOKUP(D118,'One year follow-up_inperson'!$C:$C,1,FALSE)),"No","Yes")</f>
        <v>No</v>
      </c>
      <c r="U118" s="592" t="s">
        <v>679</v>
      </c>
      <c r="V118" s="61"/>
      <c r="W118" s="61"/>
      <c r="X118" s="61"/>
      <c r="Y118" s="61"/>
      <c r="Z118" s="61"/>
      <c r="AA118" s="61"/>
      <c r="AB118" s="61"/>
      <c r="AC118" s="61"/>
    </row>
    <row r="119" spans="1:29" ht="79.8" customHeight="1">
      <c r="A119" s="368">
        <v>87</v>
      </c>
      <c r="B119" s="368"/>
      <c r="C119" s="272" t="str">
        <f t="shared" si="2"/>
        <v>282</v>
      </c>
      <c r="D119" s="527">
        <v>28249</v>
      </c>
      <c r="E119" s="182" t="s">
        <v>229</v>
      </c>
      <c r="F119" s="529" t="s">
        <v>2</v>
      </c>
      <c r="G119" s="182">
        <v>32</v>
      </c>
      <c r="H119" s="528" t="s">
        <v>3</v>
      </c>
      <c r="I119" s="530" t="s">
        <v>256</v>
      </c>
      <c r="J119" s="275">
        <f t="shared" si="30"/>
        <v>0</v>
      </c>
      <c r="K119" s="275">
        <f t="shared" si="31"/>
        <v>1</v>
      </c>
      <c r="L119" s="275">
        <f t="shared" si="32"/>
        <v>0</v>
      </c>
      <c r="M119" s="275">
        <f t="shared" si="33"/>
        <v>1</v>
      </c>
      <c r="N119" s="276">
        <f t="shared" si="34"/>
        <v>1</v>
      </c>
      <c r="O119" s="276">
        <f t="shared" si="35"/>
        <v>0</v>
      </c>
      <c r="P119" s="276">
        <f t="shared" si="36"/>
        <v>0</v>
      </c>
      <c r="Q119" s="276">
        <f t="shared" si="37"/>
        <v>0</v>
      </c>
      <c r="R119" s="329">
        <f t="shared" si="38"/>
        <v>1</v>
      </c>
      <c r="S119" s="273"/>
      <c r="T119" s="274" t="str">
        <f>IF(ISNA(VLOOKUP(D119,'One year follow-up_inperson'!$C:$C,1,FALSE)),"No","Yes")</f>
        <v>No</v>
      </c>
      <c r="U119" s="592" t="s">
        <v>679</v>
      </c>
      <c r="V119" s="61"/>
      <c r="W119" s="61"/>
      <c r="X119" s="61"/>
      <c r="Y119" s="61"/>
      <c r="Z119" s="61"/>
      <c r="AA119" s="61"/>
      <c r="AB119" s="61"/>
      <c r="AC119" s="61"/>
    </row>
    <row r="120" spans="1:29" ht="53.55" customHeight="1">
      <c r="A120" s="368">
        <v>88</v>
      </c>
      <c r="B120" s="368"/>
      <c r="C120" s="272" t="str">
        <f t="shared" si="2"/>
        <v>282</v>
      </c>
      <c r="D120" s="527">
        <v>28250</v>
      </c>
      <c r="E120" s="182" t="s">
        <v>230</v>
      </c>
      <c r="F120" s="529" t="s">
        <v>2</v>
      </c>
      <c r="G120" s="182">
        <v>29</v>
      </c>
      <c r="H120" s="528" t="s">
        <v>3</v>
      </c>
      <c r="I120" s="530" t="s">
        <v>257</v>
      </c>
      <c r="J120" s="275">
        <f t="shared" si="30"/>
        <v>0</v>
      </c>
      <c r="K120" s="275">
        <f t="shared" si="31"/>
        <v>0</v>
      </c>
      <c r="L120" s="275">
        <f t="shared" si="32"/>
        <v>1</v>
      </c>
      <c r="M120" s="275">
        <f t="shared" si="33"/>
        <v>1</v>
      </c>
      <c r="N120" s="276">
        <f t="shared" si="34"/>
        <v>0</v>
      </c>
      <c r="O120" s="276">
        <f t="shared" si="35"/>
        <v>0</v>
      </c>
      <c r="P120" s="276">
        <f t="shared" si="36"/>
        <v>0</v>
      </c>
      <c r="Q120" s="276">
        <f t="shared" si="37"/>
        <v>0</v>
      </c>
      <c r="R120" s="329">
        <f t="shared" si="38"/>
        <v>1</v>
      </c>
      <c r="S120" s="273"/>
      <c r="T120" s="274" t="str">
        <f>IF(ISNA(VLOOKUP(D120,'One year follow-up_inperson'!$C:$C,1,FALSE)),"No","Yes")</f>
        <v>No</v>
      </c>
      <c r="U120" s="592" t="s">
        <v>679</v>
      </c>
      <c r="V120" s="61"/>
      <c r="W120" s="61"/>
      <c r="X120" s="61"/>
      <c r="Y120" s="61"/>
      <c r="Z120" s="61"/>
      <c r="AA120" s="61"/>
      <c r="AB120" s="61"/>
      <c r="AC120" s="61"/>
    </row>
    <row r="121" spans="1:29" ht="63" customHeight="1">
      <c r="A121" s="368">
        <v>89</v>
      </c>
      <c r="B121" s="368"/>
      <c r="C121" s="272" t="str">
        <f t="shared" si="2"/>
        <v>282</v>
      </c>
      <c r="D121" s="527">
        <v>28253</v>
      </c>
      <c r="E121" s="182" t="s">
        <v>231</v>
      </c>
      <c r="F121" s="529" t="s">
        <v>2</v>
      </c>
      <c r="G121" s="182">
        <v>45</v>
      </c>
      <c r="H121" s="528" t="s">
        <v>3</v>
      </c>
      <c r="I121" s="530" t="s">
        <v>258</v>
      </c>
      <c r="J121" s="275">
        <f t="shared" si="30"/>
        <v>1</v>
      </c>
      <c r="K121" s="275">
        <f t="shared" si="31"/>
        <v>0</v>
      </c>
      <c r="L121" s="275">
        <f t="shared" si="32"/>
        <v>0</v>
      </c>
      <c r="M121" s="275">
        <f t="shared" si="33"/>
        <v>1</v>
      </c>
      <c r="N121" s="276">
        <f t="shared" si="34"/>
        <v>0</v>
      </c>
      <c r="O121" s="276">
        <f t="shared" si="35"/>
        <v>0</v>
      </c>
      <c r="P121" s="276">
        <f t="shared" si="36"/>
        <v>0</v>
      </c>
      <c r="Q121" s="276">
        <f t="shared" si="37"/>
        <v>0</v>
      </c>
      <c r="R121" s="329">
        <f t="shared" si="38"/>
        <v>1</v>
      </c>
      <c r="S121" s="273"/>
      <c r="T121" s="274" t="str">
        <f>IF(ISNA(VLOOKUP(D121,'One year follow-up_inperson'!$C:$C,1,FALSE)),"No","Yes")</f>
        <v>No</v>
      </c>
      <c r="U121" s="592" t="s">
        <v>679</v>
      </c>
      <c r="V121" s="61"/>
      <c r="W121" s="61"/>
      <c r="X121" s="61"/>
      <c r="Y121" s="61"/>
      <c r="Z121" s="61"/>
      <c r="AA121" s="61"/>
      <c r="AB121" s="61"/>
      <c r="AC121" s="61"/>
    </row>
    <row r="122" spans="1:29" ht="68.55" customHeight="1">
      <c r="A122" s="368">
        <v>90</v>
      </c>
      <c r="B122" s="368"/>
      <c r="C122" s="272" t="str">
        <f t="shared" si="2"/>
        <v>282</v>
      </c>
      <c r="D122" s="527">
        <v>28254</v>
      </c>
      <c r="E122" s="182" t="s">
        <v>232</v>
      </c>
      <c r="F122" s="529" t="s">
        <v>2</v>
      </c>
      <c r="G122" s="182">
        <v>39</v>
      </c>
      <c r="H122" s="528" t="s">
        <v>3</v>
      </c>
      <c r="I122" s="530" t="s">
        <v>259</v>
      </c>
      <c r="J122" s="275">
        <f t="shared" si="30"/>
        <v>1</v>
      </c>
      <c r="K122" s="275">
        <f t="shared" si="31"/>
        <v>0</v>
      </c>
      <c r="L122" s="275">
        <f t="shared" si="32"/>
        <v>0</v>
      </c>
      <c r="M122" s="275">
        <f t="shared" si="33"/>
        <v>1</v>
      </c>
      <c r="N122" s="276">
        <f t="shared" si="34"/>
        <v>0</v>
      </c>
      <c r="O122" s="276">
        <f t="shared" si="35"/>
        <v>0</v>
      </c>
      <c r="P122" s="276">
        <f t="shared" si="36"/>
        <v>0</v>
      </c>
      <c r="Q122" s="276">
        <f t="shared" si="37"/>
        <v>0</v>
      </c>
      <c r="R122" s="329">
        <f t="shared" si="38"/>
        <v>1</v>
      </c>
      <c r="S122" s="273"/>
      <c r="T122" s="274" t="str">
        <f>IF(ISNA(VLOOKUP(D122,'One year follow-up_inperson'!$C:$C,1,FALSE)),"No","Yes")</f>
        <v>No</v>
      </c>
      <c r="U122" s="592" t="s">
        <v>679</v>
      </c>
      <c r="V122" s="61"/>
      <c r="W122" s="61"/>
      <c r="X122" s="61"/>
      <c r="Y122" s="61"/>
      <c r="Z122" s="61"/>
      <c r="AA122" s="61"/>
      <c r="AB122" s="61"/>
      <c r="AC122" s="61"/>
    </row>
    <row r="123" spans="1:29" ht="72.5" customHeight="1">
      <c r="A123" s="368">
        <v>91</v>
      </c>
      <c r="B123" s="368"/>
      <c r="C123" s="272" t="str">
        <f t="shared" si="2"/>
        <v>282</v>
      </c>
      <c r="D123" s="527">
        <v>28255</v>
      </c>
      <c r="E123" s="182" t="s">
        <v>233</v>
      </c>
      <c r="F123" s="529" t="s">
        <v>2</v>
      </c>
      <c r="G123" s="182">
        <v>38</v>
      </c>
      <c r="H123" s="528" t="s">
        <v>3</v>
      </c>
      <c r="I123" s="530" t="s">
        <v>260</v>
      </c>
      <c r="J123" s="275">
        <f t="shared" si="30"/>
        <v>1</v>
      </c>
      <c r="K123" s="275">
        <f t="shared" si="31"/>
        <v>0</v>
      </c>
      <c r="L123" s="275">
        <f t="shared" si="32"/>
        <v>0</v>
      </c>
      <c r="M123" s="275">
        <f t="shared" si="33"/>
        <v>1</v>
      </c>
      <c r="N123" s="276">
        <f t="shared" si="34"/>
        <v>0</v>
      </c>
      <c r="O123" s="276">
        <f t="shared" si="35"/>
        <v>0</v>
      </c>
      <c r="P123" s="276">
        <f t="shared" si="36"/>
        <v>0</v>
      </c>
      <c r="Q123" s="276">
        <f t="shared" si="37"/>
        <v>0</v>
      </c>
      <c r="R123" s="329">
        <f t="shared" si="38"/>
        <v>1</v>
      </c>
      <c r="S123" s="273"/>
      <c r="T123" s="274" t="str">
        <f>IF(ISNA(VLOOKUP(D123,'One year follow-up_inperson'!$C:$C,1,FALSE)),"No","Yes")</f>
        <v>No</v>
      </c>
      <c r="U123" s="592" t="s">
        <v>679</v>
      </c>
      <c r="V123" s="61"/>
      <c r="W123" s="61"/>
      <c r="X123" s="61"/>
      <c r="Y123" s="61"/>
      <c r="Z123" s="61"/>
      <c r="AA123" s="61"/>
      <c r="AB123" s="61"/>
      <c r="AC123" s="61"/>
    </row>
    <row r="124" spans="1:29" ht="72.5" customHeight="1">
      <c r="A124" s="368">
        <v>92</v>
      </c>
      <c r="B124" s="368"/>
      <c r="C124" s="272" t="str">
        <f t="shared" si="2"/>
        <v>283</v>
      </c>
      <c r="D124" s="542">
        <v>2832</v>
      </c>
      <c r="E124" s="182" t="s">
        <v>351</v>
      </c>
      <c r="F124" s="543" t="s">
        <v>2</v>
      </c>
      <c r="G124" s="182">
        <v>43</v>
      </c>
      <c r="H124" s="543" t="s">
        <v>3</v>
      </c>
      <c r="I124" s="545" t="s">
        <v>355</v>
      </c>
      <c r="J124" s="275">
        <f t="shared" si="30"/>
        <v>0</v>
      </c>
      <c r="K124" s="275">
        <f>IF(OR(ISNUMBER(SEARCH("decision",I124))=TRUE,ISNUMBER(SEARCH("save",I124))=TRUE,ISNUMBER(SEARCH("saving",I124))=TRUE,ISNUMBER(SEARCH("started",I124))=TRUE,ISNUMBER(SEARCH("buy",I124))=TRUE,ISNUMBER(SEARCH("bought",I124))=TRUE),1,0)</f>
        <v>1</v>
      </c>
      <c r="L124" s="275">
        <f>IF(OR(ISNUMBER(SEARCH("active",I124))=TRUE,ISNUMBER(SEARCH("proactive",I124))=TRUE,ISNUMBER(SEARCH("face challenge",I124))=TRUE),1,0)</f>
        <v>0</v>
      </c>
      <c r="M124" s="275">
        <f>IF(OR(J124=1,K124=1,L124=1),1,0)</f>
        <v>1</v>
      </c>
      <c r="N124" s="276">
        <f>IF(OR(ISNUMBER(SEARCH("started a business",I124))=TRUE,ISNUMBER(SEARCH("started an income generating activity",I124))=TRUE,ISNUMBER(SEARCH("a business",I124))=TRUE),1,0)</f>
        <v>0</v>
      </c>
      <c r="O124" s="276">
        <f>IF(OR(ISNUMBER(SEARCH("got a job",I124))=TRUE,ISNUMBER(SEARCH("got an internship",I124))=TRUE,ISNUMBER(SEARCH("got a promotion",I124))=TRUE),1,0)</f>
        <v>0</v>
      </c>
      <c r="P124" s="276">
        <f>IF(OR(ISNUMBER(SEARCH("school admission",I124))=TRUE,ISNUMBER(SEARCH("perfomance in class",I124))=TRUE,ISNUMBER(SEARCH("scholarship",I124))=TRUE,ISNUMBER(SEARCH("pursue higher education",I124))=TRUE),1,0)</f>
        <v>0</v>
      </c>
      <c r="Q124" s="276">
        <f>IF(OR(ISNUMBER(SEARCH("leadership role",I124))=TRUE),1,0)</f>
        <v>0</v>
      </c>
      <c r="R124" s="329">
        <f>IF(OR(M124=1,N124=1,O124=1,P124=1,Q124=1),1,0)</f>
        <v>1</v>
      </c>
      <c r="S124" s="273"/>
      <c r="T124" s="274" t="str">
        <f>IF(ISNA(VLOOKUP(D124,'One year follow-up_inperson'!$C:$C,1,FALSE)),"No","Yes")</f>
        <v>No</v>
      </c>
      <c r="U124" s="592" t="s">
        <v>679</v>
      </c>
      <c r="V124" s="61"/>
      <c r="W124" s="61"/>
      <c r="X124" s="61"/>
      <c r="Y124" s="61"/>
      <c r="Z124" s="61"/>
      <c r="AA124" s="61"/>
      <c r="AB124" s="61"/>
      <c r="AC124" s="61"/>
    </row>
    <row r="125" spans="1:29" ht="72.5" customHeight="1">
      <c r="A125" s="368">
        <v>93</v>
      </c>
      <c r="B125" s="368"/>
      <c r="C125" s="272" t="str">
        <f t="shared" si="2"/>
        <v>283</v>
      </c>
      <c r="D125" s="542">
        <v>2835</v>
      </c>
      <c r="E125" s="182" t="s">
        <v>352</v>
      </c>
      <c r="F125" s="544" t="s">
        <v>2</v>
      </c>
      <c r="G125" s="182">
        <v>27</v>
      </c>
      <c r="H125" s="543" t="s">
        <v>3</v>
      </c>
      <c r="I125" s="545" t="s">
        <v>356</v>
      </c>
      <c r="J125" s="275">
        <f t="shared" si="30"/>
        <v>1</v>
      </c>
      <c r="K125" s="275">
        <f>IF(OR(ISNUMBER(SEARCH("decision",I125))=TRUE,ISNUMBER(SEARCH("save",I125))=TRUE,ISNUMBER(SEARCH("saving",I125))=TRUE,ISNUMBER(SEARCH("started",I125))=TRUE,ISNUMBER(SEARCH("buy",I125))=TRUE,ISNUMBER(SEARCH("bought",I125))=TRUE),1,0)</f>
        <v>0</v>
      </c>
      <c r="L125" s="275">
        <f>IF(OR(ISNUMBER(SEARCH("active",I125))=TRUE,ISNUMBER(SEARCH("proactive",I125))=TRUE,ISNUMBER(SEARCH("face challenge",I125))=TRUE),1,0)</f>
        <v>0</v>
      </c>
      <c r="M125" s="275">
        <f>IF(OR(J125=1,K125=1,L125=1),1,0)</f>
        <v>1</v>
      </c>
      <c r="N125" s="276">
        <f>IF(OR(ISNUMBER(SEARCH("started a business",I125))=TRUE,ISNUMBER(SEARCH("started an income generating activity",I125))=TRUE,ISNUMBER(SEARCH("a business",I125))=TRUE),1,0)</f>
        <v>0</v>
      </c>
      <c r="O125" s="276">
        <f>IF(OR(ISNUMBER(SEARCH("got a job",I125))=TRUE,ISNUMBER(SEARCH("got an internship",I125))=TRUE,ISNUMBER(SEARCH("got a promotion",I125))=TRUE),1,0)</f>
        <v>0</v>
      </c>
      <c r="P125" s="276">
        <f>IF(OR(ISNUMBER(SEARCH("school admission",I125))=TRUE,ISNUMBER(SEARCH("perfomance in class",I125))=TRUE,ISNUMBER(SEARCH("scholarship",I125))=TRUE,ISNUMBER(SEARCH("pursue higher education",I125))=TRUE),1,0)</f>
        <v>0</v>
      </c>
      <c r="Q125" s="276">
        <f>IF(OR(ISNUMBER(SEARCH("leadership role",I125))=TRUE),1,0)</f>
        <v>0</v>
      </c>
      <c r="R125" s="329">
        <f>IF(OR(M125=1,N125=1,O125=1,P125=1,Q125=1),1,0)</f>
        <v>1</v>
      </c>
      <c r="S125" s="273"/>
      <c r="T125" s="274" t="str">
        <f>IF(ISNA(VLOOKUP(D125,'One year follow-up_inperson'!$C:$C,1,FALSE)),"No","Yes")</f>
        <v>No</v>
      </c>
      <c r="U125" s="592" t="s">
        <v>679</v>
      </c>
      <c r="V125" s="61"/>
      <c r="W125" s="61"/>
      <c r="X125" s="61"/>
      <c r="Y125" s="61"/>
      <c r="Z125" s="61"/>
      <c r="AA125" s="61"/>
      <c r="AB125" s="61"/>
      <c r="AC125" s="61"/>
    </row>
    <row r="126" spans="1:29" ht="72.5" customHeight="1">
      <c r="A126" s="368">
        <v>94</v>
      </c>
      <c r="B126" s="368"/>
      <c r="C126" s="272" t="str">
        <f t="shared" si="2"/>
        <v>283</v>
      </c>
      <c r="D126" s="542">
        <v>2837</v>
      </c>
      <c r="E126" s="182" t="s">
        <v>353</v>
      </c>
      <c r="F126" s="544" t="s">
        <v>2</v>
      </c>
      <c r="G126" s="182">
        <v>45</v>
      </c>
      <c r="H126" s="543" t="s">
        <v>3</v>
      </c>
      <c r="I126" s="545" t="s">
        <v>357</v>
      </c>
      <c r="J126" s="275">
        <f t="shared" si="30"/>
        <v>1</v>
      </c>
      <c r="K126" s="275">
        <f>IF(OR(ISNUMBER(SEARCH("decision",I126))=TRUE,ISNUMBER(SEARCH("save",I126))=TRUE,ISNUMBER(SEARCH("saving",I126))=TRUE,ISNUMBER(SEARCH("started",I126))=TRUE,ISNUMBER(SEARCH("buy",I126))=TRUE,ISNUMBER(SEARCH("bought",I126))=TRUE),1,0)</f>
        <v>0</v>
      </c>
      <c r="L126" s="275">
        <f>IF(OR(ISNUMBER(SEARCH("active",I126))=TRUE,ISNUMBER(SEARCH("proactive",I126))=TRUE,ISNUMBER(SEARCH("face challenge",I126))=TRUE),1,0)</f>
        <v>0</v>
      </c>
      <c r="M126" s="275">
        <f>IF(OR(J126=1,K126=1,L126=1),1,0)</f>
        <v>1</v>
      </c>
      <c r="N126" s="276">
        <f>IF(OR(ISNUMBER(SEARCH("started a business",I126))=TRUE,ISNUMBER(SEARCH("started an income generating activity",I126))=TRUE,ISNUMBER(SEARCH("a business",I126))=TRUE),1,0)</f>
        <v>0</v>
      </c>
      <c r="O126" s="276">
        <f>IF(OR(ISNUMBER(SEARCH("got a job",I126))=TRUE,ISNUMBER(SEARCH("got an internship",I126))=TRUE,ISNUMBER(SEARCH("got a promotion",I126))=TRUE),1,0)</f>
        <v>0</v>
      </c>
      <c r="P126" s="276">
        <f>IF(OR(ISNUMBER(SEARCH("school admission",I126))=TRUE,ISNUMBER(SEARCH("perfomance in class",I126))=TRUE,ISNUMBER(SEARCH("scholarship",I126))=TRUE,ISNUMBER(SEARCH("pursue higher education",I126))=TRUE),1,0)</f>
        <v>0</v>
      </c>
      <c r="Q126" s="276">
        <f>IF(OR(ISNUMBER(SEARCH("leadership role",I126))=TRUE),1,0)</f>
        <v>0</v>
      </c>
      <c r="R126" s="329">
        <f>IF(OR(M126=1,N126=1,O126=1,P126=1,Q126=1),1,0)</f>
        <v>1</v>
      </c>
      <c r="S126" s="273"/>
      <c r="T126" s="274" t="str">
        <f>IF(ISNA(VLOOKUP(D126,'One year follow-up_inperson'!$C:$C,1,FALSE)),"No","Yes")</f>
        <v>No</v>
      </c>
      <c r="U126" s="592" t="s">
        <v>679</v>
      </c>
      <c r="V126" s="61"/>
      <c r="W126" s="61"/>
      <c r="X126" s="61"/>
      <c r="Y126" s="61"/>
      <c r="Z126" s="61"/>
      <c r="AA126" s="61"/>
      <c r="AB126" s="61"/>
      <c r="AC126" s="61"/>
    </row>
    <row r="127" spans="1:29" ht="60" customHeight="1">
      <c r="A127" s="368">
        <v>95</v>
      </c>
      <c r="B127" s="368"/>
      <c r="C127" s="272" t="str">
        <f t="shared" si="2"/>
        <v>283</v>
      </c>
      <c r="D127" s="542">
        <v>28310</v>
      </c>
      <c r="E127" s="182" t="s">
        <v>354</v>
      </c>
      <c r="F127" s="544" t="s">
        <v>2</v>
      </c>
      <c r="G127" s="182">
        <v>38</v>
      </c>
      <c r="H127" s="543" t="s">
        <v>3</v>
      </c>
      <c r="I127" s="545" t="s">
        <v>358</v>
      </c>
      <c r="J127" s="275">
        <f t="shared" si="30"/>
        <v>0</v>
      </c>
      <c r="K127" s="275">
        <f>IF(OR(ISNUMBER(SEARCH("decision",I127))=TRUE,ISNUMBER(SEARCH("save",I127))=TRUE,ISNUMBER(SEARCH("saving",I127))=TRUE,ISNUMBER(SEARCH("started",I127))=TRUE,ISNUMBER(SEARCH("buy",I127))=TRUE,ISNUMBER(SEARCH("bought",I127))=TRUE),1,0)</f>
        <v>1</v>
      </c>
      <c r="L127" s="275">
        <f>IF(OR(ISNUMBER(SEARCH("active",I127))=TRUE,ISNUMBER(SEARCH("proactive",I127))=TRUE,ISNUMBER(SEARCH("face challenge",I127))=TRUE),1,0)</f>
        <v>0</v>
      </c>
      <c r="M127" s="275">
        <f>IF(OR(J127=1,K127=1,L127=1),1,0)</f>
        <v>1</v>
      </c>
      <c r="N127" s="276">
        <f>IF(OR(ISNUMBER(SEARCH("started a business",I127))=TRUE,ISNUMBER(SEARCH("started an income generating activity",I127))=TRUE,ISNUMBER(SEARCH("a business",I127))=TRUE),1,0)</f>
        <v>0</v>
      </c>
      <c r="O127" s="276">
        <f>IF(OR(ISNUMBER(SEARCH("got a job",I127))=TRUE,ISNUMBER(SEARCH("got an internship",I127))=TRUE,ISNUMBER(SEARCH("got a promotion",I127))=TRUE),1,0)</f>
        <v>0</v>
      </c>
      <c r="P127" s="276">
        <f>IF(OR(ISNUMBER(SEARCH("school admission",I127))=TRUE,ISNUMBER(SEARCH("perfomance in class",I127))=TRUE,ISNUMBER(SEARCH("scholarship",I127))=TRUE,ISNUMBER(SEARCH("pursue higher education",I127))=TRUE),1,0)</f>
        <v>0</v>
      </c>
      <c r="Q127" s="276">
        <f>IF(OR(ISNUMBER(SEARCH("leadership role",I127))=TRUE),1,0)</f>
        <v>0</v>
      </c>
      <c r="R127" s="329">
        <f>IF(OR(M127=1,N127=1,O127=1,P127=1,Q127=1),1,0)</f>
        <v>1</v>
      </c>
      <c r="S127" s="273"/>
      <c r="T127" s="274" t="str">
        <f>IF(ISNA(VLOOKUP(D127,'One year follow-up_inperson'!$C:$C,1,FALSE)),"No","Yes")</f>
        <v>No</v>
      </c>
      <c r="U127" s="592" t="s">
        <v>679</v>
      </c>
      <c r="V127" s="61"/>
      <c r="W127" s="61"/>
      <c r="X127" s="61"/>
      <c r="Y127" s="61"/>
      <c r="Z127" s="61"/>
      <c r="AA127" s="61"/>
      <c r="AB127" s="61"/>
      <c r="AC127" s="61"/>
    </row>
    <row r="128" spans="1:29" ht="105.5" customHeight="1">
      <c r="A128" s="368">
        <v>96</v>
      </c>
      <c r="B128" s="550" t="s">
        <v>371</v>
      </c>
      <c r="C128" s="272" t="str">
        <f t="shared" si="2"/>
        <v>285</v>
      </c>
      <c r="D128" s="547">
        <v>2851</v>
      </c>
      <c r="E128" s="182" t="s">
        <v>362</v>
      </c>
      <c r="F128" s="548" t="s">
        <v>2</v>
      </c>
      <c r="G128" s="182">
        <v>35</v>
      </c>
      <c r="H128" s="549" t="s">
        <v>3</v>
      </c>
      <c r="I128" s="551" t="s">
        <v>372</v>
      </c>
      <c r="J128" s="275">
        <f t="shared" ref="J128:J136" si="39">IF(OR(ISNUMBER(SEARCH("confidence",I128))=TRUE,ISNUMBER(SEARCH("hope for the future",I128))=TRUE,ISNUMBER(SEARCH("communicate",I128))=TRUE,ISNUMBER(SEARCH("worthy",I128))=TRUE,ISNUMBER(SEARCH("thought",I128))=TRUE,ISNUMBER(SEARCH("open",I128))=TRUE,ISNUMBER(SEARCH("believe",I128))=TRUE,ISNUMBER(SEARCH("confident",I128))=TRUE,ISNUMBER(SEARCH("empower",I128))=TRUE),1,0)</f>
        <v>0</v>
      </c>
      <c r="K128" s="275">
        <f t="shared" ref="K128:K136" si="40">IF(OR(ISNUMBER(SEARCH("decision",I128))=TRUE,ISNUMBER(SEARCH("save",I128))=TRUE,ISNUMBER(SEARCH("saving",I128))=TRUE,ISNUMBER(SEARCH("started",I128))=TRUE,ISNUMBER(SEARCH("buy",I128))=TRUE,ISNUMBER(SEARCH("bought",I128))=TRUE),1,0)</f>
        <v>1</v>
      </c>
      <c r="L128" s="275">
        <f t="shared" ref="L128:L136" si="41">IF(OR(ISNUMBER(SEARCH("active",I128))=TRUE,ISNUMBER(SEARCH("proactive",I128))=TRUE,ISNUMBER(SEARCH("face challenge",I128))=TRUE),1,0)</f>
        <v>0</v>
      </c>
      <c r="M128" s="275">
        <f t="shared" ref="M128:M136" si="42">IF(OR(J128=1,K128=1,L128=1),1,0)</f>
        <v>1</v>
      </c>
      <c r="N128" s="276">
        <f t="shared" ref="N128:N136" si="43">IF(OR(ISNUMBER(SEARCH("started a business",I128))=TRUE,ISNUMBER(SEARCH("started an income generating activity",I128))=TRUE,ISNUMBER(SEARCH("a business",I128))=TRUE),1,0)</f>
        <v>1</v>
      </c>
      <c r="O128" s="276">
        <f t="shared" ref="O128:O136" si="44">IF(OR(ISNUMBER(SEARCH("got a job",I128))=TRUE,ISNUMBER(SEARCH("got an internship",I128))=TRUE,ISNUMBER(SEARCH("got a promotion",I128))=TRUE),1,0)</f>
        <v>0</v>
      </c>
      <c r="P128" s="276">
        <f t="shared" ref="P128:P136" si="45">IF(OR(ISNUMBER(SEARCH("school admission",I128))=TRUE,ISNUMBER(SEARCH("perfomance in class",I128))=TRUE,ISNUMBER(SEARCH("scholarship",I128))=TRUE,ISNUMBER(SEARCH("pursue higher education",I128))=TRUE),1,0)</f>
        <v>0</v>
      </c>
      <c r="Q128" s="276">
        <f t="shared" ref="Q128:Q136" si="46">IF(OR(ISNUMBER(SEARCH("leadership role",I128))=TRUE),1,0)</f>
        <v>0</v>
      </c>
      <c r="R128" s="329">
        <f t="shared" ref="R128:R136" si="47">IF(OR(M128=1,N128=1,O128=1,P128=1,Q128=1),1,0)</f>
        <v>1</v>
      </c>
      <c r="S128" s="273"/>
      <c r="T128" s="274" t="str">
        <f>IF(ISNA(VLOOKUP(D128,'One year follow-up_inperson'!$C:$C,1,FALSE)),"No","Yes")</f>
        <v>No</v>
      </c>
      <c r="U128" s="592" t="s">
        <v>679</v>
      </c>
      <c r="V128" s="61"/>
      <c r="W128" s="61"/>
      <c r="X128" s="61"/>
      <c r="Y128" s="61"/>
      <c r="Z128" s="61"/>
      <c r="AA128" s="61"/>
      <c r="AB128" s="61"/>
      <c r="AC128" s="61"/>
    </row>
    <row r="129" spans="1:29" ht="108" customHeight="1">
      <c r="A129" s="368">
        <v>97</v>
      </c>
      <c r="B129" s="550" t="s">
        <v>371</v>
      </c>
      <c r="C129" s="272" t="str">
        <f t="shared" si="2"/>
        <v>285</v>
      </c>
      <c r="D129" s="547">
        <v>2852</v>
      </c>
      <c r="E129" s="182" t="s">
        <v>363</v>
      </c>
      <c r="F129" s="548" t="s">
        <v>2</v>
      </c>
      <c r="G129" s="182">
        <v>43</v>
      </c>
      <c r="H129" s="549" t="s">
        <v>3</v>
      </c>
      <c r="I129" s="549" t="s">
        <v>373</v>
      </c>
      <c r="J129" s="275">
        <f t="shared" si="39"/>
        <v>0</v>
      </c>
      <c r="K129" s="275">
        <f t="shared" si="40"/>
        <v>1</v>
      </c>
      <c r="L129" s="275">
        <f t="shared" si="41"/>
        <v>0</v>
      </c>
      <c r="M129" s="275">
        <f t="shared" si="42"/>
        <v>1</v>
      </c>
      <c r="N129" s="276">
        <f t="shared" si="43"/>
        <v>0</v>
      </c>
      <c r="O129" s="276">
        <f t="shared" si="44"/>
        <v>0</v>
      </c>
      <c r="P129" s="276">
        <f t="shared" si="45"/>
        <v>0</v>
      </c>
      <c r="Q129" s="276">
        <f t="shared" si="46"/>
        <v>0</v>
      </c>
      <c r="R129" s="329">
        <f t="shared" si="47"/>
        <v>1</v>
      </c>
      <c r="S129" s="273"/>
      <c r="T129" s="274" t="str">
        <f>IF(ISNA(VLOOKUP(D129,'One year follow-up_inperson'!$C:$C,1,FALSE)),"No","Yes")</f>
        <v>No</v>
      </c>
      <c r="U129" s="592" t="s">
        <v>679</v>
      </c>
      <c r="V129" s="61"/>
      <c r="W129" s="61"/>
      <c r="X129" s="61"/>
      <c r="Y129" s="61"/>
      <c r="Z129" s="61"/>
      <c r="AA129" s="61"/>
      <c r="AB129" s="61"/>
      <c r="AC129" s="61"/>
    </row>
    <row r="130" spans="1:29" ht="200.55" customHeight="1">
      <c r="A130" s="368">
        <v>98</v>
      </c>
      <c r="B130" s="550" t="s">
        <v>371</v>
      </c>
      <c r="C130" s="272" t="str">
        <f t="shared" si="2"/>
        <v>285</v>
      </c>
      <c r="D130" s="547">
        <v>28515</v>
      </c>
      <c r="E130" s="182" t="s">
        <v>364</v>
      </c>
      <c r="F130" s="548" t="s">
        <v>2</v>
      </c>
      <c r="G130" s="182">
        <v>40</v>
      </c>
      <c r="H130" s="549" t="s">
        <v>3</v>
      </c>
      <c r="I130" s="549" t="s">
        <v>375</v>
      </c>
      <c r="J130" s="275">
        <f t="shared" si="39"/>
        <v>1</v>
      </c>
      <c r="K130" s="275">
        <f t="shared" si="40"/>
        <v>1</v>
      </c>
      <c r="L130" s="275">
        <f t="shared" si="41"/>
        <v>0</v>
      </c>
      <c r="M130" s="275">
        <f t="shared" si="42"/>
        <v>1</v>
      </c>
      <c r="N130" s="276">
        <f t="shared" si="43"/>
        <v>0</v>
      </c>
      <c r="O130" s="276">
        <f t="shared" si="44"/>
        <v>0</v>
      </c>
      <c r="P130" s="276">
        <f t="shared" si="45"/>
        <v>0</v>
      </c>
      <c r="Q130" s="276">
        <f t="shared" si="46"/>
        <v>0</v>
      </c>
      <c r="R130" s="329">
        <f t="shared" si="47"/>
        <v>1</v>
      </c>
      <c r="S130" s="273"/>
      <c r="T130" s="274" t="str">
        <f>IF(ISNA(VLOOKUP(D130,'One year follow-up_inperson'!$C:$C,1,FALSE)),"No","Yes")</f>
        <v>No</v>
      </c>
      <c r="U130" s="592" t="s">
        <v>679</v>
      </c>
      <c r="V130" s="61"/>
      <c r="W130" s="61"/>
      <c r="X130" s="61"/>
      <c r="Y130" s="61"/>
      <c r="Z130" s="61"/>
      <c r="AA130" s="61"/>
      <c r="AB130" s="61"/>
      <c r="AC130" s="61"/>
    </row>
    <row r="131" spans="1:29" ht="196.8" customHeight="1">
      <c r="A131" s="368">
        <v>99</v>
      </c>
      <c r="B131" s="550" t="s">
        <v>371</v>
      </c>
      <c r="C131" s="272" t="str">
        <f t="shared" si="2"/>
        <v>285</v>
      </c>
      <c r="D131" s="547">
        <v>28518</v>
      </c>
      <c r="E131" s="182" t="s">
        <v>374</v>
      </c>
      <c r="F131" s="548" t="s">
        <v>2</v>
      </c>
      <c r="G131" s="182">
        <v>60</v>
      </c>
      <c r="H131" s="549" t="s">
        <v>3</v>
      </c>
      <c r="I131" s="549" t="s">
        <v>376</v>
      </c>
      <c r="J131" s="275">
        <f>IF(OR(ISNUMBER(SEARCH("confidence",I131))=TRUE,ISNUMBER(SEARCH("hope for the future",I131))=TRUE,ISNUMBER(SEARCH("communicate",I131))=TRUE,ISNUMBER(SEARCH("worthy",I131))=TRUE,ISNUMBER(SEARCH("thought",I131))=TRUE,ISNUMBER(SEARCH("open",I131))=TRUE,ISNUMBER(SEARCH("believe",I131))=TRUE,ISNUMBER(SEARCH("confident",I131))=TRUE,ISNUMBER(SEARCH("empower",I131))=TRUE),1,0)</f>
        <v>1</v>
      </c>
      <c r="K131" s="275">
        <f>IF(OR(ISNUMBER(SEARCH("decision",I131))=TRUE,ISNUMBER(SEARCH("save",I131))=TRUE,ISNUMBER(SEARCH("saving",I131))=TRUE,ISNUMBER(SEARCH("started",I131))=TRUE,ISNUMBER(SEARCH("buy",I131))=TRUE,ISNUMBER(SEARCH("bought",I131))=TRUE),1,0)</f>
        <v>1</v>
      </c>
      <c r="L131" s="275">
        <f>IF(OR(ISNUMBER(SEARCH("active",I131))=TRUE,ISNUMBER(SEARCH("proactive",I131))=TRUE,ISNUMBER(SEARCH("face challenge",I131))=TRUE),1,0)</f>
        <v>1</v>
      </c>
      <c r="M131" s="275">
        <f>IF(OR(J131=1,K131=1,L131=1),1,0)</f>
        <v>1</v>
      </c>
      <c r="N131" s="276">
        <f>IF(OR(ISNUMBER(SEARCH("started a business",I131))=TRUE,ISNUMBER(SEARCH("started an income generating activity",I131))=TRUE,ISNUMBER(SEARCH("a business",I131))=TRUE),1,0)</f>
        <v>1</v>
      </c>
      <c r="O131" s="276">
        <f>IF(OR(ISNUMBER(SEARCH("got a job",I131))=TRUE,ISNUMBER(SEARCH("got an internship",I131))=TRUE,ISNUMBER(SEARCH("got a promotion",I131))=TRUE),1,0)</f>
        <v>0</v>
      </c>
      <c r="P131" s="276">
        <f>IF(OR(ISNUMBER(SEARCH("school admission",I131))=TRUE,ISNUMBER(SEARCH("perfomance in class",I131))=TRUE,ISNUMBER(SEARCH("scholarship",I131))=TRUE,ISNUMBER(SEARCH("pursue higher education",I131))=TRUE),1,0)</f>
        <v>0</v>
      </c>
      <c r="Q131" s="276">
        <f>IF(OR(ISNUMBER(SEARCH("leadership role",I131))=TRUE),1,0)</f>
        <v>0</v>
      </c>
      <c r="R131" s="329">
        <f>IF(OR(M131=1,N131=1,O131=1,P131=1,Q131=1),1,0)</f>
        <v>1</v>
      </c>
      <c r="S131" s="273"/>
      <c r="T131" s="274" t="str">
        <f>IF(ISNA(VLOOKUP(D131,'One year follow-up_inperson'!$C:$C,1,FALSE)),"No","Yes")</f>
        <v>No</v>
      </c>
      <c r="U131" s="592" t="s">
        <v>679</v>
      </c>
      <c r="V131" s="61"/>
      <c r="W131" s="61"/>
      <c r="X131" s="61"/>
      <c r="Y131" s="61"/>
      <c r="Z131" s="61"/>
      <c r="AA131" s="61"/>
      <c r="AB131" s="61"/>
      <c r="AC131" s="61"/>
    </row>
    <row r="132" spans="1:29" ht="212.55" customHeight="1">
      <c r="A132" s="368">
        <v>100</v>
      </c>
      <c r="B132" s="550" t="s">
        <v>371</v>
      </c>
      <c r="C132" s="272" t="str">
        <f t="shared" si="2"/>
        <v>285</v>
      </c>
      <c r="D132" s="547">
        <v>28521</v>
      </c>
      <c r="E132" s="182" t="s">
        <v>365</v>
      </c>
      <c r="F132" s="548" t="s">
        <v>2</v>
      </c>
      <c r="G132" s="182">
        <v>33</v>
      </c>
      <c r="H132" s="549" t="s">
        <v>3</v>
      </c>
      <c r="I132" s="549" t="s">
        <v>377</v>
      </c>
      <c r="J132" s="275">
        <f t="shared" si="39"/>
        <v>1</v>
      </c>
      <c r="K132" s="275">
        <f t="shared" si="40"/>
        <v>1</v>
      </c>
      <c r="L132" s="275">
        <f t="shared" si="41"/>
        <v>0</v>
      </c>
      <c r="M132" s="275">
        <f t="shared" si="42"/>
        <v>1</v>
      </c>
      <c r="N132" s="276">
        <f t="shared" si="43"/>
        <v>0</v>
      </c>
      <c r="O132" s="276">
        <f t="shared" si="44"/>
        <v>0</v>
      </c>
      <c r="P132" s="276">
        <f t="shared" si="45"/>
        <v>0</v>
      </c>
      <c r="Q132" s="276">
        <f t="shared" si="46"/>
        <v>1</v>
      </c>
      <c r="R132" s="329">
        <f t="shared" si="47"/>
        <v>1</v>
      </c>
      <c r="S132" s="273"/>
      <c r="T132" s="274" t="str">
        <f>IF(ISNA(VLOOKUP(D132,'One year follow-up_inperson'!$C:$C,1,FALSE)),"No","Yes")</f>
        <v>No</v>
      </c>
      <c r="U132" s="592" t="s">
        <v>679</v>
      </c>
      <c r="V132" s="61"/>
      <c r="W132" s="61"/>
      <c r="X132" s="61"/>
      <c r="Y132" s="61"/>
      <c r="Z132" s="61"/>
      <c r="AA132" s="61"/>
      <c r="AB132" s="61"/>
      <c r="AC132" s="61"/>
    </row>
    <row r="133" spans="1:29" ht="157.25" customHeight="1">
      <c r="A133" s="368">
        <v>101</v>
      </c>
      <c r="B133" s="550" t="s">
        <v>371</v>
      </c>
      <c r="C133" s="272" t="str">
        <f t="shared" si="2"/>
        <v>285</v>
      </c>
      <c r="D133" s="547">
        <v>28530</v>
      </c>
      <c r="E133" s="182" t="s">
        <v>366</v>
      </c>
      <c r="F133" s="548" t="s">
        <v>2</v>
      </c>
      <c r="G133" s="182">
        <v>32</v>
      </c>
      <c r="H133" s="549" t="s">
        <v>3</v>
      </c>
      <c r="I133" s="549" t="s">
        <v>378</v>
      </c>
      <c r="J133" s="275">
        <f t="shared" si="39"/>
        <v>0</v>
      </c>
      <c r="K133" s="275">
        <f t="shared" si="40"/>
        <v>1</v>
      </c>
      <c r="L133" s="275">
        <f t="shared" si="41"/>
        <v>0</v>
      </c>
      <c r="M133" s="275">
        <f t="shared" si="42"/>
        <v>1</v>
      </c>
      <c r="N133" s="276">
        <f t="shared" si="43"/>
        <v>1</v>
      </c>
      <c r="O133" s="276">
        <f t="shared" si="44"/>
        <v>0</v>
      </c>
      <c r="P133" s="276">
        <f t="shared" si="45"/>
        <v>0</v>
      </c>
      <c r="Q133" s="276">
        <f t="shared" si="46"/>
        <v>0</v>
      </c>
      <c r="R133" s="329">
        <f t="shared" si="47"/>
        <v>1</v>
      </c>
      <c r="S133" s="273"/>
      <c r="T133" s="274" t="str">
        <f>IF(ISNA(VLOOKUP(D133,'One year follow-up_inperson'!$C:$C,1,FALSE)),"No","Yes")</f>
        <v>No</v>
      </c>
      <c r="U133" s="592" t="s">
        <v>679</v>
      </c>
      <c r="V133" s="61"/>
      <c r="W133" s="61"/>
      <c r="X133" s="61"/>
      <c r="Y133" s="61"/>
      <c r="Z133" s="61"/>
      <c r="AA133" s="61"/>
      <c r="AB133" s="61"/>
      <c r="AC133" s="61"/>
    </row>
    <row r="134" spans="1:29" ht="139.80000000000001" customHeight="1">
      <c r="A134" s="368">
        <v>102</v>
      </c>
      <c r="B134" s="550" t="s">
        <v>371</v>
      </c>
      <c r="C134" s="272" t="str">
        <f t="shared" si="2"/>
        <v>285</v>
      </c>
      <c r="D134" s="547">
        <v>28534</v>
      </c>
      <c r="E134" s="182" t="s">
        <v>367</v>
      </c>
      <c r="F134" s="548" t="s">
        <v>2</v>
      </c>
      <c r="G134" s="182">
        <v>37</v>
      </c>
      <c r="H134" s="549" t="s">
        <v>3</v>
      </c>
      <c r="I134" s="549" t="s">
        <v>379</v>
      </c>
      <c r="J134" s="275">
        <f t="shared" si="39"/>
        <v>1</v>
      </c>
      <c r="K134" s="275">
        <f t="shared" si="40"/>
        <v>1</v>
      </c>
      <c r="L134" s="275">
        <f t="shared" si="41"/>
        <v>0</v>
      </c>
      <c r="M134" s="275">
        <f t="shared" si="42"/>
        <v>1</v>
      </c>
      <c r="N134" s="276">
        <f t="shared" si="43"/>
        <v>0</v>
      </c>
      <c r="O134" s="276">
        <f t="shared" si="44"/>
        <v>0</v>
      </c>
      <c r="P134" s="276">
        <f t="shared" si="45"/>
        <v>0</v>
      </c>
      <c r="Q134" s="276">
        <f t="shared" si="46"/>
        <v>0</v>
      </c>
      <c r="R134" s="329">
        <f t="shared" si="47"/>
        <v>1</v>
      </c>
      <c r="S134" s="273"/>
      <c r="T134" s="274" t="str">
        <f>IF(ISNA(VLOOKUP(D134,'One year follow-up_inperson'!$C:$C,1,FALSE)),"No","Yes")</f>
        <v>No</v>
      </c>
      <c r="U134" s="592" t="s">
        <v>679</v>
      </c>
      <c r="V134" s="61"/>
      <c r="W134" s="61"/>
      <c r="X134" s="61"/>
      <c r="Y134" s="61"/>
      <c r="Z134" s="61"/>
      <c r="AA134" s="61"/>
      <c r="AB134" s="61"/>
      <c r="AC134" s="61"/>
    </row>
    <row r="135" spans="1:29" ht="123" customHeight="1">
      <c r="A135" s="368">
        <v>103</v>
      </c>
      <c r="B135" s="550" t="s">
        <v>371</v>
      </c>
      <c r="C135" s="272" t="str">
        <f t="shared" si="2"/>
        <v>285</v>
      </c>
      <c r="D135" s="547">
        <v>28536</v>
      </c>
      <c r="E135" s="182" t="s">
        <v>368</v>
      </c>
      <c r="F135" s="548" t="s">
        <v>2</v>
      </c>
      <c r="G135" s="182">
        <v>39</v>
      </c>
      <c r="H135" s="549" t="s">
        <v>3</v>
      </c>
      <c r="I135" s="549" t="s">
        <v>380</v>
      </c>
      <c r="J135" s="275">
        <f t="shared" si="39"/>
        <v>1</v>
      </c>
      <c r="K135" s="275">
        <f t="shared" si="40"/>
        <v>1</v>
      </c>
      <c r="L135" s="275">
        <f t="shared" si="41"/>
        <v>0</v>
      </c>
      <c r="M135" s="275">
        <f t="shared" si="42"/>
        <v>1</v>
      </c>
      <c r="N135" s="276">
        <f t="shared" si="43"/>
        <v>1</v>
      </c>
      <c r="O135" s="276">
        <f t="shared" si="44"/>
        <v>0</v>
      </c>
      <c r="P135" s="276">
        <f t="shared" si="45"/>
        <v>0</v>
      </c>
      <c r="Q135" s="276">
        <f t="shared" si="46"/>
        <v>0</v>
      </c>
      <c r="R135" s="329">
        <f t="shared" si="47"/>
        <v>1</v>
      </c>
      <c r="S135" s="273"/>
      <c r="T135" s="274" t="str">
        <f>IF(ISNA(VLOOKUP(D135,'One year follow-up_inperson'!$C:$C,1,FALSE)),"No","Yes")</f>
        <v>No</v>
      </c>
      <c r="U135" s="592" t="s">
        <v>679</v>
      </c>
      <c r="V135" s="61"/>
      <c r="W135" s="61"/>
      <c r="X135" s="61"/>
      <c r="Y135" s="61"/>
      <c r="Z135" s="61"/>
      <c r="AA135" s="61"/>
      <c r="AB135" s="61"/>
      <c r="AC135" s="61"/>
    </row>
    <row r="136" spans="1:29" ht="124.25" customHeight="1">
      <c r="A136" s="368">
        <v>104</v>
      </c>
      <c r="B136" s="550" t="s">
        <v>371</v>
      </c>
      <c r="C136" s="272" t="str">
        <f t="shared" si="2"/>
        <v>285</v>
      </c>
      <c r="D136" s="547">
        <v>28533</v>
      </c>
      <c r="E136" s="182" t="s">
        <v>369</v>
      </c>
      <c r="F136" s="548" t="s">
        <v>2</v>
      </c>
      <c r="G136" s="182">
        <v>42</v>
      </c>
      <c r="H136" s="549" t="s">
        <v>3</v>
      </c>
      <c r="I136" s="549" t="s">
        <v>381</v>
      </c>
      <c r="J136" s="275">
        <f t="shared" si="39"/>
        <v>1</v>
      </c>
      <c r="K136" s="275">
        <f t="shared" si="40"/>
        <v>0</v>
      </c>
      <c r="L136" s="275">
        <f t="shared" si="41"/>
        <v>0</v>
      </c>
      <c r="M136" s="275">
        <f t="shared" si="42"/>
        <v>1</v>
      </c>
      <c r="N136" s="276">
        <f t="shared" si="43"/>
        <v>0</v>
      </c>
      <c r="O136" s="276">
        <f t="shared" si="44"/>
        <v>0</v>
      </c>
      <c r="P136" s="276">
        <f t="shared" si="45"/>
        <v>0</v>
      </c>
      <c r="Q136" s="276">
        <f t="shared" si="46"/>
        <v>0</v>
      </c>
      <c r="R136" s="329">
        <f t="shared" si="47"/>
        <v>1</v>
      </c>
      <c r="S136" s="273"/>
      <c r="T136" s="274" t="str">
        <f>IF(ISNA(VLOOKUP(D136,'One year follow-up_inperson'!$C:$C,1,FALSE)),"No","Yes")</f>
        <v>No</v>
      </c>
      <c r="U136" s="592" t="s">
        <v>679</v>
      </c>
      <c r="V136" s="61"/>
      <c r="W136" s="61"/>
      <c r="X136" s="61"/>
      <c r="Y136" s="61"/>
      <c r="Z136" s="61"/>
      <c r="AA136" s="61"/>
      <c r="AB136" s="61"/>
      <c r="AC136" s="61"/>
    </row>
    <row r="137" spans="1:29" ht="133.25" customHeight="1">
      <c r="A137" s="368">
        <v>105</v>
      </c>
      <c r="B137" s="368"/>
      <c r="C137" s="272" t="str">
        <f>LEFT(D137,3)</f>
        <v>286</v>
      </c>
      <c r="D137" s="522">
        <v>2861</v>
      </c>
      <c r="E137" s="182" t="s">
        <v>168</v>
      </c>
      <c r="F137" s="471" t="s">
        <v>2</v>
      </c>
      <c r="G137" s="523">
        <v>47</v>
      </c>
      <c r="H137" s="473" t="s">
        <v>3</v>
      </c>
      <c r="I137" s="526" t="s">
        <v>183</v>
      </c>
      <c r="J137" s="275">
        <f t="shared" ref="J137:J164" si="48">IF(OR(ISNUMBER(SEARCH("confidence",I137))=TRUE,ISNUMBER(SEARCH("hope for the future",I137))=TRUE,ISNUMBER(SEARCH("communicate",I137))=TRUE,ISNUMBER(SEARCH("worthy",I137))=TRUE,ISNUMBER(SEARCH("thought",I137))=TRUE,ISNUMBER(SEARCH("open",I137))=TRUE,ISNUMBER(SEARCH("believe",I137))=TRUE,ISNUMBER(SEARCH("confident",I137))=TRUE,ISNUMBER(SEARCH("empower",I137))=TRUE),1,0)</f>
        <v>1</v>
      </c>
      <c r="K137" s="275">
        <f t="shared" ref="K137:K164" si="49">IF(OR(ISNUMBER(SEARCH("decision",I137))=TRUE,ISNUMBER(SEARCH("save",I137))=TRUE,ISNUMBER(SEARCH("saving",I137))=TRUE,ISNUMBER(SEARCH("started",I137))=TRUE,ISNUMBER(SEARCH("buy",I137))=TRUE,ISNUMBER(SEARCH("bought",I137))=TRUE),1,0)</f>
        <v>1</v>
      </c>
      <c r="L137" s="275">
        <f t="shared" ref="L137:L164" si="50">IF(OR(ISNUMBER(SEARCH("active",I137))=TRUE,ISNUMBER(SEARCH("proactive",I137))=TRUE,ISNUMBER(SEARCH("face challenge",I137))=TRUE),1,0)</f>
        <v>0</v>
      </c>
      <c r="M137" s="275">
        <f>IF(OR(J137=1,K137=1,L137=1),1,0)</f>
        <v>1</v>
      </c>
      <c r="N137" s="276">
        <f>IF(OR(ISNUMBER(SEARCH("started a business",I137))=TRUE,ISNUMBER(SEARCH("started an income generating activity",I137))=TRUE,ISNUMBER(SEARCH("a business",I137))=TRUE),1,0)</f>
        <v>0</v>
      </c>
      <c r="O137" s="276">
        <f>IF(OR(ISNUMBER(SEARCH("got a job",I137))=TRUE,ISNUMBER(SEARCH("got an internship",I137))=TRUE,ISNUMBER(SEARCH("got a promotion",I137))=TRUE),1,0)</f>
        <v>0</v>
      </c>
      <c r="P137" s="276">
        <f t="shared" ref="P137:P164" si="51">IF(OR(ISNUMBER(SEARCH("school admission",I137))=TRUE,ISNUMBER(SEARCH("perfomance in class",I137))=TRUE,ISNUMBER(SEARCH("scholarship",I137))=TRUE,ISNUMBER(SEARCH("pursue higher education",I137))=TRUE),1,0)</f>
        <v>0</v>
      </c>
      <c r="Q137" s="276">
        <f t="shared" ref="Q137:Q164" si="52">IF(OR(ISNUMBER(SEARCH("leadership role",I137))=TRUE),1,0)</f>
        <v>0</v>
      </c>
      <c r="R137" s="329">
        <f>IF(OR(M137=1,N137=1,O137=1,P137=1,Q137=1),1,0)</f>
        <v>1</v>
      </c>
      <c r="S137" s="273"/>
      <c r="T137" s="274" t="str">
        <f>IF(ISNA(VLOOKUP(D137,'One year follow-up_inperson'!$C:$C,1,FALSE)),"No","Yes")</f>
        <v>No</v>
      </c>
      <c r="U137" s="592" t="s">
        <v>679</v>
      </c>
      <c r="V137" s="61"/>
      <c r="W137" s="61"/>
      <c r="X137" s="61"/>
      <c r="Y137" s="61"/>
      <c r="Z137" s="61"/>
      <c r="AA137" s="61"/>
      <c r="AB137" s="61"/>
      <c r="AC137" s="61"/>
    </row>
    <row r="138" spans="1:29" ht="133.25" customHeight="1">
      <c r="A138" s="368">
        <v>106</v>
      </c>
      <c r="B138" s="368"/>
      <c r="C138" s="272" t="str">
        <f t="shared" si="2"/>
        <v>286</v>
      </c>
      <c r="D138" s="522">
        <v>2862</v>
      </c>
      <c r="E138" s="182" t="s">
        <v>169</v>
      </c>
      <c r="F138" s="471" t="s">
        <v>2</v>
      </c>
      <c r="G138" s="523">
        <v>38</v>
      </c>
      <c r="H138" s="482" t="s">
        <v>3</v>
      </c>
      <c r="I138" s="526" t="s">
        <v>184</v>
      </c>
      <c r="J138" s="275">
        <f t="shared" si="48"/>
        <v>1</v>
      </c>
      <c r="K138" s="275">
        <f t="shared" si="49"/>
        <v>0</v>
      </c>
      <c r="L138" s="275">
        <f t="shared" si="50"/>
        <v>1</v>
      </c>
      <c r="M138" s="275">
        <f t="shared" ref="M138:M192" si="53">IF(OR(J138=1,K138=1,L138=1),1,0)</f>
        <v>1</v>
      </c>
      <c r="N138" s="276">
        <f t="shared" ref="N138:N192" si="54">IF(OR(ISNUMBER(SEARCH("started a business",I138))=TRUE,ISNUMBER(SEARCH("started an income generating activity",I138))=TRUE,ISNUMBER(SEARCH("a business",I138))=TRUE),1,0)</f>
        <v>0</v>
      </c>
      <c r="O138" s="276">
        <f t="shared" ref="O138:O164" si="55">IF(OR(ISNUMBER(SEARCH("got a job",I138))=TRUE,ISNUMBER(SEARCH("got an internship",I138))=TRUE,ISNUMBER(SEARCH("got a promotion",I138))=TRUE),1,0)</f>
        <v>0</v>
      </c>
      <c r="P138" s="276">
        <f t="shared" si="51"/>
        <v>0</v>
      </c>
      <c r="Q138" s="276">
        <f t="shared" si="52"/>
        <v>0</v>
      </c>
      <c r="R138" s="329">
        <f t="shared" ref="R138:R192" si="56">IF(OR(M138=1,N138=1,O138=1,P138=1,Q138=1),1,0)</f>
        <v>1</v>
      </c>
      <c r="S138" s="273"/>
      <c r="T138" s="274" t="str">
        <f>IF(ISNA(VLOOKUP(D138,'One year follow-up_inperson'!$C:$C,1,FALSE)),"No","Yes")</f>
        <v>No</v>
      </c>
      <c r="U138" s="592" t="s">
        <v>679</v>
      </c>
      <c r="V138" s="61"/>
      <c r="W138" s="61"/>
      <c r="X138" s="61"/>
      <c r="Y138" s="61"/>
      <c r="Z138" s="61"/>
      <c r="AA138" s="61"/>
      <c r="AB138" s="61"/>
      <c r="AC138" s="61"/>
    </row>
    <row r="139" spans="1:29" ht="124.25" customHeight="1">
      <c r="A139" s="368">
        <v>107</v>
      </c>
      <c r="B139" s="368"/>
      <c r="C139" s="272" t="str">
        <f>LEFT(D139,3)</f>
        <v>286</v>
      </c>
      <c r="D139" s="522">
        <v>2863</v>
      </c>
      <c r="E139" s="182" t="s">
        <v>171</v>
      </c>
      <c r="F139" s="471" t="s">
        <v>2</v>
      </c>
      <c r="G139" s="523">
        <v>40</v>
      </c>
      <c r="H139" s="471" t="s">
        <v>3</v>
      </c>
      <c r="I139" s="526" t="s">
        <v>185</v>
      </c>
      <c r="J139" s="275">
        <f t="shared" si="48"/>
        <v>0</v>
      </c>
      <c r="K139" s="275">
        <f t="shared" si="49"/>
        <v>1</v>
      </c>
      <c r="L139" s="275">
        <f t="shared" si="50"/>
        <v>0</v>
      </c>
      <c r="M139" s="275">
        <f>IF(OR(J139=1,K139=1,L139=1),1,0)</f>
        <v>1</v>
      </c>
      <c r="N139" s="276">
        <f t="shared" si="54"/>
        <v>1</v>
      </c>
      <c r="O139" s="276">
        <f>IF(OR(ISNUMBER(SEARCH("got a job",I139))=TRUE,ISNUMBER(SEARCH("got an internship",I139))=TRUE,ISNUMBER(SEARCH("got a promotion",I139))=TRUE),1,0)</f>
        <v>0</v>
      </c>
      <c r="P139" s="276">
        <f t="shared" si="51"/>
        <v>0</v>
      </c>
      <c r="Q139" s="276">
        <f t="shared" si="52"/>
        <v>0</v>
      </c>
      <c r="R139" s="329">
        <f>IF(OR(M139=1,N139=1,O139=1,P139=1,Q139=1),1,0)</f>
        <v>1</v>
      </c>
      <c r="S139" s="273"/>
      <c r="T139" s="274" t="str">
        <f>IF(ISNA(VLOOKUP(D139,'One year follow-up_inperson'!$C:$C,1,FALSE)),"No","Yes")</f>
        <v>No</v>
      </c>
      <c r="U139" s="592" t="s">
        <v>679</v>
      </c>
      <c r="V139" s="61"/>
      <c r="W139" s="61"/>
      <c r="X139" s="61"/>
      <c r="Y139" s="61"/>
      <c r="Z139" s="61"/>
      <c r="AA139" s="61"/>
      <c r="AB139" s="61"/>
      <c r="AC139" s="61"/>
    </row>
    <row r="140" spans="1:29" ht="131.55000000000001" customHeight="1">
      <c r="A140" s="368">
        <v>108</v>
      </c>
      <c r="B140" s="368"/>
      <c r="C140" s="272" t="str">
        <f t="shared" si="2"/>
        <v>286</v>
      </c>
      <c r="D140" s="522">
        <v>2864</v>
      </c>
      <c r="E140" s="182" t="s">
        <v>170</v>
      </c>
      <c r="F140" s="471" t="s">
        <v>2</v>
      </c>
      <c r="G140" s="524">
        <v>33</v>
      </c>
      <c r="H140" s="471" t="s">
        <v>3</v>
      </c>
      <c r="I140" s="526" t="s">
        <v>186</v>
      </c>
      <c r="J140" s="275">
        <f t="shared" si="48"/>
        <v>1</v>
      </c>
      <c r="K140" s="275">
        <f t="shared" si="49"/>
        <v>1</v>
      </c>
      <c r="L140" s="275">
        <f t="shared" si="50"/>
        <v>0</v>
      </c>
      <c r="M140" s="275">
        <f t="shared" si="53"/>
        <v>1</v>
      </c>
      <c r="N140" s="276">
        <f t="shared" si="54"/>
        <v>0</v>
      </c>
      <c r="O140" s="276">
        <f t="shared" si="55"/>
        <v>0</v>
      </c>
      <c r="P140" s="276">
        <f t="shared" si="51"/>
        <v>0</v>
      </c>
      <c r="Q140" s="276">
        <f t="shared" si="52"/>
        <v>0</v>
      </c>
      <c r="R140" s="329">
        <f t="shared" si="56"/>
        <v>1</v>
      </c>
      <c r="S140" s="273"/>
      <c r="T140" s="274" t="str">
        <f>IF(ISNA(VLOOKUP(D140,'One year follow-up_inperson'!$C:$C,1,FALSE)),"No","Yes")</f>
        <v>No</v>
      </c>
      <c r="U140" s="592" t="s">
        <v>679</v>
      </c>
      <c r="V140" s="61"/>
      <c r="W140" s="61"/>
      <c r="X140" s="61"/>
      <c r="Y140" s="61"/>
      <c r="Z140" s="61"/>
      <c r="AA140" s="61"/>
      <c r="AB140" s="61"/>
      <c r="AC140" s="61"/>
    </row>
    <row r="141" spans="1:29" ht="147.5" customHeight="1">
      <c r="A141" s="368">
        <v>109</v>
      </c>
      <c r="B141" s="368"/>
      <c r="C141" s="272" t="str">
        <f t="shared" si="2"/>
        <v>286</v>
      </c>
      <c r="D141" s="522">
        <v>2865</v>
      </c>
      <c r="E141" s="182" t="s">
        <v>172</v>
      </c>
      <c r="F141" s="471" t="s">
        <v>2</v>
      </c>
      <c r="G141" s="523">
        <v>24</v>
      </c>
      <c r="H141" s="471" t="s">
        <v>3</v>
      </c>
      <c r="I141" s="526" t="s">
        <v>187</v>
      </c>
      <c r="J141" s="275">
        <f t="shared" si="48"/>
        <v>1</v>
      </c>
      <c r="K141" s="275">
        <f t="shared" si="49"/>
        <v>1</v>
      </c>
      <c r="L141" s="275">
        <f t="shared" si="50"/>
        <v>0</v>
      </c>
      <c r="M141" s="275">
        <f t="shared" si="53"/>
        <v>1</v>
      </c>
      <c r="N141" s="276">
        <f t="shared" si="54"/>
        <v>1</v>
      </c>
      <c r="O141" s="276">
        <f t="shared" si="55"/>
        <v>0</v>
      </c>
      <c r="P141" s="276">
        <f t="shared" si="51"/>
        <v>0</v>
      </c>
      <c r="Q141" s="276">
        <f t="shared" si="52"/>
        <v>0</v>
      </c>
      <c r="R141" s="329">
        <f t="shared" si="56"/>
        <v>1</v>
      </c>
      <c r="S141" s="273"/>
      <c r="T141" s="274" t="str">
        <f>IF(ISNA(VLOOKUP(D141,'One year follow-up_inperson'!$C:$C,1,FALSE)),"No","Yes")</f>
        <v>No</v>
      </c>
      <c r="U141" s="592" t="s">
        <v>679</v>
      </c>
      <c r="V141" s="61"/>
      <c r="W141" s="61"/>
      <c r="X141" s="61"/>
      <c r="Y141" s="61"/>
      <c r="Z141" s="61"/>
      <c r="AA141" s="61"/>
      <c r="AB141" s="61"/>
      <c r="AC141" s="61"/>
    </row>
    <row r="142" spans="1:29" ht="145.80000000000001" customHeight="1">
      <c r="A142" s="368">
        <v>110</v>
      </c>
      <c r="B142" s="368"/>
      <c r="C142" s="272" t="str">
        <f>LEFT(D142,3)</f>
        <v>286</v>
      </c>
      <c r="D142" s="522">
        <v>2866</v>
      </c>
      <c r="E142" s="182" t="s">
        <v>177</v>
      </c>
      <c r="F142" s="471" t="s">
        <v>2</v>
      </c>
      <c r="G142" s="525">
        <v>36</v>
      </c>
      <c r="H142" s="473" t="s">
        <v>3</v>
      </c>
      <c r="I142" s="526" t="s">
        <v>188</v>
      </c>
      <c r="J142" s="275">
        <f t="shared" si="48"/>
        <v>1</v>
      </c>
      <c r="K142" s="275">
        <f t="shared" si="49"/>
        <v>1</v>
      </c>
      <c r="L142" s="275">
        <f t="shared" si="50"/>
        <v>0</v>
      </c>
      <c r="M142" s="275">
        <f>IF(OR(J142=1,K142=1,L142=1),1,0)</f>
        <v>1</v>
      </c>
      <c r="N142" s="276">
        <f t="shared" si="54"/>
        <v>1</v>
      </c>
      <c r="O142" s="276">
        <f>IF(OR(ISNUMBER(SEARCH("got a job",I142))=TRUE,ISNUMBER(SEARCH("got an internship",I142))=TRUE,ISNUMBER(SEARCH("got a promotion",I142))=TRUE),1,0)</f>
        <v>0</v>
      </c>
      <c r="P142" s="276">
        <f t="shared" si="51"/>
        <v>0</v>
      </c>
      <c r="Q142" s="276">
        <f t="shared" si="52"/>
        <v>0</v>
      </c>
      <c r="R142" s="329">
        <f>IF(OR(M142=1,N142=1,O142=1,P142=1,Q142=1),1,0)</f>
        <v>1</v>
      </c>
      <c r="S142" s="273"/>
      <c r="T142" s="274" t="str">
        <f>IF(ISNA(VLOOKUP(D142,'One year follow-up_inperson'!$C:$C,1,FALSE)),"No","Yes")</f>
        <v>No</v>
      </c>
      <c r="U142" s="592" t="s">
        <v>679</v>
      </c>
      <c r="V142" s="61"/>
      <c r="W142" s="61"/>
      <c r="X142" s="61"/>
      <c r="Y142" s="61"/>
      <c r="Z142" s="61"/>
      <c r="AA142" s="61"/>
      <c r="AB142" s="61"/>
      <c r="AC142" s="61"/>
    </row>
    <row r="143" spans="1:29" ht="138.5" customHeight="1">
      <c r="A143" s="368">
        <v>111</v>
      </c>
      <c r="B143" s="368"/>
      <c r="C143" s="272" t="str">
        <f t="shared" si="2"/>
        <v>286</v>
      </c>
      <c r="D143" s="522">
        <v>2867</v>
      </c>
      <c r="E143" s="182" t="s">
        <v>173</v>
      </c>
      <c r="F143" s="471" t="s">
        <v>2</v>
      </c>
      <c r="G143" s="523">
        <v>42</v>
      </c>
      <c r="H143" s="472" t="s">
        <v>3</v>
      </c>
      <c r="I143" s="526" t="s">
        <v>189</v>
      </c>
      <c r="J143" s="275">
        <f t="shared" si="48"/>
        <v>1</v>
      </c>
      <c r="K143" s="275">
        <f t="shared" si="49"/>
        <v>1</v>
      </c>
      <c r="L143" s="275">
        <f t="shared" si="50"/>
        <v>0</v>
      </c>
      <c r="M143" s="275">
        <f t="shared" si="53"/>
        <v>1</v>
      </c>
      <c r="N143" s="276">
        <f t="shared" si="54"/>
        <v>0</v>
      </c>
      <c r="O143" s="276">
        <f t="shared" si="55"/>
        <v>0</v>
      </c>
      <c r="P143" s="276">
        <f t="shared" si="51"/>
        <v>0</v>
      </c>
      <c r="Q143" s="276">
        <f t="shared" si="52"/>
        <v>0</v>
      </c>
      <c r="R143" s="329">
        <f t="shared" si="56"/>
        <v>1</v>
      </c>
      <c r="S143" s="273"/>
      <c r="T143" s="274" t="str">
        <f>IF(ISNA(VLOOKUP(D143,'One year follow-up_inperson'!$C:$C,1,FALSE)),"No","Yes")</f>
        <v>No</v>
      </c>
      <c r="U143" s="592" t="s">
        <v>679</v>
      </c>
      <c r="V143" s="61"/>
      <c r="W143" s="61"/>
      <c r="X143" s="61"/>
      <c r="Y143" s="61"/>
      <c r="Z143" s="61"/>
      <c r="AA143" s="61"/>
      <c r="AB143" s="61"/>
      <c r="AC143" s="61"/>
    </row>
    <row r="144" spans="1:29" ht="145.80000000000001" customHeight="1">
      <c r="A144" s="368">
        <v>112</v>
      </c>
      <c r="B144" s="368"/>
      <c r="C144" s="272" t="str">
        <f t="shared" si="2"/>
        <v>286</v>
      </c>
      <c r="D144" s="522">
        <v>2868</v>
      </c>
      <c r="E144" s="182" t="s">
        <v>174</v>
      </c>
      <c r="F144" s="471" t="s">
        <v>2</v>
      </c>
      <c r="G144" s="523">
        <v>26</v>
      </c>
      <c r="H144" s="472" t="s">
        <v>3</v>
      </c>
      <c r="I144" s="526" t="s">
        <v>190</v>
      </c>
      <c r="J144" s="275">
        <f t="shared" si="48"/>
        <v>1</v>
      </c>
      <c r="K144" s="275">
        <f t="shared" si="49"/>
        <v>1</v>
      </c>
      <c r="L144" s="275">
        <f t="shared" si="50"/>
        <v>0</v>
      </c>
      <c r="M144" s="275">
        <f t="shared" si="53"/>
        <v>1</v>
      </c>
      <c r="N144" s="276">
        <f t="shared" si="54"/>
        <v>1</v>
      </c>
      <c r="O144" s="276">
        <f t="shared" si="55"/>
        <v>0</v>
      </c>
      <c r="P144" s="276">
        <f t="shared" si="51"/>
        <v>0</v>
      </c>
      <c r="Q144" s="276">
        <f t="shared" si="52"/>
        <v>0</v>
      </c>
      <c r="R144" s="329">
        <f t="shared" si="56"/>
        <v>1</v>
      </c>
      <c r="S144" s="273"/>
      <c r="T144" s="274" t="str">
        <f>IF(ISNA(VLOOKUP(D144,'One year follow-up_inperson'!$C:$C,1,FALSE)),"No","Yes")</f>
        <v>No</v>
      </c>
      <c r="U144" s="592" t="s">
        <v>679</v>
      </c>
      <c r="V144" s="61"/>
      <c r="W144" s="61"/>
      <c r="X144" s="61"/>
      <c r="Y144" s="61"/>
      <c r="Z144" s="61"/>
      <c r="AA144" s="61"/>
      <c r="AB144" s="61"/>
      <c r="AC144" s="61"/>
    </row>
    <row r="145" spans="1:29" ht="105.5" customHeight="1">
      <c r="A145" s="368">
        <v>113</v>
      </c>
      <c r="B145" s="368"/>
      <c r="C145" s="272" t="str">
        <f t="shared" si="2"/>
        <v>286</v>
      </c>
      <c r="D145" s="522">
        <v>28611</v>
      </c>
      <c r="E145" s="182" t="s">
        <v>175</v>
      </c>
      <c r="F145" s="471" t="s">
        <v>2</v>
      </c>
      <c r="G145" s="525">
        <v>51</v>
      </c>
      <c r="H145" s="473" t="s">
        <v>3</v>
      </c>
      <c r="I145" s="526" t="s">
        <v>191</v>
      </c>
      <c r="J145" s="275">
        <f t="shared" si="48"/>
        <v>0</v>
      </c>
      <c r="K145" s="275">
        <f t="shared" si="49"/>
        <v>1</v>
      </c>
      <c r="L145" s="275">
        <f t="shared" si="50"/>
        <v>0</v>
      </c>
      <c r="M145" s="275">
        <f t="shared" si="53"/>
        <v>1</v>
      </c>
      <c r="N145" s="276">
        <f t="shared" si="54"/>
        <v>0</v>
      </c>
      <c r="O145" s="276">
        <f t="shared" si="55"/>
        <v>0</v>
      </c>
      <c r="P145" s="276">
        <f t="shared" si="51"/>
        <v>0</v>
      </c>
      <c r="Q145" s="276">
        <f t="shared" si="52"/>
        <v>0</v>
      </c>
      <c r="R145" s="329">
        <f t="shared" si="56"/>
        <v>1</v>
      </c>
      <c r="S145" s="273"/>
      <c r="T145" s="274" t="str">
        <f>IF(ISNA(VLOOKUP(D145,'One year follow-up_inperson'!$C:$C,1,FALSE)),"No","Yes")</f>
        <v>No</v>
      </c>
      <c r="U145" s="592" t="s">
        <v>679</v>
      </c>
      <c r="V145" s="61"/>
      <c r="W145" s="61"/>
      <c r="X145" s="61"/>
      <c r="Y145" s="61"/>
      <c r="Z145" s="61"/>
      <c r="AA145" s="61"/>
      <c r="AB145" s="61"/>
      <c r="AC145" s="61"/>
    </row>
    <row r="146" spans="1:29" ht="110.55" customHeight="1">
      <c r="A146" s="368">
        <v>114</v>
      </c>
      <c r="B146" s="368"/>
      <c r="C146" s="272" t="str">
        <f t="shared" si="2"/>
        <v>286</v>
      </c>
      <c r="D146" s="522">
        <v>28613</v>
      </c>
      <c r="E146" s="182" t="s">
        <v>176</v>
      </c>
      <c r="F146" s="471" t="s">
        <v>2</v>
      </c>
      <c r="G146" s="525">
        <v>34</v>
      </c>
      <c r="H146" s="473" t="s">
        <v>3</v>
      </c>
      <c r="I146" s="526" t="s">
        <v>192</v>
      </c>
      <c r="J146" s="275">
        <f t="shared" si="48"/>
        <v>1</v>
      </c>
      <c r="K146" s="275">
        <f t="shared" si="49"/>
        <v>1</v>
      </c>
      <c r="L146" s="275">
        <f t="shared" si="50"/>
        <v>0</v>
      </c>
      <c r="M146" s="275">
        <f t="shared" si="53"/>
        <v>1</v>
      </c>
      <c r="N146" s="276">
        <f t="shared" si="54"/>
        <v>1</v>
      </c>
      <c r="O146" s="276">
        <f t="shared" si="55"/>
        <v>0</v>
      </c>
      <c r="P146" s="276">
        <f t="shared" si="51"/>
        <v>0</v>
      </c>
      <c r="Q146" s="276">
        <f t="shared" si="52"/>
        <v>0</v>
      </c>
      <c r="R146" s="329">
        <f t="shared" si="56"/>
        <v>1</v>
      </c>
      <c r="S146" s="273"/>
      <c r="T146" s="274" t="str">
        <f>IF(ISNA(VLOOKUP(D146,'One year follow-up_inperson'!$C:$C,1,FALSE)),"No","Yes")</f>
        <v>No</v>
      </c>
      <c r="U146" s="592" t="s">
        <v>679</v>
      </c>
      <c r="V146" s="61"/>
      <c r="W146" s="61"/>
      <c r="X146" s="61"/>
      <c r="Y146" s="61"/>
      <c r="Z146" s="61"/>
      <c r="AA146" s="61"/>
      <c r="AB146" s="61"/>
      <c r="AC146" s="61"/>
    </row>
    <row r="147" spans="1:29" ht="142.80000000000001" customHeight="1">
      <c r="A147" s="368">
        <v>115</v>
      </c>
      <c r="B147" s="368"/>
      <c r="C147" s="272" t="str">
        <f t="shared" si="2"/>
        <v>286</v>
      </c>
      <c r="D147" s="522">
        <v>28614</v>
      </c>
      <c r="E147" s="182" t="s">
        <v>178</v>
      </c>
      <c r="F147" s="471" t="s">
        <v>2</v>
      </c>
      <c r="G147" s="525">
        <v>29</v>
      </c>
      <c r="H147" s="472" t="s">
        <v>3</v>
      </c>
      <c r="I147" s="526" t="s">
        <v>193</v>
      </c>
      <c r="J147" s="275">
        <f t="shared" si="48"/>
        <v>1</v>
      </c>
      <c r="K147" s="275">
        <f t="shared" si="49"/>
        <v>0</v>
      </c>
      <c r="L147" s="275">
        <f t="shared" si="50"/>
        <v>0</v>
      </c>
      <c r="M147" s="275">
        <f t="shared" si="53"/>
        <v>1</v>
      </c>
      <c r="N147" s="276">
        <f t="shared" si="54"/>
        <v>1</v>
      </c>
      <c r="O147" s="276">
        <f t="shared" si="55"/>
        <v>0</v>
      </c>
      <c r="P147" s="276">
        <f t="shared" si="51"/>
        <v>0</v>
      </c>
      <c r="Q147" s="276">
        <f t="shared" si="52"/>
        <v>0</v>
      </c>
      <c r="R147" s="329">
        <f t="shared" si="56"/>
        <v>1</v>
      </c>
      <c r="S147" s="273"/>
      <c r="T147" s="274" t="str">
        <f>IF(ISNA(VLOOKUP(D147,'One year follow-up_inperson'!$C:$C,1,FALSE)),"No","Yes")</f>
        <v>No</v>
      </c>
      <c r="U147" s="592" t="s">
        <v>679</v>
      </c>
      <c r="V147" s="61"/>
      <c r="W147" s="61"/>
      <c r="X147" s="61"/>
      <c r="Y147" s="61"/>
      <c r="Z147" s="61"/>
      <c r="AA147" s="61"/>
      <c r="AB147" s="61"/>
      <c r="AC147" s="61"/>
    </row>
    <row r="148" spans="1:29" ht="142.80000000000001" customHeight="1">
      <c r="A148" s="368">
        <v>116</v>
      </c>
      <c r="B148" s="368"/>
      <c r="C148" s="272" t="str">
        <f t="shared" si="2"/>
        <v>286</v>
      </c>
      <c r="D148" s="522">
        <v>28615</v>
      </c>
      <c r="E148" s="182" t="s">
        <v>179</v>
      </c>
      <c r="F148" s="471" t="s">
        <v>2</v>
      </c>
      <c r="G148" s="523">
        <v>28</v>
      </c>
      <c r="H148" s="471" t="s">
        <v>3</v>
      </c>
      <c r="I148" s="526" t="s">
        <v>194</v>
      </c>
      <c r="J148" s="275">
        <f t="shared" si="48"/>
        <v>1</v>
      </c>
      <c r="K148" s="275">
        <f t="shared" si="49"/>
        <v>1</v>
      </c>
      <c r="L148" s="275">
        <f t="shared" si="50"/>
        <v>0</v>
      </c>
      <c r="M148" s="275">
        <f t="shared" si="53"/>
        <v>1</v>
      </c>
      <c r="N148" s="276">
        <f t="shared" si="54"/>
        <v>1</v>
      </c>
      <c r="O148" s="276">
        <f t="shared" si="55"/>
        <v>0</v>
      </c>
      <c r="P148" s="276">
        <f t="shared" si="51"/>
        <v>0</v>
      </c>
      <c r="Q148" s="276">
        <f t="shared" si="52"/>
        <v>0</v>
      </c>
      <c r="R148" s="329">
        <f t="shared" si="56"/>
        <v>1</v>
      </c>
      <c r="S148" s="273"/>
      <c r="T148" s="274" t="str">
        <f>IF(ISNA(VLOOKUP(D148,'One year follow-up_inperson'!$C:$C,1,FALSE)),"No","Yes")</f>
        <v>No</v>
      </c>
      <c r="U148" s="592" t="s">
        <v>679</v>
      </c>
      <c r="V148" s="61"/>
      <c r="W148" s="61"/>
      <c r="X148" s="61"/>
      <c r="Y148" s="61"/>
      <c r="Z148" s="61"/>
      <c r="AA148" s="61"/>
      <c r="AB148" s="61"/>
      <c r="AC148" s="61"/>
    </row>
    <row r="149" spans="1:29" ht="136.25" customHeight="1">
      <c r="A149" s="368">
        <v>117</v>
      </c>
      <c r="B149" s="368"/>
      <c r="C149" s="272" t="str">
        <f t="shared" si="2"/>
        <v>286</v>
      </c>
      <c r="D149" s="522">
        <v>28616</v>
      </c>
      <c r="E149" s="182" t="s">
        <v>180</v>
      </c>
      <c r="F149" s="479" t="s">
        <v>2</v>
      </c>
      <c r="G149" s="523">
        <v>56</v>
      </c>
      <c r="H149" s="479" t="s">
        <v>3</v>
      </c>
      <c r="I149" s="526" t="s">
        <v>195</v>
      </c>
      <c r="J149" s="275">
        <f t="shared" si="48"/>
        <v>1</v>
      </c>
      <c r="K149" s="275">
        <f t="shared" si="49"/>
        <v>1</v>
      </c>
      <c r="L149" s="275">
        <f t="shared" si="50"/>
        <v>0</v>
      </c>
      <c r="M149" s="275">
        <f t="shared" si="53"/>
        <v>1</v>
      </c>
      <c r="N149" s="276">
        <f t="shared" si="54"/>
        <v>0</v>
      </c>
      <c r="O149" s="276">
        <f t="shared" si="55"/>
        <v>0</v>
      </c>
      <c r="P149" s="276">
        <f t="shared" si="51"/>
        <v>0</v>
      </c>
      <c r="Q149" s="276">
        <f t="shared" si="52"/>
        <v>0</v>
      </c>
      <c r="R149" s="329">
        <f t="shared" si="56"/>
        <v>1</v>
      </c>
      <c r="S149" s="273"/>
      <c r="T149" s="274" t="str">
        <f>IF(ISNA(VLOOKUP(D149,'One year follow-up_inperson'!$C:$C,1,FALSE)),"No","Yes")</f>
        <v>No</v>
      </c>
      <c r="U149" s="592" t="s">
        <v>679</v>
      </c>
      <c r="V149" s="61"/>
      <c r="W149" s="61"/>
      <c r="X149" s="61"/>
      <c r="Y149" s="61"/>
      <c r="Z149" s="61"/>
      <c r="AA149" s="61"/>
      <c r="AB149" s="61"/>
      <c r="AC149" s="61"/>
    </row>
    <row r="150" spans="1:29" ht="144" customHeight="1">
      <c r="A150" s="368">
        <v>118</v>
      </c>
      <c r="B150" s="368"/>
      <c r="C150" s="272" t="str">
        <f t="shared" si="2"/>
        <v>286</v>
      </c>
      <c r="D150" s="522">
        <v>28619</v>
      </c>
      <c r="E150" s="182" t="s">
        <v>181</v>
      </c>
      <c r="F150" s="479" t="s">
        <v>2</v>
      </c>
      <c r="G150" s="523">
        <v>30</v>
      </c>
      <c r="H150" s="480" t="s">
        <v>3</v>
      </c>
      <c r="I150" s="526" t="s">
        <v>196</v>
      </c>
      <c r="J150" s="275">
        <f t="shared" si="48"/>
        <v>1</v>
      </c>
      <c r="K150" s="275">
        <f t="shared" si="49"/>
        <v>1</v>
      </c>
      <c r="L150" s="275">
        <f t="shared" si="50"/>
        <v>0</v>
      </c>
      <c r="M150" s="275">
        <f t="shared" si="53"/>
        <v>1</v>
      </c>
      <c r="N150" s="276">
        <f t="shared" si="54"/>
        <v>0</v>
      </c>
      <c r="O150" s="276">
        <f t="shared" si="55"/>
        <v>0</v>
      </c>
      <c r="P150" s="276">
        <f t="shared" si="51"/>
        <v>0</v>
      </c>
      <c r="Q150" s="276">
        <f t="shared" si="52"/>
        <v>1</v>
      </c>
      <c r="R150" s="329">
        <f t="shared" si="56"/>
        <v>1</v>
      </c>
      <c r="S150" s="273" t="s">
        <v>197</v>
      </c>
      <c r="T150" s="274" t="str">
        <f>IF(ISNA(VLOOKUP(D150,'One year follow-up_inperson'!$C:$C,1,FALSE)),"No","Yes")</f>
        <v>No</v>
      </c>
      <c r="U150" s="592" t="s">
        <v>679</v>
      </c>
      <c r="V150" s="61"/>
      <c r="W150" s="61"/>
      <c r="X150" s="61"/>
      <c r="Y150" s="61"/>
      <c r="Z150" s="61"/>
      <c r="AA150" s="61"/>
      <c r="AB150" s="61"/>
      <c r="AC150" s="61"/>
    </row>
    <row r="151" spans="1:29" ht="86.55" customHeight="1">
      <c r="A151" s="368">
        <v>119</v>
      </c>
      <c r="B151" s="368"/>
      <c r="C151" s="274" t="str">
        <f t="shared" ref="C151:C170" si="57">LEFT(D151,3)</f>
        <v>286</v>
      </c>
      <c r="D151" s="522">
        <v>28617</v>
      </c>
      <c r="E151" s="182" t="s">
        <v>182</v>
      </c>
      <c r="F151" s="479" t="s">
        <v>2</v>
      </c>
      <c r="G151" s="523">
        <v>38</v>
      </c>
      <c r="H151" s="479" t="s">
        <v>3</v>
      </c>
      <c r="I151" s="526" t="s">
        <v>198</v>
      </c>
      <c r="J151" s="275">
        <f t="shared" si="48"/>
        <v>0</v>
      </c>
      <c r="K151" s="275">
        <f t="shared" si="49"/>
        <v>1</v>
      </c>
      <c r="L151" s="275">
        <f t="shared" si="50"/>
        <v>0</v>
      </c>
      <c r="M151" s="275">
        <f t="shared" si="53"/>
        <v>1</v>
      </c>
      <c r="N151" s="276">
        <f t="shared" si="54"/>
        <v>0</v>
      </c>
      <c r="O151" s="276">
        <f t="shared" si="55"/>
        <v>0</v>
      </c>
      <c r="P151" s="276">
        <f t="shared" si="51"/>
        <v>0</v>
      </c>
      <c r="Q151" s="276">
        <f t="shared" si="52"/>
        <v>0</v>
      </c>
      <c r="R151" s="329">
        <f t="shared" si="56"/>
        <v>1</v>
      </c>
      <c r="S151" s="273"/>
      <c r="T151" s="274" t="str">
        <f>IF(ISNA(VLOOKUP(D151,'One year follow-up_inperson'!$C:$C,1,FALSE)),"No","Yes")</f>
        <v>No</v>
      </c>
      <c r="U151" s="592" t="s">
        <v>679</v>
      </c>
      <c r="V151" s="61"/>
      <c r="W151" s="61"/>
      <c r="X151" s="61"/>
      <c r="Y151" s="61"/>
      <c r="Z151" s="61"/>
      <c r="AA151" s="61"/>
      <c r="AB151" s="61"/>
      <c r="AC151" s="61"/>
    </row>
    <row r="152" spans="1:29" ht="109.25" customHeight="1">
      <c r="A152" s="368">
        <v>120</v>
      </c>
      <c r="B152" s="555" t="s">
        <v>423</v>
      </c>
      <c r="C152" s="182" t="str">
        <f t="shared" si="57"/>
        <v>289</v>
      </c>
      <c r="D152" s="531">
        <v>289</v>
      </c>
      <c r="E152" s="182" t="s">
        <v>382</v>
      </c>
      <c r="F152" s="183" t="s">
        <v>2</v>
      </c>
      <c r="G152" s="182">
        <v>22</v>
      </c>
      <c r="H152" s="531" t="s">
        <v>3</v>
      </c>
      <c r="I152" s="554" t="s">
        <v>424</v>
      </c>
      <c r="J152" s="275">
        <f t="shared" si="48"/>
        <v>1</v>
      </c>
      <c r="K152" s="275">
        <f t="shared" si="49"/>
        <v>0</v>
      </c>
      <c r="L152" s="275">
        <f t="shared" si="50"/>
        <v>0</v>
      </c>
      <c r="M152" s="275">
        <f t="shared" si="53"/>
        <v>1</v>
      </c>
      <c r="N152" s="276">
        <f t="shared" si="54"/>
        <v>0</v>
      </c>
      <c r="O152" s="276">
        <f t="shared" si="55"/>
        <v>0</v>
      </c>
      <c r="P152" s="276">
        <f t="shared" si="51"/>
        <v>0</v>
      </c>
      <c r="Q152" s="276">
        <f t="shared" si="52"/>
        <v>0</v>
      </c>
      <c r="R152" s="329">
        <f t="shared" si="56"/>
        <v>1</v>
      </c>
      <c r="S152" s="273"/>
      <c r="T152" s="274" t="str">
        <f>IF(ISNA(VLOOKUP(D152,'One year follow-up_inperson'!$C:$C,1,FALSE)),"No","Yes")</f>
        <v>No</v>
      </c>
      <c r="U152" s="592" t="s">
        <v>679</v>
      </c>
    </row>
    <row r="153" spans="1:29" ht="123" customHeight="1">
      <c r="A153" s="368">
        <v>121</v>
      </c>
      <c r="B153" s="555" t="s">
        <v>423</v>
      </c>
      <c r="C153" s="182" t="str">
        <f t="shared" si="57"/>
        <v>289</v>
      </c>
      <c r="D153" s="531">
        <v>289</v>
      </c>
      <c r="E153" s="182" t="s">
        <v>383</v>
      </c>
      <c r="F153" s="183" t="s">
        <v>2</v>
      </c>
      <c r="G153" s="182">
        <v>23</v>
      </c>
      <c r="H153" s="531" t="s">
        <v>3</v>
      </c>
      <c r="I153" s="554" t="s">
        <v>425</v>
      </c>
      <c r="J153" s="275">
        <f t="shared" si="48"/>
        <v>1</v>
      </c>
      <c r="K153" s="275">
        <f t="shared" si="49"/>
        <v>0</v>
      </c>
      <c r="L153" s="275">
        <f t="shared" si="50"/>
        <v>0</v>
      </c>
      <c r="M153" s="275">
        <f t="shared" si="53"/>
        <v>1</v>
      </c>
      <c r="N153" s="276">
        <f t="shared" si="54"/>
        <v>0</v>
      </c>
      <c r="O153" s="276">
        <f t="shared" si="55"/>
        <v>0</v>
      </c>
      <c r="P153" s="276">
        <f t="shared" si="51"/>
        <v>0</v>
      </c>
      <c r="Q153" s="276">
        <f t="shared" si="52"/>
        <v>0</v>
      </c>
      <c r="R153" s="329">
        <f t="shared" si="56"/>
        <v>1</v>
      </c>
      <c r="S153" s="273"/>
      <c r="T153" s="274" t="str">
        <f>IF(ISNA(VLOOKUP(D153,'One year follow-up_inperson'!$C:$C,1,FALSE)),"No","Yes")</f>
        <v>No</v>
      </c>
      <c r="U153" s="592" t="s">
        <v>679</v>
      </c>
    </row>
    <row r="154" spans="1:29" ht="118.25" customHeight="1">
      <c r="A154" s="368">
        <v>122</v>
      </c>
      <c r="B154" s="555" t="s">
        <v>423</v>
      </c>
      <c r="C154" s="182" t="str">
        <f t="shared" si="57"/>
        <v>289</v>
      </c>
      <c r="D154" s="531">
        <v>289</v>
      </c>
      <c r="E154" s="182" t="s">
        <v>384</v>
      </c>
      <c r="F154" s="183" t="s">
        <v>2</v>
      </c>
      <c r="G154" s="182">
        <v>27</v>
      </c>
      <c r="H154" s="531" t="s">
        <v>3</v>
      </c>
      <c r="I154" s="554" t="s">
        <v>426</v>
      </c>
      <c r="J154" s="275">
        <f t="shared" si="48"/>
        <v>1</v>
      </c>
      <c r="K154" s="275">
        <f t="shared" si="49"/>
        <v>0</v>
      </c>
      <c r="L154" s="275">
        <f t="shared" si="50"/>
        <v>0</v>
      </c>
      <c r="M154" s="275">
        <f t="shared" si="53"/>
        <v>1</v>
      </c>
      <c r="N154" s="276">
        <f t="shared" si="54"/>
        <v>0</v>
      </c>
      <c r="O154" s="276">
        <f t="shared" si="55"/>
        <v>0</v>
      </c>
      <c r="P154" s="276">
        <f t="shared" si="51"/>
        <v>0</v>
      </c>
      <c r="Q154" s="276">
        <f t="shared" si="52"/>
        <v>0</v>
      </c>
      <c r="R154" s="329">
        <f t="shared" si="56"/>
        <v>1</v>
      </c>
      <c r="S154" s="273"/>
      <c r="T154" s="274" t="str">
        <f>IF(ISNA(VLOOKUP(D154,'One year follow-up_inperson'!$C:$C,1,FALSE)),"No","Yes")</f>
        <v>No</v>
      </c>
      <c r="U154" s="592" t="s">
        <v>679</v>
      </c>
    </row>
    <row r="155" spans="1:29" ht="132" customHeight="1">
      <c r="A155" s="368">
        <v>123</v>
      </c>
      <c r="B155" s="555" t="s">
        <v>423</v>
      </c>
      <c r="C155" s="182" t="str">
        <f t="shared" si="57"/>
        <v>289</v>
      </c>
      <c r="D155" s="531">
        <v>289</v>
      </c>
      <c r="E155" s="182" t="s">
        <v>385</v>
      </c>
      <c r="F155" s="183" t="s">
        <v>2</v>
      </c>
      <c r="G155" s="182">
        <v>26</v>
      </c>
      <c r="H155" s="531" t="s">
        <v>3</v>
      </c>
      <c r="I155" s="554" t="s">
        <v>427</v>
      </c>
      <c r="J155" s="275">
        <f t="shared" si="48"/>
        <v>1</v>
      </c>
      <c r="K155" s="275">
        <f t="shared" si="49"/>
        <v>1</v>
      </c>
      <c r="L155" s="275">
        <f t="shared" si="50"/>
        <v>0</v>
      </c>
      <c r="M155" s="275">
        <f t="shared" si="53"/>
        <v>1</v>
      </c>
      <c r="N155" s="276">
        <f t="shared" si="54"/>
        <v>0</v>
      </c>
      <c r="O155" s="276">
        <f t="shared" si="55"/>
        <v>0</v>
      </c>
      <c r="P155" s="276">
        <f t="shared" si="51"/>
        <v>0</v>
      </c>
      <c r="Q155" s="276">
        <f t="shared" si="52"/>
        <v>0</v>
      </c>
      <c r="R155" s="329">
        <f t="shared" si="56"/>
        <v>1</v>
      </c>
      <c r="S155" s="273"/>
      <c r="T155" s="274" t="str">
        <f>IF(ISNA(VLOOKUP(D155,'One year follow-up_inperson'!$C:$C,1,FALSE)),"No","Yes")</f>
        <v>No</v>
      </c>
      <c r="U155" s="592" t="s">
        <v>679</v>
      </c>
    </row>
    <row r="156" spans="1:29" ht="120.5" customHeight="1">
      <c r="A156" s="368">
        <v>124</v>
      </c>
      <c r="B156" s="555" t="s">
        <v>423</v>
      </c>
      <c r="C156" s="182" t="str">
        <f t="shared" si="57"/>
        <v>289</v>
      </c>
      <c r="D156" s="531">
        <v>289</v>
      </c>
      <c r="E156" s="182" t="s">
        <v>386</v>
      </c>
      <c r="F156" s="183" t="s">
        <v>2</v>
      </c>
      <c r="G156" s="182">
        <v>29</v>
      </c>
      <c r="H156" s="531" t="s">
        <v>3</v>
      </c>
      <c r="I156" s="554" t="s">
        <v>462</v>
      </c>
      <c r="J156" s="275">
        <f t="shared" si="48"/>
        <v>1</v>
      </c>
      <c r="K156" s="275">
        <f t="shared" si="49"/>
        <v>0</v>
      </c>
      <c r="L156" s="275">
        <f t="shared" si="50"/>
        <v>0</v>
      </c>
      <c r="M156" s="275">
        <f t="shared" si="53"/>
        <v>1</v>
      </c>
      <c r="N156" s="276">
        <f t="shared" si="54"/>
        <v>0</v>
      </c>
      <c r="O156" s="276">
        <f t="shared" si="55"/>
        <v>0</v>
      </c>
      <c r="P156" s="276">
        <f t="shared" si="51"/>
        <v>0</v>
      </c>
      <c r="Q156" s="276">
        <f t="shared" si="52"/>
        <v>0</v>
      </c>
      <c r="R156" s="329">
        <f t="shared" si="56"/>
        <v>1</v>
      </c>
      <c r="S156" s="273"/>
      <c r="T156" s="274" t="str">
        <f>IF(ISNA(VLOOKUP(D156,'One year follow-up_inperson'!$C:$C,1,FALSE)),"No","Yes")</f>
        <v>No</v>
      </c>
      <c r="U156" s="592" t="s">
        <v>679</v>
      </c>
    </row>
    <row r="157" spans="1:29" ht="81">
      <c r="A157" s="368">
        <v>125</v>
      </c>
      <c r="B157" s="555" t="s">
        <v>423</v>
      </c>
      <c r="C157" s="182" t="str">
        <f t="shared" si="57"/>
        <v>289</v>
      </c>
      <c r="D157" s="531">
        <v>289</v>
      </c>
      <c r="E157" s="182" t="s">
        <v>387</v>
      </c>
      <c r="F157" s="183" t="s">
        <v>2</v>
      </c>
      <c r="G157" s="182">
        <v>25</v>
      </c>
      <c r="H157" s="531" t="s">
        <v>3</v>
      </c>
      <c r="I157" s="552" t="s">
        <v>428</v>
      </c>
      <c r="J157" s="275">
        <f t="shared" si="48"/>
        <v>1</v>
      </c>
      <c r="K157" s="275">
        <f t="shared" si="49"/>
        <v>0</v>
      </c>
      <c r="L157" s="275">
        <f t="shared" si="50"/>
        <v>1</v>
      </c>
      <c r="M157" s="275">
        <f t="shared" si="53"/>
        <v>1</v>
      </c>
      <c r="N157" s="276">
        <f t="shared" si="54"/>
        <v>0</v>
      </c>
      <c r="O157" s="276">
        <f t="shared" si="55"/>
        <v>0</v>
      </c>
      <c r="P157" s="276">
        <f t="shared" si="51"/>
        <v>0</v>
      </c>
      <c r="Q157" s="276">
        <f t="shared" si="52"/>
        <v>0</v>
      </c>
      <c r="R157" s="329">
        <f t="shared" si="56"/>
        <v>1</v>
      </c>
      <c r="S157" s="273"/>
      <c r="T157" s="274" t="str">
        <f>IF(ISNA(VLOOKUP(D157,'One year follow-up_inperson'!$C:$C,1,FALSE)),"No","Yes")</f>
        <v>No</v>
      </c>
      <c r="U157" s="592" t="s">
        <v>679</v>
      </c>
    </row>
    <row r="158" spans="1:29" ht="99.75">
      <c r="A158" s="368">
        <v>126</v>
      </c>
      <c r="B158" s="555" t="s">
        <v>423</v>
      </c>
      <c r="C158" s="182" t="str">
        <f t="shared" si="57"/>
        <v>289</v>
      </c>
      <c r="D158" s="531">
        <v>289</v>
      </c>
      <c r="E158" s="182" t="s">
        <v>388</v>
      </c>
      <c r="F158" s="183" t="s">
        <v>2</v>
      </c>
      <c r="G158" s="182">
        <v>23</v>
      </c>
      <c r="H158" s="531" t="s">
        <v>3</v>
      </c>
      <c r="I158" s="553" t="s">
        <v>429</v>
      </c>
      <c r="J158" s="275">
        <f t="shared" si="48"/>
        <v>0</v>
      </c>
      <c r="K158" s="275">
        <f t="shared" si="49"/>
        <v>1</v>
      </c>
      <c r="L158" s="275">
        <f t="shared" si="50"/>
        <v>0</v>
      </c>
      <c r="M158" s="275">
        <f t="shared" si="53"/>
        <v>1</v>
      </c>
      <c r="N158" s="276">
        <f t="shared" si="54"/>
        <v>0</v>
      </c>
      <c r="O158" s="276">
        <f t="shared" si="55"/>
        <v>0</v>
      </c>
      <c r="P158" s="276">
        <f t="shared" si="51"/>
        <v>0</v>
      </c>
      <c r="Q158" s="276">
        <f t="shared" si="52"/>
        <v>0</v>
      </c>
      <c r="R158" s="329">
        <f t="shared" si="56"/>
        <v>1</v>
      </c>
      <c r="S158" s="273"/>
      <c r="T158" s="274" t="str">
        <f>IF(ISNA(VLOOKUP(D158,'One year follow-up_inperson'!$C:$C,1,FALSE)),"No","Yes")</f>
        <v>No</v>
      </c>
      <c r="U158" s="592" t="s">
        <v>679</v>
      </c>
    </row>
    <row r="159" spans="1:29" ht="100.8" customHeight="1">
      <c r="A159" s="368">
        <v>127</v>
      </c>
      <c r="B159" s="555" t="s">
        <v>423</v>
      </c>
      <c r="C159" s="182" t="str">
        <f t="shared" si="57"/>
        <v>289</v>
      </c>
      <c r="D159" s="531">
        <v>289</v>
      </c>
      <c r="E159" s="182" t="s">
        <v>389</v>
      </c>
      <c r="F159" s="183" t="s">
        <v>2</v>
      </c>
      <c r="G159" s="182">
        <v>20</v>
      </c>
      <c r="H159" s="531" t="s">
        <v>3</v>
      </c>
      <c r="I159" s="552" t="s">
        <v>430</v>
      </c>
      <c r="J159" s="275">
        <f t="shared" si="48"/>
        <v>0</v>
      </c>
      <c r="K159" s="275">
        <f t="shared" si="49"/>
        <v>1</v>
      </c>
      <c r="L159" s="275">
        <f t="shared" si="50"/>
        <v>0</v>
      </c>
      <c r="M159" s="275">
        <f t="shared" si="53"/>
        <v>1</v>
      </c>
      <c r="N159" s="276">
        <f t="shared" si="54"/>
        <v>0</v>
      </c>
      <c r="O159" s="276">
        <f t="shared" si="55"/>
        <v>0</v>
      </c>
      <c r="P159" s="276">
        <f t="shared" si="51"/>
        <v>0</v>
      </c>
      <c r="Q159" s="276">
        <f t="shared" si="52"/>
        <v>0</v>
      </c>
      <c r="R159" s="329">
        <f t="shared" si="56"/>
        <v>1</v>
      </c>
      <c r="S159" s="273"/>
      <c r="T159" s="274" t="str">
        <f>IF(ISNA(VLOOKUP(D159,'One year follow-up_inperson'!$C:$C,1,FALSE)),"No","Yes")</f>
        <v>No</v>
      </c>
      <c r="U159" s="592" t="s">
        <v>679</v>
      </c>
    </row>
    <row r="160" spans="1:29" ht="139.80000000000001" customHeight="1">
      <c r="A160" s="368">
        <v>128</v>
      </c>
      <c r="B160" s="555" t="s">
        <v>423</v>
      </c>
      <c r="C160" s="182" t="str">
        <f t="shared" si="57"/>
        <v>289</v>
      </c>
      <c r="D160" s="531">
        <v>289</v>
      </c>
      <c r="E160" s="182" t="s">
        <v>390</v>
      </c>
      <c r="F160" s="183" t="s">
        <v>2</v>
      </c>
      <c r="G160" s="182">
        <v>23</v>
      </c>
      <c r="H160" s="531" t="s">
        <v>3</v>
      </c>
      <c r="I160" s="552" t="s">
        <v>431</v>
      </c>
      <c r="J160" s="275">
        <f t="shared" si="48"/>
        <v>0</v>
      </c>
      <c r="K160" s="275">
        <f t="shared" si="49"/>
        <v>1</v>
      </c>
      <c r="L160" s="275">
        <f t="shared" si="50"/>
        <v>0</v>
      </c>
      <c r="M160" s="275">
        <f t="shared" si="53"/>
        <v>1</v>
      </c>
      <c r="N160" s="276">
        <f t="shared" si="54"/>
        <v>1</v>
      </c>
      <c r="O160" s="276">
        <f t="shared" si="55"/>
        <v>0</v>
      </c>
      <c r="P160" s="276">
        <f t="shared" si="51"/>
        <v>0</v>
      </c>
      <c r="Q160" s="276">
        <f t="shared" si="52"/>
        <v>0</v>
      </c>
      <c r="R160" s="329">
        <f t="shared" si="56"/>
        <v>1</v>
      </c>
      <c r="S160" s="273"/>
      <c r="T160" s="274" t="str">
        <f>IF(ISNA(VLOOKUP(D160,'One year follow-up_inperson'!$C:$C,1,FALSE)),"No","Yes")</f>
        <v>No</v>
      </c>
      <c r="U160" s="592" t="s">
        <v>679</v>
      </c>
    </row>
    <row r="161" spans="1:21" ht="98.55" customHeight="1">
      <c r="A161" s="368">
        <v>129</v>
      </c>
      <c r="B161" s="555" t="s">
        <v>423</v>
      </c>
      <c r="C161" s="182" t="str">
        <f t="shared" si="57"/>
        <v>289</v>
      </c>
      <c r="D161" s="531">
        <v>289</v>
      </c>
      <c r="E161" s="182" t="s">
        <v>391</v>
      </c>
      <c r="F161" s="183" t="s">
        <v>2</v>
      </c>
      <c r="G161" s="182">
        <v>22</v>
      </c>
      <c r="H161" s="531" t="s">
        <v>3</v>
      </c>
      <c r="I161" s="552" t="s">
        <v>432</v>
      </c>
      <c r="J161" s="275">
        <f t="shared" si="48"/>
        <v>1</v>
      </c>
      <c r="K161" s="275">
        <f t="shared" si="49"/>
        <v>0</v>
      </c>
      <c r="L161" s="275">
        <f t="shared" si="50"/>
        <v>0</v>
      </c>
      <c r="M161" s="275">
        <f t="shared" si="53"/>
        <v>1</v>
      </c>
      <c r="N161" s="276">
        <f t="shared" si="54"/>
        <v>0</v>
      </c>
      <c r="O161" s="276">
        <f t="shared" si="55"/>
        <v>0</v>
      </c>
      <c r="P161" s="276">
        <f t="shared" si="51"/>
        <v>0</v>
      </c>
      <c r="Q161" s="276">
        <f t="shared" si="52"/>
        <v>0</v>
      </c>
      <c r="R161" s="329">
        <f t="shared" si="56"/>
        <v>1</v>
      </c>
      <c r="S161" s="273"/>
      <c r="T161" s="274" t="str">
        <f>IF(ISNA(VLOOKUP(D161,'One year follow-up_inperson'!$C:$C,1,FALSE)),"No","Yes")</f>
        <v>No</v>
      </c>
      <c r="U161" s="592" t="s">
        <v>679</v>
      </c>
    </row>
    <row r="162" spans="1:21" ht="111.5" customHeight="1">
      <c r="A162" s="368">
        <v>130</v>
      </c>
      <c r="B162" s="555" t="s">
        <v>423</v>
      </c>
      <c r="C162" s="182" t="str">
        <f t="shared" si="57"/>
        <v>289</v>
      </c>
      <c r="D162" s="531">
        <v>289</v>
      </c>
      <c r="E162" s="182" t="s">
        <v>392</v>
      </c>
      <c r="F162" s="183" t="s">
        <v>2</v>
      </c>
      <c r="G162" s="182">
        <v>23</v>
      </c>
      <c r="H162" s="531" t="s">
        <v>3</v>
      </c>
      <c r="I162" s="552" t="s">
        <v>433</v>
      </c>
      <c r="J162" s="275">
        <f t="shared" si="48"/>
        <v>1</v>
      </c>
      <c r="K162" s="275">
        <f t="shared" si="49"/>
        <v>0</v>
      </c>
      <c r="L162" s="275">
        <f t="shared" si="50"/>
        <v>0</v>
      </c>
      <c r="M162" s="275">
        <f t="shared" si="53"/>
        <v>1</v>
      </c>
      <c r="N162" s="276">
        <f t="shared" si="54"/>
        <v>0</v>
      </c>
      <c r="O162" s="276">
        <f t="shared" si="55"/>
        <v>0</v>
      </c>
      <c r="P162" s="276">
        <f t="shared" si="51"/>
        <v>0</v>
      </c>
      <c r="Q162" s="276">
        <f t="shared" si="52"/>
        <v>0</v>
      </c>
      <c r="R162" s="329">
        <f t="shared" si="56"/>
        <v>1</v>
      </c>
      <c r="S162" s="273"/>
      <c r="T162" s="274" t="str">
        <f>IF(ISNA(VLOOKUP(D162,'One year follow-up_inperson'!$C:$C,1,FALSE)),"No","Yes")</f>
        <v>No</v>
      </c>
      <c r="U162" s="592" t="s">
        <v>679</v>
      </c>
    </row>
    <row r="163" spans="1:21" ht="124.8" customHeight="1">
      <c r="A163" s="368">
        <v>131</v>
      </c>
      <c r="B163" s="555" t="s">
        <v>423</v>
      </c>
      <c r="C163" s="182" t="str">
        <f t="shared" si="57"/>
        <v>289</v>
      </c>
      <c r="D163" s="531">
        <v>289</v>
      </c>
      <c r="E163" s="182" t="s">
        <v>393</v>
      </c>
      <c r="F163" s="183" t="s">
        <v>2</v>
      </c>
      <c r="G163" s="182">
        <v>21</v>
      </c>
      <c r="H163" s="531" t="s">
        <v>3</v>
      </c>
      <c r="I163" s="552" t="s">
        <v>434</v>
      </c>
      <c r="J163" s="275">
        <f t="shared" si="48"/>
        <v>1</v>
      </c>
      <c r="K163" s="275">
        <f t="shared" si="49"/>
        <v>0</v>
      </c>
      <c r="L163" s="275">
        <f t="shared" si="50"/>
        <v>0</v>
      </c>
      <c r="M163" s="275">
        <f t="shared" si="53"/>
        <v>1</v>
      </c>
      <c r="N163" s="276">
        <f t="shared" si="54"/>
        <v>0</v>
      </c>
      <c r="O163" s="276">
        <f t="shared" si="55"/>
        <v>0</v>
      </c>
      <c r="P163" s="276">
        <f t="shared" si="51"/>
        <v>0</v>
      </c>
      <c r="Q163" s="276">
        <f t="shared" si="52"/>
        <v>0</v>
      </c>
      <c r="R163" s="329">
        <f t="shared" si="56"/>
        <v>1</v>
      </c>
      <c r="S163" s="273"/>
      <c r="T163" s="274" t="str">
        <f>IF(ISNA(VLOOKUP(D163,'One year follow-up_inperson'!$C:$C,1,FALSE)),"No","Yes")</f>
        <v>No</v>
      </c>
      <c r="U163" s="592" t="s">
        <v>679</v>
      </c>
    </row>
    <row r="164" spans="1:21" ht="126.5" customHeight="1">
      <c r="A164" s="368">
        <v>132</v>
      </c>
      <c r="B164" s="555" t="s">
        <v>423</v>
      </c>
      <c r="C164" s="182" t="str">
        <f t="shared" si="57"/>
        <v>289</v>
      </c>
      <c r="D164" s="531">
        <v>289</v>
      </c>
      <c r="E164" s="182" t="s">
        <v>394</v>
      </c>
      <c r="F164" s="183" t="s">
        <v>2</v>
      </c>
      <c r="G164" s="182">
        <v>36</v>
      </c>
      <c r="H164" s="531" t="s">
        <v>3</v>
      </c>
      <c r="I164" s="552" t="s">
        <v>435</v>
      </c>
      <c r="J164" s="275">
        <f t="shared" si="48"/>
        <v>1</v>
      </c>
      <c r="K164" s="275">
        <f t="shared" si="49"/>
        <v>0</v>
      </c>
      <c r="L164" s="275">
        <f t="shared" si="50"/>
        <v>1</v>
      </c>
      <c r="M164" s="275">
        <f t="shared" si="53"/>
        <v>1</v>
      </c>
      <c r="N164" s="276">
        <f t="shared" si="54"/>
        <v>0</v>
      </c>
      <c r="O164" s="276">
        <f t="shared" si="55"/>
        <v>0</v>
      </c>
      <c r="P164" s="276">
        <f t="shared" si="51"/>
        <v>0</v>
      </c>
      <c r="Q164" s="276">
        <f t="shared" si="52"/>
        <v>0</v>
      </c>
      <c r="R164" s="329">
        <f t="shared" si="56"/>
        <v>1</v>
      </c>
      <c r="S164" s="273"/>
      <c r="T164" s="274" t="str">
        <f>IF(ISNA(VLOOKUP(D164,'One year follow-up_inperson'!$C:$C,1,FALSE)),"No","Yes")</f>
        <v>No</v>
      </c>
      <c r="U164" s="592" t="s">
        <v>679</v>
      </c>
    </row>
    <row r="165" spans="1:21" ht="118.8" customHeight="1">
      <c r="A165" s="368">
        <v>133</v>
      </c>
      <c r="B165" s="555" t="s">
        <v>423</v>
      </c>
      <c r="C165" s="182" t="str">
        <f t="shared" si="57"/>
        <v>289</v>
      </c>
      <c r="D165" s="531">
        <v>289</v>
      </c>
      <c r="E165" s="182" t="s">
        <v>395</v>
      </c>
      <c r="F165" s="183" t="s">
        <v>2</v>
      </c>
      <c r="G165" s="182">
        <v>26</v>
      </c>
      <c r="H165" s="531" t="s">
        <v>3</v>
      </c>
      <c r="I165" s="552" t="s">
        <v>436</v>
      </c>
      <c r="J165" s="275">
        <f t="shared" ref="J165:J192" si="58">IF(OR(ISNUMBER(SEARCH("confidence",I165))=TRUE,ISNUMBER(SEARCH("hope for the future",I165))=TRUE,ISNUMBER(SEARCH("communicate",I165))=TRUE,ISNUMBER(SEARCH("worthy",I165))=TRUE,ISNUMBER(SEARCH("thought",I165))=TRUE,ISNUMBER(SEARCH("open",I165))=TRUE,ISNUMBER(SEARCH("believe",I165))=TRUE,ISNUMBER(SEARCH("confident",I165))=TRUE,ISNUMBER(SEARCH("empower",I165))=TRUE),1,0)</f>
        <v>1</v>
      </c>
      <c r="K165" s="275">
        <f t="shared" ref="K165:K192" si="59">IF(OR(ISNUMBER(SEARCH("decision",I165))=TRUE,ISNUMBER(SEARCH("save",I165))=TRUE,ISNUMBER(SEARCH("saving",I165))=TRUE,ISNUMBER(SEARCH("started",I165))=TRUE,ISNUMBER(SEARCH("buy",I165))=TRUE,ISNUMBER(SEARCH("bought",I165))=TRUE),1,0)</f>
        <v>0</v>
      </c>
      <c r="L165" s="275">
        <f t="shared" ref="L165:L192" si="60">IF(OR(ISNUMBER(SEARCH("active",I165))=TRUE,ISNUMBER(SEARCH("proactive",I165))=TRUE,ISNUMBER(SEARCH("face challenge",I165))=TRUE),1,0)</f>
        <v>0</v>
      </c>
      <c r="M165" s="275">
        <f t="shared" si="53"/>
        <v>1</v>
      </c>
      <c r="N165" s="276">
        <f t="shared" si="54"/>
        <v>0</v>
      </c>
      <c r="O165" s="276">
        <f t="shared" ref="O165:O192" si="61">IF(OR(ISNUMBER(SEARCH("got a job",I165))=TRUE,ISNUMBER(SEARCH("got an internship",I165))=TRUE,ISNUMBER(SEARCH("got a promotion",I165))=TRUE),1,0)</f>
        <v>0</v>
      </c>
      <c r="P165" s="276">
        <f t="shared" ref="P165:P192" si="62">IF(OR(ISNUMBER(SEARCH("school admission",I165))=TRUE,ISNUMBER(SEARCH("perfomance in class",I165))=TRUE,ISNUMBER(SEARCH("scholarship",I165))=TRUE,ISNUMBER(SEARCH("pursue higher education",I165))=TRUE),1,0)</f>
        <v>0</v>
      </c>
      <c r="Q165" s="276">
        <f t="shared" ref="Q165:Q192" si="63">IF(OR(ISNUMBER(SEARCH("leadership role",I165))=TRUE),1,0)</f>
        <v>0</v>
      </c>
      <c r="R165" s="329">
        <f t="shared" si="56"/>
        <v>1</v>
      </c>
      <c r="S165" s="273"/>
      <c r="T165" s="274" t="str">
        <f>IF(ISNA(VLOOKUP(D165,'One year follow-up_inperson'!$C:$C,1,FALSE)),"No","Yes")</f>
        <v>No</v>
      </c>
      <c r="U165" s="592" t="s">
        <v>679</v>
      </c>
    </row>
    <row r="166" spans="1:21" ht="100.8" customHeight="1">
      <c r="A166" s="368">
        <v>134</v>
      </c>
      <c r="B166" s="555" t="s">
        <v>423</v>
      </c>
      <c r="C166" s="182" t="str">
        <f t="shared" si="57"/>
        <v>289</v>
      </c>
      <c r="D166" s="531">
        <v>289</v>
      </c>
      <c r="E166" s="182" t="s">
        <v>396</v>
      </c>
      <c r="F166" s="183" t="s">
        <v>2</v>
      </c>
      <c r="G166" s="182">
        <v>23</v>
      </c>
      <c r="H166" s="531" t="s">
        <v>3</v>
      </c>
      <c r="I166" s="552" t="s">
        <v>437</v>
      </c>
      <c r="J166" s="275">
        <f t="shared" si="58"/>
        <v>1</v>
      </c>
      <c r="K166" s="275">
        <f t="shared" si="59"/>
        <v>0</v>
      </c>
      <c r="L166" s="275">
        <f t="shared" si="60"/>
        <v>1</v>
      </c>
      <c r="M166" s="275">
        <f t="shared" si="53"/>
        <v>1</v>
      </c>
      <c r="N166" s="276">
        <f t="shared" si="54"/>
        <v>0</v>
      </c>
      <c r="O166" s="276">
        <f t="shared" si="61"/>
        <v>0</v>
      </c>
      <c r="P166" s="276">
        <f t="shared" si="62"/>
        <v>0</v>
      </c>
      <c r="Q166" s="276">
        <f t="shared" si="63"/>
        <v>0</v>
      </c>
      <c r="R166" s="329">
        <f t="shared" si="56"/>
        <v>1</v>
      </c>
      <c r="S166" s="273"/>
      <c r="T166" s="274" t="str">
        <f>IF(ISNA(VLOOKUP(D166,'One year follow-up_inperson'!$C:$C,1,FALSE)),"No","Yes")</f>
        <v>No</v>
      </c>
      <c r="U166" s="592" t="s">
        <v>679</v>
      </c>
    </row>
    <row r="167" spans="1:21" ht="128.55000000000001" customHeight="1">
      <c r="A167" s="368">
        <v>135</v>
      </c>
      <c r="B167" s="555" t="s">
        <v>423</v>
      </c>
      <c r="C167" s="182" t="str">
        <f t="shared" si="57"/>
        <v>289</v>
      </c>
      <c r="D167" s="531">
        <v>289</v>
      </c>
      <c r="E167" s="182" t="s">
        <v>397</v>
      </c>
      <c r="F167" s="183" t="s">
        <v>2</v>
      </c>
      <c r="G167" s="182">
        <v>23</v>
      </c>
      <c r="H167" s="531" t="s">
        <v>3</v>
      </c>
      <c r="I167" s="552" t="s">
        <v>438</v>
      </c>
      <c r="J167" s="275">
        <f t="shared" si="58"/>
        <v>0</v>
      </c>
      <c r="K167" s="275">
        <f t="shared" si="59"/>
        <v>1</v>
      </c>
      <c r="L167" s="275">
        <f t="shared" si="60"/>
        <v>0</v>
      </c>
      <c r="M167" s="275">
        <f t="shared" si="53"/>
        <v>1</v>
      </c>
      <c r="N167" s="276">
        <f t="shared" si="54"/>
        <v>1</v>
      </c>
      <c r="O167" s="276">
        <f t="shared" si="61"/>
        <v>0</v>
      </c>
      <c r="P167" s="276">
        <f t="shared" si="62"/>
        <v>0</v>
      </c>
      <c r="Q167" s="276">
        <f t="shared" si="63"/>
        <v>0</v>
      </c>
      <c r="R167" s="329">
        <f t="shared" si="56"/>
        <v>1</v>
      </c>
      <c r="S167" s="273"/>
      <c r="T167" s="274" t="str">
        <f>IF(ISNA(VLOOKUP(D167,'One year follow-up_inperson'!$C:$C,1,FALSE)),"No","Yes")</f>
        <v>No</v>
      </c>
      <c r="U167" s="592" t="s">
        <v>679</v>
      </c>
    </row>
    <row r="168" spans="1:21" ht="143.55000000000001" customHeight="1">
      <c r="A168" s="368">
        <v>136</v>
      </c>
      <c r="B168" s="555" t="s">
        <v>423</v>
      </c>
      <c r="C168" s="182" t="str">
        <f t="shared" si="57"/>
        <v>289</v>
      </c>
      <c r="D168" s="531">
        <v>289</v>
      </c>
      <c r="E168" s="182" t="s">
        <v>398</v>
      </c>
      <c r="F168" s="183" t="s">
        <v>2</v>
      </c>
      <c r="G168" s="182">
        <v>24</v>
      </c>
      <c r="H168" s="531" t="s">
        <v>3</v>
      </c>
      <c r="I168" s="552" t="s">
        <v>439</v>
      </c>
      <c r="J168" s="275">
        <f t="shared" si="58"/>
        <v>1</v>
      </c>
      <c r="K168" s="275">
        <f t="shared" si="59"/>
        <v>0</v>
      </c>
      <c r="L168" s="275">
        <f t="shared" si="60"/>
        <v>1</v>
      </c>
      <c r="M168" s="275">
        <f t="shared" si="53"/>
        <v>1</v>
      </c>
      <c r="N168" s="276">
        <f t="shared" si="54"/>
        <v>0</v>
      </c>
      <c r="O168" s="276">
        <f t="shared" si="61"/>
        <v>0</v>
      </c>
      <c r="P168" s="276">
        <f t="shared" si="62"/>
        <v>0</v>
      </c>
      <c r="Q168" s="276">
        <f t="shared" si="63"/>
        <v>0</v>
      </c>
      <c r="R168" s="329">
        <f t="shared" si="56"/>
        <v>1</v>
      </c>
      <c r="S168" s="273"/>
      <c r="T168" s="274" t="str">
        <f>IF(ISNA(VLOOKUP(D168,'One year follow-up_inperson'!$C:$C,1,FALSE)),"No","Yes")</f>
        <v>No</v>
      </c>
      <c r="U168" s="592" t="s">
        <v>679</v>
      </c>
    </row>
    <row r="169" spans="1:21" ht="87.5" customHeight="1">
      <c r="A169" s="368">
        <v>137</v>
      </c>
      <c r="B169" s="555" t="s">
        <v>423</v>
      </c>
      <c r="C169" s="182" t="str">
        <f t="shared" si="57"/>
        <v>289</v>
      </c>
      <c r="D169" s="531">
        <v>289</v>
      </c>
      <c r="E169" s="182" t="s">
        <v>399</v>
      </c>
      <c r="F169" s="183" t="s">
        <v>2</v>
      </c>
      <c r="G169" s="182">
        <v>24</v>
      </c>
      <c r="H169" s="531" t="s">
        <v>3</v>
      </c>
      <c r="I169" s="552" t="s">
        <v>440</v>
      </c>
      <c r="J169" s="275">
        <f t="shared" si="58"/>
        <v>1</v>
      </c>
      <c r="K169" s="275">
        <f t="shared" si="59"/>
        <v>0</v>
      </c>
      <c r="L169" s="275">
        <f t="shared" si="60"/>
        <v>0</v>
      </c>
      <c r="M169" s="275">
        <f t="shared" si="53"/>
        <v>1</v>
      </c>
      <c r="N169" s="276">
        <f t="shared" si="54"/>
        <v>0</v>
      </c>
      <c r="O169" s="276">
        <f t="shared" si="61"/>
        <v>0</v>
      </c>
      <c r="P169" s="276">
        <f t="shared" si="62"/>
        <v>0</v>
      </c>
      <c r="Q169" s="276">
        <f t="shared" si="63"/>
        <v>0</v>
      </c>
      <c r="R169" s="329">
        <f t="shared" si="56"/>
        <v>1</v>
      </c>
      <c r="S169" s="273"/>
      <c r="T169" s="274" t="str">
        <f>IF(ISNA(VLOOKUP(D169,'One year follow-up_inperson'!$C:$C,1,FALSE)),"No","Yes")</f>
        <v>No</v>
      </c>
      <c r="U169" s="592" t="s">
        <v>679</v>
      </c>
    </row>
    <row r="170" spans="1:21" ht="122.55" customHeight="1">
      <c r="A170" s="368">
        <v>138</v>
      </c>
      <c r="B170" s="555" t="s">
        <v>423</v>
      </c>
      <c r="C170" s="182" t="str">
        <f t="shared" si="57"/>
        <v>289</v>
      </c>
      <c r="D170" s="531">
        <v>289</v>
      </c>
      <c r="E170" s="182" t="s">
        <v>400</v>
      </c>
      <c r="F170" s="183" t="s">
        <v>2</v>
      </c>
      <c r="G170" s="182">
        <v>25</v>
      </c>
      <c r="H170" s="531" t="s">
        <v>3</v>
      </c>
      <c r="I170" s="554" t="s">
        <v>441</v>
      </c>
      <c r="J170" s="275">
        <f t="shared" si="58"/>
        <v>1</v>
      </c>
      <c r="K170" s="275">
        <f t="shared" si="59"/>
        <v>1</v>
      </c>
      <c r="L170" s="275">
        <f t="shared" si="60"/>
        <v>0</v>
      </c>
      <c r="M170" s="275">
        <f t="shared" si="53"/>
        <v>1</v>
      </c>
      <c r="N170" s="276">
        <f t="shared" si="54"/>
        <v>1</v>
      </c>
      <c r="O170" s="276">
        <f t="shared" si="61"/>
        <v>0</v>
      </c>
      <c r="P170" s="276">
        <f t="shared" si="62"/>
        <v>0</v>
      </c>
      <c r="Q170" s="276">
        <f t="shared" si="63"/>
        <v>0</v>
      </c>
      <c r="R170" s="329">
        <f t="shared" si="56"/>
        <v>1</v>
      </c>
      <c r="S170" s="273"/>
      <c r="T170" s="274" t="str">
        <f>IF(ISNA(VLOOKUP(D170,'One year follow-up_inperson'!$C:$C,1,FALSE)),"No","Yes")</f>
        <v>No</v>
      </c>
      <c r="U170" s="592" t="s">
        <v>679</v>
      </c>
    </row>
    <row r="171" spans="1:21" ht="244.25" customHeight="1">
      <c r="A171" s="368">
        <v>139</v>
      </c>
      <c r="B171" s="555" t="s">
        <v>423</v>
      </c>
      <c r="C171" s="182" t="str">
        <f t="shared" ref="C171:C234" si="64">LEFT(D171,3)</f>
        <v>289</v>
      </c>
      <c r="D171" s="531">
        <v>289</v>
      </c>
      <c r="E171" s="182" t="s">
        <v>401</v>
      </c>
      <c r="F171" s="183" t="s">
        <v>2</v>
      </c>
      <c r="G171" s="182">
        <v>21</v>
      </c>
      <c r="H171" s="531" t="s">
        <v>3</v>
      </c>
      <c r="I171" s="552" t="s">
        <v>442</v>
      </c>
      <c r="J171" s="275">
        <f t="shared" si="58"/>
        <v>1</v>
      </c>
      <c r="K171" s="275">
        <f t="shared" si="59"/>
        <v>1</v>
      </c>
      <c r="L171" s="275">
        <f t="shared" si="60"/>
        <v>0</v>
      </c>
      <c r="M171" s="275">
        <f t="shared" si="53"/>
        <v>1</v>
      </c>
      <c r="N171" s="276">
        <f t="shared" si="54"/>
        <v>1</v>
      </c>
      <c r="O171" s="276">
        <f t="shared" si="61"/>
        <v>0</v>
      </c>
      <c r="P171" s="276">
        <f t="shared" si="62"/>
        <v>0</v>
      </c>
      <c r="Q171" s="276">
        <f t="shared" si="63"/>
        <v>0</v>
      </c>
      <c r="R171" s="329">
        <f t="shared" si="56"/>
        <v>1</v>
      </c>
      <c r="S171" s="273"/>
      <c r="T171" s="274" t="str">
        <f>IF(ISNA(VLOOKUP(D171,'One year follow-up_inperson'!$C:$C,1,FALSE)),"No","Yes")</f>
        <v>No</v>
      </c>
      <c r="U171" s="592" t="s">
        <v>679</v>
      </c>
    </row>
    <row r="172" spans="1:21" ht="124.8" customHeight="1">
      <c r="A172" s="368">
        <v>140</v>
      </c>
      <c r="B172" s="555" t="s">
        <v>423</v>
      </c>
      <c r="C172" s="182" t="str">
        <f t="shared" si="64"/>
        <v>289</v>
      </c>
      <c r="D172" s="531">
        <v>289</v>
      </c>
      <c r="E172" s="182" t="s">
        <v>402</v>
      </c>
      <c r="F172" s="183" t="s">
        <v>2</v>
      </c>
      <c r="G172" s="182">
        <v>24</v>
      </c>
      <c r="H172" s="531" t="s">
        <v>3</v>
      </c>
      <c r="I172" s="554" t="s">
        <v>443</v>
      </c>
      <c r="J172" s="275">
        <f t="shared" si="58"/>
        <v>1</v>
      </c>
      <c r="K172" s="275">
        <f t="shared" si="59"/>
        <v>0</v>
      </c>
      <c r="L172" s="275">
        <f t="shared" si="60"/>
        <v>0</v>
      </c>
      <c r="M172" s="275">
        <f t="shared" si="53"/>
        <v>1</v>
      </c>
      <c r="N172" s="276">
        <f t="shared" si="54"/>
        <v>0</v>
      </c>
      <c r="O172" s="276">
        <f t="shared" si="61"/>
        <v>0</v>
      </c>
      <c r="P172" s="276">
        <f t="shared" si="62"/>
        <v>0</v>
      </c>
      <c r="Q172" s="276">
        <f t="shared" si="63"/>
        <v>0</v>
      </c>
      <c r="R172" s="329">
        <f t="shared" si="56"/>
        <v>1</v>
      </c>
      <c r="S172" s="273"/>
      <c r="T172" s="274" t="str">
        <f>IF(ISNA(VLOOKUP(D172,'One year follow-up_inperson'!$C:$C,1,FALSE)),"No","Yes")</f>
        <v>No</v>
      </c>
      <c r="U172" s="592" t="s">
        <v>679</v>
      </c>
    </row>
    <row r="173" spans="1:21" ht="128.55000000000001" customHeight="1">
      <c r="A173" s="368">
        <v>141</v>
      </c>
      <c r="B173" s="555" t="s">
        <v>423</v>
      </c>
      <c r="C173" s="182" t="str">
        <f t="shared" si="64"/>
        <v>289</v>
      </c>
      <c r="D173" s="531">
        <v>289</v>
      </c>
      <c r="E173" s="182" t="s">
        <v>403</v>
      </c>
      <c r="F173" s="183" t="s">
        <v>2</v>
      </c>
      <c r="G173" s="182">
        <v>27</v>
      </c>
      <c r="H173" s="531" t="s">
        <v>3</v>
      </c>
      <c r="I173" s="552" t="s">
        <v>444</v>
      </c>
      <c r="J173" s="275">
        <f t="shared" si="58"/>
        <v>1</v>
      </c>
      <c r="K173" s="275">
        <f t="shared" si="59"/>
        <v>0</v>
      </c>
      <c r="L173" s="275">
        <f t="shared" si="60"/>
        <v>0</v>
      </c>
      <c r="M173" s="275">
        <f t="shared" si="53"/>
        <v>1</v>
      </c>
      <c r="N173" s="276">
        <f t="shared" si="54"/>
        <v>0</v>
      </c>
      <c r="O173" s="276">
        <f t="shared" si="61"/>
        <v>0</v>
      </c>
      <c r="P173" s="276">
        <f t="shared" si="62"/>
        <v>0</v>
      </c>
      <c r="Q173" s="276">
        <f t="shared" si="63"/>
        <v>0</v>
      </c>
      <c r="R173" s="329">
        <f t="shared" si="56"/>
        <v>1</v>
      </c>
      <c r="S173" s="273"/>
      <c r="T173" s="274" t="str">
        <f>IF(ISNA(VLOOKUP(D173,'One year follow-up_inperson'!$C:$C,1,FALSE)),"No","Yes")</f>
        <v>No</v>
      </c>
      <c r="U173" s="592" t="s">
        <v>679</v>
      </c>
    </row>
    <row r="174" spans="1:21" ht="78.5" customHeight="1">
      <c r="A174" s="368">
        <v>142</v>
      </c>
      <c r="B174" s="555" t="s">
        <v>423</v>
      </c>
      <c r="C174" s="182" t="str">
        <f t="shared" si="64"/>
        <v>289</v>
      </c>
      <c r="D174" s="531">
        <v>289</v>
      </c>
      <c r="E174" s="182" t="s">
        <v>404</v>
      </c>
      <c r="F174" s="183" t="s">
        <v>2</v>
      </c>
      <c r="G174" s="182">
        <v>22</v>
      </c>
      <c r="H174" s="531" t="s">
        <v>3</v>
      </c>
      <c r="I174" s="552" t="s">
        <v>445</v>
      </c>
      <c r="J174" s="275">
        <f t="shared" si="58"/>
        <v>1</v>
      </c>
      <c r="K174" s="275">
        <f t="shared" si="59"/>
        <v>0</v>
      </c>
      <c r="L174" s="275">
        <f t="shared" si="60"/>
        <v>0</v>
      </c>
      <c r="M174" s="275">
        <f t="shared" si="53"/>
        <v>1</v>
      </c>
      <c r="N174" s="276">
        <f t="shared" si="54"/>
        <v>0</v>
      </c>
      <c r="O174" s="276">
        <f t="shared" si="61"/>
        <v>0</v>
      </c>
      <c r="P174" s="276">
        <f t="shared" si="62"/>
        <v>0</v>
      </c>
      <c r="Q174" s="276">
        <f t="shared" si="63"/>
        <v>0</v>
      </c>
      <c r="R174" s="329">
        <f t="shared" si="56"/>
        <v>1</v>
      </c>
      <c r="S174" s="273"/>
      <c r="T174" s="274" t="str">
        <f>IF(ISNA(VLOOKUP(D174,'One year follow-up_inperson'!$C:$C,1,FALSE)),"No","Yes")</f>
        <v>No</v>
      </c>
      <c r="U174" s="592" t="s">
        <v>679</v>
      </c>
    </row>
    <row r="175" spans="1:21" ht="96" customHeight="1">
      <c r="A175" s="368">
        <v>143</v>
      </c>
      <c r="B175" s="555" t="s">
        <v>423</v>
      </c>
      <c r="C175" s="182" t="str">
        <f t="shared" si="64"/>
        <v>289</v>
      </c>
      <c r="D175" s="531">
        <v>289</v>
      </c>
      <c r="E175" s="182" t="s">
        <v>405</v>
      </c>
      <c r="F175" s="183" t="s">
        <v>2</v>
      </c>
      <c r="G175" s="182">
        <v>21</v>
      </c>
      <c r="H175" s="531" t="s">
        <v>3</v>
      </c>
      <c r="I175" s="552" t="s">
        <v>446</v>
      </c>
      <c r="J175" s="275">
        <f t="shared" si="58"/>
        <v>0</v>
      </c>
      <c r="K175" s="275">
        <f t="shared" si="59"/>
        <v>1</v>
      </c>
      <c r="L175" s="275">
        <f t="shared" si="60"/>
        <v>0</v>
      </c>
      <c r="M175" s="275">
        <f t="shared" si="53"/>
        <v>1</v>
      </c>
      <c r="N175" s="276">
        <f t="shared" si="54"/>
        <v>0</v>
      </c>
      <c r="O175" s="276">
        <f t="shared" si="61"/>
        <v>0</v>
      </c>
      <c r="P175" s="276">
        <f t="shared" si="62"/>
        <v>0</v>
      </c>
      <c r="Q175" s="276">
        <f t="shared" si="63"/>
        <v>0</v>
      </c>
      <c r="R175" s="329">
        <f t="shared" si="56"/>
        <v>1</v>
      </c>
      <c r="S175" s="273"/>
      <c r="T175" s="274" t="str">
        <f>IF(ISNA(VLOOKUP(D175,'One year follow-up_inperson'!$C:$C,1,FALSE)),"No","Yes")</f>
        <v>No</v>
      </c>
      <c r="U175" s="592" t="s">
        <v>679</v>
      </c>
    </row>
    <row r="176" spans="1:21" ht="125.55" customHeight="1">
      <c r="A176" s="368">
        <v>144</v>
      </c>
      <c r="B176" s="555" t="s">
        <v>423</v>
      </c>
      <c r="C176" s="182" t="str">
        <f t="shared" si="64"/>
        <v>289</v>
      </c>
      <c r="D176" s="531">
        <v>289</v>
      </c>
      <c r="E176" s="182" t="s">
        <v>406</v>
      </c>
      <c r="F176" s="183" t="s">
        <v>2</v>
      </c>
      <c r="G176" s="182">
        <v>20</v>
      </c>
      <c r="H176" s="531" t="s">
        <v>3</v>
      </c>
      <c r="I176" s="552" t="s">
        <v>447</v>
      </c>
      <c r="J176" s="275">
        <f t="shared" si="58"/>
        <v>1</v>
      </c>
      <c r="K176" s="275">
        <f t="shared" si="59"/>
        <v>1</v>
      </c>
      <c r="L176" s="275">
        <f t="shared" si="60"/>
        <v>0</v>
      </c>
      <c r="M176" s="275">
        <f t="shared" si="53"/>
        <v>1</v>
      </c>
      <c r="N176" s="276">
        <f t="shared" si="54"/>
        <v>1</v>
      </c>
      <c r="O176" s="276">
        <f t="shared" si="61"/>
        <v>0</v>
      </c>
      <c r="P176" s="276">
        <f t="shared" si="62"/>
        <v>0</v>
      </c>
      <c r="Q176" s="276">
        <f t="shared" si="63"/>
        <v>0</v>
      </c>
      <c r="R176" s="329">
        <f t="shared" si="56"/>
        <v>1</v>
      </c>
      <c r="S176" s="273"/>
      <c r="T176" s="274" t="str">
        <f>IF(ISNA(VLOOKUP(D176,'One year follow-up_inperson'!$C:$C,1,FALSE)),"No","Yes")</f>
        <v>No</v>
      </c>
      <c r="U176" s="592" t="s">
        <v>679</v>
      </c>
    </row>
    <row r="177" spans="1:21" ht="75.5" customHeight="1">
      <c r="A177" s="368">
        <v>145</v>
      </c>
      <c r="B177" s="555" t="s">
        <v>423</v>
      </c>
      <c r="C177" s="182" t="str">
        <f t="shared" si="64"/>
        <v>289</v>
      </c>
      <c r="D177" s="531">
        <v>289</v>
      </c>
      <c r="E177" s="182" t="s">
        <v>407</v>
      </c>
      <c r="F177" s="183" t="s">
        <v>2</v>
      </c>
      <c r="G177" s="182">
        <v>22</v>
      </c>
      <c r="H177" s="531" t="s">
        <v>3</v>
      </c>
      <c r="I177" s="552" t="s">
        <v>448</v>
      </c>
      <c r="J177" s="275">
        <f t="shared" si="58"/>
        <v>1</v>
      </c>
      <c r="K177" s="275">
        <f t="shared" si="59"/>
        <v>0</v>
      </c>
      <c r="L177" s="275">
        <f t="shared" si="60"/>
        <v>0</v>
      </c>
      <c r="M177" s="275">
        <f t="shared" si="53"/>
        <v>1</v>
      </c>
      <c r="N177" s="276">
        <f t="shared" si="54"/>
        <v>0</v>
      </c>
      <c r="O177" s="276">
        <f t="shared" si="61"/>
        <v>0</v>
      </c>
      <c r="P177" s="276">
        <f t="shared" si="62"/>
        <v>0</v>
      </c>
      <c r="Q177" s="276">
        <f t="shared" si="63"/>
        <v>0</v>
      </c>
      <c r="R177" s="329">
        <f t="shared" si="56"/>
        <v>1</v>
      </c>
      <c r="S177" s="273"/>
      <c r="T177" s="274" t="str">
        <f>IF(ISNA(VLOOKUP(D177,'One year follow-up_inperson'!$C:$C,1,FALSE)),"No","Yes")</f>
        <v>No</v>
      </c>
      <c r="U177" s="592" t="s">
        <v>679</v>
      </c>
    </row>
    <row r="178" spans="1:21" ht="126.5" customHeight="1">
      <c r="A178" s="368">
        <v>146</v>
      </c>
      <c r="B178" s="555" t="s">
        <v>423</v>
      </c>
      <c r="C178" s="182" t="str">
        <f t="shared" si="64"/>
        <v>289</v>
      </c>
      <c r="D178" s="531">
        <v>289</v>
      </c>
      <c r="E178" s="182" t="s">
        <v>408</v>
      </c>
      <c r="F178" s="183" t="s">
        <v>2</v>
      </c>
      <c r="G178" s="182">
        <v>23</v>
      </c>
      <c r="H178" s="531" t="s">
        <v>3</v>
      </c>
      <c r="I178" s="552" t="s">
        <v>449</v>
      </c>
      <c r="J178" s="275">
        <f t="shared" si="58"/>
        <v>1</v>
      </c>
      <c r="K178" s="275">
        <f t="shared" si="59"/>
        <v>0</v>
      </c>
      <c r="L178" s="275">
        <f t="shared" si="60"/>
        <v>0</v>
      </c>
      <c r="M178" s="275">
        <f t="shared" si="53"/>
        <v>1</v>
      </c>
      <c r="N178" s="276">
        <f t="shared" si="54"/>
        <v>0</v>
      </c>
      <c r="O178" s="276">
        <f t="shared" si="61"/>
        <v>0</v>
      </c>
      <c r="P178" s="276">
        <f t="shared" si="62"/>
        <v>0</v>
      </c>
      <c r="Q178" s="276">
        <f t="shared" si="63"/>
        <v>0</v>
      </c>
      <c r="R178" s="329">
        <f t="shared" si="56"/>
        <v>1</v>
      </c>
      <c r="S178" s="273"/>
      <c r="T178" s="274" t="str">
        <f>IF(ISNA(VLOOKUP(D178,'One year follow-up_inperson'!$C:$C,1,FALSE)),"No","Yes")</f>
        <v>No</v>
      </c>
      <c r="U178" s="592" t="s">
        <v>679</v>
      </c>
    </row>
    <row r="179" spans="1:21" ht="114.5" customHeight="1">
      <c r="A179" s="368">
        <v>147</v>
      </c>
      <c r="B179" s="555" t="s">
        <v>423</v>
      </c>
      <c r="C179" s="182" t="str">
        <f t="shared" si="64"/>
        <v>289</v>
      </c>
      <c r="D179" s="531">
        <v>289</v>
      </c>
      <c r="E179" s="182" t="s">
        <v>409</v>
      </c>
      <c r="F179" s="183" t="s">
        <v>2</v>
      </c>
      <c r="G179" s="182">
        <v>23</v>
      </c>
      <c r="H179" s="531" t="s">
        <v>3</v>
      </c>
      <c r="I179" s="552" t="s">
        <v>450</v>
      </c>
      <c r="J179" s="275">
        <f t="shared" si="58"/>
        <v>1</v>
      </c>
      <c r="K179" s="275">
        <f t="shared" si="59"/>
        <v>0</v>
      </c>
      <c r="L179" s="275">
        <f t="shared" si="60"/>
        <v>0</v>
      </c>
      <c r="M179" s="275">
        <f t="shared" si="53"/>
        <v>1</v>
      </c>
      <c r="N179" s="276">
        <f t="shared" si="54"/>
        <v>0</v>
      </c>
      <c r="O179" s="276">
        <f t="shared" si="61"/>
        <v>0</v>
      </c>
      <c r="P179" s="276">
        <f t="shared" si="62"/>
        <v>0</v>
      </c>
      <c r="Q179" s="276">
        <f t="shared" si="63"/>
        <v>0</v>
      </c>
      <c r="R179" s="329">
        <f t="shared" si="56"/>
        <v>1</v>
      </c>
      <c r="S179" s="273"/>
      <c r="T179" s="274" t="str">
        <f>IF(ISNA(VLOOKUP(D179,'One year follow-up_inperson'!$C:$C,1,FALSE)),"No","Yes")</f>
        <v>No</v>
      </c>
      <c r="U179" s="592" t="s">
        <v>679</v>
      </c>
    </row>
    <row r="180" spans="1:21" ht="140.55000000000001" customHeight="1">
      <c r="A180" s="368">
        <v>148</v>
      </c>
      <c r="B180" s="555" t="s">
        <v>423</v>
      </c>
      <c r="C180" s="182" t="str">
        <f t="shared" si="64"/>
        <v>289</v>
      </c>
      <c r="D180" s="531">
        <v>289</v>
      </c>
      <c r="E180" s="182" t="s">
        <v>410</v>
      </c>
      <c r="F180" s="183" t="s">
        <v>2</v>
      </c>
      <c r="G180" s="182">
        <v>23</v>
      </c>
      <c r="H180" s="531" t="s">
        <v>3</v>
      </c>
      <c r="I180" s="552" t="s">
        <v>451</v>
      </c>
      <c r="J180" s="275">
        <f t="shared" si="58"/>
        <v>1</v>
      </c>
      <c r="K180" s="275">
        <f t="shared" si="59"/>
        <v>0</v>
      </c>
      <c r="L180" s="275">
        <f t="shared" si="60"/>
        <v>0</v>
      </c>
      <c r="M180" s="275">
        <f t="shared" si="53"/>
        <v>1</v>
      </c>
      <c r="N180" s="276">
        <f t="shared" si="54"/>
        <v>0</v>
      </c>
      <c r="O180" s="276">
        <f t="shared" si="61"/>
        <v>0</v>
      </c>
      <c r="P180" s="276">
        <f t="shared" si="62"/>
        <v>0</v>
      </c>
      <c r="Q180" s="276">
        <f t="shared" si="63"/>
        <v>0</v>
      </c>
      <c r="R180" s="329">
        <f t="shared" si="56"/>
        <v>1</v>
      </c>
      <c r="S180" s="273"/>
      <c r="T180" s="274" t="str">
        <f>IF(ISNA(VLOOKUP(D180,'One year follow-up_inperson'!$C:$C,1,FALSE)),"No","Yes")</f>
        <v>No</v>
      </c>
      <c r="U180" s="592" t="s">
        <v>679</v>
      </c>
    </row>
    <row r="181" spans="1:21" ht="109.8" customHeight="1">
      <c r="A181" s="368">
        <v>149</v>
      </c>
      <c r="B181" s="555" t="s">
        <v>423</v>
      </c>
      <c r="C181" s="182" t="str">
        <f t="shared" si="64"/>
        <v>289</v>
      </c>
      <c r="D181" s="531">
        <v>289</v>
      </c>
      <c r="E181" s="182" t="s">
        <v>411</v>
      </c>
      <c r="F181" s="183" t="s">
        <v>2</v>
      </c>
      <c r="G181" s="182">
        <v>29</v>
      </c>
      <c r="H181" s="531" t="s">
        <v>3</v>
      </c>
      <c r="I181" s="554" t="s">
        <v>452</v>
      </c>
      <c r="J181" s="275">
        <f t="shared" si="58"/>
        <v>0</v>
      </c>
      <c r="K181" s="275">
        <f t="shared" si="59"/>
        <v>0</v>
      </c>
      <c r="L181" s="275">
        <f t="shared" si="60"/>
        <v>1</v>
      </c>
      <c r="M181" s="275">
        <f t="shared" si="53"/>
        <v>1</v>
      </c>
      <c r="N181" s="276">
        <f t="shared" si="54"/>
        <v>0</v>
      </c>
      <c r="O181" s="276">
        <f t="shared" si="61"/>
        <v>0</v>
      </c>
      <c r="P181" s="276">
        <f t="shared" si="62"/>
        <v>0</v>
      </c>
      <c r="Q181" s="276">
        <f t="shared" si="63"/>
        <v>0</v>
      </c>
      <c r="R181" s="329">
        <f t="shared" si="56"/>
        <v>1</v>
      </c>
      <c r="S181" s="273"/>
      <c r="T181" s="274" t="str">
        <f>IF(ISNA(VLOOKUP(D181,'One year follow-up_inperson'!$C:$C,1,FALSE)),"No","Yes")</f>
        <v>No</v>
      </c>
      <c r="U181" s="592" t="s">
        <v>679</v>
      </c>
    </row>
    <row r="182" spans="1:21" ht="75.5" customHeight="1">
      <c r="A182" s="368">
        <v>150</v>
      </c>
      <c r="B182" s="555" t="s">
        <v>423</v>
      </c>
      <c r="C182" s="182" t="str">
        <f t="shared" si="64"/>
        <v>289</v>
      </c>
      <c r="D182" s="531">
        <v>289</v>
      </c>
      <c r="E182" s="182" t="s">
        <v>412</v>
      </c>
      <c r="F182" s="183" t="s">
        <v>2</v>
      </c>
      <c r="G182" s="182">
        <v>24</v>
      </c>
      <c r="H182" s="531" t="s">
        <v>3</v>
      </c>
      <c r="I182" s="580" t="s">
        <v>666</v>
      </c>
      <c r="J182" s="275">
        <f t="shared" si="58"/>
        <v>1</v>
      </c>
      <c r="K182" s="275">
        <f t="shared" si="59"/>
        <v>0</v>
      </c>
      <c r="L182" s="275">
        <f t="shared" si="60"/>
        <v>0</v>
      </c>
      <c r="M182" s="275">
        <f t="shared" si="53"/>
        <v>1</v>
      </c>
      <c r="N182" s="276">
        <f t="shared" si="54"/>
        <v>0</v>
      </c>
      <c r="O182" s="276">
        <f t="shared" si="61"/>
        <v>1</v>
      </c>
      <c r="P182" s="276">
        <f t="shared" si="62"/>
        <v>0</v>
      </c>
      <c r="Q182" s="276">
        <f t="shared" si="63"/>
        <v>0</v>
      </c>
      <c r="R182" s="329">
        <f t="shared" si="56"/>
        <v>1</v>
      </c>
      <c r="S182" s="273"/>
      <c r="T182" s="274" t="str">
        <f>IF(ISNA(VLOOKUP(D182,'One year follow-up_inperson'!$C:$C,1,FALSE)),"No","Yes")</f>
        <v>No</v>
      </c>
      <c r="U182" s="592" t="s">
        <v>679</v>
      </c>
    </row>
    <row r="183" spans="1:21" ht="106.8" customHeight="1">
      <c r="A183" s="368">
        <v>151</v>
      </c>
      <c r="B183" s="555" t="s">
        <v>423</v>
      </c>
      <c r="C183" s="182" t="str">
        <f t="shared" si="64"/>
        <v>289</v>
      </c>
      <c r="D183" s="531">
        <v>289</v>
      </c>
      <c r="E183" s="182" t="s">
        <v>413</v>
      </c>
      <c r="F183" s="183" t="s">
        <v>2</v>
      </c>
      <c r="G183" s="182">
        <v>24</v>
      </c>
      <c r="H183" s="531" t="s">
        <v>3</v>
      </c>
      <c r="I183" s="554" t="s">
        <v>453</v>
      </c>
      <c r="J183" s="275">
        <f t="shared" si="58"/>
        <v>1</v>
      </c>
      <c r="K183" s="275">
        <f t="shared" si="59"/>
        <v>1</v>
      </c>
      <c r="L183" s="275">
        <f t="shared" si="60"/>
        <v>0</v>
      </c>
      <c r="M183" s="275">
        <f t="shared" si="53"/>
        <v>1</v>
      </c>
      <c r="N183" s="276">
        <f t="shared" si="54"/>
        <v>0</v>
      </c>
      <c r="O183" s="276">
        <f t="shared" si="61"/>
        <v>0</v>
      </c>
      <c r="P183" s="276">
        <f t="shared" si="62"/>
        <v>0</v>
      </c>
      <c r="Q183" s="276">
        <f t="shared" si="63"/>
        <v>0</v>
      </c>
      <c r="R183" s="329">
        <f t="shared" si="56"/>
        <v>1</v>
      </c>
      <c r="S183" s="273"/>
      <c r="T183" s="274" t="str">
        <f>IF(ISNA(VLOOKUP(D183,'One year follow-up_inperson'!$C:$C,1,FALSE)),"No","Yes")</f>
        <v>No</v>
      </c>
      <c r="U183" s="592" t="s">
        <v>679</v>
      </c>
    </row>
    <row r="184" spans="1:21" ht="103.8" customHeight="1">
      <c r="A184" s="368">
        <v>152</v>
      </c>
      <c r="B184" s="555" t="s">
        <v>423</v>
      </c>
      <c r="C184" s="182" t="str">
        <f t="shared" si="64"/>
        <v>289</v>
      </c>
      <c r="D184" s="531">
        <v>289</v>
      </c>
      <c r="E184" s="182" t="s">
        <v>414</v>
      </c>
      <c r="F184" s="183" t="s">
        <v>2</v>
      </c>
      <c r="G184" s="182">
        <v>24</v>
      </c>
      <c r="H184" s="531" t="s">
        <v>3</v>
      </c>
      <c r="I184" s="554" t="s">
        <v>461</v>
      </c>
      <c r="J184" s="275">
        <f t="shared" si="58"/>
        <v>1</v>
      </c>
      <c r="K184" s="275">
        <f t="shared" si="59"/>
        <v>0</v>
      </c>
      <c r="L184" s="275">
        <f t="shared" si="60"/>
        <v>0</v>
      </c>
      <c r="M184" s="275">
        <f t="shared" si="53"/>
        <v>1</v>
      </c>
      <c r="N184" s="276">
        <f t="shared" si="54"/>
        <v>0</v>
      </c>
      <c r="O184" s="276">
        <f t="shared" si="61"/>
        <v>0</v>
      </c>
      <c r="P184" s="276">
        <f t="shared" si="62"/>
        <v>0</v>
      </c>
      <c r="Q184" s="276">
        <f t="shared" si="63"/>
        <v>0</v>
      </c>
      <c r="R184" s="329">
        <f t="shared" si="56"/>
        <v>1</v>
      </c>
      <c r="S184" s="273"/>
      <c r="T184" s="274" t="str">
        <f>IF(ISNA(VLOOKUP(D184,'One year follow-up_inperson'!$C:$C,1,FALSE)),"No","Yes")</f>
        <v>No</v>
      </c>
      <c r="U184" s="592" t="s">
        <v>679</v>
      </c>
    </row>
    <row r="185" spans="1:21" ht="118.25" customHeight="1">
      <c r="A185" s="368">
        <v>153</v>
      </c>
      <c r="B185" s="555" t="s">
        <v>423</v>
      </c>
      <c r="C185" s="182" t="str">
        <f t="shared" si="64"/>
        <v>289</v>
      </c>
      <c r="D185" s="531">
        <v>289</v>
      </c>
      <c r="E185" s="182" t="s">
        <v>415</v>
      </c>
      <c r="F185" s="183" t="s">
        <v>2</v>
      </c>
      <c r="G185" s="182">
        <v>21</v>
      </c>
      <c r="H185" s="531" t="s">
        <v>3</v>
      </c>
      <c r="I185" s="579" t="s">
        <v>665</v>
      </c>
      <c r="J185" s="275">
        <f t="shared" si="58"/>
        <v>1</v>
      </c>
      <c r="K185" s="275">
        <f t="shared" si="59"/>
        <v>0</v>
      </c>
      <c r="L185" s="275">
        <f t="shared" si="60"/>
        <v>0</v>
      </c>
      <c r="M185" s="275">
        <f t="shared" si="53"/>
        <v>1</v>
      </c>
      <c r="N185" s="276">
        <f t="shared" si="54"/>
        <v>0</v>
      </c>
      <c r="O185" s="276">
        <f t="shared" si="61"/>
        <v>1</v>
      </c>
      <c r="P185" s="276">
        <f t="shared" si="62"/>
        <v>0</v>
      </c>
      <c r="Q185" s="276">
        <f t="shared" si="63"/>
        <v>0</v>
      </c>
      <c r="R185" s="329">
        <f t="shared" si="56"/>
        <v>1</v>
      </c>
      <c r="S185" s="273"/>
      <c r="T185" s="274" t="str">
        <f>IF(ISNA(VLOOKUP(D185,'One year follow-up_inperson'!$C:$C,1,FALSE)),"No","Yes")</f>
        <v>No</v>
      </c>
      <c r="U185" s="592" t="s">
        <v>679</v>
      </c>
    </row>
    <row r="186" spans="1:21" ht="112.25" customHeight="1">
      <c r="A186" s="368">
        <v>154</v>
      </c>
      <c r="B186" s="555" t="s">
        <v>423</v>
      </c>
      <c r="C186" s="182" t="str">
        <f t="shared" si="64"/>
        <v>289</v>
      </c>
      <c r="D186" s="531">
        <v>289</v>
      </c>
      <c r="E186" s="182" t="s">
        <v>416</v>
      </c>
      <c r="F186" s="183" t="s">
        <v>2</v>
      </c>
      <c r="G186" s="182">
        <v>23</v>
      </c>
      <c r="H186" s="531" t="s">
        <v>3</v>
      </c>
      <c r="I186" s="578" t="s">
        <v>458</v>
      </c>
      <c r="J186" s="275">
        <f t="shared" si="58"/>
        <v>0</v>
      </c>
      <c r="K186" s="275">
        <f t="shared" si="59"/>
        <v>1</v>
      </c>
      <c r="L186" s="275">
        <f t="shared" si="60"/>
        <v>0</v>
      </c>
      <c r="M186" s="275">
        <f t="shared" si="53"/>
        <v>1</v>
      </c>
      <c r="N186" s="276">
        <f t="shared" si="54"/>
        <v>1</v>
      </c>
      <c r="O186" s="276">
        <f t="shared" si="61"/>
        <v>0</v>
      </c>
      <c r="P186" s="276">
        <f t="shared" si="62"/>
        <v>0</v>
      </c>
      <c r="Q186" s="276">
        <f t="shared" si="63"/>
        <v>0</v>
      </c>
      <c r="R186" s="329">
        <f t="shared" si="56"/>
        <v>1</v>
      </c>
      <c r="S186" s="273"/>
      <c r="T186" s="274" t="str">
        <f>IF(ISNA(VLOOKUP(D186,'One year follow-up_inperson'!$C:$C,1,FALSE)),"No","Yes")</f>
        <v>No</v>
      </c>
      <c r="U186" s="592" t="s">
        <v>679</v>
      </c>
    </row>
    <row r="187" spans="1:21" ht="81">
      <c r="A187" s="368">
        <v>155</v>
      </c>
      <c r="B187" s="555" t="s">
        <v>423</v>
      </c>
      <c r="C187" s="182" t="str">
        <f t="shared" si="64"/>
        <v>289</v>
      </c>
      <c r="D187" s="531">
        <v>289</v>
      </c>
      <c r="E187" s="182" t="s">
        <v>417</v>
      </c>
      <c r="F187" s="183" t="s">
        <v>2</v>
      </c>
      <c r="G187" s="182">
        <v>23</v>
      </c>
      <c r="H187" s="531" t="s">
        <v>3</v>
      </c>
      <c r="I187" s="554" t="s">
        <v>457</v>
      </c>
      <c r="J187" s="275">
        <f t="shared" si="58"/>
        <v>0</v>
      </c>
      <c r="K187" s="275">
        <f t="shared" si="59"/>
        <v>1</v>
      </c>
      <c r="L187" s="275">
        <f t="shared" si="60"/>
        <v>1</v>
      </c>
      <c r="M187" s="275">
        <f t="shared" si="53"/>
        <v>1</v>
      </c>
      <c r="N187" s="276">
        <f t="shared" si="54"/>
        <v>0</v>
      </c>
      <c r="O187" s="276">
        <f t="shared" si="61"/>
        <v>0</v>
      </c>
      <c r="P187" s="276">
        <f t="shared" si="62"/>
        <v>0</v>
      </c>
      <c r="Q187" s="276">
        <f t="shared" si="63"/>
        <v>0</v>
      </c>
      <c r="R187" s="329">
        <f t="shared" si="56"/>
        <v>1</v>
      </c>
      <c r="S187" s="273"/>
      <c r="T187" s="274" t="str">
        <f>IF(ISNA(VLOOKUP(D187,'One year follow-up_inperson'!$C:$C,1,FALSE)),"No","Yes")</f>
        <v>No</v>
      </c>
      <c r="U187" s="592" t="s">
        <v>679</v>
      </c>
    </row>
    <row r="188" spans="1:21" ht="112.25" customHeight="1">
      <c r="A188" s="368">
        <v>156</v>
      </c>
      <c r="B188" s="555" t="s">
        <v>423</v>
      </c>
      <c r="C188" s="182" t="str">
        <f t="shared" si="64"/>
        <v>289</v>
      </c>
      <c r="D188" s="531">
        <v>289</v>
      </c>
      <c r="E188" s="182" t="s">
        <v>418</v>
      </c>
      <c r="F188" s="183" t="s">
        <v>2</v>
      </c>
      <c r="G188" s="182">
        <v>26</v>
      </c>
      <c r="H188" s="531" t="s">
        <v>3</v>
      </c>
      <c r="I188" s="554" t="s">
        <v>460</v>
      </c>
      <c r="J188" s="275">
        <f t="shared" si="58"/>
        <v>1</v>
      </c>
      <c r="K188" s="275">
        <f t="shared" si="59"/>
        <v>0</v>
      </c>
      <c r="L188" s="275">
        <f t="shared" si="60"/>
        <v>0</v>
      </c>
      <c r="M188" s="275">
        <f t="shared" si="53"/>
        <v>1</v>
      </c>
      <c r="N188" s="276">
        <f t="shared" si="54"/>
        <v>0</v>
      </c>
      <c r="O188" s="276">
        <f t="shared" si="61"/>
        <v>0</v>
      </c>
      <c r="P188" s="276">
        <f t="shared" si="62"/>
        <v>0</v>
      </c>
      <c r="Q188" s="276">
        <f t="shared" si="63"/>
        <v>0</v>
      </c>
      <c r="R188" s="329">
        <f t="shared" si="56"/>
        <v>1</v>
      </c>
      <c r="S188" s="273"/>
      <c r="T188" s="274" t="str">
        <f>IF(ISNA(VLOOKUP(D188,'One year follow-up_inperson'!$C:$C,1,FALSE)),"No","Yes")</f>
        <v>No</v>
      </c>
      <c r="U188" s="592" t="s">
        <v>679</v>
      </c>
    </row>
    <row r="189" spans="1:21" ht="115.8" customHeight="1">
      <c r="A189" s="368">
        <v>157</v>
      </c>
      <c r="B189" s="555" t="s">
        <v>423</v>
      </c>
      <c r="C189" s="182" t="str">
        <f t="shared" si="64"/>
        <v>289</v>
      </c>
      <c r="D189" s="531">
        <v>289</v>
      </c>
      <c r="E189" s="182" t="s">
        <v>419</v>
      </c>
      <c r="F189" s="183" t="s">
        <v>2</v>
      </c>
      <c r="G189" s="182">
        <v>27</v>
      </c>
      <c r="H189" s="531" t="s">
        <v>3</v>
      </c>
      <c r="I189" s="578" t="s">
        <v>456</v>
      </c>
      <c r="J189" s="275">
        <f t="shared" si="58"/>
        <v>0</v>
      </c>
      <c r="K189" s="275">
        <f t="shared" si="59"/>
        <v>1</v>
      </c>
      <c r="L189" s="275">
        <f t="shared" si="60"/>
        <v>0</v>
      </c>
      <c r="M189" s="275">
        <f t="shared" si="53"/>
        <v>1</v>
      </c>
      <c r="N189" s="276">
        <f t="shared" si="54"/>
        <v>1</v>
      </c>
      <c r="O189" s="276">
        <f t="shared" si="61"/>
        <v>0</v>
      </c>
      <c r="P189" s="276">
        <f t="shared" si="62"/>
        <v>0</v>
      </c>
      <c r="Q189" s="276">
        <f t="shared" si="63"/>
        <v>0</v>
      </c>
      <c r="R189" s="329">
        <f t="shared" si="56"/>
        <v>1</v>
      </c>
      <c r="S189" s="273"/>
      <c r="T189" s="274" t="str">
        <f>IF(ISNA(VLOOKUP(D189,'One year follow-up_inperson'!$C:$C,1,FALSE)),"No","Yes")</f>
        <v>No</v>
      </c>
      <c r="U189" s="592" t="s">
        <v>679</v>
      </c>
    </row>
    <row r="190" spans="1:21" ht="123.5" customHeight="1">
      <c r="A190" s="368">
        <v>158</v>
      </c>
      <c r="B190" s="555" t="s">
        <v>423</v>
      </c>
      <c r="C190" s="182" t="str">
        <f t="shared" si="64"/>
        <v>289</v>
      </c>
      <c r="D190" s="531">
        <v>289</v>
      </c>
      <c r="E190" s="182" t="s">
        <v>420</v>
      </c>
      <c r="F190" s="183" t="s">
        <v>2</v>
      </c>
      <c r="G190" s="182">
        <v>23</v>
      </c>
      <c r="H190" s="531" t="s">
        <v>3</v>
      </c>
      <c r="I190" s="554" t="s">
        <v>459</v>
      </c>
      <c r="J190" s="275">
        <f t="shared" si="58"/>
        <v>1</v>
      </c>
      <c r="K190" s="275">
        <f t="shared" si="59"/>
        <v>0</v>
      </c>
      <c r="L190" s="275">
        <f t="shared" si="60"/>
        <v>0</v>
      </c>
      <c r="M190" s="275">
        <f t="shared" si="53"/>
        <v>1</v>
      </c>
      <c r="N190" s="276">
        <f t="shared" si="54"/>
        <v>0</v>
      </c>
      <c r="O190" s="276">
        <f t="shared" si="61"/>
        <v>0</v>
      </c>
      <c r="P190" s="276">
        <f t="shared" si="62"/>
        <v>0</v>
      </c>
      <c r="Q190" s="276">
        <f t="shared" si="63"/>
        <v>0</v>
      </c>
      <c r="R190" s="329">
        <f t="shared" si="56"/>
        <v>1</v>
      </c>
      <c r="S190" s="273"/>
      <c r="T190" s="274" t="str">
        <f>IF(ISNA(VLOOKUP(D190,'One year follow-up_inperson'!$C:$C,1,FALSE)),"No","Yes")</f>
        <v>No</v>
      </c>
      <c r="U190" s="592" t="s">
        <v>679</v>
      </c>
    </row>
    <row r="191" spans="1:21" ht="133.25" customHeight="1">
      <c r="A191" s="368">
        <v>159</v>
      </c>
      <c r="B191" s="555" t="s">
        <v>423</v>
      </c>
      <c r="C191" s="182" t="str">
        <f t="shared" si="64"/>
        <v>289</v>
      </c>
      <c r="D191" s="531">
        <v>289</v>
      </c>
      <c r="E191" s="182" t="s">
        <v>421</v>
      </c>
      <c r="F191" s="183" t="s">
        <v>2</v>
      </c>
      <c r="G191" s="182">
        <v>21</v>
      </c>
      <c r="H191" s="531" t="s">
        <v>3</v>
      </c>
      <c r="I191" s="554" t="s">
        <v>455</v>
      </c>
      <c r="J191" s="275">
        <f t="shared" si="58"/>
        <v>1</v>
      </c>
      <c r="K191" s="275">
        <f t="shared" si="59"/>
        <v>0</v>
      </c>
      <c r="L191" s="275">
        <f t="shared" si="60"/>
        <v>0</v>
      </c>
      <c r="M191" s="275">
        <f t="shared" si="53"/>
        <v>1</v>
      </c>
      <c r="N191" s="276">
        <f t="shared" si="54"/>
        <v>0</v>
      </c>
      <c r="O191" s="276">
        <f t="shared" si="61"/>
        <v>0</v>
      </c>
      <c r="P191" s="276">
        <f t="shared" si="62"/>
        <v>0</v>
      </c>
      <c r="Q191" s="276">
        <f t="shared" si="63"/>
        <v>0</v>
      </c>
      <c r="R191" s="329">
        <f t="shared" si="56"/>
        <v>1</v>
      </c>
      <c r="S191" s="273"/>
      <c r="T191" s="274" t="str">
        <f>IF(ISNA(VLOOKUP(D191,'One year follow-up_inperson'!$C:$C,1,FALSE)),"No","Yes")</f>
        <v>No</v>
      </c>
      <c r="U191" s="592" t="s">
        <v>679</v>
      </c>
    </row>
    <row r="192" spans="1:21" ht="110.55" customHeight="1">
      <c r="A192" s="368">
        <v>160</v>
      </c>
      <c r="B192" s="555" t="s">
        <v>423</v>
      </c>
      <c r="C192" s="182" t="str">
        <f t="shared" si="64"/>
        <v>289</v>
      </c>
      <c r="D192" s="531">
        <v>289</v>
      </c>
      <c r="E192" s="182" t="s">
        <v>422</v>
      </c>
      <c r="F192" s="183" t="s">
        <v>2</v>
      </c>
      <c r="G192" s="182">
        <v>20</v>
      </c>
      <c r="H192" s="531" t="s">
        <v>3</v>
      </c>
      <c r="I192" s="554" t="s">
        <v>454</v>
      </c>
      <c r="J192" s="275">
        <f t="shared" si="58"/>
        <v>0</v>
      </c>
      <c r="K192" s="275">
        <f t="shared" si="59"/>
        <v>0</v>
      </c>
      <c r="L192" s="275">
        <f t="shared" si="60"/>
        <v>1</v>
      </c>
      <c r="M192" s="275">
        <f t="shared" si="53"/>
        <v>1</v>
      </c>
      <c r="N192" s="276">
        <f t="shared" si="54"/>
        <v>0</v>
      </c>
      <c r="O192" s="276">
        <f t="shared" si="61"/>
        <v>0</v>
      </c>
      <c r="P192" s="276">
        <f t="shared" si="62"/>
        <v>0</v>
      </c>
      <c r="Q192" s="276">
        <f t="shared" si="63"/>
        <v>0</v>
      </c>
      <c r="R192" s="329">
        <f t="shared" si="56"/>
        <v>1</v>
      </c>
      <c r="S192" s="273"/>
      <c r="T192" s="274" t="str">
        <f>IF(ISNA(VLOOKUP(D192,'One year follow-up_inperson'!$C:$C,1,FALSE)),"No","Yes")</f>
        <v>No</v>
      </c>
      <c r="U192" s="592" t="s">
        <v>679</v>
      </c>
    </row>
    <row r="193" spans="1:21" ht="37.799999999999997" customHeight="1">
      <c r="A193" s="368">
        <v>161</v>
      </c>
      <c r="B193" s="182" t="s">
        <v>493</v>
      </c>
      <c r="C193" s="182" t="str">
        <f t="shared" si="64"/>
        <v>290</v>
      </c>
      <c r="D193" s="556" t="s">
        <v>473</v>
      </c>
      <c r="E193" s="182" t="s">
        <v>494</v>
      </c>
      <c r="F193" s="183" t="s">
        <v>2</v>
      </c>
      <c r="G193" s="557">
        <v>17</v>
      </c>
      <c r="H193" s="182" t="s">
        <v>3</v>
      </c>
      <c r="I193" s="558" t="s">
        <v>520</v>
      </c>
      <c r="J193" s="275">
        <f t="shared" ref="J193:J212" si="65">IF(OR(ISNUMBER(SEARCH("confidence",I193))=TRUE,ISNUMBER(SEARCH("hope for the future",I193))=TRUE,ISNUMBER(SEARCH("communicate",I193))=TRUE,ISNUMBER(SEARCH("worthy",I193))=TRUE,ISNUMBER(SEARCH("thought",I193))=TRUE,ISNUMBER(SEARCH("open",I193))=TRUE,ISNUMBER(SEARCH("believe",I193))=TRUE,ISNUMBER(SEARCH("confident",I193))=TRUE,ISNUMBER(SEARCH("empower",I193))=TRUE),1,0)</f>
        <v>1</v>
      </c>
      <c r="K193" s="275">
        <f t="shared" ref="K193:K212" si="66">IF(OR(ISNUMBER(SEARCH("decision",I193))=TRUE,ISNUMBER(SEARCH("save",I193))=TRUE,ISNUMBER(SEARCH("saving",I193))=TRUE,ISNUMBER(SEARCH("started",I193))=TRUE,ISNUMBER(SEARCH("buy",I193))=TRUE,ISNUMBER(SEARCH("bought",I193))=TRUE),1,0)</f>
        <v>1</v>
      </c>
      <c r="L193" s="275">
        <f t="shared" ref="L193:L212" si="67">IF(OR(ISNUMBER(SEARCH("active",I193))=TRUE,ISNUMBER(SEARCH("proactive",I193))=TRUE,ISNUMBER(SEARCH("face challenge",I193))=TRUE),1,0)</f>
        <v>0</v>
      </c>
      <c r="M193" s="275">
        <f t="shared" ref="M193:M212" si="68">IF(OR(J193=1,K193=1,L193=1),1,0)</f>
        <v>1</v>
      </c>
      <c r="N193" s="276">
        <f t="shared" ref="N193:N212" si="69">IF(OR(ISNUMBER(SEARCH("started a business",I193))=TRUE,ISNUMBER(SEARCH("started an income generating activity",I193))=TRUE,ISNUMBER(SEARCH("a business",I193))=TRUE),1,0)</f>
        <v>1</v>
      </c>
      <c r="O193" s="276">
        <f t="shared" ref="O193:O212" si="70">IF(OR(ISNUMBER(SEARCH("got a job",I193))=TRUE,ISNUMBER(SEARCH("got an internship",I193))=TRUE,ISNUMBER(SEARCH("got a promotion",I193))=TRUE),1,0)</f>
        <v>0</v>
      </c>
      <c r="P193" s="276">
        <f t="shared" ref="P193:P212" si="71">IF(OR(ISNUMBER(SEARCH("school admission",I193))=TRUE,ISNUMBER(SEARCH("perfomance in class",I193))=TRUE,ISNUMBER(SEARCH("scholarship",I193))=TRUE,ISNUMBER(SEARCH("pursue higher education",I193))=TRUE),1,0)</f>
        <v>0</v>
      </c>
      <c r="Q193" s="276">
        <f t="shared" ref="Q193:Q212" si="72">IF(OR(ISNUMBER(SEARCH("leadership role",I193))=TRUE),1,0)</f>
        <v>0</v>
      </c>
      <c r="R193" s="329">
        <f t="shared" ref="R193:R212" si="73">IF(OR(M193=1,N193=1,O193=1,P193=1,Q193=1),1,0)</f>
        <v>1</v>
      </c>
      <c r="S193" s="273"/>
      <c r="T193" s="274" t="str">
        <f>IF(ISNA(VLOOKUP(D193,'One year follow-up_inperson'!$C:$C,1,FALSE)),"No","Yes")</f>
        <v>No</v>
      </c>
      <c r="U193" s="592" t="s">
        <v>679</v>
      </c>
    </row>
    <row r="194" spans="1:21" ht="52.25" customHeight="1">
      <c r="A194" s="368">
        <v>162</v>
      </c>
      <c r="B194" s="182" t="s">
        <v>493</v>
      </c>
      <c r="C194" s="182" t="str">
        <f t="shared" si="64"/>
        <v>290</v>
      </c>
      <c r="D194" s="556" t="s">
        <v>474</v>
      </c>
      <c r="E194" s="182" t="s">
        <v>495</v>
      </c>
      <c r="F194" s="183" t="s">
        <v>2</v>
      </c>
      <c r="G194" s="557">
        <v>20</v>
      </c>
      <c r="H194" s="182" t="s">
        <v>3</v>
      </c>
      <c r="I194" s="558" t="s">
        <v>521</v>
      </c>
      <c r="J194" s="275">
        <f t="shared" si="65"/>
        <v>1</v>
      </c>
      <c r="K194" s="275">
        <f t="shared" si="66"/>
        <v>0</v>
      </c>
      <c r="L194" s="275">
        <f t="shared" si="67"/>
        <v>0</v>
      </c>
      <c r="M194" s="275">
        <f t="shared" si="68"/>
        <v>1</v>
      </c>
      <c r="N194" s="276">
        <f t="shared" si="69"/>
        <v>0</v>
      </c>
      <c r="O194" s="276">
        <f t="shared" si="70"/>
        <v>0</v>
      </c>
      <c r="P194" s="276">
        <f t="shared" si="71"/>
        <v>0</v>
      </c>
      <c r="Q194" s="276">
        <f t="shared" si="72"/>
        <v>0</v>
      </c>
      <c r="R194" s="329">
        <f t="shared" si="73"/>
        <v>1</v>
      </c>
      <c r="S194" s="273"/>
      <c r="T194" s="274" t="str">
        <f>IF(ISNA(VLOOKUP(D194,'One year follow-up_inperson'!$C:$C,1,FALSE)),"No","Yes")</f>
        <v>No</v>
      </c>
      <c r="U194" s="592" t="s">
        <v>679</v>
      </c>
    </row>
    <row r="195" spans="1:21" ht="40.25" customHeight="1">
      <c r="A195" s="368">
        <v>163</v>
      </c>
      <c r="B195" s="182" t="s">
        <v>493</v>
      </c>
      <c r="C195" s="182" t="str">
        <f t="shared" si="64"/>
        <v>290</v>
      </c>
      <c r="D195" s="556" t="s">
        <v>475</v>
      </c>
      <c r="E195" s="182" t="s">
        <v>496</v>
      </c>
      <c r="F195" s="183" t="s">
        <v>2</v>
      </c>
      <c r="G195" s="557">
        <v>30</v>
      </c>
      <c r="H195" s="182" t="s">
        <v>3</v>
      </c>
      <c r="I195" s="558" t="s">
        <v>522</v>
      </c>
      <c r="J195" s="275">
        <f t="shared" si="65"/>
        <v>0</v>
      </c>
      <c r="K195" s="275">
        <f t="shared" si="66"/>
        <v>0</v>
      </c>
      <c r="L195" s="275">
        <f t="shared" si="67"/>
        <v>0</v>
      </c>
      <c r="M195" s="275">
        <f t="shared" si="68"/>
        <v>0</v>
      </c>
      <c r="N195" s="276">
        <f t="shared" si="69"/>
        <v>0</v>
      </c>
      <c r="O195" s="276">
        <f t="shared" si="70"/>
        <v>0</v>
      </c>
      <c r="P195" s="276">
        <f t="shared" si="71"/>
        <v>0</v>
      </c>
      <c r="Q195" s="276">
        <f t="shared" si="72"/>
        <v>0</v>
      </c>
      <c r="R195" s="329">
        <f t="shared" si="73"/>
        <v>0</v>
      </c>
      <c r="S195" s="273"/>
      <c r="T195" s="274" t="str">
        <f>IF(ISNA(VLOOKUP(D195,'One year follow-up_inperson'!$C:$C,1,FALSE)),"No","Yes")</f>
        <v>No</v>
      </c>
      <c r="U195" s="592" t="s">
        <v>679</v>
      </c>
    </row>
    <row r="196" spans="1:21" ht="33.5" customHeight="1">
      <c r="A196" s="368">
        <v>164</v>
      </c>
      <c r="B196" s="182" t="s">
        <v>493</v>
      </c>
      <c r="C196" s="182" t="str">
        <f t="shared" si="64"/>
        <v>290</v>
      </c>
      <c r="D196" s="556" t="s">
        <v>476</v>
      </c>
      <c r="E196" s="182" t="s">
        <v>497</v>
      </c>
      <c r="F196" s="183" t="s">
        <v>2</v>
      </c>
      <c r="G196" s="557">
        <v>28</v>
      </c>
      <c r="H196" s="182" t="s">
        <v>3</v>
      </c>
      <c r="I196" s="558" t="s">
        <v>514</v>
      </c>
      <c r="J196" s="275">
        <f t="shared" si="65"/>
        <v>0</v>
      </c>
      <c r="K196" s="275">
        <f t="shared" si="66"/>
        <v>0</v>
      </c>
      <c r="L196" s="275">
        <f t="shared" si="67"/>
        <v>0</v>
      </c>
      <c r="M196" s="275">
        <f t="shared" si="68"/>
        <v>0</v>
      </c>
      <c r="N196" s="276">
        <f t="shared" si="69"/>
        <v>0</v>
      </c>
      <c r="O196" s="276">
        <f t="shared" si="70"/>
        <v>1</v>
      </c>
      <c r="P196" s="276">
        <f t="shared" si="71"/>
        <v>0</v>
      </c>
      <c r="Q196" s="276">
        <f t="shared" si="72"/>
        <v>0</v>
      </c>
      <c r="R196" s="329">
        <f t="shared" si="73"/>
        <v>1</v>
      </c>
      <c r="S196" s="273"/>
      <c r="T196" s="274" t="str">
        <f>IF(ISNA(VLOOKUP(D196,'One year follow-up_inperson'!$C:$C,1,FALSE)),"No","Yes")</f>
        <v>No</v>
      </c>
      <c r="U196" s="592" t="s">
        <v>679</v>
      </c>
    </row>
    <row r="197" spans="1:21" ht="30" customHeight="1">
      <c r="A197" s="368">
        <v>165</v>
      </c>
      <c r="B197" s="182" t="s">
        <v>493</v>
      </c>
      <c r="C197" s="182" t="str">
        <f t="shared" si="64"/>
        <v>290</v>
      </c>
      <c r="D197" s="556" t="s">
        <v>477</v>
      </c>
      <c r="E197" s="182" t="s">
        <v>498</v>
      </c>
      <c r="F197" s="183" t="s">
        <v>2</v>
      </c>
      <c r="G197" s="557">
        <v>24</v>
      </c>
      <c r="H197" s="182" t="s">
        <v>3</v>
      </c>
      <c r="I197" s="558" t="s">
        <v>515</v>
      </c>
      <c r="J197" s="275">
        <f t="shared" si="65"/>
        <v>0</v>
      </c>
      <c r="K197" s="275">
        <f t="shared" si="66"/>
        <v>0</v>
      </c>
      <c r="L197" s="275">
        <f t="shared" si="67"/>
        <v>0</v>
      </c>
      <c r="M197" s="275">
        <f t="shared" si="68"/>
        <v>0</v>
      </c>
      <c r="N197" s="276">
        <f t="shared" si="69"/>
        <v>0</v>
      </c>
      <c r="O197" s="276">
        <f t="shared" si="70"/>
        <v>0</v>
      </c>
      <c r="P197" s="276">
        <f t="shared" si="71"/>
        <v>0</v>
      </c>
      <c r="Q197" s="276">
        <f t="shared" si="72"/>
        <v>0</v>
      </c>
      <c r="R197" s="329">
        <f t="shared" si="73"/>
        <v>0</v>
      </c>
      <c r="S197" s="273"/>
      <c r="T197" s="274" t="str">
        <f>IF(ISNA(VLOOKUP(D197,'One year follow-up_inperson'!$C:$C,1,FALSE)),"No","Yes")</f>
        <v>No</v>
      </c>
      <c r="U197" s="592" t="s">
        <v>679</v>
      </c>
    </row>
    <row r="198" spans="1:21" ht="41.55" customHeight="1">
      <c r="A198" s="368">
        <v>166</v>
      </c>
      <c r="B198" s="182" t="s">
        <v>493</v>
      </c>
      <c r="C198" s="182" t="str">
        <f t="shared" si="64"/>
        <v>290</v>
      </c>
      <c r="D198" s="556" t="s">
        <v>478</v>
      </c>
      <c r="E198" s="182" t="s">
        <v>499</v>
      </c>
      <c r="F198" s="183" t="s">
        <v>2</v>
      </c>
      <c r="G198" s="557">
        <v>22</v>
      </c>
      <c r="H198" s="182" t="s">
        <v>3</v>
      </c>
      <c r="I198" s="558" t="s">
        <v>523</v>
      </c>
      <c r="J198" s="275">
        <f t="shared" si="65"/>
        <v>0</v>
      </c>
      <c r="K198" s="275">
        <f t="shared" si="66"/>
        <v>1</v>
      </c>
      <c r="L198" s="275">
        <f t="shared" si="67"/>
        <v>0</v>
      </c>
      <c r="M198" s="275">
        <f t="shared" si="68"/>
        <v>1</v>
      </c>
      <c r="N198" s="276">
        <f t="shared" si="69"/>
        <v>1</v>
      </c>
      <c r="O198" s="276">
        <f t="shared" si="70"/>
        <v>0</v>
      </c>
      <c r="P198" s="276">
        <f t="shared" si="71"/>
        <v>0</v>
      </c>
      <c r="Q198" s="276">
        <f t="shared" si="72"/>
        <v>0</v>
      </c>
      <c r="R198" s="329">
        <f t="shared" si="73"/>
        <v>1</v>
      </c>
      <c r="S198" s="273"/>
      <c r="T198" s="274" t="str">
        <f>IF(ISNA(VLOOKUP(D198,'One year follow-up_inperson'!$C:$C,1,FALSE)),"No","Yes")</f>
        <v>No</v>
      </c>
      <c r="U198" s="592" t="s">
        <v>679</v>
      </c>
    </row>
    <row r="199" spans="1:21" ht="49.8" customHeight="1">
      <c r="A199" s="368">
        <v>167</v>
      </c>
      <c r="B199" s="182" t="s">
        <v>493</v>
      </c>
      <c r="C199" s="182" t="str">
        <f t="shared" si="64"/>
        <v>290</v>
      </c>
      <c r="D199" s="556" t="s">
        <v>479</v>
      </c>
      <c r="E199" s="182" t="s">
        <v>500</v>
      </c>
      <c r="F199" s="183" t="s">
        <v>2</v>
      </c>
      <c r="G199" s="557">
        <v>21</v>
      </c>
      <c r="H199" s="182" t="s">
        <v>3</v>
      </c>
      <c r="I199" s="558" t="s">
        <v>664</v>
      </c>
      <c r="J199" s="275">
        <f t="shared" si="65"/>
        <v>1</v>
      </c>
      <c r="K199" s="275">
        <f t="shared" si="66"/>
        <v>0</v>
      </c>
      <c r="L199" s="275">
        <f t="shared" si="67"/>
        <v>0</v>
      </c>
      <c r="M199" s="275">
        <f t="shared" si="68"/>
        <v>1</v>
      </c>
      <c r="N199" s="276">
        <f t="shared" si="69"/>
        <v>0</v>
      </c>
      <c r="O199" s="276">
        <f t="shared" si="70"/>
        <v>0</v>
      </c>
      <c r="P199" s="276">
        <f t="shared" si="71"/>
        <v>0</v>
      </c>
      <c r="Q199" s="276">
        <f t="shared" si="72"/>
        <v>0</v>
      </c>
      <c r="R199" s="329">
        <f t="shared" si="73"/>
        <v>1</v>
      </c>
      <c r="S199" s="273"/>
      <c r="T199" s="274" t="str">
        <f>IF(ISNA(VLOOKUP(D199,'One year follow-up_inperson'!$C:$C,1,FALSE)),"No","Yes")</f>
        <v>No</v>
      </c>
      <c r="U199" s="592" t="s">
        <v>679</v>
      </c>
    </row>
    <row r="200" spans="1:21" ht="42.5" customHeight="1">
      <c r="A200" s="368">
        <v>168</v>
      </c>
      <c r="B200" s="182" t="s">
        <v>493</v>
      </c>
      <c r="C200" s="182" t="str">
        <f t="shared" si="64"/>
        <v>290</v>
      </c>
      <c r="D200" s="556" t="s">
        <v>480</v>
      </c>
      <c r="E200" s="182" t="s">
        <v>501</v>
      </c>
      <c r="F200" s="183" t="s">
        <v>2</v>
      </c>
      <c r="G200" s="182">
        <v>18</v>
      </c>
      <c r="H200" s="182" t="s">
        <v>3</v>
      </c>
      <c r="I200" s="558" t="s">
        <v>516</v>
      </c>
      <c r="J200" s="275">
        <f t="shared" si="65"/>
        <v>0</v>
      </c>
      <c r="K200" s="275">
        <f t="shared" si="66"/>
        <v>0</v>
      </c>
      <c r="L200" s="275">
        <f t="shared" si="67"/>
        <v>0</v>
      </c>
      <c r="M200" s="275">
        <f t="shared" si="68"/>
        <v>0</v>
      </c>
      <c r="N200" s="276">
        <f t="shared" si="69"/>
        <v>0</v>
      </c>
      <c r="O200" s="276">
        <f t="shared" si="70"/>
        <v>0</v>
      </c>
      <c r="P200" s="276">
        <f t="shared" si="71"/>
        <v>0</v>
      </c>
      <c r="Q200" s="276">
        <f t="shared" si="72"/>
        <v>0</v>
      </c>
      <c r="R200" s="329">
        <f t="shared" si="73"/>
        <v>0</v>
      </c>
      <c r="S200" s="273"/>
      <c r="T200" s="274" t="str">
        <f>IF(ISNA(VLOOKUP(D200,'One year follow-up_inperson'!$C:$C,1,FALSE)),"No","Yes")</f>
        <v>No</v>
      </c>
      <c r="U200" s="592" t="s">
        <v>679</v>
      </c>
    </row>
    <row r="201" spans="1:21" ht="41.55" customHeight="1">
      <c r="A201" s="368">
        <v>169</v>
      </c>
      <c r="B201" s="182" t="s">
        <v>493</v>
      </c>
      <c r="C201" s="182" t="str">
        <f t="shared" si="64"/>
        <v>290</v>
      </c>
      <c r="D201" s="556" t="s">
        <v>481</v>
      </c>
      <c r="E201" s="182" t="s">
        <v>502</v>
      </c>
      <c r="F201" s="183" t="s">
        <v>2</v>
      </c>
      <c r="G201" s="557">
        <v>17</v>
      </c>
      <c r="H201" s="182" t="s">
        <v>3</v>
      </c>
      <c r="I201" s="558" t="s">
        <v>524</v>
      </c>
      <c r="J201" s="275">
        <f t="shared" si="65"/>
        <v>1</v>
      </c>
      <c r="K201" s="275">
        <f t="shared" si="66"/>
        <v>0</v>
      </c>
      <c r="L201" s="275">
        <f t="shared" si="67"/>
        <v>0</v>
      </c>
      <c r="M201" s="275">
        <f t="shared" si="68"/>
        <v>1</v>
      </c>
      <c r="N201" s="276">
        <f t="shared" si="69"/>
        <v>0</v>
      </c>
      <c r="O201" s="276">
        <f t="shared" si="70"/>
        <v>0</v>
      </c>
      <c r="P201" s="276">
        <f t="shared" si="71"/>
        <v>0</v>
      </c>
      <c r="Q201" s="276">
        <f t="shared" si="72"/>
        <v>0</v>
      </c>
      <c r="R201" s="329">
        <f t="shared" si="73"/>
        <v>1</v>
      </c>
      <c r="S201" s="273"/>
      <c r="T201" s="274" t="str">
        <f>IF(ISNA(VLOOKUP(D201,'One year follow-up_inperson'!$C:$C,1,FALSE)),"No","Yes")</f>
        <v>No</v>
      </c>
      <c r="U201" s="592" t="s">
        <v>679</v>
      </c>
    </row>
    <row r="202" spans="1:21" ht="27">
      <c r="A202" s="368">
        <v>170</v>
      </c>
      <c r="B202" s="182" t="s">
        <v>493</v>
      </c>
      <c r="C202" s="182" t="str">
        <f t="shared" si="64"/>
        <v>290</v>
      </c>
      <c r="D202" s="556" t="s">
        <v>482</v>
      </c>
      <c r="E202" s="182" t="s">
        <v>503</v>
      </c>
      <c r="F202" s="183" t="s">
        <v>2</v>
      </c>
      <c r="G202" s="557">
        <v>20</v>
      </c>
      <c r="H202" s="182" t="s">
        <v>3</v>
      </c>
      <c r="I202" s="558" t="s">
        <v>663</v>
      </c>
      <c r="J202" s="275">
        <f t="shared" si="65"/>
        <v>1</v>
      </c>
      <c r="K202" s="275">
        <f t="shared" si="66"/>
        <v>0</v>
      </c>
      <c r="L202" s="275">
        <f t="shared" si="67"/>
        <v>0</v>
      </c>
      <c r="M202" s="275">
        <f t="shared" si="68"/>
        <v>1</v>
      </c>
      <c r="N202" s="276">
        <f t="shared" si="69"/>
        <v>0</v>
      </c>
      <c r="O202" s="276">
        <f t="shared" si="70"/>
        <v>0</v>
      </c>
      <c r="P202" s="276">
        <f t="shared" si="71"/>
        <v>0</v>
      </c>
      <c r="Q202" s="276">
        <f t="shared" si="72"/>
        <v>0</v>
      </c>
      <c r="R202" s="329">
        <f t="shared" si="73"/>
        <v>1</v>
      </c>
      <c r="S202" s="273"/>
      <c r="T202" s="274" t="str">
        <f>IF(ISNA(VLOOKUP(D202,'One year follow-up_inperson'!$C:$C,1,FALSE)),"No","Yes")</f>
        <v>No</v>
      </c>
      <c r="U202" s="592" t="s">
        <v>679</v>
      </c>
    </row>
    <row r="203" spans="1:21" ht="36" customHeight="1">
      <c r="A203" s="368">
        <v>171</v>
      </c>
      <c r="B203" s="182" t="s">
        <v>493</v>
      </c>
      <c r="C203" s="182" t="str">
        <f t="shared" si="64"/>
        <v>290</v>
      </c>
      <c r="D203" s="556" t="s">
        <v>483</v>
      </c>
      <c r="E203" s="182" t="s">
        <v>504</v>
      </c>
      <c r="F203" s="183" t="s">
        <v>2</v>
      </c>
      <c r="G203" s="557">
        <v>19</v>
      </c>
      <c r="H203" s="182" t="s">
        <v>3</v>
      </c>
      <c r="I203" s="558" t="s">
        <v>525</v>
      </c>
      <c r="J203" s="275">
        <f t="shared" si="65"/>
        <v>0</v>
      </c>
      <c r="K203" s="275">
        <f t="shared" si="66"/>
        <v>1</v>
      </c>
      <c r="L203" s="275">
        <f t="shared" si="67"/>
        <v>0</v>
      </c>
      <c r="M203" s="275">
        <f t="shared" si="68"/>
        <v>1</v>
      </c>
      <c r="N203" s="276">
        <f t="shared" si="69"/>
        <v>1</v>
      </c>
      <c r="O203" s="276">
        <f t="shared" si="70"/>
        <v>0</v>
      </c>
      <c r="P203" s="276">
        <f t="shared" si="71"/>
        <v>0</v>
      </c>
      <c r="Q203" s="276">
        <f t="shared" si="72"/>
        <v>0</v>
      </c>
      <c r="R203" s="329">
        <f t="shared" si="73"/>
        <v>1</v>
      </c>
      <c r="S203" s="273"/>
      <c r="T203" s="274" t="str">
        <f>IF(ISNA(VLOOKUP(D203,'One year follow-up_inperson'!$C:$C,1,FALSE)),"No","Yes")</f>
        <v>No</v>
      </c>
      <c r="U203" s="592" t="s">
        <v>679</v>
      </c>
    </row>
    <row r="204" spans="1:21" ht="33.5" customHeight="1">
      <c r="A204" s="368">
        <v>172</v>
      </c>
      <c r="B204" s="182" t="s">
        <v>493</v>
      </c>
      <c r="C204" s="182" t="str">
        <f t="shared" si="64"/>
        <v>290</v>
      </c>
      <c r="D204" s="556" t="s">
        <v>484</v>
      </c>
      <c r="E204" s="182" t="s">
        <v>505</v>
      </c>
      <c r="F204" s="183" t="s">
        <v>2</v>
      </c>
      <c r="G204" s="557">
        <v>19</v>
      </c>
      <c r="H204" s="182" t="s">
        <v>5</v>
      </c>
      <c r="I204" s="558"/>
      <c r="J204" s="275">
        <f t="shared" si="65"/>
        <v>0</v>
      </c>
      <c r="K204" s="275">
        <f t="shared" si="66"/>
        <v>0</v>
      </c>
      <c r="L204" s="275">
        <f t="shared" si="67"/>
        <v>0</v>
      </c>
      <c r="M204" s="275">
        <f t="shared" si="68"/>
        <v>0</v>
      </c>
      <c r="N204" s="276">
        <f t="shared" si="69"/>
        <v>0</v>
      </c>
      <c r="O204" s="276">
        <f t="shared" si="70"/>
        <v>0</v>
      </c>
      <c r="P204" s="276">
        <f t="shared" si="71"/>
        <v>0</v>
      </c>
      <c r="Q204" s="276">
        <f t="shared" si="72"/>
        <v>0</v>
      </c>
      <c r="R204" s="329">
        <f t="shared" si="73"/>
        <v>0</v>
      </c>
      <c r="S204" s="273"/>
      <c r="T204" s="274" t="str">
        <f>IF(ISNA(VLOOKUP(D204,'One year follow-up_inperson'!$C:$C,1,FALSE)),"No","Yes")</f>
        <v>No</v>
      </c>
      <c r="U204" s="592" t="s">
        <v>679</v>
      </c>
    </row>
    <row r="205" spans="1:21" ht="37.25" customHeight="1">
      <c r="A205" s="368">
        <v>173</v>
      </c>
      <c r="B205" s="182" t="s">
        <v>493</v>
      </c>
      <c r="C205" s="182" t="str">
        <f t="shared" si="64"/>
        <v>290</v>
      </c>
      <c r="D205" s="556" t="s">
        <v>485</v>
      </c>
      <c r="E205" s="182" t="s">
        <v>506</v>
      </c>
      <c r="F205" s="183" t="s">
        <v>2</v>
      </c>
      <c r="G205" s="557">
        <v>19</v>
      </c>
      <c r="H205" s="182" t="s">
        <v>3</v>
      </c>
      <c r="I205" s="558" t="s">
        <v>662</v>
      </c>
      <c r="J205" s="275">
        <f t="shared" si="65"/>
        <v>0</v>
      </c>
      <c r="K205" s="275">
        <f t="shared" si="66"/>
        <v>1</v>
      </c>
      <c r="L205" s="275">
        <f t="shared" si="67"/>
        <v>0</v>
      </c>
      <c r="M205" s="275">
        <f t="shared" si="68"/>
        <v>1</v>
      </c>
      <c r="N205" s="276">
        <f t="shared" si="69"/>
        <v>0</v>
      </c>
      <c r="O205" s="276">
        <f t="shared" si="70"/>
        <v>0</v>
      </c>
      <c r="P205" s="276">
        <f t="shared" si="71"/>
        <v>0</v>
      </c>
      <c r="Q205" s="276">
        <f t="shared" si="72"/>
        <v>1</v>
      </c>
      <c r="R205" s="329">
        <f t="shared" si="73"/>
        <v>1</v>
      </c>
      <c r="S205" s="273"/>
      <c r="T205" s="274" t="str">
        <f>IF(ISNA(VLOOKUP(D205,'One year follow-up_inperson'!$C:$C,1,FALSE)),"No","Yes")</f>
        <v>No</v>
      </c>
      <c r="U205" s="592" t="s">
        <v>679</v>
      </c>
    </row>
    <row r="206" spans="1:21" ht="39" customHeight="1">
      <c r="A206" s="368">
        <v>174</v>
      </c>
      <c r="B206" s="182" t="s">
        <v>493</v>
      </c>
      <c r="C206" s="182" t="str">
        <f t="shared" si="64"/>
        <v>290</v>
      </c>
      <c r="D206" s="556" t="s">
        <v>486</v>
      </c>
      <c r="E206" s="182" t="s">
        <v>507</v>
      </c>
      <c r="F206" s="183" t="s">
        <v>2</v>
      </c>
      <c r="G206" s="557">
        <v>18</v>
      </c>
      <c r="H206" s="182" t="s">
        <v>3</v>
      </c>
      <c r="I206" s="558" t="s">
        <v>526</v>
      </c>
      <c r="J206" s="275">
        <f t="shared" si="65"/>
        <v>1</v>
      </c>
      <c r="K206" s="275">
        <f t="shared" si="66"/>
        <v>0</v>
      </c>
      <c r="L206" s="275">
        <f t="shared" si="67"/>
        <v>0</v>
      </c>
      <c r="M206" s="275">
        <f t="shared" si="68"/>
        <v>1</v>
      </c>
      <c r="N206" s="276">
        <f t="shared" si="69"/>
        <v>0</v>
      </c>
      <c r="O206" s="276">
        <f t="shared" si="70"/>
        <v>0</v>
      </c>
      <c r="P206" s="276">
        <f t="shared" si="71"/>
        <v>0</v>
      </c>
      <c r="Q206" s="276">
        <f t="shared" si="72"/>
        <v>1</v>
      </c>
      <c r="R206" s="329">
        <f t="shared" si="73"/>
        <v>1</v>
      </c>
      <c r="S206" s="273"/>
      <c r="T206" s="274" t="str">
        <f>IF(ISNA(VLOOKUP(D206,'One year follow-up_inperson'!$C:$C,1,FALSE)),"No","Yes")</f>
        <v>No</v>
      </c>
      <c r="U206" s="592" t="s">
        <v>679</v>
      </c>
    </row>
    <row r="207" spans="1:21" ht="15">
      <c r="A207" s="368">
        <v>175</v>
      </c>
      <c r="B207" s="182" t="s">
        <v>493</v>
      </c>
      <c r="C207" s="182" t="str">
        <f t="shared" si="64"/>
        <v>290</v>
      </c>
      <c r="D207" s="556" t="s">
        <v>487</v>
      </c>
      <c r="E207" s="182" t="s">
        <v>508</v>
      </c>
      <c r="F207" s="183" t="s">
        <v>2</v>
      </c>
      <c r="G207" s="557">
        <v>20</v>
      </c>
      <c r="H207" s="182" t="s">
        <v>3</v>
      </c>
      <c r="I207" s="558" t="s">
        <v>517</v>
      </c>
      <c r="J207" s="275">
        <f t="shared" si="65"/>
        <v>1</v>
      </c>
      <c r="K207" s="275">
        <f t="shared" si="66"/>
        <v>0</v>
      </c>
      <c r="L207" s="275">
        <f t="shared" si="67"/>
        <v>0</v>
      </c>
      <c r="M207" s="275">
        <f t="shared" si="68"/>
        <v>1</v>
      </c>
      <c r="N207" s="276">
        <f t="shared" si="69"/>
        <v>0</v>
      </c>
      <c r="O207" s="276">
        <f t="shared" si="70"/>
        <v>0</v>
      </c>
      <c r="P207" s="276">
        <f t="shared" si="71"/>
        <v>0</v>
      </c>
      <c r="Q207" s="276">
        <f t="shared" si="72"/>
        <v>0</v>
      </c>
      <c r="R207" s="329">
        <f t="shared" si="73"/>
        <v>1</v>
      </c>
      <c r="S207" s="273"/>
      <c r="T207" s="274" t="str">
        <f>IF(ISNA(VLOOKUP(D207,'One year follow-up_inperson'!$C:$C,1,FALSE)),"No","Yes")</f>
        <v>No</v>
      </c>
      <c r="U207" s="592" t="s">
        <v>679</v>
      </c>
    </row>
    <row r="208" spans="1:21" ht="15">
      <c r="A208" s="368">
        <v>176</v>
      </c>
      <c r="B208" s="182" t="s">
        <v>493</v>
      </c>
      <c r="C208" s="182" t="str">
        <f t="shared" si="64"/>
        <v>290</v>
      </c>
      <c r="D208" s="556" t="s">
        <v>488</v>
      </c>
      <c r="E208" s="182" t="s">
        <v>509</v>
      </c>
      <c r="F208" s="183" t="s">
        <v>2</v>
      </c>
      <c r="G208" s="557">
        <v>20</v>
      </c>
      <c r="H208" s="182" t="s">
        <v>3</v>
      </c>
      <c r="I208" s="558" t="s">
        <v>518</v>
      </c>
      <c r="J208" s="275">
        <f t="shared" si="65"/>
        <v>1</v>
      </c>
      <c r="K208" s="275">
        <f t="shared" si="66"/>
        <v>0</v>
      </c>
      <c r="L208" s="275">
        <f t="shared" si="67"/>
        <v>0</v>
      </c>
      <c r="M208" s="275">
        <f t="shared" si="68"/>
        <v>1</v>
      </c>
      <c r="N208" s="276">
        <f t="shared" si="69"/>
        <v>0</v>
      </c>
      <c r="O208" s="276">
        <f t="shared" si="70"/>
        <v>0</v>
      </c>
      <c r="P208" s="276">
        <f t="shared" si="71"/>
        <v>0</v>
      </c>
      <c r="Q208" s="276">
        <f t="shared" si="72"/>
        <v>0</v>
      </c>
      <c r="R208" s="329">
        <f t="shared" si="73"/>
        <v>1</v>
      </c>
      <c r="S208" s="273"/>
      <c r="T208" s="274" t="str">
        <f>IF(ISNA(VLOOKUP(D208,'One year follow-up_inperson'!$C:$C,1,FALSE)),"No","Yes")</f>
        <v>No</v>
      </c>
      <c r="U208" s="592" t="s">
        <v>679</v>
      </c>
    </row>
    <row r="209" spans="1:21" ht="15">
      <c r="A209" s="368">
        <v>177</v>
      </c>
      <c r="B209" s="182" t="s">
        <v>493</v>
      </c>
      <c r="C209" s="182" t="str">
        <f t="shared" si="64"/>
        <v>290</v>
      </c>
      <c r="D209" s="556" t="s">
        <v>489</v>
      </c>
      <c r="E209" s="182" t="s">
        <v>510</v>
      </c>
      <c r="F209" s="183" t="s">
        <v>2</v>
      </c>
      <c r="G209" s="557">
        <v>23</v>
      </c>
      <c r="H209" s="182" t="s">
        <v>3</v>
      </c>
      <c r="I209" s="558" t="s">
        <v>661</v>
      </c>
      <c r="J209" s="275">
        <f t="shared" si="65"/>
        <v>1</v>
      </c>
      <c r="K209" s="275">
        <f t="shared" si="66"/>
        <v>0</v>
      </c>
      <c r="L209" s="275">
        <f t="shared" si="67"/>
        <v>0</v>
      </c>
      <c r="M209" s="275">
        <f t="shared" si="68"/>
        <v>1</v>
      </c>
      <c r="N209" s="276">
        <f t="shared" si="69"/>
        <v>0</v>
      </c>
      <c r="O209" s="276">
        <f t="shared" si="70"/>
        <v>0</v>
      </c>
      <c r="P209" s="276">
        <f t="shared" si="71"/>
        <v>0</v>
      </c>
      <c r="Q209" s="276">
        <f t="shared" si="72"/>
        <v>0</v>
      </c>
      <c r="R209" s="329">
        <f t="shared" si="73"/>
        <v>1</v>
      </c>
      <c r="S209" s="273"/>
      <c r="T209" s="274" t="str">
        <f>IF(ISNA(VLOOKUP(D209,'One year follow-up_inperson'!$C:$C,1,FALSE)),"No","Yes")</f>
        <v>No</v>
      </c>
      <c r="U209" s="592" t="s">
        <v>679</v>
      </c>
    </row>
    <row r="210" spans="1:21" ht="15">
      <c r="A210" s="368">
        <v>178</v>
      </c>
      <c r="B210" s="182" t="s">
        <v>493</v>
      </c>
      <c r="C210" s="182" t="str">
        <f t="shared" si="64"/>
        <v>290</v>
      </c>
      <c r="D210" s="556" t="s">
        <v>490</v>
      </c>
      <c r="E210" s="182" t="s">
        <v>511</v>
      </c>
      <c r="F210" s="183" t="s">
        <v>2</v>
      </c>
      <c r="G210" s="557">
        <v>19</v>
      </c>
      <c r="H210" s="182" t="s">
        <v>5</v>
      </c>
      <c r="I210" s="558"/>
      <c r="J210" s="275">
        <f t="shared" si="65"/>
        <v>0</v>
      </c>
      <c r="K210" s="275">
        <f t="shared" si="66"/>
        <v>0</v>
      </c>
      <c r="L210" s="275">
        <f t="shared" si="67"/>
        <v>0</v>
      </c>
      <c r="M210" s="275">
        <f t="shared" si="68"/>
        <v>0</v>
      </c>
      <c r="N210" s="276">
        <f t="shared" si="69"/>
        <v>0</v>
      </c>
      <c r="O210" s="276">
        <f t="shared" si="70"/>
        <v>0</v>
      </c>
      <c r="P210" s="276">
        <f t="shared" si="71"/>
        <v>0</v>
      </c>
      <c r="Q210" s="276">
        <f t="shared" si="72"/>
        <v>0</v>
      </c>
      <c r="R210" s="329">
        <f t="shared" si="73"/>
        <v>0</v>
      </c>
      <c r="S210" s="273"/>
      <c r="T210" s="274" t="str">
        <f>IF(ISNA(VLOOKUP(D210,'One year follow-up_inperson'!$C:$C,1,FALSE)),"No","Yes")</f>
        <v>No</v>
      </c>
      <c r="U210" s="592" t="s">
        <v>679</v>
      </c>
    </row>
    <row r="211" spans="1:21" ht="38.549999999999997" customHeight="1">
      <c r="A211" s="368">
        <v>179</v>
      </c>
      <c r="B211" s="182" t="s">
        <v>493</v>
      </c>
      <c r="C211" s="182" t="str">
        <f t="shared" si="64"/>
        <v>290</v>
      </c>
      <c r="D211" s="556" t="s">
        <v>491</v>
      </c>
      <c r="E211" s="182" t="s">
        <v>512</v>
      </c>
      <c r="F211" s="183" t="s">
        <v>2</v>
      </c>
      <c r="G211" s="557">
        <v>24</v>
      </c>
      <c r="H211" s="182" t="s">
        <v>3</v>
      </c>
      <c r="I211" s="558" t="s">
        <v>519</v>
      </c>
      <c r="J211" s="275">
        <f t="shared" si="65"/>
        <v>0</v>
      </c>
      <c r="K211" s="275">
        <f t="shared" si="66"/>
        <v>0</v>
      </c>
      <c r="L211" s="275">
        <f t="shared" si="67"/>
        <v>0</v>
      </c>
      <c r="M211" s="275">
        <f t="shared" si="68"/>
        <v>0</v>
      </c>
      <c r="N211" s="276">
        <f t="shared" si="69"/>
        <v>0</v>
      </c>
      <c r="O211" s="276">
        <f t="shared" si="70"/>
        <v>1</v>
      </c>
      <c r="P211" s="276">
        <f t="shared" si="71"/>
        <v>0</v>
      </c>
      <c r="Q211" s="276">
        <f t="shared" si="72"/>
        <v>0</v>
      </c>
      <c r="R211" s="329">
        <f t="shared" si="73"/>
        <v>1</v>
      </c>
      <c r="S211" s="273"/>
      <c r="T211" s="274" t="str">
        <f>IF(ISNA(VLOOKUP(D211,'One year follow-up_inperson'!$C:$C,1,FALSE)),"No","Yes")</f>
        <v>No</v>
      </c>
      <c r="U211" s="592" t="s">
        <v>679</v>
      </c>
    </row>
    <row r="212" spans="1:21" ht="52.25" customHeight="1">
      <c r="A212" s="368">
        <v>180</v>
      </c>
      <c r="B212" s="182" t="s">
        <v>493</v>
      </c>
      <c r="C212" s="182" t="str">
        <f t="shared" si="64"/>
        <v>290</v>
      </c>
      <c r="D212" s="556" t="s">
        <v>492</v>
      </c>
      <c r="E212" s="182" t="s">
        <v>513</v>
      </c>
      <c r="F212" s="183" t="s">
        <v>2</v>
      </c>
      <c r="G212" s="557">
        <v>23</v>
      </c>
      <c r="H212" s="182" t="s">
        <v>3</v>
      </c>
      <c r="I212" s="558" t="s">
        <v>527</v>
      </c>
      <c r="J212" s="275">
        <f t="shared" si="65"/>
        <v>0</v>
      </c>
      <c r="K212" s="275">
        <f t="shared" si="66"/>
        <v>0</v>
      </c>
      <c r="L212" s="275">
        <f t="shared" si="67"/>
        <v>0</v>
      </c>
      <c r="M212" s="275">
        <f t="shared" si="68"/>
        <v>0</v>
      </c>
      <c r="N212" s="276">
        <f t="shared" si="69"/>
        <v>0</v>
      </c>
      <c r="O212" s="276">
        <f t="shared" si="70"/>
        <v>0</v>
      </c>
      <c r="P212" s="276">
        <f t="shared" si="71"/>
        <v>0</v>
      </c>
      <c r="Q212" s="276">
        <f t="shared" si="72"/>
        <v>1</v>
      </c>
      <c r="R212" s="329">
        <f t="shared" si="73"/>
        <v>1</v>
      </c>
      <c r="S212" s="273"/>
      <c r="T212" s="274" t="str">
        <f>IF(ISNA(VLOOKUP(D212,'One year follow-up_inperson'!$C:$C,1,FALSE)),"No","Yes")</f>
        <v>No</v>
      </c>
      <c r="U212" s="592" t="s">
        <v>679</v>
      </c>
    </row>
    <row r="213" spans="1:21" ht="42.75">
      <c r="A213" s="368">
        <v>181</v>
      </c>
      <c r="B213" s="182" t="s">
        <v>371</v>
      </c>
      <c r="C213" s="182" t="str">
        <f t="shared" si="64"/>
        <v>291</v>
      </c>
      <c r="D213" s="559">
        <v>291</v>
      </c>
      <c r="E213" s="182" t="s">
        <v>528</v>
      </c>
      <c r="F213" s="183" t="s">
        <v>2</v>
      </c>
      <c r="G213" s="182">
        <v>18</v>
      </c>
      <c r="H213" s="182" t="s">
        <v>3</v>
      </c>
      <c r="I213" s="560" t="s">
        <v>589</v>
      </c>
      <c r="J213" s="275">
        <f t="shared" ref="J213:J273" si="74">IF(OR(ISNUMBER(SEARCH("confidence",I213))=TRUE,ISNUMBER(SEARCH("hope for the future",I213))=TRUE,ISNUMBER(SEARCH("communicate",I213))=TRUE,ISNUMBER(SEARCH("worthy",I213))=TRUE,ISNUMBER(SEARCH("thought",I213))=TRUE,ISNUMBER(SEARCH("open",I213))=TRUE,ISNUMBER(SEARCH("believe",I213))=TRUE,ISNUMBER(SEARCH("confident",I213))=TRUE,ISNUMBER(SEARCH("empower",I213))=TRUE),1,0)</f>
        <v>1</v>
      </c>
      <c r="K213" s="275">
        <f t="shared" ref="K213:K273" si="75">IF(OR(ISNUMBER(SEARCH("decision",I213))=TRUE,ISNUMBER(SEARCH("save",I213))=TRUE,ISNUMBER(SEARCH("saving",I213))=TRUE,ISNUMBER(SEARCH("started",I213))=TRUE,ISNUMBER(SEARCH("buy",I213))=TRUE,ISNUMBER(SEARCH("bought",I213))=TRUE),1,0)</f>
        <v>0</v>
      </c>
      <c r="L213" s="275">
        <f t="shared" ref="L213:L273" si="76">IF(OR(ISNUMBER(SEARCH("active",I213))=TRUE,ISNUMBER(SEARCH("proactive",I213))=TRUE,ISNUMBER(SEARCH("face challenge",I213))=TRUE),1,0)</f>
        <v>0</v>
      </c>
      <c r="M213" s="275">
        <f t="shared" ref="M213:M273" si="77">IF(OR(J213=1,K213=1,L213=1),1,0)</f>
        <v>1</v>
      </c>
      <c r="N213" s="276">
        <f t="shared" ref="N213:N273" si="78">IF(OR(ISNUMBER(SEARCH("started a business",I213))=TRUE,ISNUMBER(SEARCH("started an income generating activity",I213))=TRUE,ISNUMBER(SEARCH("a business",I213))=TRUE),1,0)</f>
        <v>0</v>
      </c>
      <c r="O213" s="276">
        <f t="shared" ref="O213:O273" si="79">IF(OR(ISNUMBER(SEARCH("got a job",I213))=TRUE,ISNUMBER(SEARCH("got an internship",I213))=TRUE,ISNUMBER(SEARCH("got a promotion",I213))=TRUE),1,0)</f>
        <v>0</v>
      </c>
      <c r="P213" s="276">
        <f t="shared" ref="P213:P273" si="80">IF(OR(ISNUMBER(SEARCH("school admission",I213))=TRUE,ISNUMBER(SEARCH("perfomance in class",I213))=TRUE,ISNUMBER(SEARCH("scholarship",I213))=TRUE,ISNUMBER(SEARCH("pursue higher education",I213))=TRUE),1,0)</f>
        <v>0</v>
      </c>
      <c r="Q213" s="276">
        <f t="shared" ref="Q213:Q273" si="81">IF(OR(ISNUMBER(SEARCH("leadership role",I213))=TRUE),1,0)</f>
        <v>0</v>
      </c>
      <c r="R213" s="329">
        <f t="shared" ref="R213:R273" si="82">IF(OR(M213=1,N213=1,O213=1,P213=1,Q213=1),1,0)</f>
        <v>1</v>
      </c>
      <c r="S213" s="273"/>
      <c r="T213" s="274" t="str">
        <f>IF(ISNA(VLOOKUP(D213,'One year follow-up_inperson'!$C:$C,1,FALSE)),"No","Yes")</f>
        <v>No</v>
      </c>
      <c r="U213" s="592" t="s">
        <v>679</v>
      </c>
    </row>
    <row r="214" spans="1:21" ht="61.25" customHeight="1">
      <c r="A214" s="368">
        <v>182</v>
      </c>
      <c r="B214" s="182" t="s">
        <v>493</v>
      </c>
      <c r="C214" s="182" t="str">
        <f t="shared" si="64"/>
        <v>291</v>
      </c>
      <c r="D214" s="559">
        <v>291</v>
      </c>
      <c r="E214" s="182" t="s">
        <v>529</v>
      </c>
      <c r="F214" s="183" t="s">
        <v>2</v>
      </c>
      <c r="G214" s="182">
        <v>19</v>
      </c>
      <c r="H214" s="182" t="s">
        <v>3</v>
      </c>
      <c r="I214" s="560" t="s">
        <v>660</v>
      </c>
      <c r="J214" s="275">
        <f t="shared" si="74"/>
        <v>0</v>
      </c>
      <c r="K214" s="275">
        <f t="shared" si="75"/>
        <v>0</v>
      </c>
      <c r="L214" s="275">
        <f t="shared" si="76"/>
        <v>0</v>
      </c>
      <c r="M214" s="275">
        <f t="shared" si="77"/>
        <v>0</v>
      </c>
      <c r="N214" s="276">
        <f t="shared" si="78"/>
        <v>0</v>
      </c>
      <c r="O214" s="276">
        <f t="shared" si="79"/>
        <v>1</v>
      </c>
      <c r="P214" s="276">
        <f t="shared" si="80"/>
        <v>0</v>
      </c>
      <c r="Q214" s="276">
        <f t="shared" si="81"/>
        <v>1</v>
      </c>
      <c r="R214" s="329">
        <f t="shared" si="82"/>
        <v>1</v>
      </c>
      <c r="S214" s="273"/>
      <c r="T214" s="274" t="str">
        <f>IF(ISNA(VLOOKUP(D214,'One year follow-up_inperson'!$C:$C,1,FALSE)),"No","Yes")</f>
        <v>No</v>
      </c>
      <c r="U214" s="592" t="s">
        <v>679</v>
      </c>
    </row>
    <row r="215" spans="1:21" ht="78.5" customHeight="1">
      <c r="A215" s="368">
        <v>183</v>
      </c>
      <c r="B215" s="182" t="s">
        <v>493</v>
      </c>
      <c r="C215" s="182" t="str">
        <f t="shared" si="64"/>
        <v>291</v>
      </c>
      <c r="D215" s="559">
        <v>291</v>
      </c>
      <c r="E215" s="182" t="s">
        <v>530</v>
      </c>
      <c r="F215" s="183" t="s">
        <v>2</v>
      </c>
      <c r="G215" s="182">
        <v>20</v>
      </c>
      <c r="H215" s="182" t="s">
        <v>3</v>
      </c>
      <c r="I215" s="560" t="s">
        <v>659</v>
      </c>
      <c r="J215" s="275">
        <f t="shared" si="74"/>
        <v>0</v>
      </c>
      <c r="K215" s="275">
        <f t="shared" si="75"/>
        <v>1</v>
      </c>
      <c r="L215" s="275">
        <f t="shared" si="76"/>
        <v>0</v>
      </c>
      <c r="M215" s="275">
        <f t="shared" si="77"/>
        <v>1</v>
      </c>
      <c r="N215" s="276">
        <f t="shared" si="78"/>
        <v>1</v>
      </c>
      <c r="O215" s="276">
        <f t="shared" si="79"/>
        <v>0</v>
      </c>
      <c r="P215" s="276">
        <f t="shared" si="80"/>
        <v>0</v>
      </c>
      <c r="Q215" s="276">
        <f t="shared" si="81"/>
        <v>0</v>
      </c>
      <c r="R215" s="329">
        <f t="shared" si="82"/>
        <v>1</v>
      </c>
      <c r="S215" s="273"/>
      <c r="T215" s="274" t="str">
        <f>IF(ISNA(VLOOKUP(D215,'One year follow-up_inperson'!$C:$C,1,FALSE)),"No","Yes")</f>
        <v>No</v>
      </c>
      <c r="U215" s="592" t="s">
        <v>679</v>
      </c>
    </row>
    <row r="216" spans="1:21" ht="69" customHeight="1">
      <c r="A216" s="368">
        <v>184</v>
      </c>
      <c r="B216" s="182" t="s">
        <v>493</v>
      </c>
      <c r="C216" s="182" t="str">
        <f t="shared" si="64"/>
        <v>291</v>
      </c>
      <c r="D216" s="559">
        <v>291</v>
      </c>
      <c r="E216" s="182" t="s">
        <v>531</v>
      </c>
      <c r="F216" s="183" t="s">
        <v>2</v>
      </c>
      <c r="G216" s="182">
        <v>23</v>
      </c>
      <c r="H216" s="182" t="s">
        <v>3</v>
      </c>
      <c r="I216" s="560" t="s">
        <v>590</v>
      </c>
      <c r="J216" s="275">
        <f t="shared" si="74"/>
        <v>0</v>
      </c>
      <c r="K216" s="275">
        <f t="shared" si="75"/>
        <v>1</v>
      </c>
      <c r="L216" s="275">
        <f t="shared" si="76"/>
        <v>0</v>
      </c>
      <c r="M216" s="275">
        <f t="shared" si="77"/>
        <v>1</v>
      </c>
      <c r="N216" s="276">
        <f t="shared" si="78"/>
        <v>0</v>
      </c>
      <c r="O216" s="276">
        <f t="shared" si="79"/>
        <v>0</v>
      </c>
      <c r="P216" s="276">
        <f t="shared" si="80"/>
        <v>0</v>
      </c>
      <c r="Q216" s="276">
        <f t="shared" si="81"/>
        <v>0</v>
      </c>
      <c r="R216" s="329">
        <f t="shared" si="82"/>
        <v>1</v>
      </c>
      <c r="S216" s="273"/>
      <c r="T216" s="274" t="str">
        <f>IF(ISNA(VLOOKUP(D216,'One year follow-up_inperson'!$C:$C,1,FALSE)),"No","Yes")</f>
        <v>No</v>
      </c>
      <c r="U216" s="592" t="s">
        <v>679</v>
      </c>
    </row>
    <row r="217" spans="1:21" ht="37.799999999999997" customHeight="1">
      <c r="A217" s="368">
        <v>185</v>
      </c>
      <c r="B217" s="182" t="s">
        <v>493</v>
      </c>
      <c r="C217" s="182" t="str">
        <f t="shared" si="64"/>
        <v>291</v>
      </c>
      <c r="D217" s="559">
        <v>291</v>
      </c>
      <c r="E217" s="182" t="s">
        <v>532</v>
      </c>
      <c r="F217" s="183" t="s">
        <v>2</v>
      </c>
      <c r="G217" s="182">
        <v>30</v>
      </c>
      <c r="H217" s="182" t="s">
        <v>3</v>
      </c>
      <c r="I217" s="560" t="s">
        <v>658</v>
      </c>
      <c r="J217" s="275">
        <f t="shared" si="74"/>
        <v>0</v>
      </c>
      <c r="K217" s="275">
        <f t="shared" si="75"/>
        <v>1</v>
      </c>
      <c r="L217" s="275">
        <f t="shared" si="76"/>
        <v>0</v>
      </c>
      <c r="M217" s="275">
        <f t="shared" si="77"/>
        <v>1</v>
      </c>
      <c r="N217" s="276">
        <f t="shared" si="78"/>
        <v>1</v>
      </c>
      <c r="O217" s="276">
        <f t="shared" si="79"/>
        <v>0</v>
      </c>
      <c r="P217" s="276">
        <f t="shared" si="80"/>
        <v>0</v>
      </c>
      <c r="Q217" s="276">
        <f t="shared" si="81"/>
        <v>0</v>
      </c>
      <c r="R217" s="329">
        <f t="shared" si="82"/>
        <v>1</v>
      </c>
      <c r="S217" s="273"/>
      <c r="T217" s="274" t="str">
        <f>IF(ISNA(VLOOKUP(D217,'One year follow-up_inperson'!$C:$C,1,FALSE)),"No","Yes")</f>
        <v>No</v>
      </c>
      <c r="U217" s="592" t="s">
        <v>679</v>
      </c>
    </row>
    <row r="218" spans="1:21" ht="46.25" customHeight="1">
      <c r="A218" s="368">
        <v>186</v>
      </c>
      <c r="B218" s="182" t="s">
        <v>493</v>
      </c>
      <c r="C218" s="182" t="str">
        <f t="shared" si="64"/>
        <v>291</v>
      </c>
      <c r="D218" s="559">
        <v>291</v>
      </c>
      <c r="E218" s="182" t="s">
        <v>533</v>
      </c>
      <c r="F218" s="183" t="s">
        <v>2</v>
      </c>
      <c r="G218" s="182">
        <v>22</v>
      </c>
      <c r="H218" s="182" t="s">
        <v>3</v>
      </c>
      <c r="I218" s="560" t="s">
        <v>657</v>
      </c>
      <c r="J218" s="275">
        <f t="shared" si="74"/>
        <v>1</v>
      </c>
      <c r="K218" s="275">
        <f t="shared" si="75"/>
        <v>0</v>
      </c>
      <c r="L218" s="275">
        <f t="shared" si="76"/>
        <v>0</v>
      </c>
      <c r="M218" s="275">
        <f t="shared" si="77"/>
        <v>1</v>
      </c>
      <c r="N218" s="276">
        <f t="shared" si="78"/>
        <v>0</v>
      </c>
      <c r="O218" s="276">
        <f t="shared" si="79"/>
        <v>0</v>
      </c>
      <c r="P218" s="276">
        <f t="shared" si="80"/>
        <v>0</v>
      </c>
      <c r="Q218" s="276">
        <f t="shared" si="81"/>
        <v>0</v>
      </c>
      <c r="R218" s="329">
        <f t="shared" si="82"/>
        <v>1</v>
      </c>
      <c r="S218" s="273"/>
      <c r="T218" s="274" t="str">
        <f>IF(ISNA(VLOOKUP(D218,'One year follow-up_inperson'!$C:$C,1,FALSE)),"No","Yes")</f>
        <v>No</v>
      </c>
      <c r="U218" s="592" t="s">
        <v>679</v>
      </c>
    </row>
    <row r="219" spans="1:21" ht="63.5" customHeight="1">
      <c r="A219" s="368">
        <v>187</v>
      </c>
      <c r="B219" s="182" t="s">
        <v>493</v>
      </c>
      <c r="C219" s="182" t="str">
        <f t="shared" si="64"/>
        <v>291</v>
      </c>
      <c r="D219" s="559">
        <v>291</v>
      </c>
      <c r="E219" s="182" t="s">
        <v>534</v>
      </c>
      <c r="F219" s="183" t="s">
        <v>2</v>
      </c>
      <c r="G219" s="182">
        <v>30</v>
      </c>
      <c r="H219" s="182" t="s">
        <v>3</v>
      </c>
      <c r="I219" s="560" t="s">
        <v>656</v>
      </c>
      <c r="J219" s="275">
        <f t="shared" si="74"/>
        <v>0</v>
      </c>
      <c r="K219" s="275">
        <f t="shared" si="75"/>
        <v>1</v>
      </c>
      <c r="L219" s="275">
        <f t="shared" si="76"/>
        <v>0</v>
      </c>
      <c r="M219" s="275">
        <f t="shared" si="77"/>
        <v>1</v>
      </c>
      <c r="N219" s="276">
        <f t="shared" si="78"/>
        <v>0</v>
      </c>
      <c r="O219" s="276">
        <f t="shared" si="79"/>
        <v>1</v>
      </c>
      <c r="P219" s="276">
        <f t="shared" si="80"/>
        <v>0</v>
      </c>
      <c r="Q219" s="276">
        <f t="shared" si="81"/>
        <v>0</v>
      </c>
      <c r="R219" s="329">
        <f t="shared" si="82"/>
        <v>1</v>
      </c>
      <c r="S219" s="273"/>
      <c r="T219" s="274" t="str">
        <f>IF(ISNA(VLOOKUP(D219,'One year follow-up_inperson'!$C:$C,1,FALSE)),"No","Yes")</f>
        <v>No</v>
      </c>
      <c r="U219" s="592" t="s">
        <v>679</v>
      </c>
    </row>
    <row r="220" spans="1:21" ht="58.8" customHeight="1">
      <c r="A220" s="368">
        <v>188</v>
      </c>
      <c r="B220" s="182" t="s">
        <v>493</v>
      </c>
      <c r="C220" s="182" t="str">
        <f t="shared" si="64"/>
        <v>291</v>
      </c>
      <c r="D220" s="559">
        <v>291</v>
      </c>
      <c r="E220" s="182" t="s">
        <v>535</v>
      </c>
      <c r="F220" s="183" t="s">
        <v>2</v>
      </c>
      <c r="G220" s="182">
        <v>22</v>
      </c>
      <c r="H220" s="182" t="s">
        <v>3</v>
      </c>
      <c r="I220" s="560" t="s">
        <v>655</v>
      </c>
      <c r="J220" s="275">
        <f t="shared" si="74"/>
        <v>0</v>
      </c>
      <c r="K220" s="275">
        <f t="shared" si="75"/>
        <v>1</v>
      </c>
      <c r="L220" s="275">
        <f t="shared" si="76"/>
        <v>0</v>
      </c>
      <c r="M220" s="275">
        <f t="shared" si="77"/>
        <v>1</v>
      </c>
      <c r="N220" s="276">
        <f t="shared" si="78"/>
        <v>1</v>
      </c>
      <c r="O220" s="276">
        <f t="shared" si="79"/>
        <v>0</v>
      </c>
      <c r="P220" s="276">
        <f t="shared" si="80"/>
        <v>0</v>
      </c>
      <c r="Q220" s="276">
        <f t="shared" si="81"/>
        <v>0</v>
      </c>
      <c r="R220" s="329">
        <f t="shared" si="82"/>
        <v>1</v>
      </c>
      <c r="S220" s="273"/>
      <c r="T220" s="274" t="str">
        <f>IF(ISNA(VLOOKUP(D220,'One year follow-up_inperson'!$C:$C,1,FALSE)),"No","Yes")</f>
        <v>No</v>
      </c>
      <c r="U220" s="592" t="s">
        <v>679</v>
      </c>
    </row>
    <row r="221" spans="1:21" ht="57" customHeight="1">
      <c r="A221" s="368">
        <v>189</v>
      </c>
      <c r="B221" s="182" t="s">
        <v>493</v>
      </c>
      <c r="C221" s="182" t="str">
        <f t="shared" si="64"/>
        <v>291</v>
      </c>
      <c r="D221" s="559">
        <v>291</v>
      </c>
      <c r="E221" s="182" t="s">
        <v>536</v>
      </c>
      <c r="F221" s="183" t="s">
        <v>2</v>
      </c>
      <c r="G221" s="182">
        <v>22</v>
      </c>
      <c r="H221" s="182" t="s">
        <v>3</v>
      </c>
      <c r="I221" s="560" t="s">
        <v>654</v>
      </c>
      <c r="J221" s="275">
        <f t="shared" si="74"/>
        <v>1</v>
      </c>
      <c r="K221" s="275">
        <f t="shared" si="75"/>
        <v>1</v>
      </c>
      <c r="L221" s="275">
        <f t="shared" si="76"/>
        <v>0</v>
      </c>
      <c r="M221" s="275">
        <f t="shared" si="77"/>
        <v>1</v>
      </c>
      <c r="N221" s="276">
        <f t="shared" si="78"/>
        <v>1</v>
      </c>
      <c r="O221" s="276">
        <f t="shared" si="79"/>
        <v>0</v>
      </c>
      <c r="P221" s="276">
        <f t="shared" si="80"/>
        <v>0</v>
      </c>
      <c r="Q221" s="276">
        <f t="shared" si="81"/>
        <v>0</v>
      </c>
      <c r="R221" s="329">
        <f t="shared" si="82"/>
        <v>1</v>
      </c>
      <c r="S221" s="273"/>
      <c r="T221" s="274" t="str">
        <f>IF(ISNA(VLOOKUP(D221,'One year follow-up_inperson'!$C:$C,1,FALSE)),"No","Yes")</f>
        <v>No</v>
      </c>
      <c r="U221" s="592" t="s">
        <v>679</v>
      </c>
    </row>
    <row r="222" spans="1:21" ht="57" customHeight="1">
      <c r="A222" s="368">
        <v>190</v>
      </c>
      <c r="B222" s="182" t="s">
        <v>493</v>
      </c>
      <c r="C222" s="182" t="str">
        <f t="shared" si="64"/>
        <v>291</v>
      </c>
      <c r="D222" s="559">
        <v>291</v>
      </c>
      <c r="E222" s="182" t="s">
        <v>537</v>
      </c>
      <c r="F222" s="183" t="s">
        <v>2</v>
      </c>
      <c r="G222" s="182">
        <v>26</v>
      </c>
      <c r="H222" s="182" t="s">
        <v>3</v>
      </c>
      <c r="I222" s="560" t="s">
        <v>653</v>
      </c>
      <c r="J222" s="275">
        <f t="shared" si="74"/>
        <v>1</v>
      </c>
      <c r="K222" s="275">
        <f t="shared" si="75"/>
        <v>0</v>
      </c>
      <c r="L222" s="275">
        <f t="shared" si="76"/>
        <v>0</v>
      </c>
      <c r="M222" s="275">
        <f t="shared" si="77"/>
        <v>1</v>
      </c>
      <c r="N222" s="276">
        <f t="shared" si="78"/>
        <v>0</v>
      </c>
      <c r="O222" s="276">
        <f t="shared" si="79"/>
        <v>0</v>
      </c>
      <c r="P222" s="276">
        <f t="shared" si="80"/>
        <v>0</v>
      </c>
      <c r="Q222" s="276">
        <f t="shared" si="81"/>
        <v>0</v>
      </c>
      <c r="R222" s="329">
        <f t="shared" si="82"/>
        <v>1</v>
      </c>
      <c r="S222" s="273"/>
      <c r="T222" s="274" t="str">
        <f>IF(ISNA(VLOOKUP(D222,'One year follow-up_inperson'!$C:$C,1,FALSE)),"No","Yes")</f>
        <v>No</v>
      </c>
      <c r="U222" s="592" t="s">
        <v>679</v>
      </c>
    </row>
    <row r="223" spans="1:21" ht="49.8" customHeight="1">
      <c r="A223" s="368">
        <v>191</v>
      </c>
      <c r="B223" s="182" t="s">
        <v>493</v>
      </c>
      <c r="C223" s="182" t="str">
        <f t="shared" si="64"/>
        <v>291</v>
      </c>
      <c r="D223" s="559">
        <v>291</v>
      </c>
      <c r="E223" s="182" t="s">
        <v>538</v>
      </c>
      <c r="F223" s="183" t="s">
        <v>2</v>
      </c>
      <c r="G223" s="182">
        <v>22</v>
      </c>
      <c r="H223" s="182" t="s">
        <v>3</v>
      </c>
      <c r="I223" s="560" t="s">
        <v>652</v>
      </c>
      <c r="J223" s="275">
        <f t="shared" si="74"/>
        <v>0</v>
      </c>
      <c r="K223" s="275">
        <f t="shared" si="75"/>
        <v>1</v>
      </c>
      <c r="L223" s="275">
        <f t="shared" si="76"/>
        <v>0</v>
      </c>
      <c r="M223" s="275">
        <f t="shared" si="77"/>
        <v>1</v>
      </c>
      <c r="N223" s="276">
        <f t="shared" si="78"/>
        <v>1</v>
      </c>
      <c r="O223" s="276">
        <f t="shared" si="79"/>
        <v>0</v>
      </c>
      <c r="P223" s="276">
        <f t="shared" si="80"/>
        <v>0</v>
      </c>
      <c r="Q223" s="276">
        <f t="shared" si="81"/>
        <v>0</v>
      </c>
      <c r="R223" s="329">
        <f t="shared" si="82"/>
        <v>1</v>
      </c>
      <c r="S223" s="273"/>
      <c r="T223" s="274" t="str">
        <f>IF(ISNA(VLOOKUP(D223,'One year follow-up_inperson'!$C:$C,1,FALSE)),"No","Yes")</f>
        <v>No</v>
      </c>
      <c r="U223" s="592" t="s">
        <v>679</v>
      </c>
    </row>
    <row r="224" spans="1:21" ht="40.799999999999997" customHeight="1">
      <c r="A224" s="368">
        <v>192</v>
      </c>
      <c r="B224" s="182" t="s">
        <v>493</v>
      </c>
      <c r="C224" s="182" t="str">
        <f t="shared" si="64"/>
        <v>291</v>
      </c>
      <c r="D224" s="559">
        <v>291</v>
      </c>
      <c r="E224" s="182" t="s">
        <v>539</v>
      </c>
      <c r="F224" s="183" t="s">
        <v>2</v>
      </c>
      <c r="G224" s="182">
        <v>20</v>
      </c>
      <c r="H224" s="182" t="s">
        <v>5</v>
      </c>
      <c r="I224" s="560" t="s">
        <v>591</v>
      </c>
      <c r="J224" s="275">
        <f t="shared" si="74"/>
        <v>0</v>
      </c>
      <c r="K224" s="275">
        <f t="shared" si="75"/>
        <v>0</v>
      </c>
      <c r="L224" s="275">
        <f t="shared" si="76"/>
        <v>0</v>
      </c>
      <c r="M224" s="275">
        <f t="shared" si="77"/>
        <v>0</v>
      </c>
      <c r="N224" s="276">
        <f t="shared" si="78"/>
        <v>0</v>
      </c>
      <c r="O224" s="276">
        <f t="shared" si="79"/>
        <v>0</v>
      </c>
      <c r="P224" s="276">
        <f t="shared" si="80"/>
        <v>0</v>
      </c>
      <c r="Q224" s="276">
        <f t="shared" si="81"/>
        <v>0</v>
      </c>
      <c r="R224" s="329">
        <f t="shared" si="82"/>
        <v>0</v>
      </c>
      <c r="S224" s="273"/>
      <c r="T224" s="274" t="str">
        <f>IF(ISNA(VLOOKUP(D224,'One year follow-up_inperson'!$C:$C,1,FALSE)),"No","Yes")</f>
        <v>No</v>
      </c>
      <c r="U224" s="592" t="s">
        <v>679</v>
      </c>
    </row>
    <row r="225" spans="1:21" ht="48.5" customHeight="1">
      <c r="A225" s="368">
        <v>193</v>
      </c>
      <c r="B225" s="182" t="s">
        <v>493</v>
      </c>
      <c r="C225" s="182" t="str">
        <f t="shared" si="64"/>
        <v>291</v>
      </c>
      <c r="D225" s="559">
        <v>291</v>
      </c>
      <c r="E225" s="182" t="s">
        <v>540</v>
      </c>
      <c r="F225" s="183" t="s">
        <v>2</v>
      </c>
      <c r="G225" s="182">
        <v>27</v>
      </c>
      <c r="H225" s="182" t="s">
        <v>3</v>
      </c>
      <c r="I225" s="560" t="s">
        <v>651</v>
      </c>
      <c r="J225" s="275">
        <f t="shared" si="74"/>
        <v>1</v>
      </c>
      <c r="K225" s="275">
        <f t="shared" si="75"/>
        <v>0</v>
      </c>
      <c r="L225" s="275">
        <f t="shared" si="76"/>
        <v>0</v>
      </c>
      <c r="M225" s="275">
        <f t="shared" si="77"/>
        <v>1</v>
      </c>
      <c r="N225" s="276">
        <f t="shared" si="78"/>
        <v>0</v>
      </c>
      <c r="O225" s="276">
        <f t="shared" si="79"/>
        <v>1</v>
      </c>
      <c r="P225" s="276">
        <f t="shared" si="80"/>
        <v>0</v>
      </c>
      <c r="Q225" s="276">
        <f t="shared" si="81"/>
        <v>0</v>
      </c>
      <c r="R225" s="329">
        <f t="shared" si="82"/>
        <v>1</v>
      </c>
      <c r="S225" s="273"/>
      <c r="T225" s="274" t="str">
        <f>IF(ISNA(VLOOKUP(D225,'One year follow-up_inperson'!$C:$C,1,FALSE)),"No","Yes")</f>
        <v>No</v>
      </c>
      <c r="U225" s="592" t="s">
        <v>679</v>
      </c>
    </row>
    <row r="226" spans="1:21" ht="39" customHeight="1">
      <c r="A226" s="368">
        <v>194</v>
      </c>
      <c r="B226" s="182" t="s">
        <v>493</v>
      </c>
      <c r="C226" s="182" t="str">
        <f t="shared" si="64"/>
        <v>291</v>
      </c>
      <c r="D226" s="559">
        <v>291</v>
      </c>
      <c r="E226" s="182" t="s">
        <v>541</v>
      </c>
      <c r="F226" s="183" t="s">
        <v>2</v>
      </c>
      <c r="G226" s="182">
        <v>30</v>
      </c>
      <c r="H226" s="182" t="s">
        <v>3</v>
      </c>
      <c r="I226" s="560" t="s">
        <v>650</v>
      </c>
      <c r="J226" s="275">
        <f t="shared" si="74"/>
        <v>0</v>
      </c>
      <c r="K226" s="275">
        <f t="shared" si="75"/>
        <v>0</v>
      </c>
      <c r="L226" s="275">
        <f t="shared" si="76"/>
        <v>1</v>
      </c>
      <c r="M226" s="275">
        <f t="shared" si="77"/>
        <v>1</v>
      </c>
      <c r="N226" s="276">
        <f t="shared" si="78"/>
        <v>0</v>
      </c>
      <c r="O226" s="276">
        <f t="shared" si="79"/>
        <v>0</v>
      </c>
      <c r="P226" s="276">
        <f t="shared" si="80"/>
        <v>0</v>
      </c>
      <c r="Q226" s="276">
        <f t="shared" si="81"/>
        <v>0</v>
      </c>
      <c r="R226" s="329">
        <f t="shared" si="82"/>
        <v>1</v>
      </c>
      <c r="S226" s="273"/>
      <c r="T226" s="274" t="str">
        <f>IF(ISNA(VLOOKUP(D226,'One year follow-up_inperson'!$C:$C,1,FALSE)),"No","Yes")</f>
        <v>No</v>
      </c>
      <c r="U226" s="592" t="s">
        <v>679</v>
      </c>
    </row>
    <row r="227" spans="1:21" ht="43.8" customHeight="1">
      <c r="A227" s="368">
        <v>195</v>
      </c>
      <c r="B227" s="182" t="s">
        <v>493</v>
      </c>
      <c r="C227" s="182" t="str">
        <f t="shared" si="64"/>
        <v>291</v>
      </c>
      <c r="D227" s="559">
        <v>291</v>
      </c>
      <c r="E227" s="182" t="s">
        <v>542</v>
      </c>
      <c r="F227" s="183" t="s">
        <v>2</v>
      </c>
      <c r="G227" s="182">
        <v>26</v>
      </c>
      <c r="H227" s="182" t="s">
        <v>3</v>
      </c>
      <c r="I227" s="560" t="s">
        <v>649</v>
      </c>
      <c r="J227" s="275">
        <f t="shared" si="74"/>
        <v>1</v>
      </c>
      <c r="K227" s="275">
        <f t="shared" si="75"/>
        <v>0</v>
      </c>
      <c r="L227" s="275">
        <f t="shared" si="76"/>
        <v>0</v>
      </c>
      <c r="M227" s="275">
        <f t="shared" si="77"/>
        <v>1</v>
      </c>
      <c r="N227" s="276">
        <f t="shared" si="78"/>
        <v>0</v>
      </c>
      <c r="O227" s="276">
        <f t="shared" si="79"/>
        <v>0</v>
      </c>
      <c r="P227" s="276">
        <f t="shared" si="80"/>
        <v>0</v>
      </c>
      <c r="Q227" s="276">
        <f t="shared" si="81"/>
        <v>0</v>
      </c>
      <c r="R227" s="329">
        <f t="shared" si="82"/>
        <v>1</v>
      </c>
      <c r="S227" s="273"/>
      <c r="T227" s="274" t="str">
        <f>IF(ISNA(VLOOKUP(D227,'One year follow-up_inperson'!$C:$C,1,FALSE)),"No","Yes")</f>
        <v>No</v>
      </c>
      <c r="U227" s="592" t="s">
        <v>679</v>
      </c>
    </row>
    <row r="228" spans="1:21" ht="87" customHeight="1">
      <c r="A228" s="368">
        <v>196</v>
      </c>
      <c r="B228" s="182" t="s">
        <v>493</v>
      </c>
      <c r="C228" s="182" t="str">
        <f t="shared" si="64"/>
        <v>291</v>
      </c>
      <c r="D228" s="559">
        <v>291</v>
      </c>
      <c r="E228" s="182" t="s">
        <v>543</v>
      </c>
      <c r="F228" s="183" t="s">
        <v>2</v>
      </c>
      <c r="G228" s="182">
        <v>18</v>
      </c>
      <c r="H228" s="182" t="s">
        <v>3</v>
      </c>
      <c r="I228" s="560" t="s">
        <v>648</v>
      </c>
      <c r="J228" s="275">
        <f t="shared" si="74"/>
        <v>1</v>
      </c>
      <c r="K228" s="275">
        <f t="shared" si="75"/>
        <v>1</v>
      </c>
      <c r="L228" s="275">
        <f t="shared" si="76"/>
        <v>0</v>
      </c>
      <c r="M228" s="275">
        <f t="shared" si="77"/>
        <v>1</v>
      </c>
      <c r="N228" s="276">
        <f t="shared" si="78"/>
        <v>0</v>
      </c>
      <c r="O228" s="276">
        <f t="shared" si="79"/>
        <v>1</v>
      </c>
      <c r="P228" s="276">
        <f t="shared" si="80"/>
        <v>0</v>
      </c>
      <c r="Q228" s="276">
        <f t="shared" si="81"/>
        <v>0</v>
      </c>
      <c r="R228" s="329">
        <f t="shared" si="82"/>
        <v>1</v>
      </c>
      <c r="S228" s="273"/>
      <c r="T228" s="274" t="str">
        <f>IF(ISNA(VLOOKUP(D228,'One year follow-up_inperson'!$C:$C,1,FALSE)),"No","Yes")</f>
        <v>No</v>
      </c>
      <c r="U228" s="592" t="s">
        <v>679</v>
      </c>
    </row>
    <row r="229" spans="1:21" ht="75.5" customHeight="1">
      <c r="A229" s="368">
        <v>197</v>
      </c>
      <c r="B229" s="182" t="s">
        <v>493</v>
      </c>
      <c r="C229" s="182" t="str">
        <f t="shared" si="64"/>
        <v>291</v>
      </c>
      <c r="D229" s="559">
        <v>291</v>
      </c>
      <c r="E229" s="182" t="s">
        <v>544</v>
      </c>
      <c r="F229" s="183" t="s">
        <v>2</v>
      </c>
      <c r="G229" s="182">
        <v>24</v>
      </c>
      <c r="H229" s="182" t="s">
        <v>3</v>
      </c>
      <c r="I229" s="560" t="s">
        <v>592</v>
      </c>
      <c r="J229" s="275">
        <f t="shared" si="74"/>
        <v>0</v>
      </c>
      <c r="K229" s="275">
        <f t="shared" si="75"/>
        <v>0</v>
      </c>
      <c r="L229" s="275">
        <f t="shared" si="76"/>
        <v>0</v>
      </c>
      <c r="M229" s="275">
        <f t="shared" si="77"/>
        <v>0</v>
      </c>
      <c r="N229" s="276">
        <f t="shared" si="78"/>
        <v>0</v>
      </c>
      <c r="O229" s="276">
        <f t="shared" si="79"/>
        <v>0</v>
      </c>
      <c r="P229" s="276">
        <f t="shared" si="80"/>
        <v>0</v>
      </c>
      <c r="Q229" s="276">
        <f t="shared" si="81"/>
        <v>0</v>
      </c>
      <c r="R229" s="329">
        <f t="shared" si="82"/>
        <v>0</v>
      </c>
      <c r="S229" s="273"/>
      <c r="T229" s="274" t="str">
        <f>IF(ISNA(VLOOKUP(D229,'One year follow-up_inperson'!$C:$C,1,FALSE)),"No","Yes")</f>
        <v>No</v>
      </c>
      <c r="U229" s="592" t="s">
        <v>679</v>
      </c>
    </row>
    <row r="230" spans="1:21" ht="63.5" customHeight="1">
      <c r="A230" s="368">
        <v>198</v>
      </c>
      <c r="B230" s="182" t="s">
        <v>493</v>
      </c>
      <c r="C230" s="182" t="str">
        <f t="shared" si="64"/>
        <v>291</v>
      </c>
      <c r="D230" s="559">
        <v>291</v>
      </c>
      <c r="E230" s="182" t="s">
        <v>545</v>
      </c>
      <c r="F230" s="183" t="s">
        <v>2</v>
      </c>
      <c r="G230" s="182">
        <v>23</v>
      </c>
      <c r="H230" s="182" t="s">
        <v>3</v>
      </c>
      <c r="I230" s="560" t="s">
        <v>593</v>
      </c>
      <c r="J230" s="275">
        <f t="shared" si="74"/>
        <v>1</v>
      </c>
      <c r="K230" s="275">
        <f t="shared" si="75"/>
        <v>0</v>
      </c>
      <c r="L230" s="275">
        <f t="shared" si="76"/>
        <v>0</v>
      </c>
      <c r="M230" s="275">
        <f t="shared" si="77"/>
        <v>1</v>
      </c>
      <c r="N230" s="276">
        <f t="shared" si="78"/>
        <v>0</v>
      </c>
      <c r="O230" s="276">
        <f t="shared" si="79"/>
        <v>0</v>
      </c>
      <c r="P230" s="276">
        <f t="shared" si="80"/>
        <v>0</v>
      </c>
      <c r="Q230" s="276">
        <f t="shared" si="81"/>
        <v>0</v>
      </c>
      <c r="R230" s="329">
        <f t="shared" si="82"/>
        <v>1</v>
      </c>
      <c r="S230" s="273"/>
      <c r="T230" s="274" t="str">
        <f>IF(ISNA(VLOOKUP(D230,'One year follow-up_inperson'!$C:$C,1,FALSE)),"No","Yes")</f>
        <v>No</v>
      </c>
      <c r="U230" s="592" t="s">
        <v>679</v>
      </c>
    </row>
    <row r="231" spans="1:21" ht="69" customHeight="1">
      <c r="A231" s="368">
        <v>199</v>
      </c>
      <c r="B231" s="182" t="s">
        <v>493</v>
      </c>
      <c r="C231" s="182" t="str">
        <f t="shared" si="64"/>
        <v>291</v>
      </c>
      <c r="D231" s="559">
        <v>291</v>
      </c>
      <c r="E231" s="182" t="s">
        <v>546</v>
      </c>
      <c r="F231" s="183" t="s">
        <v>2</v>
      </c>
      <c r="G231" s="182">
        <v>22</v>
      </c>
      <c r="H231" s="182" t="s">
        <v>3</v>
      </c>
      <c r="I231" s="560" t="s">
        <v>594</v>
      </c>
      <c r="J231" s="275">
        <f t="shared" si="74"/>
        <v>1</v>
      </c>
      <c r="K231" s="275">
        <f t="shared" si="75"/>
        <v>0</v>
      </c>
      <c r="L231" s="275">
        <f t="shared" si="76"/>
        <v>1</v>
      </c>
      <c r="M231" s="275">
        <f t="shared" si="77"/>
        <v>1</v>
      </c>
      <c r="N231" s="276">
        <f t="shared" si="78"/>
        <v>0</v>
      </c>
      <c r="O231" s="276">
        <f t="shared" si="79"/>
        <v>0</v>
      </c>
      <c r="P231" s="276">
        <f t="shared" si="80"/>
        <v>0</v>
      </c>
      <c r="Q231" s="276">
        <f t="shared" si="81"/>
        <v>0</v>
      </c>
      <c r="R231" s="329">
        <f t="shared" si="82"/>
        <v>1</v>
      </c>
      <c r="S231" s="273"/>
      <c r="T231" s="274" t="str">
        <f>IF(ISNA(VLOOKUP(D231,'One year follow-up_inperson'!$C:$C,1,FALSE)),"No","Yes")</f>
        <v>No</v>
      </c>
      <c r="U231" s="592" t="s">
        <v>679</v>
      </c>
    </row>
    <row r="232" spans="1:21" ht="69.5" customHeight="1">
      <c r="A232" s="368">
        <v>200</v>
      </c>
      <c r="B232" s="182" t="s">
        <v>493</v>
      </c>
      <c r="C232" s="182" t="str">
        <f t="shared" si="64"/>
        <v>291</v>
      </c>
      <c r="D232" s="559">
        <v>291</v>
      </c>
      <c r="E232" s="182" t="s">
        <v>547</v>
      </c>
      <c r="F232" s="183" t="s">
        <v>2</v>
      </c>
      <c r="G232" s="182">
        <v>24</v>
      </c>
      <c r="H232" s="182" t="s">
        <v>5</v>
      </c>
      <c r="I232" s="560" t="s">
        <v>595</v>
      </c>
      <c r="J232" s="275">
        <f t="shared" si="74"/>
        <v>1</v>
      </c>
      <c r="K232" s="275">
        <f t="shared" si="75"/>
        <v>0</v>
      </c>
      <c r="L232" s="275">
        <f t="shared" si="76"/>
        <v>0</v>
      </c>
      <c r="M232" s="275">
        <f t="shared" si="77"/>
        <v>1</v>
      </c>
      <c r="N232" s="276">
        <f t="shared" si="78"/>
        <v>0</v>
      </c>
      <c r="O232" s="276">
        <f t="shared" si="79"/>
        <v>0</v>
      </c>
      <c r="P232" s="276">
        <f t="shared" si="80"/>
        <v>0</v>
      </c>
      <c r="Q232" s="276">
        <f t="shared" si="81"/>
        <v>0</v>
      </c>
      <c r="R232" s="329">
        <f t="shared" si="82"/>
        <v>1</v>
      </c>
      <c r="S232" s="273"/>
      <c r="T232" s="274" t="str">
        <f>IF(ISNA(VLOOKUP(D232,'One year follow-up_inperson'!$C:$C,1,FALSE)),"No","Yes")</f>
        <v>No</v>
      </c>
      <c r="U232" s="592" t="s">
        <v>679</v>
      </c>
    </row>
    <row r="233" spans="1:21" ht="38.549999999999997" customHeight="1">
      <c r="A233" s="368">
        <v>201</v>
      </c>
      <c r="B233" s="182" t="s">
        <v>493</v>
      </c>
      <c r="C233" s="182" t="str">
        <f t="shared" si="64"/>
        <v>291</v>
      </c>
      <c r="D233" s="559">
        <v>291</v>
      </c>
      <c r="E233" s="182" t="s">
        <v>548</v>
      </c>
      <c r="F233" s="183" t="s">
        <v>2</v>
      </c>
      <c r="G233" s="182">
        <v>25</v>
      </c>
      <c r="H233" s="182" t="s">
        <v>3</v>
      </c>
      <c r="I233" s="561" t="s">
        <v>647</v>
      </c>
      <c r="J233" s="275">
        <f t="shared" si="74"/>
        <v>1</v>
      </c>
      <c r="K233" s="275">
        <f t="shared" si="75"/>
        <v>1</v>
      </c>
      <c r="L233" s="275">
        <f t="shared" si="76"/>
        <v>0</v>
      </c>
      <c r="M233" s="275">
        <f t="shared" si="77"/>
        <v>1</v>
      </c>
      <c r="N233" s="276">
        <f t="shared" si="78"/>
        <v>1</v>
      </c>
      <c r="O233" s="276">
        <f t="shared" si="79"/>
        <v>0</v>
      </c>
      <c r="P233" s="276">
        <f t="shared" si="80"/>
        <v>0</v>
      </c>
      <c r="Q233" s="276">
        <f t="shared" si="81"/>
        <v>0</v>
      </c>
      <c r="R233" s="329">
        <f t="shared" si="82"/>
        <v>1</v>
      </c>
      <c r="S233" s="273"/>
      <c r="T233" s="274" t="str">
        <f>IF(ISNA(VLOOKUP(D233,'One year follow-up_inperson'!$C:$C,1,FALSE)),"No","Yes")</f>
        <v>No</v>
      </c>
      <c r="U233" s="592" t="s">
        <v>679</v>
      </c>
    </row>
    <row r="234" spans="1:21" ht="57">
      <c r="A234" s="368">
        <v>202</v>
      </c>
      <c r="B234" s="182" t="s">
        <v>493</v>
      </c>
      <c r="C234" s="182" t="str">
        <f t="shared" si="64"/>
        <v>291</v>
      </c>
      <c r="D234" s="559">
        <v>291</v>
      </c>
      <c r="E234" s="182" t="s">
        <v>549</v>
      </c>
      <c r="F234" s="183" t="s">
        <v>2</v>
      </c>
      <c r="G234" s="182">
        <v>30</v>
      </c>
      <c r="H234" s="182" t="s">
        <v>3</v>
      </c>
      <c r="I234" s="576" t="s">
        <v>646</v>
      </c>
      <c r="J234" s="275">
        <f t="shared" si="74"/>
        <v>1</v>
      </c>
      <c r="K234" s="275">
        <f t="shared" si="75"/>
        <v>1</v>
      </c>
      <c r="L234" s="275">
        <f t="shared" si="76"/>
        <v>0</v>
      </c>
      <c r="M234" s="275">
        <f t="shared" si="77"/>
        <v>1</v>
      </c>
      <c r="N234" s="276">
        <f t="shared" si="78"/>
        <v>1</v>
      </c>
      <c r="O234" s="276">
        <f t="shared" si="79"/>
        <v>0</v>
      </c>
      <c r="P234" s="276">
        <f t="shared" si="80"/>
        <v>0</v>
      </c>
      <c r="Q234" s="276">
        <f t="shared" si="81"/>
        <v>0</v>
      </c>
      <c r="R234" s="329">
        <f t="shared" si="82"/>
        <v>1</v>
      </c>
      <c r="S234" s="273"/>
      <c r="T234" s="274" t="str">
        <f>IF(ISNA(VLOOKUP(D234,'One year follow-up_inperson'!$C:$C,1,FALSE)),"No","Yes")</f>
        <v>No</v>
      </c>
      <c r="U234" s="592" t="s">
        <v>679</v>
      </c>
    </row>
    <row r="235" spans="1:21" ht="28.5">
      <c r="A235" s="368">
        <v>203</v>
      </c>
      <c r="B235" s="182" t="s">
        <v>493</v>
      </c>
      <c r="C235" s="182" t="str">
        <f t="shared" ref="C235:C273" si="83">LEFT(D235,3)</f>
        <v>291</v>
      </c>
      <c r="D235" s="559">
        <v>291</v>
      </c>
      <c r="E235" s="182" t="s">
        <v>550</v>
      </c>
      <c r="F235" s="183" t="s">
        <v>2</v>
      </c>
      <c r="G235" s="182">
        <v>21</v>
      </c>
      <c r="H235" s="182" t="s">
        <v>3</v>
      </c>
      <c r="I235" s="560" t="s">
        <v>596</v>
      </c>
      <c r="J235" s="275">
        <f t="shared" si="74"/>
        <v>0</v>
      </c>
      <c r="K235" s="275">
        <f t="shared" si="75"/>
        <v>1</v>
      </c>
      <c r="L235" s="275">
        <f t="shared" si="76"/>
        <v>0</v>
      </c>
      <c r="M235" s="275">
        <f t="shared" si="77"/>
        <v>1</v>
      </c>
      <c r="N235" s="276">
        <f t="shared" si="78"/>
        <v>0</v>
      </c>
      <c r="O235" s="276">
        <f t="shared" si="79"/>
        <v>0</v>
      </c>
      <c r="P235" s="276">
        <f t="shared" si="80"/>
        <v>0</v>
      </c>
      <c r="Q235" s="276">
        <f t="shared" si="81"/>
        <v>0</v>
      </c>
      <c r="R235" s="329">
        <f t="shared" si="82"/>
        <v>1</v>
      </c>
      <c r="S235" s="273"/>
      <c r="T235" s="274" t="str">
        <f>IF(ISNA(VLOOKUP(D235,'One year follow-up_inperson'!$C:$C,1,FALSE)),"No","Yes")</f>
        <v>No</v>
      </c>
      <c r="U235" s="592" t="s">
        <v>679</v>
      </c>
    </row>
    <row r="236" spans="1:21" ht="28.5">
      <c r="A236" s="368">
        <v>204</v>
      </c>
      <c r="B236" s="182" t="s">
        <v>493</v>
      </c>
      <c r="C236" s="182" t="str">
        <f t="shared" si="83"/>
        <v>291</v>
      </c>
      <c r="D236" s="559">
        <v>291</v>
      </c>
      <c r="E236" s="182" t="s">
        <v>551</v>
      </c>
      <c r="F236" s="183" t="s">
        <v>2</v>
      </c>
      <c r="G236" s="182">
        <v>24</v>
      </c>
      <c r="H236" s="182" t="s">
        <v>3</v>
      </c>
      <c r="I236" s="560" t="s">
        <v>597</v>
      </c>
      <c r="J236" s="275">
        <f t="shared" si="74"/>
        <v>1</v>
      </c>
      <c r="K236" s="275">
        <f t="shared" si="75"/>
        <v>0</v>
      </c>
      <c r="L236" s="275">
        <f t="shared" si="76"/>
        <v>0</v>
      </c>
      <c r="M236" s="275">
        <f t="shared" si="77"/>
        <v>1</v>
      </c>
      <c r="N236" s="276">
        <f t="shared" si="78"/>
        <v>0</v>
      </c>
      <c r="O236" s="276">
        <f t="shared" si="79"/>
        <v>0</v>
      </c>
      <c r="P236" s="276">
        <f t="shared" si="80"/>
        <v>0</v>
      </c>
      <c r="Q236" s="276">
        <f t="shared" si="81"/>
        <v>0</v>
      </c>
      <c r="R236" s="329">
        <f t="shared" si="82"/>
        <v>1</v>
      </c>
      <c r="S236" s="273"/>
      <c r="T236" s="274" t="str">
        <f>IF(ISNA(VLOOKUP(D236,'One year follow-up_inperson'!$C:$C,1,FALSE)),"No","Yes")</f>
        <v>No</v>
      </c>
      <c r="U236" s="592" t="s">
        <v>679</v>
      </c>
    </row>
    <row r="237" spans="1:21" ht="28.5">
      <c r="A237" s="368">
        <v>205</v>
      </c>
      <c r="B237" s="182" t="s">
        <v>493</v>
      </c>
      <c r="C237" s="182" t="str">
        <f t="shared" si="83"/>
        <v>291</v>
      </c>
      <c r="D237" s="559">
        <v>291</v>
      </c>
      <c r="E237" s="182" t="s">
        <v>552</v>
      </c>
      <c r="F237" s="183" t="s">
        <v>2</v>
      </c>
      <c r="G237" s="182">
        <v>24</v>
      </c>
      <c r="H237" s="182" t="s">
        <v>3</v>
      </c>
      <c r="I237" s="560" t="s">
        <v>598</v>
      </c>
      <c r="J237" s="275">
        <f t="shared" si="74"/>
        <v>0</v>
      </c>
      <c r="K237" s="275">
        <f t="shared" si="75"/>
        <v>0</v>
      </c>
      <c r="L237" s="275">
        <f t="shared" si="76"/>
        <v>1</v>
      </c>
      <c r="M237" s="275">
        <f t="shared" si="77"/>
        <v>1</v>
      </c>
      <c r="N237" s="276">
        <f t="shared" si="78"/>
        <v>0</v>
      </c>
      <c r="O237" s="276">
        <f t="shared" si="79"/>
        <v>0</v>
      </c>
      <c r="P237" s="276">
        <f t="shared" si="80"/>
        <v>0</v>
      </c>
      <c r="Q237" s="276">
        <f t="shared" si="81"/>
        <v>0</v>
      </c>
      <c r="R237" s="329">
        <f t="shared" si="82"/>
        <v>1</v>
      </c>
      <c r="S237" s="273"/>
      <c r="T237" s="274" t="str">
        <f>IF(ISNA(VLOOKUP(D237,'One year follow-up_inperson'!$C:$C,1,FALSE)),"No","Yes")</f>
        <v>No</v>
      </c>
      <c r="U237" s="592" t="s">
        <v>679</v>
      </c>
    </row>
    <row r="238" spans="1:21" ht="63" customHeight="1">
      <c r="A238" s="368">
        <v>206</v>
      </c>
      <c r="B238" s="182" t="s">
        <v>493</v>
      </c>
      <c r="C238" s="182" t="str">
        <f t="shared" si="83"/>
        <v>291</v>
      </c>
      <c r="D238" s="559">
        <v>291</v>
      </c>
      <c r="E238" s="182" t="s">
        <v>553</v>
      </c>
      <c r="F238" s="183" t="s">
        <v>2</v>
      </c>
      <c r="G238" s="182">
        <v>28</v>
      </c>
      <c r="H238" s="182" t="s">
        <v>3</v>
      </c>
      <c r="I238" s="560" t="s">
        <v>627</v>
      </c>
      <c r="J238" s="275">
        <f t="shared" si="74"/>
        <v>1</v>
      </c>
      <c r="K238" s="275">
        <f t="shared" si="75"/>
        <v>1</v>
      </c>
      <c r="L238" s="275">
        <f t="shared" si="76"/>
        <v>0</v>
      </c>
      <c r="M238" s="275">
        <f t="shared" si="77"/>
        <v>1</v>
      </c>
      <c r="N238" s="276">
        <f t="shared" si="78"/>
        <v>1</v>
      </c>
      <c r="O238" s="276">
        <f t="shared" si="79"/>
        <v>0</v>
      </c>
      <c r="P238" s="276">
        <f t="shared" si="80"/>
        <v>0</v>
      </c>
      <c r="Q238" s="276">
        <f t="shared" si="81"/>
        <v>0</v>
      </c>
      <c r="R238" s="329">
        <f t="shared" si="82"/>
        <v>1</v>
      </c>
      <c r="S238" s="273"/>
      <c r="T238" s="274" t="str">
        <f>IF(ISNA(VLOOKUP(D238,'One year follow-up_inperson'!$C:$C,1,FALSE)),"No","Yes")</f>
        <v>No</v>
      </c>
      <c r="U238" s="592" t="s">
        <v>679</v>
      </c>
    </row>
    <row r="239" spans="1:21" ht="63" customHeight="1">
      <c r="A239" s="368">
        <v>207</v>
      </c>
      <c r="B239" s="182" t="s">
        <v>493</v>
      </c>
      <c r="C239" s="182" t="str">
        <f t="shared" si="83"/>
        <v>291</v>
      </c>
      <c r="D239" s="559">
        <v>291</v>
      </c>
      <c r="E239" s="182" t="s">
        <v>554</v>
      </c>
      <c r="F239" s="183" t="s">
        <v>2</v>
      </c>
      <c r="G239" s="182">
        <v>18</v>
      </c>
      <c r="H239" s="182" t="s">
        <v>3</v>
      </c>
      <c r="I239" s="560" t="s">
        <v>599</v>
      </c>
      <c r="J239" s="275">
        <f t="shared" si="74"/>
        <v>1</v>
      </c>
      <c r="K239" s="275">
        <f t="shared" si="75"/>
        <v>0</v>
      </c>
      <c r="L239" s="275">
        <f t="shared" si="76"/>
        <v>0</v>
      </c>
      <c r="M239" s="275">
        <f t="shared" si="77"/>
        <v>1</v>
      </c>
      <c r="N239" s="276">
        <f t="shared" si="78"/>
        <v>0</v>
      </c>
      <c r="O239" s="276">
        <f t="shared" si="79"/>
        <v>0</v>
      </c>
      <c r="P239" s="276">
        <f t="shared" si="80"/>
        <v>0</v>
      </c>
      <c r="Q239" s="276">
        <f t="shared" si="81"/>
        <v>0</v>
      </c>
      <c r="R239" s="329">
        <f t="shared" si="82"/>
        <v>1</v>
      </c>
      <c r="S239" s="273"/>
      <c r="T239" s="274" t="str">
        <f>IF(ISNA(VLOOKUP(D239,'One year follow-up_inperson'!$C:$C,1,FALSE)),"No","Yes")</f>
        <v>No</v>
      </c>
      <c r="U239" s="592" t="s">
        <v>679</v>
      </c>
    </row>
    <row r="240" spans="1:21" ht="43.25" customHeight="1">
      <c r="A240" s="368">
        <v>208</v>
      </c>
      <c r="B240" s="182" t="s">
        <v>493</v>
      </c>
      <c r="C240" s="182" t="str">
        <f t="shared" si="83"/>
        <v>291</v>
      </c>
      <c r="D240" s="559">
        <v>291</v>
      </c>
      <c r="E240" s="182" t="s">
        <v>555</v>
      </c>
      <c r="F240" s="183" t="s">
        <v>2</v>
      </c>
      <c r="G240" s="182">
        <v>22</v>
      </c>
      <c r="H240" s="182" t="s">
        <v>5</v>
      </c>
      <c r="I240" s="560" t="s">
        <v>600</v>
      </c>
      <c r="J240" s="275">
        <f t="shared" si="74"/>
        <v>0</v>
      </c>
      <c r="K240" s="275">
        <f t="shared" si="75"/>
        <v>0</v>
      </c>
      <c r="L240" s="275">
        <f t="shared" si="76"/>
        <v>0</v>
      </c>
      <c r="M240" s="275">
        <f t="shared" si="77"/>
        <v>0</v>
      </c>
      <c r="N240" s="276">
        <f t="shared" si="78"/>
        <v>0</v>
      </c>
      <c r="O240" s="276">
        <f t="shared" si="79"/>
        <v>0</v>
      </c>
      <c r="P240" s="276">
        <f t="shared" si="80"/>
        <v>0</v>
      </c>
      <c r="Q240" s="276">
        <f t="shared" si="81"/>
        <v>0</v>
      </c>
      <c r="R240" s="329">
        <f t="shared" si="82"/>
        <v>0</v>
      </c>
      <c r="S240" s="273"/>
      <c r="T240" s="274" t="str">
        <f>IF(ISNA(VLOOKUP(D240,'One year follow-up_inperson'!$C:$C,1,FALSE)),"No","Yes")</f>
        <v>No</v>
      </c>
      <c r="U240" s="592" t="s">
        <v>679</v>
      </c>
    </row>
    <row r="241" spans="1:21" ht="52.8" customHeight="1">
      <c r="A241" s="368">
        <v>209</v>
      </c>
      <c r="B241" s="182" t="s">
        <v>493</v>
      </c>
      <c r="C241" s="182" t="str">
        <f t="shared" si="83"/>
        <v>291</v>
      </c>
      <c r="D241" s="559">
        <v>291</v>
      </c>
      <c r="E241" s="182" t="s">
        <v>556</v>
      </c>
      <c r="F241" s="183" t="s">
        <v>2</v>
      </c>
      <c r="G241" s="182">
        <v>22</v>
      </c>
      <c r="H241" s="182" t="s">
        <v>5</v>
      </c>
      <c r="I241" s="561" t="s">
        <v>625</v>
      </c>
      <c r="J241" s="275">
        <f t="shared" si="74"/>
        <v>0</v>
      </c>
      <c r="K241" s="275">
        <f t="shared" si="75"/>
        <v>1</v>
      </c>
      <c r="L241" s="275">
        <f t="shared" si="76"/>
        <v>0</v>
      </c>
      <c r="M241" s="275">
        <f t="shared" si="77"/>
        <v>1</v>
      </c>
      <c r="N241" s="276">
        <f t="shared" si="78"/>
        <v>1</v>
      </c>
      <c r="O241" s="276">
        <f t="shared" si="79"/>
        <v>0</v>
      </c>
      <c r="P241" s="276">
        <f t="shared" si="80"/>
        <v>0</v>
      </c>
      <c r="Q241" s="276">
        <f t="shared" si="81"/>
        <v>0</v>
      </c>
      <c r="R241" s="329">
        <f t="shared" si="82"/>
        <v>1</v>
      </c>
      <c r="S241" s="273"/>
      <c r="T241" s="274" t="str">
        <f>IF(ISNA(VLOOKUP(D241,'One year follow-up_inperson'!$C:$C,1,FALSE)),"No","Yes")</f>
        <v>No</v>
      </c>
      <c r="U241" s="592" t="s">
        <v>679</v>
      </c>
    </row>
    <row r="242" spans="1:21" ht="42.75">
      <c r="A242" s="368">
        <v>210</v>
      </c>
      <c r="B242" s="182" t="s">
        <v>493</v>
      </c>
      <c r="C242" s="182" t="str">
        <f t="shared" si="83"/>
        <v>291</v>
      </c>
      <c r="D242" s="559">
        <v>291</v>
      </c>
      <c r="E242" s="182" t="s">
        <v>557</v>
      </c>
      <c r="F242" s="183" t="s">
        <v>2</v>
      </c>
      <c r="G242" s="182">
        <v>26</v>
      </c>
      <c r="H242" s="182" t="s">
        <v>3</v>
      </c>
      <c r="I242" s="560" t="s">
        <v>601</v>
      </c>
      <c r="J242" s="275">
        <f t="shared" si="74"/>
        <v>1</v>
      </c>
      <c r="K242" s="275">
        <f t="shared" si="75"/>
        <v>0</v>
      </c>
      <c r="L242" s="275">
        <f t="shared" si="76"/>
        <v>1</v>
      </c>
      <c r="M242" s="275">
        <f t="shared" si="77"/>
        <v>1</v>
      </c>
      <c r="N242" s="276">
        <f t="shared" si="78"/>
        <v>0</v>
      </c>
      <c r="O242" s="276">
        <f t="shared" si="79"/>
        <v>0</v>
      </c>
      <c r="P242" s="276">
        <f t="shared" si="80"/>
        <v>0</v>
      </c>
      <c r="Q242" s="276">
        <f t="shared" si="81"/>
        <v>0</v>
      </c>
      <c r="R242" s="329">
        <f t="shared" si="82"/>
        <v>1</v>
      </c>
      <c r="S242" s="273"/>
      <c r="T242" s="274" t="str">
        <f>IF(ISNA(VLOOKUP(D242,'One year follow-up_inperson'!$C:$C,1,FALSE)),"No","Yes")</f>
        <v>No</v>
      </c>
      <c r="U242" s="592" t="s">
        <v>679</v>
      </c>
    </row>
    <row r="243" spans="1:21" ht="61.25" customHeight="1">
      <c r="A243" s="368">
        <v>211</v>
      </c>
      <c r="B243" s="182" t="s">
        <v>493</v>
      </c>
      <c r="C243" s="182" t="str">
        <f t="shared" si="83"/>
        <v>291</v>
      </c>
      <c r="D243" s="559">
        <v>291</v>
      </c>
      <c r="E243" s="182" t="s">
        <v>558</v>
      </c>
      <c r="F243" s="183" t="s">
        <v>2</v>
      </c>
      <c r="G243" s="182">
        <v>20</v>
      </c>
      <c r="H243" s="182" t="s">
        <v>3</v>
      </c>
      <c r="I243" s="561" t="s">
        <v>626</v>
      </c>
      <c r="J243" s="275">
        <f t="shared" si="74"/>
        <v>1</v>
      </c>
      <c r="K243" s="275">
        <f t="shared" si="75"/>
        <v>0</v>
      </c>
      <c r="L243" s="275">
        <f t="shared" si="76"/>
        <v>0</v>
      </c>
      <c r="M243" s="275">
        <f t="shared" si="77"/>
        <v>1</v>
      </c>
      <c r="N243" s="276">
        <f t="shared" si="78"/>
        <v>0</v>
      </c>
      <c r="O243" s="276">
        <f t="shared" si="79"/>
        <v>0</v>
      </c>
      <c r="P243" s="276">
        <f t="shared" si="80"/>
        <v>0</v>
      </c>
      <c r="Q243" s="276">
        <f t="shared" si="81"/>
        <v>0</v>
      </c>
      <c r="R243" s="329">
        <f t="shared" si="82"/>
        <v>1</v>
      </c>
      <c r="S243" s="273"/>
      <c r="T243" s="274" t="str">
        <f>IF(ISNA(VLOOKUP(D243,'One year follow-up_inperson'!$C:$C,1,FALSE)),"No","Yes")</f>
        <v>No</v>
      </c>
      <c r="U243" s="592" t="s">
        <v>679</v>
      </c>
    </row>
    <row r="244" spans="1:21" ht="40.799999999999997" customHeight="1">
      <c r="A244" s="368">
        <v>212</v>
      </c>
      <c r="B244" s="182" t="s">
        <v>493</v>
      </c>
      <c r="C244" s="182" t="str">
        <f t="shared" si="83"/>
        <v>291</v>
      </c>
      <c r="D244" s="559">
        <v>291</v>
      </c>
      <c r="E244" s="182" t="s">
        <v>559</v>
      </c>
      <c r="F244" s="183" t="s">
        <v>2</v>
      </c>
      <c r="G244" s="182">
        <v>28</v>
      </c>
      <c r="H244" s="182" t="s">
        <v>5</v>
      </c>
      <c r="I244" s="561" t="s">
        <v>625</v>
      </c>
      <c r="J244" s="275">
        <f t="shared" si="74"/>
        <v>0</v>
      </c>
      <c r="K244" s="275">
        <f t="shared" si="75"/>
        <v>1</v>
      </c>
      <c r="L244" s="275">
        <f t="shared" si="76"/>
        <v>0</v>
      </c>
      <c r="M244" s="275">
        <f t="shared" si="77"/>
        <v>1</v>
      </c>
      <c r="N244" s="276">
        <f t="shared" si="78"/>
        <v>1</v>
      </c>
      <c r="O244" s="276">
        <f t="shared" si="79"/>
        <v>0</v>
      </c>
      <c r="P244" s="276">
        <f t="shared" si="80"/>
        <v>0</v>
      </c>
      <c r="Q244" s="276">
        <f t="shared" si="81"/>
        <v>0</v>
      </c>
      <c r="R244" s="329">
        <f t="shared" si="82"/>
        <v>1</v>
      </c>
      <c r="S244" s="273"/>
      <c r="T244" s="274" t="str">
        <f>IF(ISNA(VLOOKUP(D244,'One year follow-up_inperson'!$C:$C,1,FALSE)),"No","Yes")</f>
        <v>No</v>
      </c>
      <c r="U244" s="592" t="s">
        <v>679</v>
      </c>
    </row>
    <row r="245" spans="1:21" ht="63" customHeight="1">
      <c r="A245" s="368">
        <v>213</v>
      </c>
      <c r="B245" s="182" t="s">
        <v>493</v>
      </c>
      <c r="C245" s="182" t="str">
        <f t="shared" si="83"/>
        <v>291</v>
      </c>
      <c r="D245" s="559">
        <v>291</v>
      </c>
      <c r="E245" s="182" t="s">
        <v>560</v>
      </c>
      <c r="F245" s="183" t="s">
        <v>2</v>
      </c>
      <c r="G245" s="182">
        <v>23</v>
      </c>
      <c r="H245" s="182" t="s">
        <v>3</v>
      </c>
      <c r="I245" s="561" t="s">
        <v>602</v>
      </c>
      <c r="J245" s="275">
        <f t="shared" si="74"/>
        <v>1</v>
      </c>
      <c r="K245" s="275">
        <f t="shared" si="75"/>
        <v>0</v>
      </c>
      <c r="L245" s="275">
        <f t="shared" si="76"/>
        <v>0</v>
      </c>
      <c r="M245" s="275">
        <f t="shared" si="77"/>
        <v>1</v>
      </c>
      <c r="N245" s="276">
        <f t="shared" si="78"/>
        <v>0</v>
      </c>
      <c r="O245" s="276">
        <f t="shared" si="79"/>
        <v>0</v>
      </c>
      <c r="P245" s="276">
        <f t="shared" si="80"/>
        <v>0</v>
      </c>
      <c r="Q245" s="276">
        <f t="shared" si="81"/>
        <v>0</v>
      </c>
      <c r="R245" s="329">
        <f t="shared" si="82"/>
        <v>1</v>
      </c>
      <c r="S245" s="273"/>
      <c r="T245" s="274" t="str">
        <f>IF(ISNA(VLOOKUP(D245,'One year follow-up_inperson'!$C:$C,1,FALSE)),"No","Yes")</f>
        <v>No</v>
      </c>
      <c r="U245" s="592" t="s">
        <v>679</v>
      </c>
    </row>
    <row r="246" spans="1:21" ht="51" customHeight="1">
      <c r="A246" s="368">
        <v>214</v>
      </c>
      <c r="B246" s="182" t="s">
        <v>493</v>
      </c>
      <c r="C246" s="182" t="str">
        <f t="shared" si="83"/>
        <v>291</v>
      </c>
      <c r="D246" s="559">
        <v>291</v>
      </c>
      <c r="E246" s="182" t="s">
        <v>561</v>
      </c>
      <c r="F246" s="183" t="s">
        <v>2</v>
      </c>
      <c r="G246" s="182">
        <v>22</v>
      </c>
      <c r="H246" s="182" t="s">
        <v>3</v>
      </c>
      <c r="I246" s="577" t="s">
        <v>603</v>
      </c>
      <c r="J246" s="275">
        <f t="shared" si="74"/>
        <v>1</v>
      </c>
      <c r="K246" s="275">
        <f t="shared" si="75"/>
        <v>0</v>
      </c>
      <c r="L246" s="275">
        <f t="shared" si="76"/>
        <v>0</v>
      </c>
      <c r="M246" s="275">
        <f t="shared" si="77"/>
        <v>1</v>
      </c>
      <c r="N246" s="276">
        <f t="shared" si="78"/>
        <v>0</v>
      </c>
      <c r="O246" s="276">
        <f t="shared" si="79"/>
        <v>0</v>
      </c>
      <c r="P246" s="276">
        <f t="shared" si="80"/>
        <v>0</v>
      </c>
      <c r="Q246" s="276">
        <f t="shared" si="81"/>
        <v>0</v>
      </c>
      <c r="R246" s="329">
        <f t="shared" si="82"/>
        <v>1</v>
      </c>
      <c r="S246" s="273"/>
      <c r="T246" s="274" t="str">
        <f>IF(ISNA(VLOOKUP(D246,'One year follow-up_inperson'!$C:$C,1,FALSE)),"No","Yes")</f>
        <v>No</v>
      </c>
      <c r="U246" s="592" t="s">
        <v>679</v>
      </c>
    </row>
    <row r="247" spans="1:21" ht="30.5" customHeight="1">
      <c r="A247" s="368">
        <v>215</v>
      </c>
      <c r="B247" s="182" t="s">
        <v>493</v>
      </c>
      <c r="C247" s="182" t="str">
        <f t="shared" si="83"/>
        <v>291</v>
      </c>
      <c r="D247" s="559">
        <v>291</v>
      </c>
      <c r="E247" s="182" t="s">
        <v>562</v>
      </c>
      <c r="F247" s="183" t="s">
        <v>2</v>
      </c>
      <c r="G247" s="182">
        <v>20</v>
      </c>
      <c r="H247" s="182" t="s">
        <v>3</v>
      </c>
      <c r="I247" s="561" t="s">
        <v>624</v>
      </c>
      <c r="J247" s="275">
        <f t="shared" si="74"/>
        <v>0</v>
      </c>
      <c r="K247" s="275">
        <f t="shared" si="75"/>
        <v>0</v>
      </c>
      <c r="L247" s="275">
        <f t="shared" si="76"/>
        <v>0</v>
      </c>
      <c r="M247" s="275">
        <f t="shared" si="77"/>
        <v>0</v>
      </c>
      <c r="N247" s="276">
        <f t="shared" si="78"/>
        <v>0</v>
      </c>
      <c r="O247" s="276">
        <f t="shared" si="79"/>
        <v>1</v>
      </c>
      <c r="P247" s="276">
        <f t="shared" si="80"/>
        <v>0</v>
      </c>
      <c r="Q247" s="276">
        <f t="shared" si="81"/>
        <v>0</v>
      </c>
      <c r="R247" s="329">
        <f t="shared" si="82"/>
        <v>1</v>
      </c>
      <c r="S247" s="273"/>
      <c r="T247" s="274" t="str">
        <f>IF(ISNA(VLOOKUP(D247,'One year follow-up_inperson'!$C:$C,1,FALSE)),"No","Yes")</f>
        <v>No</v>
      </c>
      <c r="U247" s="592" t="s">
        <v>679</v>
      </c>
    </row>
    <row r="248" spans="1:21" ht="37.25" customHeight="1">
      <c r="A248" s="368">
        <v>216</v>
      </c>
      <c r="B248" s="182" t="s">
        <v>493</v>
      </c>
      <c r="C248" s="182" t="str">
        <f t="shared" si="83"/>
        <v>291</v>
      </c>
      <c r="D248" s="559">
        <v>291</v>
      </c>
      <c r="E248" s="182" t="s">
        <v>563</v>
      </c>
      <c r="F248" s="183" t="s">
        <v>2</v>
      </c>
      <c r="G248" s="182">
        <v>21</v>
      </c>
      <c r="H248" s="182" t="s">
        <v>5</v>
      </c>
      <c r="I248" s="561" t="s">
        <v>645</v>
      </c>
      <c r="J248" s="275">
        <f t="shared" si="74"/>
        <v>0</v>
      </c>
      <c r="K248" s="275">
        <f t="shared" si="75"/>
        <v>0</v>
      </c>
      <c r="L248" s="275">
        <f t="shared" si="76"/>
        <v>0</v>
      </c>
      <c r="M248" s="275">
        <f t="shared" si="77"/>
        <v>0</v>
      </c>
      <c r="N248" s="276">
        <f t="shared" si="78"/>
        <v>0</v>
      </c>
      <c r="O248" s="276">
        <f t="shared" si="79"/>
        <v>1</v>
      </c>
      <c r="P248" s="276">
        <f t="shared" si="80"/>
        <v>0</v>
      </c>
      <c r="Q248" s="276">
        <f t="shared" si="81"/>
        <v>0</v>
      </c>
      <c r="R248" s="329">
        <f t="shared" si="82"/>
        <v>1</v>
      </c>
      <c r="S248" s="273"/>
      <c r="T248" s="274" t="str">
        <f>IF(ISNA(VLOOKUP(D248,'One year follow-up_inperson'!$C:$C,1,FALSE)),"No","Yes")</f>
        <v>No</v>
      </c>
      <c r="U248" s="592" t="s">
        <v>679</v>
      </c>
    </row>
    <row r="249" spans="1:21" ht="40.799999999999997" customHeight="1">
      <c r="A249" s="368">
        <v>217</v>
      </c>
      <c r="B249" s="182" t="s">
        <v>493</v>
      </c>
      <c r="C249" s="182" t="str">
        <f t="shared" si="83"/>
        <v>291</v>
      </c>
      <c r="D249" s="559">
        <v>291</v>
      </c>
      <c r="E249" s="182" t="s">
        <v>564</v>
      </c>
      <c r="F249" s="183" t="s">
        <v>2</v>
      </c>
      <c r="G249" s="182">
        <v>23</v>
      </c>
      <c r="H249" s="182" t="s">
        <v>3</v>
      </c>
      <c r="I249" s="561" t="s">
        <v>604</v>
      </c>
      <c r="J249" s="275">
        <f t="shared" si="74"/>
        <v>1</v>
      </c>
      <c r="K249" s="275">
        <f t="shared" si="75"/>
        <v>0</v>
      </c>
      <c r="L249" s="275">
        <f t="shared" si="76"/>
        <v>0</v>
      </c>
      <c r="M249" s="275">
        <f t="shared" si="77"/>
        <v>1</v>
      </c>
      <c r="N249" s="276">
        <f t="shared" si="78"/>
        <v>0</v>
      </c>
      <c r="O249" s="276">
        <f t="shared" si="79"/>
        <v>0</v>
      </c>
      <c r="P249" s="276">
        <f t="shared" si="80"/>
        <v>0</v>
      </c>
      <c r="Q249" s="276">
        <f t="shared" si="81"/>
        <v>0</v>
      </c>
      <c r="R249" s="329">
        <f t="shared" si="82"/>
        <v>1</v>
      </c>
      <c r="S249" s="273"/>
      <c r="T249" s="274" t="str">
        <f>IF(ISNA(VLOOKUP(D249,'One year follow-up_inperson'!$C:$C,1,FALSE)),"No","Yes")</f>
        <v>No</v>
      </c>
      <c r="U249" s="592" t="s">
        <v>679</v>
      </c>
    </row>
    <row r="250" spans="1:21" ht="30.5" customHeight="1">
      <c r="A250" s="368">
        <v>218</v>
      </c>
      <c r="B250" s="182" t="s">
        <v>493</v>
      </c>
      <c r="C250" s="182" t="str">
        <f t="shared" si="83"/>
        <v>291</v>
      </c>
      <c r="D250" s="559">
        <v>291</v>
      </c>
      <c r="E250" s="182" t="s">
        <v>565</v>
      </c>
      <c r="F250" s="183" t="s">
        <v>2</v>
      </c>
      <c r="G250" s="182">
        <v>21</v>
      </c>
      <c r="H250" s="182" t="s">
        <v>3</v>
      </c>
      <c r="I250" s="560" t="s">
        <v>623</v>
      </c>
      <c r="J250" s="275">
        <f t="shared" si="74"/>
        <v>1</v>
      </c>
      <c r="K250" s="275">
        <f t="shared" si="75"/>
        <v>0</v>
      </c>
      <c r="L250" s="275">
        <f t="shared" si="76"/>
        <v>0</v>
      </c>
      <c r="M250" s="275">
        <f t="shared" si="77"/>
        <v>1</v>
      </c>
      <c r="N250" s="276">
        <f t="shared" si="78"/>
        <v>0</v>
      </c>
      <c r="O250" s="276">
        <f t="shared" si="79"/>
        <v>0</v>
      </c>
      <c r="P250" s="276">
        <f t="shared" si="80"/>
        <v>0</v>
      </c>
      <c r="Q250" s="276">
        <f t="shared" si="81"/>
        <v>0</v>
      </c>
      <c r="R250" s="329">
        <f t="shared" si="82"/>
        <v>1</v>
      </c>
      <c r="S250" s="273"/>
      <c r="T250" s="274" t="str">
        <f>IF(ISNA(VLOOKUP(D250,'One year follow-up_inperson'!$C:$C,1,FALSE)),"No","Yes")</f>
        <v>No</v>
      </c>
      <c r="U250" s="592" t="s">
        <v>679</v>
      </c>
    </row>
    <row r="251" spans="1:21" ht="40.25" customHeight="1">
      <c r="A251" s="368">
        <v>219</v>
      </c>
      <c r="B251" s="182" t="s">
        <v>493</v>
      </c>
      <c r="C251" s="182" t="str">
        <f t="shared" si="83"/>
        <v>291</v>
      </c>
      <c r="D251" s="559">
        <v>291</v>
      </c>
      <c r="E251" s="182" t="s">
        <v>566</v>
      </c>
      <c r="F251" s="183" t="s">
        <v>2</v>
      </c>
      <c r="G251" s="182">
        <v>21</v>
      </c>
      <c r="H251" s="182" t="s">
        <v>3</v>
      </c>
      <c r="I251" s="561" t="s">
        <v>605</v>
      </c>
      <c r="J251" s="275">
        <f t="shared" si="74"/>
        <v>0</v>
      </c>
      <c r="K251" s="275">
        <f t="shared" si="75"/>
        <v>1</v>
      </c>
      <c r="L251" s="275">
        <f t="shared" si="76"/>
        <v>0</v>
      </c>
      <c r="M251" s="275">
        <f t="shared" si="77"/>
        <v>1</v>
      </c>
      <c r="N251" s="276">
        <f t="shared" si="78"/>
        <v>0</v>
      </c>
      <c r="O251" s="276">
        <f t="shared" si="79"/>
        <v>0</v>
      </c>
      <c r="P251" s="276">
        <f t="shared" si="80"/>
        <v>0</v>
      </c>
      <c r="Q251" s="276">
        <f t="shared" si="81"/>
        <v>0</v>
      </c>
      <c r="R251" s="329">
        <f t="shared" si="82"/>
        <v>1</v>
      </c>
      <c r="S251" s="273"/>
      <c r="T251" s="274" t="str">
        <f>IF(ISNA(VLOOKUP(D251,'One year follow-up_inperson'!$C:$C,1,FALSE)),"No","Yes")</f>
        <v>No</v>
      </c>
      <c r="U251" s="592" t="s">
        <v>679</v>
      </c>
    </row>
    <row r="252" spans="1:21" ht="73.8" customHeight="1">
      <c r="A252" s="368">
        <v>220</v>
      </c>
      <c r="B252" s="182" t="s">
        <v>493</v>
      </c>
      <c r="C252" s="182" t="str">
        <f t="shared" si="83"/>
        <v>291</v>
      </c>
      <c r="D252" s="559">
        <v>291</v>
      </c>
      <c r="E252" s="182" t="s">
        <v>567</v>
      </c>
      <c r="F252" s="183" t="s">
        <v>2</v>
      </c>
      <c r="G252" s="182">
        <v>26</v>
      </c>
      <c r="H252" s="182" t="s">
        <v>3</v>
      </c>
      <c r="I252" s="561" t="s">
        <v>622</v>
      </c>
      <c r="J252" s="275">
        <f t="shared" si="74"/>
        <v>0</v>
      </c>
      <c r="K252" s="275">
        <f t="shared" si="75"/>
        <v>1</v>
      </c>
      <c r="L252" s="275">
        <f t="shared" si="76"/>
        <v>0</v>
      </c>
      <c r="M252" s="275">
        <f t="shared" si="77"/>
        <v>1</v>
      </c>
      <c r="N252" s="276">
        <f t="shared" si="78"/>
        <v>1</v>
      </c>
      <c r="O252" s="276">
        <f t="shared" si="79"/>
        <v>0</v>
      </c>
      <c r="P252" s="276">
        <f t="shared" si="80"/>
        <v>0</v>
      </c>
      <c r="Q252" s="276">
        <f t="shared" si="81"/>
        <v>0</v>
      </c>
      <c r="R252" s="329">
        <f t="shared" si="82"/>
        <v>1</v>
      </c>
      <c r="S252" s="273"/>
      <c r="T252" s="274" t="str">
        <f>IF(ISNA(VLOOKUP(D252,'One year follow-up_inperson'!$C:$C,1,FALSE)),"No","Yes")</f>
        <v>No</v>
      </c>
      <c r="U252" s="592" t="s">
        <v>679</v>
      </c>
    </row>
    <row r="253" spans="1:21" ht="76.25" customHeight="1">
      <c r="A253" s="368">
        <v>221</v>
      </c>
      <c r="B253" s="182" t="s">
        <v>493</v>
      </c>
      <c r="C253" s="182" t="str">
        <f t="shared" si="83"/>
        <v>291</v>
      </c>
      <c r="D253" s="559">
        <v>291</v>
      </c>
      <c r="E253" s="182" t="s">
        <v>568</v>
      </c>
      <c r="F253" s="183" t="s">
        <v>2</v>
      </c>
      <c r="G253" s="182">
        <v>26</v>
      </c>
      <c r="H253" s="182" t="s">
        <v>5</v>
      </c>
      <c r="I253" s="560" t="s">
        <v>144</v>
      </c>
      <c r="J253" s="275">
        <f t="shared" si="74"/>
        <v>0</v>
      </c>
      <c r="K253" s="275">
        <f t="shared" si="75"/>
        <v>0</v>
      </c>
      <c r="L253" s="275">
        <f t="shared" si="76"/>
        <v>0</v>
      </c>
      <c r="M253" s="275">
        <f t="shared" si="77"/>
        <v>0</v>
      </c>
      <c r="N253" s="276">
        <f t="shared" si="78"/>
        <v>0</v>
      </c>
      <c r="O253" s="276">
        <f t="shared" si="79"/>
        <v>0</v>
      </c>
      <c r="P253" s="276">
        <f t="shared" si="80"/>
        <v>0</v>
      </c>
      <c r="Q253" s="276">
        <f t="shared" si="81"/>
        <v>0</v>
      </c>
      <c r="R253" s="329">
        <f t="shared" si="82"/>
        <v>0</v>
      </c>
      <c r="S253" s="273"/>
      <c r="T253" s="274" t="str">
        <f>IF(ISNA(VLOOKUP(D253,'One year follow-up_inperson'!$C:$C,1,FALSE)),"No","Yes")</f>
        <v>No</v>
      </c>
      <c r="U253" s="592" t="s">
        <v>679</v>
      </c>
    </row>
    <row r="254" spans="1:21" ht="62.55" customHeight="1">
      <c r="A254" s="368">
        <v>222</v>
      </c>
      <c r="B254" s="182" t="s">
        <v>493</v>
      </c>
      <c r="C254" s="182" t="str">
        <f t="shared" si="83"/>
        <v>291</v>
      </c>
      <c r="D254" s="559">
        <v>291</v>
      </c>
      <c r="E254" s="182" t="s">
        <v>569</v>
      </c>
      <c r="F254" s="183" t="s">
        <v>2</v>
      </c>
      <c r="G254" s="182">
        <v>23</v>
      </c>
      <c r="H254" s="182" t="s">
        <v>3</v>
      </c>
      <c r="I254" s="560" t="s">
        <v>606</v>
      </c>
      <c r="J254" s="275">
        <f t="shared" si="74"/>
        <v>0</v>
      </c>
      <c r="K254" s="275">
        <f t="shared" si="75"/>
        <v>0</v>
      </c>
      <c r="L254" s="275">
        <f t="shared" si="76"/>
        <v>0</v>
      </c>
      <c r="M254" s="275">
        <f t="shared" si="77"/>
        <v>0</v>
      </c>
      <c r="N254" s="276">
        <f t="shared" si="78"/>
        <v>0</v>
      </c>
      <c r="O254" s="276">
        <f t="shared" si="79"/>
        <v>0</v>
      </c>
      <c r="P254" s="276">
        <f t="shared" si="80"/>
        <v>0</v>
      </c>
      <c r="Q254" s="276">
        <f t="shared" si="81"/>
        <v>0</v>
      </c>
      <c r="R254" s="329">
        <f t="shared" si="82"/>
        <v>0</v>
      </c>
      <c r="S254" s="273"/>
      <c r="T254" s="274" t="str">
        <f>IF(ISNA(VLOOKUP(D254,'One year follow-up_inperson'!$C:$C,1,FALSE)),"No","Yes")</f>
        <v>No</v>
      </c>
      <c r="U254" s="592" t="s">
        <v>679</v>
      </c>
    </row>
    <row r="255" spans="1:21" ht="70.8" customHeight="1">
      <c r="A255" s="368">
        <v>223</v>
      </c>
      <c r="B255" s="182" t="s">
        <v>493</v>
      </c>
      <c r="C255" s="182" t="str">
        <f t="shared" si="83"/>
        <v>291</v>
      </c>
      <c r="D255" s="559">
        <v>291</v>
      </c>
      <c r="E255" s="182" t="s">
        <v>570</v>
      </c>
      <c r="F255" s="183" t="s">
        <v>2</v>
      </c>
      <c r="G255" s="182">
        <v>28</v>
      </c>
      <c r="H255" s="182" t="s">
        <v>3</v>
      </c>
      <c r="I255" s="560" t="s">
        <v>621</v>
      </c>
      <c r="J255" s="275">
        <f t="shared" si="74"/>
        <v>1</v>
      </c>
      <c r="K255" s="275">
        <f t="shared" si="75"/>
        <v>0</v>
      </c>
      <c r="L255" s="275">
        <f t="shared" si="76"/>
        <v>0</v>
      </c>
      <c r="M255" s="275">
        <f t="shared" si="77"/>
        <v>1</v>
      </c>
      <c r="N255" s="276">
        <f t="shared" si="78"/>
        <v>0</v>
      </c>
      <c r="O255" s="276">
        <f t="shared" si="79"/>
        <v>0</v>
      </c>
      <c r="P255" s="276">
        <f t="shared" si="80"/>
        <v>0</v>
      </c>
      <c r="Q255" s="276">
        <f t="shared" si="81"/>
        <v>0</v>
      </c>
      <c r="R255" s="329">
        <f t="shared" si="82"/>
        <v>1</v>
      </c>
      <c r="S255" s="273"/>
      <c r="T255" s="274" t="str">
        <f>IF(ISNA(VLOOKUP(D255,'One year follow-up_inperson'!$C:$C,1,FALSE)),"No","Yes")</f>
        <v>No</v>
      </c>
      <c r="U255" s="592" t="s">
        <v>679</v>
      </c>
    </row>
    <row r="256" spans="1:21" ht="70.8" customHeight="1">
      <c r="A256" s="368">
        <v>224</v>
      </c>
      <c r="B256" s="182" t="s">
        <v>493</v>
      </c>
      <c r="C256" s="182" t="str">
        <f t="shared" si="83"/>
        <v>291</v>
      </c>
      <c r="D256" s="559">
        <v>291</v>
      </c>
      <c r="E256" s="182" t="s">
        <v>571</v>
      </c>
      <c r="F256" s="183" t="s">
        <v>2</v>
      </c>
      <c r="G256" s="182">
        <v>30</v>
      </c>
      <c r="H256" s="182" t="s">
        <v>3</v>
      </c>
      <c r="I256" s="561" t="s">
        <v>607</v>
      </c>
      <c r="J256" s="275">
        <f t="shared" si="74"/>
        <v>1</v>
      </c>
      <c r="K256" s="275">
        <f t="shared" si="75"/>
        <v>0</v>
      </c>
      <c r="L256" s="275">
        <f t="shared" si="76"/>
        <v>0</v>
      </c>
      <c r="M256" s="275">
        <f t="shared" si="77"/>
        <v>1</v>
      </c>
      <c r="N256" s="276">
        <f t="shared" si="78"/>
        <v>0</v>
      </c>
      <c r="O256" s="276">
        <f t="shared" si="79"/>
        <v>0</v>
      </c>
      <c r="P256" s="276">
        <f t="shared" si="80"/>
        <v>0</v>
      </c>
      <c r="Q256" s="276">
        <f t="shared" si="81"/>
        <v>0</v>
      </c>
      <c r="R256" s="329">
        <f t="shared" si="82"/>
        <v>1</v>
      </c>
      <c r="S256" s="273"/>
      <c r="T256" s="274" t="str">
        <f>IF(ISNA(VLOOKUP(D256,'One year follow-up_inperson'!$C:$C,1,FALSE)),"No","Yes")</f>
        <v>No</v>
      </c>
      <c r="U256" s="592" t="s">
        <v>679</v>
      </c>
    </row>
    <row r="257" spans="1:21" ht="63.5" customHeight="1">
      <c r="A257" s="368">
        <v>225</v>
      </c>
      <c r="B257" s="182" t="s">
        <v>493</v>
      </c>
      <c r="C257" s="182" t="str">
        <f t="shared" si="83"/>
        <v>291</v>
      </c>
      <c r="D257" s="559">
        <v>291</v>
      </c>
      <c r="E257" s="182" t="s">
        <v>572</v>
      </c>
      <c r="F257" s="183" t="s">
        <v>2</v>
      </c>
      <c r="G257" s="182">
        <v>20</v>
      </c>
      <c r="H257" s="182" t="s">
        <v>5</v>
      </c>
      <c r="I257" s="560" t="s">
        <v>144</v>
      </c>
      <c r="J257" s="275">
        <f t="shared" si="74"/>
        <v>0</v>
      </c>
      <c r="K257" s="275">
        <f t="shared" si="75"/>
        <v>0</v>
      </c>
      <c r="L257" s="275">
        <f t="shared" si="76"/>
        <v>0</v>
      </c>
      <c r="M257" s="275">
        <f t="shared" si="77"/>
        <v>0</v>
      </c>
      <c r="N257" s="276">
        <f t="shared" si="78"/>
        <v>0</v>
      </c>
      <c r="O257" s="276">
        <f t="shared" si="79"/>
        <v>0</v>
      </c>
      <c r="P257" s="276">
        <f t="shared" si="80"/>
        <v>0</v>
      </c>
      <c r="Q257" s="276">
        <f t="shared" si="81"/>
        <v>0</v>
      </c>
      <c r="R257" s="329">
        <f t="shared" si="82"/>
        <v>0</v>
      </c>
      <c r="S257" s="273"/>
      <c r="T257" s="274" t="str">
        <f>IF(ISNA(VLOOKUP(D257,'One year follow-up_inperson'!$C:$C,1,FALSE)),"No","Yes")</f>
        <v>No</v>
      </c>
      <c r="U257" s="592" t="s">
        <v>679</v>
      </c>
    </row>
    <row r="258" spans="1:21" ht="73.25" customHeight="1">
      <c r="A258" s="368">
        <v>226</v>
      </c>
      <c r="B258" s="182" t="s">
        <v>493</v>
      </c>
      <c r="C258" s="182" t="str">
        <f t="shared" si="83"/>
        <v>291</v>
      </c>
      <c r="D258" s="559">
        <v>291</v>
      </c>
      <c r="E258" s="182" t="s">
        <v>573</v>
      </c>
      <c r="F258" s="183" t="s">
        <v>2</v>
      </c>
      <c r="G258" s="182">
        <v>28</v>
      </c>
      <c r="H258" s="182" t="s">
        <v>3</v>
      </c>
      <c r="I258" s="561" t="s">
        <v>620</v>
      </c>
      <c r="J258" s="275">
        <f t="shared" si="74"/>
        <v>0</v>
      </c>
      <c r="K258" s="275">
        <f t="shared" si="75"/>
        <v>1</v>
      </c>
      <c r="L258" s="275">
        <f t="shared" si="76"/>
        <v>0</v>
      </c>
      <c r="M258" s="275">
        <f t="shared" si="77"/>
        <v>1</v>
      </c>
      <c r="N258" s="276">
        <f t="shared" si="78"/>
        <v>1</v>
      </c>
      <c r="O258" s="276">
        <f t="shared" si="79"/>
        <v>0</v>
      </c>
      <c r="P258" s="276">
        <f t="shared" si="80"/>
        <v>0</v>
      </c>
      <c r="Q258" s="276">
        <f t="shared" si="81"/>
        <v>0</v>
      </c>
      <c r="R258" s="329">
        <f t="shared" si="82"/>
        <v>1</v>
      </c>
      <c r="S258" s="273"/>
      <c r="T258" s="274" t="str">
        <f>IF(ISNA(VLOOKUP(D258,'One year follow-up_inperson'!$C:$C,1,FALSE)),"No","Yes")</f>
        <v>No</v>
      </c>
      <c r="U258" s="592" t="s">
        <v>679</v>
      </c>
    </row>
    <row r="259" spans="1:21" ht="76.25" customHeight="1">
      <c r="A259" s="368">
        <v>227</v>
      </c>
      <c r="B259" s="182" t="s">
        <v>493</v>
      </c>
      <c r="C259" s="182" t="str">
        <f t="shared" si="83"/>
        <v>291</v>
      </c>
      <c r="D259" s="559">
        <v>291</v>
      </c>
      <c r="E259" s="182" t="s">
        <v>574</v>
      </c>
      <c r="F259" s="183" t="s">
        <v>2</v>
      </c>
      <c r="G259" s="182">
        <v>31</v>
      </c>
      <c r="H259" s="182" t="s">
        <v>3</v>
      </c>
      <c r="I259" s="561" t="s">
        <v>608</v>
      </c>
      <c r="J259" s="275">
        <f t="shared" si="74"/>
        <v>0</v>
      </c>
      <c r="K259" s="275">
        <f t="shared" si="75"/>
        <v>1</v>
      </c>
      <c r="L259" s="275">
        <f t="shared" si="76"/>
        <v>0</v>
      </c>
      <c r="M259" s="275">
        <f t="shared" si="77"/>
        <v>1</v>
      </c>
      <c r="N259" s="276">
        <f t="shared" si="78"/>
        <v>0</v>
      </c>
      <c r="O259" s="276">
        <f t="shared" si="79"/>
        <v>0</v>
      </c>
      <c r="P259" s="276">
        <f t="shared" si="80"/>
        <v>0</v>
      </c>
      <c r="Q259" s="276">
        <f t="shared" si="81"/>
        <v>0</v>
      </c>
      <c r="R259" s="329">
        <f t="shared" si="82"/>
        <v>1</v>
      </c>
      <c r="S259" s="273"/>
      <c r="T259" s="274" t="str">
        <f>IF(ISNA(VLOOKUP(D259,'One year follow-up_inperson'!$C:$C,1,FALSE)),"No","Yes")</f>
        <v>No</v>
      </c>
      <c r="U259" s="592" t="s">
        <v>679</v>
      </c>
    </row>
    <row r="260" spans="1:21" ht="72.5" customHeight="1">
      <c r="A260" s="368">
        <v>228</v>
      </c>
      <c r="B260" s="182" t="s">
        <v>493</v>
      </c>
      <c r="C260" s="182" t="str">
        <f t="shared" si="83"/>
        <v>291</v>
      </c>
      <c r="D260" s="559">
        <v>291</v>
      </c>
      <c r="E260" s="182" t="s">
        <v>575</v>
      </c>
      <c r="F260" s="183" t="s">
        <v>2</v>
      </c>
      <c r="G260" s="182">
        <v>22</v>
      </c>
      <c r="H260" s="182" t="s">
        <v>3</v>
      </c>
      <c r="I260" s="561" t="s">
        <v>609</v>
      </c>
      <c r="J260" s="275">
        <f t="shared" si="74"/>
        <v>0</v>
      </c>
      <c r="K260" s="275">
        <f t="shared" si="75"/>
        <v>0</v>
      </c>
      <c r="L260" s="275">
        <f t="shared" si="76"/>
        <v>0</v>
      </c>
      <c r="M260" s="275">
        <f t="shared" si="77"/>
        <v>0</v>
      </c>
      <c r="N260" s="276">
        <f t="shared" si="78"/>
        <v>0</v>
      </c>
      <c r="O260" s="276">
        <f t="shared" si="79"/>
        <v>1</v>
      </c>
      <c r="P260" s="276">
        <f t="shared" si="80"/>
        <v>0</v>
      </c>
      <c r="Q260" s="276">
        <f t="shared" si="81"/>
        <v>0</v>
      </c>
      <c r="R260" s="329">
        <f t="shared" si="82"/>
        <v>1</v>
      </c>
      <c r="S260" s="273"/>
      <c r="T260" s="274" t="str">
        <f>IF(ISNA(VLOOKUP(D260,'One year follow-up_inperson'!$C:$C,1,FALSE)),"No","Yes")</f>
        <v>No</v>
      </c>
      <c r="U260" s="592" t="s">
        <v>679</v>
      </c>
    </row>
    <row r="261" spans="1:21" ht="90" customHeight="1">
      <c r="A261" s="368">
        <v>229</v>
      </c>
      <c r="B261" s="182" t="s">
        <v>493</v>
      </c>
      <c r="C261" s="182" t="str">
        <f t="shared" si="83"/>
        <v>291</v>
      </c>
      <c r="D261" s="559">
        <v>291</v>
      </c>
      <c r="E261" s="182" t="s">
        <v>576</v>
      </c>
      <c r="F261" s="183" t="s">
        <v>2</v>
      </c>
      <c r="G261" s="182">
        <v>24</v>
      </c>
      <c r="H261" s="182" t="s">
        <v>3</v>
      </c>
      <c r="I261" s="561" t="s">
        <v>619</v>
      </c>
      <c r="J261" s="275">
        <f t="shared" si="74"/>
        <v>0</v>
      </c>
      <c r="K261" s="275">
        <f t="shared" si="75"/>
        <v>1</v>
      </c>
      <c r="L261" s="275">
        <f t="shared" si="76"/>
        <v>0</v>
      </c>
      <c r="M261" s="275">
        <f t="shared" si="77"/>
        <v>1</v>
      </c>
      <c r="N261" s="276">
        <f t="shared" si="78"/>
        <v>1</v>
      </c>
      <c r="O261" s="276">
        <f t="shared" si="79"/>
        <v>0</v>
      </c>
      <c r="P261" s="276">
        <f t="shared" si="80"/>
        <v>0</v>
      </c>
      <c r="Q261" s="276">
        <f t="shared" si="81"/>
        <v>0</v>
      </c>
      <c r="R261" s="329">
        <f t="shared" si="82"/>
        <v>1</v>
      </c>
      <c r="S261" s="273"/>
      <c r="T261" s="274" t="str">
        <f>IF(ISNA(VLOOKUP(D261,'One year follow-up_inperson'!$C:$C,1,FALSE)),"No","Yes")</f>
        <v>No</v>
      </c>
      <c r="U261" s="592" t="s">
        <v>679</v>
      </c>
    </row>
    <row r="262" spans="1:21" ht="75.5" customHeight="1">
      <c r="A262" s="368">
        <v>230</v>
      </c>
      <c r="B262" s="182" t="s">
        <v>493</v>
      </c>
      <c r="C262" s="182" t="str">
        <f t="shared" si="83"/>
        <v>291</v>
      </c>
      <c r="D262" s="559">
        <v>291</v>
      </c>
      <c r="E262" s="182" t="s">
        <v>577</v>
      </c>
      <c r="F262" s="183" t="s">
        <v>2</v>
      </c>
      <c r="G262" s="182">
        <v>18</v>
      </c>
      <c r="H262" s="182" t="s">
        <v>5</v>
      </c>
      <c r="I262" s="560" t="s">
        <v>144</v>
      </c>
      <c r="J262" s="275">
        <f t="shared" si="74"/>
        <v>0</v>
      </c>
      <c r="K262" s="275">
        <f t="shared" si="75"/>
        <v>0</v>
      </c>
      <c r="L262" s="275">
        <f t="shared" si="76"/>
        <v>0</v>
      </c>
      <c r="M262" s="275">
        <f t="shared" si="77"/>
        <v>0</v>
      </c>
      <c r="N262" s="276">
        <f t="shared" si="78"/>
        <v>0</v>
      </c>
      <c r="O262" s="276">
        <f t="shared" si="79"/>
        <v>0</v>
      </c>
      <c r="P262" s="276">
        <f t="shared" si="80"/>
        <v>0</v>
      </c>
      <c r="Q262" s="276">
        <f t="shared" si="81"/>
        <v>0</v>
      </c>
      <c r="R262" s="329">
        <f t="shared" si="82"/>
        <v>0</v>
      </c>
      <c r="S262" s="273"/>
      <c r="T262" s="274" t="str">
        <f>IF(ISNA(VLOOKUP(D262,'One year follow-up_inperson'!$C:$C,1,FALSE)),"No","Yes")</f>
        <v>No</v>
      </c>
      <c r="U262" s="592" t="s">
        <v>679</v>
      </c>
    </row>
    <row r="263" spans="1:21" ht="70.25" customHeight="1">
      <c r="A263" s="368">
        <v>231</v>
      </c>
      <c r="B263" s="182" t="s">
        <v>493</v>
      </c>
      <c r="C263" s="182" t="str">
        <f t="shared" si="83"/>
        <v>291</v>
      </c>
      <c r="D263" s="559">
        <v>291</v>
      </c>
      <c r="E263" s="182" t="s">
        <v>578</v>
      </c>
      <c r="F263" s="183" t="s">
        <v>2</v>
      </c>
      <c r="G263" s="182">
        <v>24</v>
      </c>
      <c r="H263" s="182" t="s">
        <v>5</v>
      </c>
      <c r="I263" s="560" t="s">
        <v>144</v>
      </c>
      <c r="J263" s="275">
        <f t="shared" si="74"/>
        <v>0</v>
      </c>
      <c r="K263" s="275">
        <f t="shared" si="75"/>
        <v>0</v>
      </c>
      <c r="L263" s="275">
        <f t="shared" si="76"/>
        <v>0</v>
      </c>
      <c r="M263" s="275">
        <f t="shared" si="77"/>
        <v>0</v>
      </c>
      <c r="N263" s="276">
        <f t="shared" si="78"/>
        <v>0</v>
      </c>
      <c r="O263" s="276">
        <f t="shared" si="79"/>
        <v>0</v>
      </c>
      <c r="P263" s="276">
        <f t="shared" si="80"/>
        <v>0</v>
      </c>
      <c r="Q263" s="276">
        <f t="shared" si="81"/>
        <v>0</v>
      </c>
      <c r="R263" s="329">
        <f t="shared" si="82"/>
        <v>0</v>
      </c>
      <c r="S263" s="273"/>
      <c r="T263" s="274" t="str">
        <f>IF(ISNA(VLOOKUP(D263,'One year follow-up_inperson'!$C:$C,1,FALSE)),"No","Yes")</f>
        <v>No</v>
      </c>
      <c r="U263" s="592" t="s">
        <v>679</v>
      </c>
    </row>
    <row r="264" spans="1:21" ht="51" customHeight="1">
      <c r="A264" s="368">
        <v>232</v>
      </c>
      <c r="B264" s="182" t="s">
        <v>493</v>
      </c>
      <c r="C264" s="182" t="str">
        <f t="shared" si="83"/>
        <v>291</v>
      </c>
      <c r="D264" s="559">
        <v>291</v>
      </c>
      <c r="E264" s="182" t="s">
        <v>579</v>
      </c>
      <c r="F264" s="183" t="s">
        <v>2</v>
      </c>
      <c r="G264" s="182">
        <v>23</v>
      </c>
      <c r="H264" s="182" t="s">
        <v>3</v>
      </c>
      <c r="I264" s="561" t="s">
        <v>618</v>
      </c>
      <c r="J264" s="275">
        <f t="shared" si="74"/>
        <v>0</v>
      </c>
      <c r="K264" s="275">
        <f t="shared" si="75"/>
        <v>1</v>
      </c>
      <c r="L264" s="275">
        <f t="shared" si="76"/>
        <v>0</v>
      </c>
      <c r="M264" s="275">
        <f t="shared" si="77"/>
        <v>1</v>
      </c>
      <c r="N264" s="276">
        <f t="shared" si="78"/>
        <v>0</v>
      </c>
      <c r="O264" s="276">
        <f t="shared" si="79"/>
        <v>0</v>
      </c>
      <c r="P264" s="276">
        <f t="shared" si="80"/>
        <v>0</v>
      </c>
      <c r="Q264" s="276">
        <f t="shared" si="81"/>
        <v>0</v>
      </c>
      <c r="R264" s="329">
        <f t="shared" si="82"/>
        <v>1</v>
      </c>
      <c r="S264" s="273"/>
      <c r="T264" s="274" t="str">
        <f>IF(ISNA(VLOOKUP(D264,'One year follow-up_inperson'!$C:$C,1,FALSE)),"No","Yes")</f>
        <v>No</v>
      </c>
      <c r="U264" s="592" t="s">
        <v>679</v>
      </c>
    </row>
    <row r="265" spans="1:21" ht="59.55" customHeight="1">
      <c r="A265" s="368">
        <v>233</v>
      </c>
      <c r="B265" s="182" t="s">
        <v>493</v>
      </c>
      <c r="C265" s="182" t="str">
        <f t="shared" si="83"/>
        <v>291</v>
      </c>
      <c r="D265" s="559">
        <v>291</v>
      </c>
      <c r="E265" s="182" t="s">
        <v>580</v>
      </c>
      <c r="F265" s="183" t="s">
        <v>2</v>
      </c>
      <c r="G265" s="182">
        <v>17</v>
      </c>
      <c r="H265" s="182" t="s">
        <v>3</v>
      </c>
      <c r="I265" s="561" t="s">
        <v>617</v>
      </c>
      <c r="J265" s="275">
        <f t="shared" si="74"/>
        <v>1</v>
      </c>
      <c r="K265" s="275">
        <f t="shared" si="75"/>
        <v>1</v>
      </c>
      <c r="L265" s="275">
        <f t="shared" si="76"/>
        <v>0</v>
      </c>
      <c r="M265" s="275">
        <f t="shared" si="77"/>
        <v>1</v>
      </c>
      <c r="N265" s="276">
        <f t="shared" si="78"/>
        <v>0</v>
      </c>
      <c r="O265" s="276">
        <f t="shared" si="79"/>
        <v>0</v>
      </c>
      <c r="P265" s="276">
        <f t="shared" si="80"/>
        <v>0</v>
      </c>
      <c r="Q265" s="276">
        <f t="shared" si="81"/>
        <v>0</v>
      </c>
      <c r="R265" s="329">
        <f t="shared" si="82"/>
        <v>1</v>
      </c>
      <c r="S265" s="273"/>
      <c r="T265" s="274" t="str">
        <f>IF(ISNA(VLOOKUP(D265,'One year follow-up_inperson'!$C:$C,1,FALSE)),"No","Yes")</f>
        <v>No</v>
      </c>
      <c r="U265" s="592" t="s">
        <v>679</v>
      </c>
    </row>
    <row r="266" spans="1:21" ht="51" customHeight="1">
      <c r="A266" s="368">
        <v>234</v>
      </c>
      <c r="B266" s="182" t="s">
        <v>493</v>
      </c>
      <c r="C266" s="182" t="str">
        <f t="shared" si="83"/>
        <v>291</v>
      </c>
      <c r="D266" s="559">
        <v>291</v>
      </c>
      <c r="E266" s="182" t="s">
        <v>581</v>
      </c>
      <c r="F266" s="183" t="s">
        <v>2</v>
      </c>
      <c r="G266" s="182">
        <v>19</v>
      </c>
      <c r="H266" s="182" t="s">
        <v>5</v>
      </c>
      <c r="I266" s="560" t="s">
        <v>144</v>
      </c>
      <c r="J266" s="275">
        <f t="shared" si="74"/>
        <v>0</v>
      </c>
      <c r="K266" s="275">
        <f t="shared" si="75"/>
        <v>0</v>
      </c>
      <c r="L266" s="275">
        <f t="shared" si="76"/>
        <v>0</v>
      </c>
      <c r="M266" s="275">
        <f t="shared" si="77"/>
        <v>0</v>
      </c>
      <c r="N266" s="276">
        <f t="shared" si="78"/>
        <v>0</v>
      </c>
      <c r="O266" s="276">
        <f t="shared" si="79"/>
        <v>0</v>
      </c>
      <c r="P266" s="276">
        <f t="shared" si="80"/>
        <v>0</v>
      </c>
      <c r="Q266" s="276">
        <f t="shared" si="81"/>
        <v>0</v>
      </c>
      <c r="R266" s="329">
        <f t="shared" si="82"/>
        <v>0</v>
      </c>
      <c r="S266" s="273"/>
      <c r="T266" s="274" t="str">
        <f>IF(ISNA(VLOOKUP(D266,'One year follow-up_inperson'!$C:$C,1,FALSE)),"No","Yes")</f>
        <v>No</v>
      </c>
      <c r="U266" s="592" t="s">
        <v>679</v>
      </c>
    </row>
    <row r="267" spans="1:21" ht="64.8" customHeight="1">
      <c r="A267" s="368">
        <v>235</v>
      </c>
      <c r="B267" s="182" t="s">
        <v>493</v>
      </c>
      <c r="C267" s="182" t="str">
        <f t="shared" si="83"/>
        <v>291</v>
      </c>
      <c r="D267" s="559">
        <v>291</v>
      </c>
      <c r="E267" s="182" t="s">
        <v>582</v>
      </c>
      <c r="F267" s="183" t="s">
        <v>2</v>
      </c>
      <c r="G267" s="182">
        <v>23</v>
      </c>
      <c r="H267" s="182" t="s">
        <v>3</v>
      </c>
      <c r="I267" s="561" t="s">
        <v>610</v>
      </c>
      <c r="J267" s="275">
        <f t="shared" si="74"/>
        <v>1</v>
      </c>
      <c r="K267" s="275">
        <f t="shared" si="75"/>
        <v>0</v>
      </c>
      <c r="L267" s="275">
        <f t="shared" si="76"/>
        <v>0</v>
      </c>
      <c r="M267" s="275">
        <f t="shared" si="77"/>
        <v>1</v>
      </c>
      <c r="N267" s="276">
        <f t="shared" si="78"/>
        <v>0</v>
      </c>
      <c r="O267" s="276">
        <f t="shared" si="79"/>
        <v>0</v>
      </c>
      <c r="P267" s="276">
        <f t="shared" si="80"/>
        <v>0</v>
      </c>
      <c r="Q267" s="276">
        <f t="shared" si="81"/>
        <v>0</v>
      </c>
      <c r="R267" s="329">
        <f t="shared" si="82"/>
        <v>1</v>
      </c>
      <c r="S267" s="273"/>
      <c r="T267" s="274" t="str">
        <f>IF(ISNA(VLOOKUP(D267,'One year follow-up_inperson'!$C:$C,1,FALSE)),"No","Yes")</f>
        <v>No</v>
      </c>
      <c r="U267" s="592" t="s">
        <v>679</v>
      </c>
    </row>
    <row r="268" spans="1:21" ht="65.55" customHeight="1">
      <c r="A268" s="368">
        <v>236</v>
      </c>
      <c r="B268" s="182" t="s">
        <v>493</v>
      </c>
      <c r="C268" s="182" t="str">
        <f t="shared" si="83"/>
        <v>291</v>
      </c>
      <c r="D268" s="559">
        <v>291</v>
      </c>
      <c r="E268" s="182" t="s">
        <v>583</v>
      </c>
      <c r="F268" s="183" t="s">
        <v>2</v>
      </c>
      <c r="G268" s="182">
        <v>24</v>
      </c>
      <c r="H268" s="182" t="s">
        <v>3</v>
      </c>
      <c r="I268" s="561" t="s">
        <v>611</v>
      </c>
      <c r="J268" s="275">
        <f t="shared" si="74"/>
        <v>1</v>
      </c>
      <c r="K268" s="275">
        <f t="shared" si="75"/>
        <v>0</v>
      </c>
      <c r="L268" s="275">
        <f t="shared" si="76"/>
        <v>0</v>
      </c>
      <c r="M268" s="275">
        <f t="shared" si="77"/>
        <v>1</v>
      </c>
      <c r="N268" s="276">
        <f t="shared" si="78"/>
        <v>0</v>
      </c>
      <c r="O268" s="276">
        <f t="shared" si="79"/>
        <v>0</v>
      </c>
      <c r="P268" s="276">
        <f t="shared" si="80"/>
        <v>0</v>
      </c>
      <c r="Q268" s="276">
        <f t="shared" si="81"/>
        <v>0</v>
      </c>
      <c r="R268" s="329">
        <f t="shared" si="82"/>
        <v>1</v>
      </c>
      <c r="S268" s="273"/>
      <c r="T268" s="274" t="str">
        <f>IF(ISNA(VLOOKUP(D268,'One year follow-up_inperson'!$C:$C,1,FALSE)),"No","Yes")</f>
        <v>No</v>
      </c>
      <c r="U268" s="592" t="s">
        <v>679</v>
      </c>
    </row>
    <row r="269" spans="1:21" ht="75.5" customHeight="1">
      <c r="A269" s="368">
        <v>237</v>
      </c>
      <c r="B269" s="182" t="s">
        <v>371</v>
      </c>
      <c r="C269" s="182" t="str">
        <f t="shared" si="83"/>
        <v>291</v>
      </c>
      <c r="D269" s="559">
        <v>291</v>
      </c>
      <c r="E269" s="182" t="s">
        <v>584</v>
      </c>
      <c r="F269" s="183" t="s">
        <v>2</v>
      </c>
      <c r="G269" s="182">
        <v>23</v>
      </c>
      <c r="H269" s="182" t="s">
        <v>3</v>
      </c>
      <c r="I269" s="561" t="s">
        <v>612</v>
      </c>
      <c r="J269" s="275">
        <f t="shared" si="74"/>
        <v>1</v>
      </c>
      <c r="K269" s="275">
        <f t="shared" si="75"/>
        <v>0</v>
      </c>
      <c r="L269" s="275">
        <f t="shared" si="76"/>
        <v>0</v>
      </c>
      <c r="M269" s="275">
        <f t="shared" si="77"/>
        <v>1</v>
      </c>
      <c r="N269" s="276">
        <f t="shared" si="78"/>
        <v>0</v>
      </c>
      <c r="O269" s="276">
        <f t="shared" si="79"/>
        <v>0</v>
      </c>
      <c r="P269" s="276">
        <f t="shared" si="80"/>
        <v>0</v>
      </c>
      <c r="Q269" s="276">
        <f t="shared" si="81"/>
        <v>0</v>
      </c>
      <c r="R269" s="329">
        <f t="shared" si="82"/>
        <v>1</v>
      </c>
      <c r="S269" s="273"/>
      <c r="T269" s="274" t="str">
        <f>IF(ISNA(VLOOKUP(D269,'One year follow-up_inperson'!$C:$C,1,FALSE)),"No","Yes")</f>
        <v>No</v>
      </c>
      <c r="U269" s="592" t="s">
        <v>679</v>
      </c>
    </row>
    <row r="270" spans="1:21" ht="85.25" customHeight="1">
      <c r="A270" s="368">
        <v>238</v>
      </c>
      <c r="B270" s="182" t="s">
        <v>371</v>
      </c>
      <c r="C270" s="182" t="str">
        <f t="shared" si="83"/>
        <v>291</v>
      </c>
      <c r="D270" s="559">
        <v>291</v>
      </c>
      <c r="E270" s="182" t="s">
        <v>585</v>
      </c>
      <c r="F270" s="183" t="s">
        <v>2</v>
      </c>
      <c r="G270" s="182">
        <v>23</v>
      </c>
      <c r="H270" s="182" t="s">
        <v>3</v>
      </c>
      <c r="I270" s="561" t="s">
        <v>613</v>
      </c>
      <c r="J270" s="275">
        <f t="shared" si="74"/>
        <v>0</v>
      </c>
      <c r="K270" s="275">
        <f t="shared" si="75"/>
        <v>1</v>
      </c>
      <c r="L270" s="275">
        <f t="shared" si="76"/>
        <v>0</v>
      </c>
      <c r="M270" s="275">
        <f t="shared" si="77"/>
        <v>1</v>
      </c>
      <c r="N270" s="276">
        <f t="shared" si="78"/>
        <v>0</v>
      </c>
      <c r="O270" s="276">
        <f t="shared" si="79"/>
        <v>0</v>
      </c>
      <c r="P270" s="276">
        <f t="shared" si="80"/>
        <v>0</v>
      </c>
      <c r="Q270" s="276">
        <f t="shared" si="81"/>
        <v>0</v>
      </c>
      <c r="R270" s="329">
        <f t="shared" si="82"/>
        <v>1</v>
      </c>
      <c r="S270" s="273"/>
      <c r="T270" s="274" t="str">
        <f>IF(ISNA(VLOOKUP(D270,'One year follow-up_inperson'!$C:$C,1,FALSE)),"No","Yes")</f>
        <v>No</v>
      </c>
      <c r="U270" s="592" t="s">
        <v>679</v>
      </c>
    </row>
    <row r="271" spans="1:21" ht="127.8" customHeight="1">
      <c r="A271" s="368">
        <v>239</v>
      </c>
      <c r="B271" s="182" t="s">
        <v>371</v>
      </c>
      <c r="C271" s="182" t="str">
        <f t="shared" si="83"/>
        <v>291</v>
      </c>
      <c r="D271" s="559">
        <v>291</v>
      </c>
      <c r="E271" s="182" t="s">
        <v>586</v>
      </c>
      <c r="F271" s="183" t="s">
        <v>2</v>
      </c>
      <c r="G271" s="182">
        <v>20</v>
      </c>
      <c r="H271" s="182" t="s">
        <v>3</v>
      </c>
      <c r="I271" s="560" t="s">
        <v>614</v>
      </c>
      <c r="J271" s="275">
        <f t="shared" si="74"/>
        <v>1</v>
      </c>
      <c r="K271" s="275">
        <f t="shared" si="75"/>
        <v>0</v>
      </c>
      <c r="L271" s="275">
        <f t="shared" si="76"/>
        <v>1</v>
      </c>
      <c r="M271" s="275">
        <f t="shared" si="77"/>
        <v>1</v>
      </c>
      <c r="N271" s="276">
        <f t="shared" si="78"/>
        <v>0</v>
      </c>
      <c r="O271" s="276">
        <f t="shared" si="79"/>
        <v>0</v>
      </c>
      <c r="P271" s="276">
        <f t="shared" si="80"/>
        <v>0</v>
      </c>
      <c r="Q271" s="276">
        <f t="shared" si="81"/>
        <v>0</v>
      </c>
      <c r="R271" s="329">
        <f t="shared" si="82"/>
        <v>1</v>
      </c>
      <c r="S271" s="273"/>
      <c r="T271" s="274" t="str">
        <f>IF(ISNA(VLOOKUP(D271,'One year follow-up_inperson'!$C:$C,1,FALSE)),"No","Yes")</f>
        <v>No</v>
      </c>
      <c r="U271" s="592" t="s">
        <v>679</v>
      </c>
    </row>
    <row r="272" spans="1:21" ht="136.80000000000001" customHeight="1">
      <c r="A272" s="368">
        <v>240</v>
      </c>
      <c r="B272" s="182" t="s">
        <v>371</v>
      </c>
      <c r="C272" s="182" t="str">
        <f t="shared" si="83"/>
        <v>291</v>
      </c>
      <c r="D272" s="559">
        <v>291</v>
      </c>
      <c r="E272" s="182" t="s">
        <v>587</v>
      </c>
      <c r="F272" s="183" t="s">
        <v>2</v>
      </c>
      <c r="G272" s="182">
        <v>24</v>
      </c>
      <c r="H272" s="182" t="s">
        <v>3</v>
      </c>
      <c r="I272" s="576" t="s">
        <v>616</v>
      </c>
      <c r="J272" s="275">
        <f t="shared" si="74"/>
        <v>1</v>
      </c>
      <c r="K272" s="275">
        <f t="shared" si="75"/>
        <v>1</v>
      </c>
      <c r="L272" s="275">
        <f t="shared" si="76"/>
        <v>0</v>
      </c>
      <c r="M272" s="275">
        <f t="shared" si="77"/>
        <v>1</v>
      </c>
      <c r="N272" s="276">
        <f t="shared" si="78"/>
        <v>1</v>
      </c>
      <c r="O272" s="276">
        <f t="shared" si="79"/>
        <v>0</v>
      </c>
      <c r="P272" s="276">
        <f t="shared" si="80"/>
        <v>0</v>
      </c>
      <c r="Q272" s="276">
        <f t="shared" si="81"/>
        <v>0</v>
      </c>
      <c r="R272" s="329">
        <f t="shared" si="82"/>
        <v>1</v>
      </c>
      <c r="S272" s="273"/>
      <c r="T272" s="274" t="str">
        <f>IF(ISNA(VLOOKUP(D272,'One year follow-up_inperson'!$C:$C,1,FALSE)),"No","Yes")</f>
        <v>No</v>
      </c>
      <c r="U272" s="592" t="s">
        <v>679</v>
      </c>
    </row>
    <row r="273" spans="1:21" ht="90" customHeight="1">
      <c r="A273" s="368">
        <v>241</v>
      </c>
      <c r="B273" s="182" t="s">
        <v>371</v>
      </c>
      <c r="C273" s="182" t="str">
        <f t="shared" si="83"/>
        <v>291</v>
      </c>
      <c r="D273" s="559">
        <v>291</v>
      </c>
      <c r="E273" s="182" t="s">
        <v>588</v>
      </c>
      <c r="F273" s="183" t="s">
        <v>2</v>
      </c>
      <c r="G273" s="182">
        <v>24</v>
      </c>
      <c r="H273" s="182" t="s">
        <v>3</v>
      </c>
      <c r="I273" s="561" t="s">
        <v>615</v>
      </c>
      <c r="J273" s="275">
        <f t="shared" si="74"/>
        <v>1</v>
      </c>
      <c r="K273" s="275">
        <f t="shared" si="75"/>
        <v>1</v>
      </c>
      <c r="L273" s="275">
        <f t="shared" si="76"/>
        <v>0</v>
      </c>
      <c r="M273" s="275">
        <f t="shared" si="77"/>
        <v>1</v>
      </c>
      <c r="N273" s="276">
        <f t="shared" si="78"/>
        <v>0</v>
      </c>
      <c r="O273" s="276">
        <f t="shared" si="79"/>
        <v>0</v>
      </c>
      <c r="P273" s="276">
        <f t="shared" si="80"/>
        <v>0</v>
      </c>
      <c r="Q273" s="276">
        <f t="shared" si="81"/>
        <v>0</v>
      </c>
      <c r="R273" s="329">
        <f t="shared" si="82"/>
        <v>1</v>
      </c>
      <c r="S273" s="273"/>
      <c r="T273" s="274" t="str">
        <f>IF(ISNA(VLOOKUP(D273,'One year follow-up_inperson'!$C:$C,1,FALSE)),"No","Yes")</f>
        <v>No</v>
      </c>
      <c r="U273" s="592" t="s">
        <v>679</v>
      </c>
    </row>
  </sheetData>
  <sortState xmlns:xlrd2="http://schemas.microsoft.com/office/spreadsheetml/2017/richdata2" ref="G2:H14">
    <sortCondition ref="G2:G14"/>
  </sortState>
  <mergeCells count="30">
    <mergeCell ref="F1:G1"/>
    <mergeCell ref="B31:B32"/>
    <mergeCell ref="A31:A32"/>
    <mergeCell ref="C31:C32"/>
    <mergeCell ref="F2:G2"/>
    <mergeCell ref="F11:G11"/>
    <mergeCell ref="F7:G7"/>
    <mergeCell ref="F6:G6"/>
    <mergeCell ref="F8:G8"/>
    <mergeCell ref="F9:G9"/>
    <mergeCell ref="G31:G32"/>
    <mergeCell ref="F31:F32"/>
    <mergeCell ref="D31:D32"/>
    <mergeCell ref="F12:G12"/>
    <mergeCell ref="F5:G5"/>
    <mergeCell ref="F15:G15"/>
    <mergeCell ref="AF2:AG2"/>
    <mergeCell ref="AI2:AJ2"/>
    <mergeCell ref="AL2:AM2"/>
    <mergeCell ref="E31:E32"/>
    <mergeCell ref="F3:G3"/>
    <mergeCell ref="F4:G4"/>
    <mergeCell ref="R31:R32"/>
    <mergeCell ref="T31:T32"/>
    <mergeCell ref="H31:H32"/>
    <mergeCell ref="I31:I32"/>
    <mergeCell ref="F17:G17"/>
    <mergeCell ref="J31:L31"/>
    <mergeCell ref="M31:Q31"/>
    <mergeCell ref="U31:U32"/>
  </mergeCells>
  <phoneticPr fontId="65" type="noConversion"/>
  <conditionalFormatting sqref="D1:E31 D32:D49 D33:E192 D193:D206 D207:E1048576">
    <cfRule type="containsText" dxfId="16" priority="10" operator="containsText" text="185">
      <formula>NOT(ISERROR(SEARCH("185",D1)))</formula>
    </cfRule>
  </conditionalFormatting>
  <conditionalFormatting sqref="E137:E180">
    <cfRule type="duplicateValues" dxfId="15" priority="100"/>
  </conditionalFormatting>
  <conditionalFormatting sqref="F33:F49">
    <cfRule type="containsText" dxfId="14" priority="6" operator="containsText" text="185">
      <formula>NOT(ISERROR(SEARCH("185",F33)))</formula>
    </cfRule>
  </conditionalFormatting>
  <conditionalFormatting sqref="F124:F136">
    <cfRule type="containsText" dxfId="13" priority="3" operator="containsText" text="185">
      <formula>NOT(ISERROR(SEARCH("185",F124)))</formula>
    </cfRule>
  </conditionalFormatting>
  <conditionalFormatting sqref="H2:H14">
    <cfRule type="duplicateValues" dxfId="12" priority="80"/>
  </conditionalFormatting>
  <conditionalFormatting sqref="H87:H123 H137:H151">
    <cfRule type="containsText" priority="54" operator="containsText" text="No">
      <formula>NOT(ISERROR(SEARCH("No",H87)))</formula>
    </cfRule>
  </conditionalFormatting>
  <conditionalFormatting sqref="H124:I136">
    <cfRule type="containsText" dxfId="11" priority="2" operator="containsText" text="185">
      <formula>NOT(ISERROR(SEARCH("185",H124)))</formula>
    </cfRule>
  </conditionalFormatting>
  <conditionalFormatting sqref="R33:R273">
    <cfRule type="cellIs" dxfId="10" priority="23" operator="equal">
      <formula>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42C7B-A9B4-4D6A-8C07-BC3AD2F8FDF4}">
  <dimension ref="A1:U242"/>
  <sheetViews>
    <sheetView tabSelected="1" workbookViewId="0"/>
  </sheetViews>
  <sheetFormatPr defaultRowHeight="13.5"/>
  <cols>
    <col min="2" max="2" width="15.625" bestFit="1" customWidth="1"/>
    <col min="10" max="10" width="35.5625" bestFit="1" customWidth="1"/>
    <col min="11" max="11" width="29.4375" bestFit="1" customWidth="1"/>
    <col min="12" max="12" width="18.5" bestFit="1" customWidth="1"/>
    <col min="18" max="18" width="20.1875" bestFit="1" customWidth="1"/>
  </cols>
  <sheetData>
    <row r="1" spans="1:21" ht="85.9" customHeight="1" thickBot="1">
      <c r="A1" s="597"/>
      <c r="B1" s="593" t="s">
        <v>370</v>
      </c>
      <c r="C1" s="598" t="s">
        <v>120</v>
      </c>
      <c r="D1" s="593" t="s">
        <v>25</v>
      </c>
      <c r="E1" s="593" t="s">
        <v>148</v>
      </c>
      <c r="F1" s="594" t="s">
        <v>0</v>
      </c>
      <c r="G1" s="594" t="s">
        <v>88</v>
      </c>
      <c r="H1" s="593" t="s">
        <v>26</v>
      </c>
      <c r="I1" s="596" t="s">
        <v>27</v>
      </c>
      <c r="J1" s="376" t="s">
        <v>680</v>
      </c>
      <c r="K1" s="376" t="s">
        <v>681</v>
      </c>
      <c r="L1" s="376" t="s">
        <v>682</v>
      </c>
      <c r="M1" s="377" t="s">
        <v>683</v>
      </c>
      <c r="N1" s="377" t="s">
        <v>684</v>
      </c>
      <c r="O1" s="377" t="s">
        <v>685</v>
      </c>
      <c r="P1" s="378" t="s">
        <v>686</v>
      </c>
      <c r="Q1" s="377" t="s">
        <v>687</v>
      </c>
      <c r="R1" s="595" t="s">
        <v>31</v>
      </c>
      <c r="S1" s="161" t="s">
        <v>29</v>
      </c>
      <c r="T1" s="595" t="s">
        <v>30</v>
      </c>
      <c r="U1" s="377" t="s">
        <v>688</v>
      </c>
    </row>
    <row r="2" spans="1:21" ht="108">
      <c r="A2" s="368">
        <v>1</v>
      </c>
      <c r="B2" s="550" t="s">
        <v>493</v>
      </c>
      <c r="C2" s="272" t="str">
        <f t="shared" ref="C2:C119" si="0">LEFT(D2,3)</f>
        <v>279</v>
      </c>
      <c r="D2" s="539">
        <v>2791</v>
      </c>
      <c r="E2" s="539" t="s">
        <v>325</v>
      </c>
      <c r="F2" s="540" t="s">
        <v>2</v>
      </c>
      <c r="G2" s="469">
        <v>43</v>
      </c>
      <c r="H2" s="541" t="s">
        <v>3</v>
      </c>
      <c r="I2" s="587" t="s">
        <v>338</v>
      </c>
      <c r="J2" s="275">
        <f>IF(OR(ISNUMBER(SEARCH("confidence",I2))=TRUE,ISNUMBER(SEARCH("hope for the future",I2))=TRUE,ISNUMBER(SEARCH("communicate",I2))=TRUE,ISNUMBER(SEARCH("worthy",I2))=TRUE,ISNUMBER(SEARCH("thought",I2))=TRUE,ISNUMBER(SEARCH("open",I2))=TRUE,ISNUMBER(SEARCH("believe",I2))=TRUE,ISNUMBER(SEARCH("confident",I2))=TRUE,ISNUMBER(SEARCH("empower",I2))=TRUE),1,0)</f>
        <v>0</v>
      </c>
      <c r="K2" s="275">
        <f>IF(OR(ISNUMBER(SEARCH("decision",I2))=TRUE,ISNUMBER(SEARCH("save",I2))=TRUE,ISNUMBER(SEARCH("saving",I2))=TRUE,ISNUMBER(SEARCH("started",I2))=TRUE,ISNUMBER(SEARCH("buy",I2))=TRUE,ISNUMBER(SEARCH("bought",I2))=TRUE),1,0)</f>
        <v>1</v>
      </c>
      <c r="L2" s="275">
        <f>IF(OR(ISNUMBER(SEARCH("active",I2))=TRUE,ISNUMBER(SEARCH("proactive",I2))=TRUE,ISNUMBER(SEARCH("face challenge",I2))=TRUE),1,0)</f>
        <v>0</v>
      </c>
      <c r="M2" s="275">
        <f>IF(OR(J2=1,K2=1,L2=1),1,0)</f>
        <v>1</v>
      </c>
      <c r="N2" s="276">
        <f>IF(OR(ISNUMBER(SEARCH("started a business",I2))=TRUE,ISNUMBER(SEARCH("started an income generating activity",I2))=TRUE,ISNUMBER(SEARCH("a business",I2))=TRUE),1,0)</f>
        <v>1</v>
      </c>
      <c r="O2" s="276">
        <f>IF(OR(ISNUMBER(SEARCH("got a job",I2))=TRUE,ISNUMBER(SEARCH("got an internship",I2))=TRUE,ISNUMBER(SEARCH("got a promotion",I2))=TRUE),1,0)</f>
        <v>0</v>
      </c>
      <c r="P2" s="276">
        <f>IF(OR(ISNUMBER(SEARCH("school admission",I2))=TRUE,ISNUMBER(SEARCH("perfomance in class",I2))=TRUE,ISNUMBER(SEARCH("scholarship",I2))=TRUE,ISNUMBER(SEARCH("pursue higher education",I2))=TRUE),1,0)</f>
        <v>0</v>
      </c>
      <c r="Q2" s="276">
        <f>IF(OR(ISNUMBER(SEARCH("leadership role",I2))=TRUE),1,0)</f>
        <v>0</v>
      </c>
      <c r="R2" s="329">
        <f>IF(OR(M2=1,N2=1,O2=1,P2=1,Q2=1),1,0)</f>
        <v>1</v>
      </c>
      <c r="S2" s="273"/>
      <c r="T2" s="274" t="str">
        <f>IF(ISNA(VLOOKUP(D2,'One year follow-up_inperson'!$C:$C,1,FALSE)),"No","Yes")</f>
        <v>No</v>
      </c>
      <c r="U2" s="592" t="s">
        <v>679</v>
      </c>
    </row>
    <row r="3" spans="1:21" ht="175.5">
      <c r="A3" s="368">
        <v>2</v>
      </c>
      <c r="B3" s="550" t="s">
        <v>493</v>
      </c>
      <c r="C3" s="272" t="str">
        <f t="shared" si="0"/>
        <v>279</v>
      </c>
      <c r="D3" s="539">
        <v>2792</v>
      </c>
      <c r="E3" s="539" t="s">
        <v>326</v>
      </c>
      <c r="F3" s="540" t="s">
        <v>2</v>
      </c>
      <c r="G3" s="469">
        <v>39</v>
      </c>
      <c r="H3" s="541" t="s">
        <v>3</v>
      </c>
      <c r="I3" s="541" t="s">
        <v>339</v>
      </c>
      <c r="J3" s="275">
        <f t="shared" ref="J3:J18" si="1">IF(OR(ISNUMBER(SEARCH("confidence",I3))=TRUE,ISNUMBER(SEARCH("hope for the future",I3))=TRUE,ISNUMBER(SEARCH("communicate",I3))=TRUE,ISNUMBER(SEARCH("worthy",I3))=TRUE,ISNUMBER(SEARCH("thought",I3))=TRUE,ISNUMBER(SEARCH("open",I3))=TRUE,ISNUMBER(SEARCH("believe",I3))=TRUE,ISNUMBER(SEARCH("confident",I3))=TRUE,ISNUMBER(SEARCH("empower",I3))=TRUE),1,0)</f>
        <v>0</v>
      </c>
      <c r="K3" s="275">
        <f t="shared" ref="K3:K18" si="2">IF(OR(ISNUMBER(SEARCH("decision",I3))=TRUE,ISNUMBER(SEARCH("save",I3))=TRUE,ISNUMBER(SEARCH("saving",I3))=TRUE,ISNUMBER(SEARCH("started",I3))=TRUE,ISNUMBER(SEARCH("buy",I3))=TRUE,ISNUMBER(SEARCH("bought",I3))=TRUE),1,0)</f>
        <v>1</v>
      </c>
      <c r="L3" s="275">
        <f t="shared" ref="L3:L18" si="3">IF(OR(ISNUMBER(SEARCH("active",I3))=TRUE,ISNUMBER(SEARCH("proactive",I3))=TRUE,ISNUMBER(SEARCH("face challenge",I3))=TRUE),1,0)</f>
        <v>0</v>
      </c>
      <c r="M3" s="275">
        <f t="shared" ref="M3:M18" si="4">IF(OR(J3=1,K3=1,L3=1),1,0)</f>
        <v>1</v>
      </c>
      <c r="N3" s="276">
        <f t="shared" ref="N3:N18" si="5">IF(OR(ISNUMBER(SEARCH("started a business",I3))=TRUE,ISNUMBER(SEARCH("started an income generating activity",I3))=TRUE,ISNUMBER(SEARCH("a business",I3))=TRUE),1,0)</f>
        <v>1</v>
      </c>
      <c r="O3" s="276">
        <f t="shared" ref="O3:O18" si="6">IF(OR(ISNUMBER(SEARCH("got a job",I3))=TRUE,ISNUMBER(SEARCH("got an internship",I3))=TRUE,ISNUMBER(SEARCH("got a promotion",I3))=TRUE),1,0)</f>
        <v>0</v>
      </c>
      <c r="P3" s="276">
        <f t="shared" ref="P3:P18" si="7">IF(OR(ISNUMBER(SEARCH("school admission",I3))=TRUE,ISNUMBER(SEARCH("perfomance in class",I3))=TRUE,ISNUMBER(SEARCH("scholarship",I3))=TRUE,ISNUMBER(SEARCH("pursue higher education",I3))=TRUE),1,0)</f>
        <v>0</v>
      </c>
      <c r="Q3" s="276">
        <f t="shared" ref="Q3:Q18" si="8">IF(OR(ISNUMBER(SEARCH("leadership role",I3))=TRUE),1,0)</f>
        <v>0</v>
      </c>
      <c r="R3" s="329">
        <f t="shared" ref="R3:R18" si="9">IF(OR(M3=1,N3=1,O3=1,P3=1,Q3=1),1,0)</f>
        <v>1</v>
      </c>
      <c r="S3" s="273"/>
      <c r="T3" s="274" t="str">
        <f>IF(ISNA(VLOOKUP(D3,'One year follow-up_inperson'!$C:$C,1,FALSE)),"No","Yes")</f>
        <v>No</v>
      </c>
      <c r="U3" s="592" t="s">
        <v>679</v>
      </c>
    </row>
    <row r="4" spans="1:21" ht="108">
      <c r="A4" s="368">
        <v>3</v>
      </c>
      <c r="B4" s="550" t="s">
        <v>493</v>
      </c>
      <c r="C4" s="272" t="str">
        <f t="shared" si="0"/>
        <v>279</v>
      </c>
      <c r="D4" s="539">
        <v>2794</v>
      </c>
      <c r="E4" s="539" t="s">
        <v>327</v>
      </c>
      <c r="F4" s="540" t="s">
        <v>2</v>
      </c>
      <c r="G4" s="469">
        <v>37</v>
      </c>
      <c r="H4" s="541" t="s">
        <v>3</v>
      </c>
      <c r="I4" s="541" t="s">
        <v>340</v>
      </c>
      <c r="J4" s="275">
        <f t="shared" si="1"/>
        <v>1</v>
      </c>
      <c r="K4" s="275">
        <f t="shared" si="2"/>
        <v>0</v>
      </c>
      <c r="L4" s="275">
        <f t="shared" si="3"/>
        <v>0</v>
      </c>
      <c r="M4" s="275">
        <f t="shared" si="4"/>
        <v>1</v>
      </c>
      <c r="N4" s="276">
        <f t="shared" si="5"/>
        <v>0</v>
      </c>
      <c r="O4" s="276">
        <f t="shared" si="6"/>
        <v>0</v>
      </c>
      <c r="P4" s="276">
        <f t="shared" si="7"/>
        <v>0</v>
      </c>
      <c r="Q4" s="276">
        <f t="shared" si="8"/>
        <v>0</v>
      </c>
      <c r="R4" s="329">
        <f t="shared" si="9"/>
        <v>1</v>
      </c>
      <c r="S4" s="273"/>
      <c r="T4" s="274" t="str">
        <f>IF(ISNA(VLOOKUP(D4,'One year follow-up_inperson'!$C:$C,1,FALSE)),"No","Yes")</f>
        <v>No</v>
      </c>
      <c r="U4" s="592" t="s">
        <v>679</v>
      </c>
    </row>
    <row r="5" spans="1:21" ht="15">
      <c r="A5" s="368">
        <v>4</v>
      </c>
      <c r="B5" s="550" t="s">
        <v>493</v>
      </c>
      <c r="C5" s="272" t="str">
        <f t="shared" si="0"/>
        <v>279</v>
      </c>
      <c r="D5" s="539">
        <v>27917</v>
      </c>
      <c r="E5" s="539" t="s">
        <v>328</v>
      </c>
      <c r="F5" s="540" t="s">
        <v>2</v>
      </c>
      <c r="G5" s="469">
        <v>53</v>
      </c>
      <c r="H5" s="541" t="s">
        <v>5</v>
      </c>
      <c r="I5" s="541"/>
      <c r="J5" s="275">
        <f t="shared" si="1"/>
        <v>0</v>
      </c>
      <c r="K5" s="275">
        <f t="shared" si="2"/>
        <v>0</v>
      </c>
      <c r="L5" s="275">
        <f t="shared" si="3"/>
        <v>0</v>
      </c>
      <c r="M5" s="275">
        <f t="shared" si="4"/>
        <v>0</v>
      </c>
      <c r="N5" s="276">
        <f t="shared" si="5"/>
        <v>0</v>
      </c>
      <c r="O5" s="276">
        <f t="shared" si="6"/>
        <v>0</v>
      </c>
      <c r="P5" s="276">
        <f t="shared" si="7"/>
        <v>0</v>
      </c>
      <c r="Q5" s="276">
        <f t="shared" si="8"/>
        <v>0</v>
      </c>
      <c r="R5" s="329">
        <f t="shared" si="9"/>
        <v>0</v>
      </c>
      <c r="S5" s="273"/>
      <c r="T5" s="274" t="str">
        <f>IF(ISNA(VLOOKUP(D5,'One year follow-up_inperson'!$C:$C,1,FALSE)),"No","Yes")</f>
        <v>No</v>
      </c>
      <c r="U5" s="592" t="s">
        <v>679</v>
      </c>
    </row>
    <row r="6" spans="1:21" ht="135">
      <c r="A6" s="368">
        <v>5</v>
      </c>
      <c r="B6" s="550" t="s">
        <v>493</v>
      </c>
      <c r="C6" s="272" t="str">
        <f t="shared" si="0"/>
        <v>279</v>
      </c>
      <c r="D6" s="539">
        <v>27920</v>
      </c>
      <c r="E6" s="539" t="s">
        <v>329</v>
      </c>
      <c r="F6" s="540" t="s">
        <v>2</v>
      </c>
      <c r="G6" s="469">
        <v>62</v>
      </c>
      <c r="H6" s="541" t="s">
        <v>3</v>
      </c>
      <c r="I6" s="541" t="s">
        <v>341</v>
      </c>
      <c r="J6" s="275">
        <f t="shared" si="1"/>
        <v>0</v>
      </c>
      <c r="K6" s="275">
        <f t="shared" si="2"/>
        <v>1</v>
      </c>
      <c r="L6" s="275">
        <f t="shared" si="3"/>
        <v>0</v>
      </c>
      <c r="M6" s="275">
        <f t="shared" si="4"/>
        <v>1</v>
      </c>
      <c r="N6" s="276">
        <f t="shared" si="5"/>
        <v>0</v>
      </c>
      <c r="O6" s="276">
        <f t="shared" si="6"/>
        <v>0</v>
      </c>
      <c r="P6" s="276">
        <f t="shared" si="7"/>
        <v>0</v>
      </c>
      <c r="Q6" s="276">
        <f t="shared" si="8"/>
        <v>0</v>
      </c>
      <c r="R6" s="329">
        <f t="shared" si="9"/>
        <v>1</v>
      </c>
      <c r="S6" s="273"/>
      <c r="T6" s="274" t="str">
        <f>IF(ISNA(VLOOKUP(D6,'One year follow-up_inperson'!$C:$C,1,FALSE)),"No","Yes")</f>
        <v>No</v>
      </c>
      <c r="U6" s="592" t="s">
        <v>679</v>
      </c>
    </row>
    <row r="7" spans="1:21" ht="310.5">
      <c r="A7" s="368">
        <v>6</v>
      </c>
      <c r="B7" s="550" t="s">
        <v>493</v>
      </c>
      <c r="C7" s="272" t="str">
        <f t="shared" si="0"/>
        <v>279</v>
      </c>
      <c r="D7" s="539">
        <v>27921</v>
      </c>
      <c r="E7" s="539" t="s">
        <v>330</v>
      </c>
      <c r="F7" s="540" t="s">
        <v>2</v>
      </c>
      <c r="G7" s="469">
        <v>26</v>
      </c>
      <c r="H7" s="541" t="s">
        <v>3</v>
      </c>
      <c r="I7" s="541" t="s">
        <v>342</v>
      </c>
      <c r="J7" s="275">
        <f t="shared" si="1"/>
        <v>1</v>
      </c>
      <c r="K7" s="275">
        <f t="shared" si="2"/>
        <v>1</v>
      </c>
      <c r="L7" s="275">
        <f t="shared" si="3"/>
        <v>0</v>
      </c>
      <c r="M7" s="275">
        <f t="shared" si="4"/>
        <v>1</v>
      </c>
      <c r="N7" s="276">
        <f t="shared" si="5"/>
        <v>1</v>
      </c>
      <c r="O7" s="276">
        <f t="shared" si="6"/>
        <v>0</v>
      </c>
      <c r="P7" s="276">
        <f t="shared" si="7"/>
        <v>0</v>
      </c>
      <c r="Q7" s="276">
        <f t="shared" si="8"/>
        <v>0</v>
      </c>
      <c r="R7" s="329">
        <f t="shared" si="9"/>
        <v>1</v>
      </c>
      <c r="S7" s="273"/>
      <c r="T7" s="274" t="str">
        <f>IF(ISNA(VLOOKUP(D7,'One year follow-up_inperson'!$C:$C,1,FALSE)),"No","Yes")</f>
        <v>No</v>
      </c>
      <c r="U7" s="592" t="s">
        <v>679</v>
      </c>
    </row>
    <row r="8" spans="1:21" ht="121.5">
      <c r="A8" s="368">
        <v>7</v>
      </c>
      <c r="B8" s="550" t="s">
        <v>493</v>
      </c>
      <c r="C8" s="272" t="str">
        <f t="shared" si="0"/>
        <v>279</v>
      </c>
      <c r="D8" s="539">
        <v>27924</v>
      </c>
      <c r="E8" s="539" t="s">
        <v>644</v>
      </c>
      <c r="F8" s="540" t="s">
        <v>2</v>
      </c>
      <c r="G8" s="469">
        <v>60</v>
      </c>
      <c r="H8" s="541" t="s">
        <v>3</v>
      </c>
      <c r="I8" s="541" t="s">
        <v>343</v>
      </c>
      <c r="J8" s="275">
        <f t="shared" si="1"/>
        <v>0</v>
      </c>
      <c r="K8" s="275">
        <f t="shared" si="2"/>
        <v>1</v>
      </c>
      <c r="L8" s="275">
        <f t="shared" si="3"/>
        <v>0</v>
      </c>
      <c r="M8" s="275">
        <f t="shared" si="4"/>
        <v>1</v>
      </c>
      <c r="N8" s="276">
        <f t="shared" si="5"/>
        <v>0</v>
      </c>
      <c r="O8" s="276">
        <f t="shared" si="6"/>
        <v>0</v>
      </c>
      <c r="P8" s="276">
        <f t="shared" si="7"/>
        <v>0</v>
      </c>
      <c r="Q8" s="276">
        <f t="shared" si="8"/>
        <v>0</v>
      </c>
      <c r="R8" s="329">
        <f t="shared" si="9"/>
        <v>1</v>
      </c>
      <c r="S8" s="273"/>
      <c r="T8" s="274" t="str">
        <f>IF(ISNA(VLOOKUP(D8,'One year follow-up_inperson'!$C:$C,1,FALSE)),"No","Yes")</f>
        <v>No</v>
      </c>
      <c r="U8" s="592" t="s">
        <v>679</v>
      </c>
    </row>
    <row r="9" spans="1:21" ht="54">
      <c r="A9" s="368">
        <v>8</v>
      </c>
      <c r="B9" s="550" t="s">
        <v>493</v>
      </c>
      <c r="C9" s="272" t="str">
        <f t="shared" si="0"/>
        <v>279</v>
      </c>
      <c r="D9" s="539">
        <v>27925</v>
      </c>
      <c r="E9" s="539" t="s">
        <v>331</v>
      </c>
      <c r="F9" s="540" t="s">
        <v>2</v>
      </c>
      <c r="G9" s="469">
        <v>64</v>
      </c>
      <c r="H9" s="541" t="s">
        <v>3</v>
      </c>
      <c r="I9" s="541" t="s">
        <v>344</v>
      </c>
      <c r="J9" s="275">
        <f t="shared" si="1"/>
        <v>0</v>
      </c>
      <c r="K9" s="275">
        <f t="shared" si="2"/>
        <v>0</v>
      </c>
      <c r="L9" s="275">
        <f t="shared" si="3"/>
        <v>0</v>
      </c>
      <c r="M9" s="275">
        <f t="shared" si="4"/>
        <v>0</v>
      </c>
      <c r="N9" s="276">
        <f t="shared" si="5"/>
        <v>0</v>
      </c>
      <c r="O9" s="276">
        <f t="shared" si="6"/>
        <v>0</v>
      </c>
      <c r="P9" s="276">
        <f t="shared" si="7"/>
        <v>0</v>
      </c>
      <c r="Q9" s="276">
        <f t="shared" si="8"/>
        <v>0</v>
      </c>
      <c r="R9" s="329">
        <f t="shared" si="9"/>
        <v>0</v>
      </c>
      <c r="S9" s="273"/>
      <c r="T9" s="274" t="str">
        <f>IF(ISNA(VLOOKUP(D9,'One year follow-up_inperson'!$C:$C,1,FALSE)),"No","Yes")</f>
        <v>No</v>
      </c>
      <c r="U9" s="592" t="s">
        <v>679</v>
      </c>
    </row>
    <row r="10" spans="1:21" ht="243">
      <c r="A10" s="368">
        <v>9</v>
      </c>
      <c r="B10" s="550" t="s">
        <v>493</v>
      </c>
      <c r="C10" s="272" t="str">
        <f t="shared" si="0"/>
        <v>279</v>
      </c>
      <c r="D10" s="539">
        <v>27926</v>
      </c>
      <c r="E10" s="539" t="s">
        <v>332</v>
      </c>
      <c r="F10" s="540" t="s">
        <v>2</v>
      </c>
      <c r="G10" s="469">
        <v>40</v>
      </c>
      <c r="H10" s="541" t="s">
        <v>3</v>
      </c>
      <c r="I10" s="541" t="s">
        <v>345</v>
      </c>
      <c r="J10" s="275">
        <f t="shared" si="1"/>
        <v>0</v>
      </c>
      <c r="K10" s="275">
        <f t="shared" si="2"/>
        <v>1</v>
      </c>
      <c r="L10" s="275">
        <f t="shared" si="3"/>
        <v>0</v>
      </c>
      <c r="M10" s="275">
        <f t="shared" si="4"/>
        <v>1</v>
      </c>
      <c r="N10" s="276">
        <f t="shared" si="5"/>
        <v>1</v>
      </c>
      <c r="O10" s="276">
        <f t="shared" si="6"/>
        <v>0</v>
      </c>
      <c r="P10" s="276">
        <f t="shared" si="7"/>
        <v>0</v>
      </c>
      <c r="Q10" s="276">
        <f t="shared" si="8"/>
        <v>0</v>
      </c>
      <c r="R10" s="329">
        <f t="shared" si="9"/>
        <v>1</v>
      </c>
      <c r="S10" s="273"/>
      <c r="T10" s="274" t="str">
        <f>IF(ISNA(VLOOKUP(D10,'One year follow-up_inperson'!$C:$C,1,FALSE)),"No","Yes")</f>
        <v>No</v>
      </c>
      <c r="U10" s="592" t="s">
        <v>679</v>
      </c>
    </row>
    <row r="11" spans="1:21" ht="135">
      <c r="A11" s="368">
        <v>10</v>
      </c>
      <c r="B11" s="550" t="s">
        <v>493</v>
      </c>
      <c r="C11" s="272" t="str">
        <f t="shared" si="0"/>
        <v>279</v>
      </c>
      <c r="D11" s="539">
        <v>27928</v>
      </c>
      <c r="E11" s="539" t="s">
        <v>333</v>
      </c>
      <c r="F11" s="540" t="s">
        <v>2</v>
      </c>
      <c r="G11" s="469">
        <v>35</v>
      </c>
      <c r="H11" s="541" t="s">
        <v>3</v>
      </c>
      <c r="I11" s="541" t="s">
        <v>346</v>
      </c>
      <c r="J11" s="275">
        <f t="shared" si="1"/>
        <v>0</v>
      </c>
      <c r="K11" s="275">
        <f t="shared" si="2"/>
        <v>1</v>
      </c>
      <c r="L11" s="275">
        <f t="shared" si="3"/>
        <v>0</v>
      </c>
      <c r="M11" s="275">
        <f t="shared" si="4"/>
        <v>1</v>
      </c>
      <c r="N11" s="276">
        <f t="shared" si="5"/>
        <v>0</v>
      </c>
      <c r="O11" s="276">
        <f t="shared" si="6"/>
        <v>0</v>
      </c>
      <c r="P11" s="276">
        <f t="shared" si="7"/>
        <v>0</v>
      </c>
      <c r="Q11" s="276">
        <f t="shared" si="8"/>
        <v>0</v>
      </c>
      <c r="R11" s="329">
        <f t="shared" si="9"/>
        <v>1</v>
      </c>
      <c r="S11" s="273"/>
      <c r="T11" s="274" t="str">
        <f>IF(ISNA(VLOOKUP(D11,'One year follow-up_inperson'!$C:$C,1,FALSE)),"No","Yes")</f>
        <v>No</v>
      </c>
      <c r="U11" s="592" t="s">
        <v>679</v>
      </c>
    </row>
    <row r="12" spans="1:21" ht="175.5">
      <c r="A12" s="368">
        <v>11</v>
      </c>
      <c r="B12" s="550" t="s">
        <v>493</v>
      </c>
      <c r="C12" s="272" t="str">
        <f t="shared" si="0"/>
        <v>279</v>
      </c>
      <c r="D12" s="539">
        <v>27934</v>
      </c>
      <c r="E12" s="539" t="s">
        <v>334</v>
      </c>
      <c r="F12" s="540" t="s">
        <v>2</v>
      </c>
      <c r="G12" s="469">
        <v>63</v>
      </c>
      <c r="H12" s="541" t="s">
        <v>3</v>
      </c>
      <c r="I12" s="541" t="s">
        <v>347</v>
      </c>
      <c r="J12" s="275">
        <f t="shared" si="1"/>
        <v>0</v>
      </c>
      <c r="K12" s="275">
        <f t="shared" si="2"/>
        <v>1</v>
      </c>
      <c r="L12" s="275">
        <f t="shared" si="3"/>
        <v>0</v>
      </c>
      <c r="M12" s="275">
        <f t="shared" si="4"/>
        <v>1</v>
      </c>
      <c r="N12" s="276">
        <f t="shared" si="5"/>
        <v>1</v>
      </c>
      <c r="O12" s="276">
        <f t="shared" si="6"/>
        <v>0</v>
      </c>
      <c r="P12" s="276">
        <f t="shared" si="7"/>
        <v>0</v>
      </c>
      <c r="Q12" s="276">
        <f t="shared" si="8"/>
        <v>0</v>
      </c>
      <c r="R12" s="329">
        <f t="shared" si="9"/>
        <v>1</v>
      </c>
      <c r="S12" s="273"/>
      <c r="T12" s="274" t="str">
        <f>IF(ISNA(VLOOKUP(D12,'One year follow-up_inperson'!$C:$C,1,FALSE)),"No","Yes")</f>
        <v>No</v>
      </c>
      <c r="U12" s="592" t="s">
        <v>679</v>
      </c>
    </row>
    <row r="13" spans="1:21" ht="409.5">
      <c r="A13" s="368">
        <v>12</v>
      </c>
      <c r="B13" s="550" t="s">
        <v>371</v>
      </c>
      <c r="C13" s="272" t="str">
        <f t="shared" si="0"/>
        <v>279</v>
      </c>
      <c r="D13" s="539">
        <v>27932</v>
      </c>
      <c r="E13" s="539" t="s">
        <v>642</v>
      </c>
      <c r="F13" s="540" t="s">
        <v>2</v>
      </c>
      <c r="G13" s="469">
        <v>33</v>
      </c>
      <c r="H13" s="541" t="s">
        <v>3</v>
      </c>
      <c r="I13" s="541" t="s">
        <v>643</v>
      </c>
      <c r="J13" s="275">
        <f t="shared" si="1"/>
        <v>0</v>
      </c>
      <c r="K13" s="275">
        <f t="shared" si="2"/>
        <v>1</v>
      </c>
      <c r="L13" s="275">
        <f t="shared" si="3"/>
        <v>0</v>
      </c>
      <c r="M13" s="275">
        <f t="shared" si="4"/>
        <v>1</v>
      </c>
      <c r="N13" s="276">
        <f t="shared" si="5"/>
        <v>0</v>
      </c>
      <c r="O13" s="276">
        <f t="shared" si="6"/>
        <v>0</v>
      </c>
      <c r="P13" s="276">
        <f t="shared" si="7"/>
        <v>0</v>
      </c>
      <c r="Q13" s="276">
        <f t="shared" si="8"/>
        <v>0</v>
      </c>
      <c r="R13" s="329">
        <f t="shared" si="9"/>
        <v>1</v>
      </c>
      <c r="S13" s="273"/>
      <c r="T13" s="274" t="str">
        <f>IF(ISNA(VLOOKUP(D13,'One year follow-up_inperson'!$C:$C,1,FALSE)),"No","Yes")</f>
        <v>No</v>
      </c>
      <c r="U13" s="592" t="s">
        <v>679</v>
      </c>
    </row>
    <row r="14" spans="1:21" ht="409.5">
      <c r="A14" s="368">
        <v>13</v>
      </c>
      <c r="B14" s="550" t="s">
        <v>371</v>
      </c>
      <c r="C14" s="272" t="str">
        <f t="shared" si="0"/>
        <v>279</v>
      </c>
      <c r="D14" s="539">
        <v>27935</v>
      </c>
      <c r="E14" s="539" t="s">
        <v>640</v>
      </c>
      <c r="F14" s="540" t="s">
        <v>2</v>
      </c>
      <c r="G14" s="469">
        <v>57</v>
      </c>
      <c r="H14" s="541" t="s">
        <v>3</v>
      </c>
      <c r="I14" s="541" t="s">
        <v>641</v>
      </c>
      <c r="J14" s="275">
        <f t="shared" si="1"/>
        <v>0</v>
      </c>
      <c r="K14" s="275">
        <f t="shared" si="2"/>
        <v>1</v>
      </c>
      <c r="L14" s="275">
        <f t="shared" si="3"/>
        <v>0</v>
      </c>
      <c r="M14" s="275">
        <f t="shared" si="4"/>
        <v>1</v>
      </c>
      <c r="N14" s="276">
        <f t="shared" si="5"/>
        <v>1</v>
      </c>
      <c r="O14" s="276">
        <f t="shared" si="6"/>
        <v>0</v>
      </c>
      <c r="P14" s="276">
        <f t="shared" si="7"/>
        <v>0</v>
      </c>
      <c r="Q14" s="276">
        <f t="shared" si="8"/>
        <v>0</v>
      </c>
      <c r="R14" s="329">
        <f t="shared" si="9"/>
        <v>1</v>
      </c>
      <c r="S14" s="273"/>
      <c r="T14" s="274" t="str">
        <f>IF(ISNA(VLOOKUP(D14,'One year follow-up_inperson'!$C:$C,1,FALSE)),"No","Yes")</f>
        <v>No</v>
      </c>
      <c r="U14" s="592" t="s">
        <v>679</v>
      </c>
    </row>
    <row r="15" spans="1:21" ht="148.5">
      <c r="A15" s="368">
        <v>14</v>
      </c>
      <c r="B15" s="550" t="s">
        <v>493</v>
      </c>
      <c r="C15" s="272" t="str">
        <f t="shared" si="0"/>
        <v>279</v>
      </c>
      <c r="D15" s="539">
        <v>27936</v>
      </c>
      <c r="E15" s="539" t="s">
        <v>335</v>
      </c>
      <c r="F15" s="540" t="s">
        <v>2</v>
      </c>
      <c r="G15" s="469">
        <v>45</v>
      </c>
      <c r="H15" s="541" t="s">
        <v>3</v>
      </c>
      <c r="I15" s="541" t="s">
        <v>348</v>
      </c>
      <c r="J15" s="275">
        <f t="shared" si="1"/>
        <v>0</v>
      </c>
      <c r="K15" s="275">
        <f t="shared" si="2"/>
        <v>1</v>
      </c>
      <c r="L15" s="275">
        <f t="shared" si="3"/>
        <v>0</v>
      </c>
      <c r="M15" s="275">
        <f t="shared" si="4"/>
        <v>1</v>
      </c>
      <c r="N15" s="276">
        <f t="shared" si="5"/>
        <v>1</v>
      </c>
      <c r="O15" s="276">
        <f t="shared" si="6"/>
        <v>0</v>
      </c>
      <c r="P15" s="276">
        <f t="shared" si="7"/>
        <v>0</v>
      </c>
      <c r="Q15" s="276">
        <f t="shared" si="8"/>
        <v>0</v>
      </c>
      <c r="R15" s="329">
        <f t="shared" si="9"/>
        <v>1</v>
      </c>
      <c r="S15" s="273"/>
      <c r="T15" s="274" t="str">
        <f>IF(ISNA(VLOOKUP(D15,'One year follow-up_inperson'!$C:$C,1,FALSE)),"No","Yes")</f>
        <v>No</v>
      </c>
      <c r="U15" s="592" t="s">
        <v>679</v>
      </c>
    </row>
    <row r="16" spans="1:21" ht="189">
      <c r="A16" s="368">
        <v>15</v>
      </c>
      <c r="B16" s="550" t="s">
        <v>493</v>
      </c>
      <c r="C16" s="272" t="str">
        <f t="shared" si="0"/>
        <v>279</v>
      </c>
      <c r="D16" s="539">
        <v>27937</v>
      </c>
      <c r="E16" s="539" t="s">
        <v>336</v>
      </c>
      <c r="F16" s="540" t="s">
        <v>2</v>
      </c>
      <c r="G16" s="469">
        <v>30</v>
      </c>
      <c r="H16" s="541" t="s">
        <v>3</v>
      </c>
      <c r="I16" s="541" t="s">
        <v>349</v>
      </c>
      <c r="J16" s="275">
        <f t="shared" si="1"/>
        <v>0</v>
      </c>
      <c r="K16" s="275">
        <f t="shared" si="2"/>
        <v>0</v>
      </c>
      <c r="L16" s="275">
        <f t="shared" si="3"/>
        <v>0</v>
      </c>
      <c r="M16" s="275">
        <f t="shared" si="4"/>
        <v>0</v>
      </c>
      <c r="N16" s="276">
        <f t="shared" si="5"/>
        <v>0</v>
      </c>
      <c r="O16" s="276">
        <f t="shared" si="6"/>
        <v>0</v>
      </c>
      <c r="P16" s="276">
        <f t="shared" si="7"/>
        <v>0</v>
      </c>
      <c r="Q16" s="276">
        <f t="shared" si="8"/>
        <v>0</v>
      </c>
      <c r="R16" s="329">
        <f t="shared" si="9"/>
        <v>0</v>
      </c>
      <c r="S16" s="273"/>
      <c r="T16" s="274" t="str">
        <f>IF(ISNA(VLOOKUP(D16,'One year follow-up_inperson'!$C:$C,1,FALSE)),"No","Yes")</f>
        <v>No</v>
      </c>
      <c r="U16" s="592" t="s">
        <v>679</v>
      </c>
    </row>
    <row r="17" spans="1:21" ht="148.5">
      <c r="A17" s="368">
        <v>16</v>
      </c>
      <c r="B17" s="550" t="s">
        <v>493</v>
      </c>
      <c r="C17" s="272" t="str">
        <f t="shared" si="0"/>
        <v>279</v>
      </c>
      <c r="D17" s="539">
        <v>27938</v>
      </c>
      <c r="E17" s="539" t="s">
        <v>337</v>
      </c>
      <c r="F17" s="540" t="s">
        <v>2</v>
      </c>
      <c r="G17" s="469">
        <v>38</v>
      </c>
      <c r="H17" s="541" t="s">
        <v>3</v>
      </c>
      <c r="I17" s="541" t="s">
        <v>350</v>
      </c>
      <c r="J17" s="275">
        <f t="shared" si="1"/>
        <v>0</v>
      </c>
      <c r="K17" s="275">
        <f t="shared" si="2"/>
        <v>1</v>
      </c>
      <c r="L17" s="275">
        <f t="shared" si="3"/>
        <v>0</v>
      </c>
      <c r="M17" s="275">
        <f t="shared" si="4"/>
        <v>1</v>
      </c>
      <c r="N17" s="276">
        <f t="shared" si="5"/>
        <v>1</v>
      </c>
      <c r="O17" s="276">
        <f t="shared" si="6"/>
        <v>0</v>
      </c>
      <c r="P17" s="276">
        <f t="shared" si="7"/>
        <v>0</v>
      </c>
      <c r="Q17" s="276">
        <f t="shared" si="8"/>
        <v>0</v>
      </c>
      <c r="R17" s="329">
        <f t="shared" si="9"/>
        <v>1</v>
      </c>
      <c r="S17" s="273"/>
      <c r="T17" s="274" t="str">
        <f>IF(ISNA(VLOOKUP(D17,'One year follow-up_inperson'!$C:$C,1,FALSE)),"No","Yes")</f>
        <v>No</v>
      </c>
      <c r="U17" s="592" t="s">
        <v>679</v>
      </c>
    </row>
    <row r="18" spans="1:21" ht="409.5">
      <c r="A18" s="368">
        <v>17</v>
      </c>
      <c r="B18" s="550" t="s">
        <v>371</v>
      </c>
      <c r="C18" s="272" t="str">
        <f t="shared" si="0"/>
        <v>279</v>
      </c>
      <c r="D18" s="539">
        <v>27939</v>
      </c>
      <c r="E18" s="539" t="s">
        <v>638</v>
      </c>
      <c r="F18" s="575" t="s">
        <v>2</v>
      </c>
      <c r="G18" s="469">
        <v>41</v>
      </c>
      <c r="H18" s="541" t="s">
        <v>3</v>
      </c>
      <c r="I18" s="541" t="s">
        <v>639</v>
      </c>
      <c r="J18" s="275">
        <f t="shared" si="1"/>
        <v>1</v>
      </c>
      <c r="K18" s="275">
        <f t="shared" si="2"/>
        <v>1</v>
      </c>
      <c r="L18" s="275">
        <f t="shared" si="3"/>
        <v>0</v>
      </c>
      <c r="M18" s="275">
        <f t="shared" si="4"/>
        <v>1</v>
      </c>
      <c r="N18" s="276">
        <f t="shared" si="5"/>
        <v>1</v>
      </c>
      <c r="O18" s="276">
        <f t="shared" si="6"/>
        <v>0</v>
      </c>
      <c r="P18" s="276">
        <f t="shared" si="7"/>
        <v>0</v>
      </c>
      <c r="Q18" s="276">
        <f t="shared" si="8"/>
        <v>0</v>
      </c>
      <c r="R18" s="329">
        <f t="shared" si="9"/>
        <v>1</v>
      </c>
      <c r="S18" s="273"/>
      <c r="T18" s="274" t="str">
        <f>IF(ISNA(VLOOKUP(D18,'One year follow-up_inperson'!$C:$C,1,FALSE)),"No","Yes")</f>
        <v>No</v>
      </c>
      <c r="U18" s="592" t="s">
        <v>679</v>
      </c>
    </row>
    <row r="19" spans="1:21" ht="270">
      <c r="A19" s="368">
        <v>18</v>
      </c>
      <c r="B19" s="550" t="s">
        <v>493</v>
      </c>
      <c r="C19" s="272" t="str">
        <f>LEFT(D19,3)</f>
        <v>280</v>
      </c>
      <c r="D19" s="534">
        <v>2801</v>
      </c>
      <c r="E19" s="182" t="s">
        <v>287</v>
      </c>
      <c r="F19" s="535" t="s">
        <v>2</v>
      </c>
      <c r="G19" s="469">
        <v>33</v>
      </c>
      <c r="H19" s="537" t="s">
        <v>3</v>
      </c>
      <c r="I19" s="538" t="s">
        <v>323</v>
      </c>
      <c r="J19" s="275">
        <f>IF(OR(ISNUMBER(SEARCH("confidence",I19))=TRUE,ISNUMBER(SEARCH("hope for the future",I19))=TRUE,ISNUMBER(SEARCH("communicate",I19))=TRUE,ISNUMBER(SEARCH("worthy",I19))=TRUE,ISNUMBER(SEARCH("thought",I19))=TRUE,ISNUMBER(SEARCH("open",I19))=TRUE,ISNUMBER(SEARCH("believe",I19))=TRUE,ISNUMBER(SEARCH("confident",I19))=TRUE,ISNUMBER(SEARCH("empower",I19))=TRUE),1,0)</f>
        <v>0</v>
      </c>
      <c r="K19" s="275">
        <f>IF(OR(ISNUMBER(SEARCH("decision",I19))=TRUE,ISNUMBER(SEARCH("save",I19))=TRUE,ISNUMBER(SEARCH("saving",I19))=TRUE,ISNUMBER(SEARCH("started",I19))=TRUE,ISNUMBER(SEARCH("buy",I19))=TRUE,ISNUMBER(SEARCH("bought",I19))=TRUE),1,0)</f>
        <v>1</v>
      </c>
      <c r="L19" s="275">
        <f>IF(OR(ISNUMBER(SEARCH("active",I19))=TRUE,ISNUMBER(SEARCH("proactive",I19))=TRUE,ISNUMBER(SEARCH("face challenge",I19))=TRUE),1,0)</f>
        <v>0</v>
      </c>
      <c r="M19" s="275">
        <f>IF(OR(J19=1,K19=1,L19=1),1,0)</f>
        <v>1</v>
      </c>
      <c r="N19" s="276">
        <f>IF(OR(ISNUMBER(SEARCH("started a business",I19))=TRUE,ISNUMBER(SEARCH("started an income generating activity",I19))=TRUE,ISNUMBER(SEARCH("a business",I19))=TRUE),1,0)</f>
        <v>0</v>
      </c>
      <c r="O19" s="276">
        <f>IF(OR(ISNUMBER(SEARCH("got a job",I19))=TRUE,ISNUMBER(SEARCH("got an internship",I19))=TRUE,ISNUMBER(SEARCH("got a promotion",I19))=TRUE),1,0)</f>
        <v>0</v>
      </c>
      <c r="P19" s="276">
        <f>IF(OR(ISNUMBER(SEARCH("school admission",I19))=TRUE,ISNUMBER(SEARCH("perfomance in class",I19))=TRUE,ISNUMBER(SEARCH("scholarship",I19))=TRUE,ISNUMBER(SEARCH("pursue higher education",I19))=TRUE),1,0)</f>
        <v>0</v>
      </c>
      <c r="Q19" s="276">
        <f>IF(OR(ISNUMBER(SEARCH("leadership role",I19))=TRUE),1,0)</f>
        <v>0</v>
      </c>
      <c r="R19" s="329">
        <f>IF(OR(M19=1,N19=1,O19=1,P19=1,Q19=1),1,0)</f>
        <v>1</v>
      </c>
      <c r="S19" s="273"/>
      <c r="T19" s="274" t="str">
        <f>IF(ISNA(VLOOKUP(D19,'One year follow-up_inperson'!$C:$C,1,FALSE)),"No","Yes")</f>
        <v>No</v>
      </c>
      <c r="U19" s="592" t="s">
        <v>679</v>
      </c>
    </row>
    <row r="20" spans="1:21" ht="243">
      <c r="A20" s="368">
        <v>19</v>
      </c>
      <c r="B20" s="550" t="s">
        <v>493</v>
      </c>
      <c r="C20" s="272" t="str">
        <f t="shared" si="0"/>
        <v>280</v>
      </c>
      <c r="D20" s="534">
        <v>2802</v>
      </c>
      <c r="E20" s="182" t="s">
        <v>288</v>
      </c>
      <c r="F20" s="535" t="s">
        <v>2</v>
      </c>
      <c r="G20" s="469">
        <v>41</v>
      </c>
      <c r="H20" s="537" t="s">
        <v>3</v>
      </c>
      <c r="I20" s="538" t="s">
        <v>324</v>
      </c>
      <c r="J20" s="275">
        <f t="shared" ref="J20:J40" si="10">IF(OR(ISNUMBER(SEARCH("confidence",I20))=TRUE,ISNUMBER(SEARCH("hope for the future",I20))=TRUE,ISNUMBER(SEARCH("communicate",I20))=TRUE,ISNUMBER(SEARCH("worthy",I20))=TRUE,ISNUMBER(SEARCH("thought",I20))=TRUE,ISNUMBER(SEARCH("open",I20))=TRUE,ISNUMBER(SEARCH("believe",I20))=TRUE,ISNUMBER(SEARCH("confident",I20))=TRUE,ISNUMBER(SEARCH("empower",I20))=TRUE),1,0)</f>
        <v>0</v>
      </c>
      <c r="K20" s="275">
        <f t="shared" ref="K20:K40" si="11">IF(OR(ISNUMBER(SEARCH("decision",I20))=TRUE,ISNUMBER(SEARCH("save",I20))=TRUE,ISNUMBER(SEARCH("saving",I20))=TRUE,ISNUMBER(SEARCH("started",I20))=TRUE,ISNUMBER(SEARCH("buy",I20))=TRUE,ISNUMBER(SEARCH("bought",I20))=TRUE),1,0)</f>
        <v>1</v>
      </c>
      <c r="L20" s="275">
        <f t="shared" ref="L20:L40" si="12">IF(OR(ISNUMBER(SEARCH("active",I20))=TRUE,ISNUMBER(SEARCH("proactive",I20))=TRUE,ISNUMBER(SEARCH("face challenge",I20))=TRUE),1,0)</f>
        <v>0</v>
      </c>
      <c r="M20" s="275">
        <f t="shared" ref="M20:M40" si="13">IF(OR(J20=1,K20=1,L20=1),1,0)</f>
        <v>1</v>
      </c>
      <c r="N20" s="276">
        <f t="shared" ref="N20:N40" si="14">IF(OR(ISNUMBER(SEARCH("started a business",I20))=TRUE,ISNUMBER(SEARCH("started an income generating activity",I20))=TRUE,ISNUMBER(SEARCH("a business",I20))=TRUE),1,0)</f>
        <v>1</v>
      </c>
      <c r="O20" s="276">
        <f t="shared" ref="O20:O40" si="15">IF(OR(ISNUMBER(SEARCH("got a job",I20))=TRUE,ISNUMBER(SEARCH("got an internship",I20))=TRUE,ISNUMBER(SEARCH("got a promotion",I20))=TRUE),1,0)</f>
        <v>0</v>
      </c>
      <c r="P20" s="276">
        <f t="shared" ref="P20:P40" si="16">IF(OR(ISNUMBER(SEARCH("school admission",I20))=TRUE,ISNUMBER(SEARCH("perfomance in class",I20))=TRUE,ISNUMBER(SEARCH("scholarship",I20))=TRUE,ISNUMBER(SEARCH("pursue higher education",I20))=TRUE),1,0)</f>
        <v>0</v>
      </c>
      <c r="Q20" s="276">
        <f t="shared" ref="Q20:Q40" si="17">IF(OR(ISNUMBER(SEARCH("leadership role",I20))=TRUE),1,0)</f>
        <v>0</v>
      </c>
      <c r="R20" s="329">
        <f t="shared" ref="R20:R40" si="18">IF(OR(M20=1,N20=1,O20=1,P20=1,Q20=1),1,0)</f>
        <v>1</v>
      </c>
      <c r="S20" s="273"/>
      <c r="T20" s="274" t="str">
        <f>IF(ISNA(VLOOKUP(D20,'One year follow-up_inperson'!$C:$C,1,FALSE)),"No","Yes")</f>
        <v>No</v>
      </c>
      <c r="U20" s="592" t="s">
        <v>679</v>
      </c>
    </row>
    <row r="21" spans="1:21" ht="409.5">
      <c r="A21" s="368">
        <v>20</v>
      </c>
      <c r="B21" s="550" t="s">
        <v>493</v>
      </c>
      <c r="C21" s="272" t="str">
        <f t="shared" si="0"/>
        <v>280</v>
      </c>
      <c r="D21" s="534">
        <v>2803</v>
      </c>
      <c r="E21" s="182" t="s">
        <v>289</v>
      </c>
      <c r="F21" s="535" t="s">
        <v>2</v>
      </c>
      <c r="G21" s="469">
        <v>35</v>
      </c>
      <c r="H21" s="537" t="s">
        <v>3</v>
      </c>
      <c r="I21" s="537" t="s">
        <v>308</v>
      </c>
      <c r="J21" s="275">
        <f t="shared" si="10"/>
        <v>1</v>
      </c>
      <c r="K21" s="275">
        <f t="shared" si="11"/>
        <v>0</v>
      </c>
      <c r="L21" s="275">
        <f t="shared" si="12"/>
        <v>0</v>
      </c>
      <c r="M21" s="275">
        <f t="shared" si="13"/>
        <v>1</v>
      </c>
      <c r="N21" s="276">
        <f t="shared" si="14"/>
        <v>0</v>
      </c>
      <c r="O21" s="276">
        <f t="shared" si="15"/>
        <v>0</v>
      </c>
      <c r="P21" s="276">
        <f t="shared" si="16"/>
        <v>0</v>
      </c>
      <c r="Q21" s="276">
        <f t="shared" si="17"/>
        <v>0</v>
      </c>
      <c r="R21" s="329">
        <f t="shared" si="18"/>
        <v>1</v>
      </c>
      <c r="S21" s="273"/>
      <c r="T21" s="274" t="str">
        <f>IF(ISNA(VLOOKUP(D21,'One year follow-up_inperson'!$C:$C,1,FALSE)),"No","Yes")</f>
        <v>No</v>
      </c>
      <c r="U21" s="592" t="s">
        <v>679</v>
      </c>
    </row>
    <row r="22" spans="1:21" ht="216">
      <c r="A22" s="368">
        <v>21</v>
      </c>
      <c r="B22" s="550" t="s">
        <v>493</v>
      </c>
      <c r="C22" s="272" t="str">
        <f t="shared" si="0"/>
        <v>280</v>
      </c>
      <c r="D22" s="534">
        <v>2804</v>
      </c>
      <c r="E22" s="182" t="s">
        <v>290</v>
      </c>
      <c r="F22" s="535" t="s">
        <v>2</v>
      </c>
      <c r="G22" s="469">
        <v>47</v>
      </c>
      <c r="H22" s="537" t="s">
        <v>3</v>
      </c>
      <c r="I22" s="537" t="s">
        <v>309</v>
      </c>
      <c r="J22" s="275">
        <f t="shared" si="10"/>
        <v>0</v>
      </c>
      <c r="K22" s="275">
        <f t="shared" si="11"/>
        <v>1</v>
      </c>
      <c r="L22" s="275">
        <f t="shared" si="12"/>
        <v>0</v>
      </c>
      <c r="M22" s="275">
        <f t="shared" si="13"/>
        <v>1</v>
      </c>
      <c r="N22" s="276">
        <f t="shared" si="14"/>
        <v>0</v>
      </c>
      <c r="O22" s="276">
        <f t="shared" si="15"/>
        <v>0</v>
      </c>
      <c r="P22" s="276">
        <f t="shared" si="16"/>
        <v>0</v>
      </c>
      <c r="Q22" s="276">
        <f t="shared" si="17"/>
        <v>0</v>
      </c>
      <c r="R22" s="329">
        <f t="shared" si="18"/>
        <v>1</v>
      </c>
      <c r="S22" s="273"/>
      <c r="T22" s="274" t="str">
        <f>IF(ISNA(VLOOKUP(D22,'One year follow-up_inperson'!$C:$C,1,FALSE)),"No","Yes")</f>
        <v>No</v>
      </c>
      <c r="U22" s="592" t="s">
        <v>679</v>
      </c>
    </row>
    <row r="23" spans="1:21" ht="121.5">
      <c r="A23" s="368">
        <v>22</v>
      </c>
      <c r="B23" s="550" t="s">
        <v>493</v>
      </c>
      <c r="C23" s="272" t="str">
        <f t="shared" si="0"/>
        <v>280</v>
      </c>
      <c r="D23" s="534">
        <v>2807</v>
      </c>
      <c r="E23" s="182" t="s">
        <v>291</v>
      </c>
      <c r="F23" s="535" t="s">
        <v>2</v>
      </c>
      <c r="G23" s="469">
        <v>30</v>
      </c>
      <c r="H23" s="537" t="s">
        <v>3</v>
      </c>
      <c r="I23" s="537" t="s">
        <v>310</v>
      </c>
      <c r="J23" s="275">
        <f t="shared" si="10"/>
        <v>0</v>
      </c>
      <c r="K23" s="275">
        <f t="shared" si="11"/>
        <v>1</v>
      </c>
      <c r="L23" s="275">
        <f t="shared" si="12"/>
        <v>0</v>
      </c>
      <c r="M23" s="275">
        <f t="shared" si="13"/>
        <v>1</v>
      </c>
      <c r="N23" s="276">
        <f t="shared" si="14"/>
        <v>0</v>
      </c>
      <c r="O23" s="276">
        <f t="shared" si="15"/>
        <v>0</v>
      </c>
      <c r="P23" s="276">
        <f t="shared" si="16"/>
        <v>0</v>
      </c>
      <c r="Q23" s="276">
        <f t="shared" si="17"/>
        <v>0</v>
      </c>
      <c r="R23" s="329">
        <f t="shared" si="18"/>
        <v>1</v>
      </c>
      <c r="S23" s="273"/>
      <c r="T23" s="274" t="str">
        <f>IF(ISNA(VLOOKUP(D23,'One year follow-up_inperson'!$C:$C,1,FALSE)),"No","Yes")</f>
        <v>No</v>
      </c>
      <c r="U23" s="592" t="s">
        <v>679</v>
      </c>
    </row>
    <row r="24" spans="1:21" ht="364.5">
      <c r="A24" s="368">
        <v>23</v>
      </c>
      <c r="B24" s="550" t="s">
        <v>493</v>
      </c>
      <c r="C24" s="272" t="str">
        <f t="shared" si="0"/>
        <v>280</v>
      </c>
      <c r="D24" s="534">
        <v>2809</v>
      </c>
      <c r="E24" s="182" t="s">
        <v>292</v>
      </c>
      <c r="F24" s="535" t="s">
        <v>2</v>
      </c>
      <c r="G24" s="469">
        <v>50</v>
      </c>
      <c r="H24" s="537" t="s">
        <v>3</v>
      </c>
      <c r="I24" s="537" t="s">
        <v>311</v>
      </c>
      <c r="J24" s="275">
        <f t="shared" si="10"/>
        <v>1</v>
      </c>
      <c r="K24" s="275">
        <f t="shared" si="11"/>
        <v>1</v>
      </c>
      <c r="L24" s="275">
        <f t="shared" si="12"/>
        <v>0</v>
      </c>
      <c r="M24" s="275">
        <f t="shared" si="13"/>
        <v>1</v>
      </c>
      <c r="N24" s="276">
        <f t="shared" si="14"/>
        <v>0</v>
      </c>
      <c r="O24" s="276">
        <f t="shared" si="15"/>
        <v>0</v>
      </c>
      <c r="P24" s="276">
        <f t="shared" si="16"/>
        <v>0</v>
      </c>
      <c r="Q24" s="276">
        <f t="shared" si="17"/>
        <v>0</v>
      </c>
      <c r="R24" s="329">
        <f t="shared" si="18"/>
        <v>1</v>
      </c>
      <c r="S24" s="273"/>
      <c r="T24" s="274" t="str">
        <f>IF(ISNA(VLOOKUP(D24,'One year follow-up_inperson'!$C:$C,1,FALSE)),"No","Yes")</f>
        <v>No</v>
      </c>
      <c r="U24" s="592" t="s">
        <v>679</v>
      </c>
    </row>
    <row r="25" spans="1:21" ht="216">
      <c r="A25" s="368">
        <v>24</v>
      </c>
      <c r="B25" s="550" t="s">
        <v>493</v>
      </c>
      <c r="C25" s="272" t="str">
        <f t="shared" si="0"/>
        <v>280</v>
      </c>
      <c r="D25" s="534">
        <v>28011</v>
      </c>
      <c r="E25" s="182" t="s">
        <v>293</v>
      </c>
      <c r="F25" s="535" t="s">
        <v>2</v>
      </c>
      <c r="G25" s="469">
        <v>32</v>
      </c>
      <c r="H25" s="537" t="s">
        <v>3</v>
      </c>
      <c r="I25" s="537" t="s">
        <v>312</v>
      </c>
      <c r="J25" s="275">
        <f t="shared" si="10"/>
        <v>1</v>
      </c>
      <c r="K25" s="275">
        <f t="shared" si="11"/>
        <v>0</v>
      </c>
      <c r="L25" s="275">
        <f t="shared" si="12"/>
        <v>0</v>
      </c>
      <c r="M25" s="275">
        <f t="shared" si="13"/>
        <v>1</v>
      </c>
      <c r="N25" s="276">
        <f t="shared" si="14"/>
        <v>0</v>
      </c>
      <c r="O25" s="276">
        <f t="shared" si="15"/>
        <v>0</v>
      </c>
      <c r="P25" s="276">
        <f t="shared" si="16"/>
        <v>0</v>
      </c>
      <c r="Q25" s="276">
        <f t="shared" si="17"/>
        <v>0</v>
      </c>
      <c r="R25" s="329">
        <f t="shared" si="18"/>
        <v>1</v>
      </c>
      <c r="S25" s="273"/>
      <c r="T25" s="274" t="str">
        <f>IF(ISNA(VLOOKUP(D25,'One year follow-up_inperson'!$C:$C,1,FALSE)),"No","Yes")</f>
        <v>No</v>
      </c>
      <c r="U25" s="592" t="s">
        <v>679</v>
      </c>
    </row>
    <row r="26" spans="1:21" ht="216">
      <c r="A26" s="368">
        <v>25</v>
      </c>
      <c r="B26" s="550" t="s">
        <v>493</v>
      </c>
      <c r="C26" s="272" t="str">
        <f t="shared" si="0"/>
        <v>280</v>
      </c>
      <c r="D26" s="534">
        <v>28014</v>
      </c>
      <c r="E26" s="182" t="s">
        <v>294</v>
      </c>
      <c r="F26" s="535" t="s">
        <v>2</v>
      </c>
      <c r="G26" s="469">
        <v>30</v>
      </c>
      <c r="H26" s="537" t="s">
        <v>3</v>
      </c>
      <c r="I26" s="537" t="s">
        <v>313</v>
      </c>
      <c r="J26" s="275">
        <f t="shared" si="10"/>
        <v>1</v>
      </c>
      <c r="K26" s="275">
        <f t="shared" si="11"/>
        <v>0</v>
      </c>
      <c r="L26" s="275">
        <f t="shared" si="12"/>
        <v>0</v>
      </c>
      <c r="M26" s="275">
        <f t="shared" si="13"/>
        <v>1</v>
      </c>
      <c r="N26" s="276">
        <f t="shared" si="14"/>
        <v>0</v>
      </c>
      <c r="O26" s="276">
        <f t="shared" si="15"/>
        <v>0</v>
      </c>
      <c r="P26" s="276">
        <f t="shared" si="16"/>
        <v>0</v>
      </c>
      <c r="Q26" s="276">
        <f t="shared" si="17"/>
        <v>0</v>
      </c>
      <c r="R26" s="329">
        <f t="shared" si="18"/>
        <v>1</v>
      </c>
      <c r="S26" s="273"/>
      <c r="T26" s="274" t="str">
        <f>IF(ISNA(VLOOKUP(D26,'One year follow-up_inperson'!$C:$C,1,FALSE)),"No","Yes")</f>
        <v>No</v>
      </c>
      <c r="U26" s="592" t="s">
        <v>679</v>
      </c>
    </row>
    <row r="27" spans="1:21" ht="216">
      <c r="A27" s="368">
        <v>26</v>
      </c>
      <c r="B27" s="550" t="s">
        <v>493</v>
      </c>
      <c r="C27" s="272" t="str">
        <f t="shared" si="0"/>
        <v>280</v>
      </c>
      <c r="D27" s="534">
        <v>28015</v>
      </c>
      <c r="E27" s="182" t="s">
        <v>295</v>
      </c>
      <c r="F27" s="535" t="s">
        <v>2</v>
      </c>
      <c r="G27" s="469">
        <v>60</v>
      </c>
      <c r="H27" s="537" t="s">
        <v>3</v>
      </c>
      <c r="I27" s="537" t="s">
        <v>314</v>
      </c>
      <c r="J27" s="275">
        <f t="shared" si="10"/>
        <v>0</v>
      </c>
      <c r="K27" s="275">
        <f t="shared" si="11"/>
        <v>1</v>
      </c>
      <c r="L27" s="275">
        <f t="shared" si="12"/>
        <v>0</v>
      </c>
      <c r="M27" s="275">
        <f t="shared" si="13"/>
        <v>1</v>
      </c>
      <c r="N27" s="276">
        <f t="shared" si="14"/>
        <v>0</v>
      </c>
      <c r="O27" s="276">
        <f t="shared" si="15"/>
        <v>0</v>
      </c>
      <c r="P27" s="276">
        <f t="shared" si="16"/>
        <v>0</v>
      </c>
      <c r="Q27" s="276">
        <f t="shared" si="17"/>
        <v>0</v>
      </c>
      <c r="R27" s="329">
        <f t="shared" si="18"/>
        <v>1</v>
      </c>
      <c r="S27" s="273"/>
      <c r="T27" s="274" t="str">
        <f>IF(ISNA(VLOOKUP(D27,'One year follow-up_inperson'!$C:$C,1,FALSE)),"No","Yes")</f>
        <v>No</v>
      </c>
      <c r="U27" s="592" t="s">
        <v>679</v>
      </c>
    </row>
    <row r="28" spans="1:21" ht="216">
      <c r="A28" s="368">
        <v>27</v>
      </c>
      <c r="B28" s="550" t="s">
        <v>493</v>
      </c>
      <c r="C28" s="272" t="str">
        <f t="shared" si="0"/>
        <v>280</v>
      </c>
      <c r="D28" s="534">
        <v>28016</v>
      </c>
      <c r="E28" s="182" t="s">
        <v>296</v>
      </c>
      <c r="F28" s="535" t="s">
        <v>2</v>
      </c>
      <c r="G28" s="469">
        <v>35</v>
      </c>
      <c r="H28" s="537" t="s">
        <v>3</v>
      </c>
      <c r="I28" s="537" t="s">
        <v>315</v>
      </c>
      <c r="J28" s="275">
        <f t="shared" si="10"/>
        <v>0</v>
      </c>
      <c r="K28" s="275">
        <f t="shared" si="11"/>
        <v>0</v>
      </c>
      <c r="L28" s="275">
        <f t="shared" si="12"/>
        <v>0</v>
      </c>
      <c r="M28" s="275">
        <f t="shared" si="13"/>
        <v>0</v>
      </c>
      <c r="N28" s="276">
        <f t="shared" si="14"/>
        <v>0</v>
      </c>
      <c r="O28" s="276">
        <f t="shared" si="15"/>
        <v>0</v>
      </c>
      <c r="P28" s="276">
        <f t="shared" si="16"/>
        <v>0</v>
      </c>
      <c r="Q28" s="276">
        <f t="shared" si="17"/>
        <v>0</v>
      </c>
      <c r="R28" s="329">
        <f t="shared" si="18"/>
        <v>0</v>
      </c>
      <c r="S28" s="273"/>
      <c r="T28" s="274" t="str">
        <f>IF(ISNA(VLOOKUP(D28,'One year follow-up_inperson'!$C:$C,1,FALSE)),"No","Yes")</f>
        <v>No</v>
      </c>
      <c r="U28" s="592" t="s">
        <v>679</v>
      </c>
    </row>
    <row r="29" spans="1:21" ht="216">
      <c r="A29" s="368">
        <v>28</v>
      </c>
      <c r="B29" s="550" t="s">
        <v>493</v>
      </c>
      <c r="C29" s="272" t="str">
        <f t="shared" si="0"/>
        <v>280</v>
      </c>
      <c r="D29" s="534">
        <v>28017</v>
      </c>
      <c r="E29" s="182" t="s">
        <v>297</v>
      </c>
      <c r="F29" s="535" t="s">
        <v>2</v>
      </c>
      <c r="G29" s="469">
        <v>38</v>
      </c>
      <c r="H29" s="537" t="s">
        <v>5</v>
      </c>
      <c r="I29" s="537" t="s">
        <v>316</v>
      </c>
      <c r="J29" s="275">
        <f t="shared" si="10"/>
        <v>1</v>
      </c>
      <c r="K29" s="275">
        <f t="shared" si="11"/>
        <v>0</v>
      </c>
      <c r="L29" s="275">
        <f t="shared" si="12"/>
        <v>0</v>
      </c>
      <c r="M29" s="275">
        <f t="shared" si="13"/>
        <v>1</v>
      </c>
      <c r="N29" s="276">
        <f t="shared" si="14"/>
        <v>0</v>
      </c>
      <c r="O29" s="276">
        <f t="shared" si="15"/>
        <v>0</v>
      </c>
      <c r="P29" s="276">
        <f t="shared" si="16"/>
        <v>0</v>
      </c>
      <c r="Q29" s="276">
        <f t="shared" si="17"/>
        <v>0</v>
      </c>
      <c r="R29" s="329">
        <f t="shared" si="18"/>
        <v>1</v>
      </c>
      <c r="S29" s="273"/>
      <c r="T29" s="274" t="str">
        <f>IF(ISNA(VLOOKUP(D29,'One year follow-up_inperson'!$C:$C,1,FALSE)),"No","Yes")</f>
        <v>No</v>
      </c>
      <c r="U29" s="592" t="s">
        <v>679</v>
      </c>
    </row>
    <row r="30" spans="1:21" ht="94.5">
      <c r="A30" s="368">
        <v>29</v>
      </c>
      <c r="B30" s="550" t="s">
        <v>493</v>
      </c>
      <c r="C30" s="272" t="str">
        <f t="shared" si="0"/>
        <v>280</v>
      </c>
      <c r="D30" s="534">
        <v>28019</v>
      </c>
      <c r="E30" s="182" t="s">
        <v>298</v>
      </c>
      <c r="F30" s="535" t="s">
        <v>2</v>
      </c>
      <c r="G30" s="469">
        <v>34</v>
      </c>
      <c r="H30" s="537" t="s">
        <v>3</v>
      </c>
      <c r="I30" s="537" t="s">
        <v>673</v>
      </c>
      <c r="J30" s="275">
        <f t="shared" si="10"/>
        <v>0</v>
      </c>
      <c r="K30" s="275">
        <f t="shared" si="11"/>
        <v>1</v>
      </c>
      <c r="L30" s="275">
        <f t="shared" si="12"/>
        <v>0</v>
      </c>
      <c r="M30" s="275">
        <f t="shared" si="13"/>
        <v>1</v>
      </c>
      <c r="N30" s="276">
        <f t="shared" si="14"/>
        <v>1</v>
      </c>
      <c r="O30" s="276">
        <f t="shared" si="15"/>
        <v>0</v>
      </c>
      <c r="P30" s="276">
        <f t="shared" si="16"/>
        <v>0</v>
      </c>
      <c r="Q30" s="276">
        <f t="shared" si="17"/>
        <v>0</v>
      </c>
      <c r="R30" s="329">
        <f t="shared" si="18"/>
        <v>1</v>
      </c>
      <c r="S30" s="273"/>
      <c r="T30" s="274" t="str">
        <f>IF(ISNA(VLOOKUP(D30,'One year follow-up_inperson'!$C:$C,1,FALSE)),"No","Yes")</f>
        <v>No</v>
      </c>
      <c r="U30" s="592" t="s">
        <v>679</v>
      </c>
    </row>
    <row r="31" spans="1:21" ht="175.5">
      <c r="A31" s="368">
        <v>30</v>
      </c>
      <c r="B31" s="550" t="s">
        <v>493</v>
      </c>
      <c r="C31" s="272" t="str">
        <f t="shared" si="0"/>
        <v>280</v>
      </c>
      <c r="D31" s="534">
        <v>28020</v>
      </c>
      <c r="E31" s="182" t="s">
        <v>299</v>
      </c>
      <c r="F31" s="535" t="s">
        <v>2</v>
      </c>
      <c r="G31" s="469">
        <v>41</v>
      </c>
      <c r="H31" s="537" t="s">
        <v>3</v>
      </c>
      <c r="I31" s="537" t="s">
        <v>674</v>
      </c>
      <c r="J31" s="275">
        <f t="shared" si="10"/>
        <v>0</v>
      </c>
      <c r="K31" s="275">
        <f t="shared" si="11"/>
        <v>0</v>
      </c>
      <c r="L31" s="275">
        <f t="shared" si="12"/>
        <v>0</v>
      </c>
      <c r="M31" s="275">
        <f t="shared" si="13"/>
        <v>0</v>
      </c>
      <c r="N31" s="276">
        <f t="shared" si="14"/>
        <v>0</v>
      </c>
      <c r="O31" s="276">
        <f t="shared" si="15"/>
        <v>0</v>
      </c>
      <c r="P31" s="276">
        <f t="shared" si="16"/>
        <v>0</v>
      </c>
      <c r="Q31" s="276">
        <f t="shared" si="17"/>
        <v>0</v>
      </c>
      <c r="R31" s="329">
        <f t="shared" si="18"/>
        <v>0</v>
      </c>
      <c r="S31" s="273"/>
      <c r="T31" s="274" t="str">
        <f>IF(ISNA(VLOOKUP(D31,'One year follow-up_inperson'!$C:$C,1,FALSE)),"No","Yes")</f>
        <v>No</v>
      </c>
      <c r="U31" s="592" t="s">
        <v>679</v>
      </c>
    </row>
    <row r="32" spans="1:21" ht="229.5">
      <c r="A32" s="368">
        <v>31</v>
      </c>
      <c r="B32" s="550" t="s">
        <v>493</v>
      </c>
      <c r="C32" s="272" t="str">
        <f t="shared" si="0"/>
        <v>280</v>
      </c>
      <c r="D32" s="534">
        <v>28021</v>
      </c>
      <c r="E32" s="182" t="s">
        <v>300</v>
      </c>
      <c r="F32" s="535" t="s">
        <v>2</v>
      </c>
      <c r="G32" s="469">
        <v>39</v>
      </c>
      <c r="H32" s="537" t="s">
        <v>3</v>
      </c>
      <c r="I32" s="537" t="s">
        <v>317</v>
      </c>
      <c r="J32" s="275">
        <f t="shared" si="10"/>
        <v>0</v>
      </c>
      <c r="K32" s="275">
        <f t="shared" si="11"/>
        <v>0</v>
      </c>
      <c r="L32" s="275">
        <f t="shared" si="12"/>
        <v>0</v>
      </c>
      <c r="M32" s="275">
        <f t="shared" si="13"/>
        <v>0</v>
      </c>
      <c r="N32" s="276">
        <f t="shared" si="14"/>
        <v>0</v>
      </c>
      <c r="O32" s="276">
        <f t="shared" si="15"/>
        <v>0</v>
      </c>
      <c r="P32" s="276">
        <f t="shared" si="16"/>
        <v>0</v>
      </c>
      <c r="Q32" s="276">
        <f t="shared" si="17"/>
        <v>0</v>
      </c>
      <c r="R32" s="329">
        <f t="shared" si="18"/>
        <v>0</v>
      </c>
      <c r="S32" s="273"/>
      <c r="T32" s="274" t="str">
        <f>IF(ISNA(VLOOKUP(D32,'One year follow-up_inperson'!$C:$C,1,FALSE)),"No","Yes")</f>
        <v>No</v>
      </c>
      <c r="U32" s="592" t="s">
        <v>679</v>
      </c>
    </row>
    <row r="33" spans="1:21" ht="189">
      <c r="A33" s="368">
        <v>32</v>
      </c>
      <c r="B33" s="550" t="s">
        <v>493</v>
      </c>
      <c r="C33" s="272" t="str">
        <f t="shared" si="0"/>
        <v>280</v>
      </c>
      <c r="D33" s="534">
        <v>28029</v>
      </c>
      <c r="E33" s="182" t="s">
        <v>301</v>
      </c>
      <c r="F33" s="535" t="s">
        <v>2</v>
      </c>
      <c r="G33" s="469">
        <v>60</v>
      </c>
      <c r="H33" s="537" t="s">
        <v>3</v>
      </c>
      <c r="I33" s="537" t="s">
        <v>318</v>
      </c>
      <c r="J33" s="275">
        <f t="shared" si="10"/>
        <v>0</v>
      </c>
      <c r="K33" s="275">
        <f t="shared" si="11"/>
        <v>0</v>
      </c>
      <c r="L33" s="275">
        <f t="shared" si="12"/>
        <v>0</v>
      </c>
      <c r="M33" s="275">
        <f t="shared" si="13"/>
        <v>0</v>
      </c>
      <c r="N33" s="276">
        <f t="shared" si="14"/>
        <v>0</v>
      </c>
      <c r="O33" s="276">
        <f t="shared" si="15"/>
        <v>0</v>
      </c>
      <c r="P33" s="276">
        <f t="shared" si="16"/>
        <v>0</v>
      </c>
      <c r="Q33" s="276">
        <f t="shared" si="17"/>
        <v>0</v>
      </c>
      <c r="R33" s="329">
        <f t="shared" si="18"/>
        <v>0</v>
      </c>
      <c r="S33" s="273"/>
      <c r="T33" s="274" t="str">
        <f>IF(ISNA(VLOOKUP(D33,'One year follow-up_inperson'!$C:$C,1,FALSE)),"No","Yes")</f>
        <v>No</v>
      </c>
      <c r="U33" s="592" t="s">
        <v>679</v>
      </c>
    </row>
    <row r="34" spans="1:21" ht="121.5">
      <c r="A34" s="368">
        <v>33</v>
      </c>
      <c r="B34" s="550" t="s">
        <v>493</v>
      </c>
      <c r="C34" s="272" t="str">
        <f t="shared" si="0"/>
        <v>280</v>
      </c>
      <c r="D34" s="534">
        <v>28032</v>
      </c>
      <c r="E34" s="182" t="s">
        <v>302</v>
      </c>
      <c r="F34" s="535" t="s">
        <v>2</v>
      </c>
      <c r="G34" s="469">
        <v>53</v>
      </c>
      <c r="H34" s="537" t="s">
        <v>3</v>
      </c>
      <c r="I34" s="537" t="s">
        <v>319</v>
      </c>
      <c r="J34" s="275">
        <f t="shared" si="10"/>
        <v>1</v>
      </c>
      <c r="K34" s="275">
        <f t="shared" si="11"/>
        <v>1</v>
      </c>
      <c r="L34" s="275">
        <f t="shared" si="12"/>
        <v>0</v>
      </c>
      <c r="M34" s="275">
        <f t="shared" si="13"/>
        <v>1</v>
      </c>
      <c r="N34" s="276">
        <f t="shared" si="14"/>
        <v>0</v>
      </c>
      <c r="O34" s="276">
        <f t="shared" si="15"/>
        <v>0</v>
      </c>
      <c r="P34" s="276">
        <f t="shared" si="16"/>
        <v>0</v>
      </c>
      <c r="Q34" s="276">
        <f t="shared" si="17"/>
        <v>0</v>
      </c>
      <c r="R34" s="329">
        <f t="shared" si="18"/>
        <v>1</v>
      </c>
      <c r="S34" s="273"/>
      <c r="T34" s="274" t="str">
        <f>IF(ISNA(VLOOKUP(D34,'One year follow-up_inperson'!$C:$C,1,FALSE)),"No","Yes")</f>
        <v>No</v>
      </c>
      <c r="U34" s="592" t="s">
        <v>679</v>
      </c>
    </row>
    <row r="35" spans="1:21" ht="202.5">
      <c r="A35" s="368">
        <v>34</v>
      </c>
      <c r="B35" s="550" t="s">
        <v>493</v>
      </c>
      <c r="C35" s="272" t="str">
        <f t="shared" si="0"/>
        <v>280</v>
      </c>
      <c r="D35" s="534">
        <v>28037</v>
      </c>
      <c r="E35" s="182" t="s">
        <v>274</v>
      </c>
      <c r="F35" s="535" t="s">
        <v>2</v>
      </c>
      <c r="G35" s="469">
        <v>51</v>
      </c>
      <c r="H35" s="537" t="s">
        <v>3</v>
      </c>
      <c r="I35" s="537" t="s">
        <v>320</v>
      </c>
      <c r="J35" s="275">
        <f t="shared" si="10"/>
        <v>0</v>
      </c>
      <c r="K35" s="275">
        <f t="shared" si="11"/>
        <v>1</v>
      </c>
      <c r="L35" s="275">
        <f t="shared" si="12"/>
        <v>0</v>
      </c>
      <c r="M35" s="275">
        <f t="shared" si="13"/>
        <v>1</v>
      </c>
      <c r="N35" s="276">
        <f t="shared" si="14"/>
        <v>0</v>
      </c>
      <c r="O35" s="276">
        <f t="shared" si="15"/>
        <v>0</v>
      </c>
      <c r="P35" s="276">
        <f t="shared" si="16"/>
        <v>0</v>
      </c>
      <c r="Q35" s="276">
        <f t="shared" si="17"/>
        <v>0</v>
      </c>
      <c r="R35" s="329">
        <f t="shared" si="18"/>
        <v>1</v>
      </c>
      <c r="S35" s="273"/>
      <c r="T35" s="274" t="str">
        <f>IF(ISNA(VLOOKUP(D35,'One year follow-up_inperson'!$C:$C,1,FALSE)),"No","Yes")</f>
        <v>No</v>
      </c>
      <c r="U35" s="592" t="s">
        <v>679</v>
      </c>
    </row>
    <row r="36" spans="1:21" ht="162">
      <c r="A36" s="368">
        <v>35</v>
      </c>
      <c r="B36" s="550" t="s">
        <v>493</v>
      </c>
      <c r="C36" s="272" t="str">
        <f t="shared" si="0"/>
        <v>280</v>
      </c>
      <c r="D36" s="534">
        <v>28041</v>
      </c>
      <c r="E36" s="182" t="s">
        <v>303</v>
      </c>
      <c r="F36" s="535" t="s">
        <v>2</v>
      </c>
      <c r="G36" s="469">
        <v>30</v>
      </c>
      <c r="H36" s="537" t="s">
        <v>3</v>
      </c>
      <c r="I36" s="537" t="s">
        <v>321</v>
      </c>
      <c r="J36" s="275">
        <f t="shared" si="10"/>
        <v>0</v>
      </c>
      <c r="K36" s="275">
        <f t="shared" si="11"/>
        <v>0</v>
      </c>
      <c r="L36" s="275">
        <f t="shared" si="12"/>
        <v>0</v>
      </c>
      <c r="M36" s="275">
        <f t="shared" si="13"/>
        <v>0</v>
      </c>
      <c r="N36" s="276">
        <f t="shared" si="14"/>
        <v>0</v>
      </c>
      <c r="O36" s="276">
        <f t="shared" si="15"/>
        <v>0</v>
      </c>
      <c r="P36" s="276">
        <f t="shared" si="16"/>
        <v>0</v>
      </c>
      <c r="Q36" s="276">
        <f t="shared" si="17"/>
        <v>0</v>
      </c>
      <c r="R36" s="329">
        <f t="shared" si="18"/>
        <v>0</v>
      </c>
      <c r="S36" s="273"/>
      <c r="T36" s="274" t="str">
        <f>IF(ISNA(VLOOKUP(D36,'One year follow-up_inperson'!$C:$C,1,FALSE)),"No","Yes")</f>
        <v>No</v>
      </c>
      <c r="U36" s="592" t="s">
        <v>679</v>
      </c>
    </row>
    <row r="37" spans="1:21" ht="121.5">
      <c r="A37" s="368">
        <v>36</v>
      </c>
      <c r="B37" s="550" t="s">
        <v>493</v>
      </c>
      <c r="C37" s="272" t="str">
        <f t="shared" si="0"/>
        <v>280</v>
      </c>
      <c r="D37" s="534">
        <v>28048</v>
      </c>
      <c r="E37" s="182" t="s">
        <v>304</v>
      </c>
      <c r="F37" s="535" t="s">
        <v>2</v>
      </c>
      <c r="G37" s="469">
        <v>60</v>
      </c>
      <c r="H37" s="537" t="s">
        <v>3</v>
      </c>
      <c r="I37" s="537" t="s">
        <v>472</v>
      </c>
      <c r="J37" s="275">
        <f t="shared" si="10"/>
        <v>1</v>
      </c>
      <c r="K37" s="275">
        <f t="shared" si="11"/>
        <v>0</v>
      </c>
      <c r="L37" s="275">
        <f t="shared" si="12"/>
        <v>0</v>
      </c>
      <c r="M37" s="275">
        <f t="shared" si="13"/>
        <v>1</v>
      </c>
      <c r="N37" s="276">
        <f t="shared" si="14"/>
        <v>0</v>
      </c>
      <c r="O37" s="276">
        <f t="shared" si="15"/>
        <v>0</v>
      </c>
      <c r="P37" s="276">
        <f t="shared" si="16"/>
        <v>0</v>
      </c>
      <c r="Q37" s="276">
        <f t="shared" si="17"/>
        <v>0</v>
      </c>
      <c r="R37" s="329">
        <f t="shared" si="18"/>
        <v>1</v>
      </c>
      <c r="S37" s="273"/>
      <c r="T37" s="274" t="str">
        <f>IF(ISNA(VLOOKUP(D37,'One year follow-up_inperson'!$C:$C,1,FALSE)),"No","Yes")</f>
        <v>No</v>
      </c>
      <c r="U37" s="592" t="s">
        <v>679</v>
      </c>
    </row>
    <row r="38" spans="1:21" ht="175.5">
      <c r="A38" s="368">
        <v>37</v>
      </c>
      <c r="B38" s="550" t="s">
        <v>493</v>
      </c>
      <c r="C38" s="272" t="str">
        <f t="shared" si="0"/>
        <v>280</v>
      </c>
      <c r="D38" s="534">
        <v>28049</v>
      </c>
      <c r="E38" s="182" t="s">
        <v>305</v>
      </c>
      <c r="F38" s="535" t="s">
        <v>2</v>
      </c>
      <c r="G38" s="469">
        <v>50</v>
      </c>
      <c r="H38" s="537" t="s">
        <v>3</v>
      </c>
      <c r="I38" s="537" t="s">
        <v>322</v>
      </c>
      <c r="J38" s="275">
        <f t="shared" si="10"/>
        <v>0</v>
      </c>
      <c r="K38" s="275">
        <f t="shared" si="11"/>
        <v>1</v>
      </c>
      <c r="L38" s="275">
        <f t="shared" si="12"/>
        <v>0</v>
      </c>
      <c r="M38" s="275">
        <f t="shared" si="13"/>
        <v>1</v>
      </c>
      <c r="N38" s="276">
        <f t="shared" si="14"/>
        <v>0</v>
      </c>
      <c r="O38" s="276">
        <f t="shared" si="15"/>
        <v>0</v>
      </c>
      <c r="P38" s="276">
        <f t="shared" si="16"/>
        <v>0</v>
      </c>
      <c r="Q38" s="276">
        <f t="shared" si="17"/>
        <v>0</v>
      </c>
      <c r="R38" s="329">
        <f t="shared" si="18"/>
        <v>1</v>
      </c>
      <c r="S38" s="273"/>
      <c r="T38" s="274" t="str">
        <f>IF(ISNA(VLOOKUP(D38,'One year follow-up_inperson'!$C:$C,1,FALSE)),"No","Yes")</f>
        <v>No</v>
      </c>
      <c r="U38" s="592" t="s">
        <v>679</v>
      </c>
    </row>
    <row r="39" spans="1:21" ht="162">
      <c r="A39" s="368">
        <v>38</v>
      </c>
      <c r="B39" s="550" t="s">
        <v>493</v>
      </c>
      <c r="C39" s="272" t="str">
        <f t="shared" si="0"/>
        <v>280</v>
      </c>
      <c r="D39" s="534">
        <v>28050</v>
      </c>
      <c r="E39" s="182" t="s">
        <v>306</v>
      </c>
      <c r="F39" s="535" t="s">
        <v>2</v>
      </c>
      <c r="G39" s="469">
        <v>43</v>
      </c>
      <c r="H39" s="537" t="s">
        <v>3</v>
      </c>
      <c r="I39" s="537" t="s">
        <v>471</v>
      </c>
      <c r="J39" s="275">
        <f t="shared" si="10"/>
        <v>0</v>
      </c>
      <c r="K39" s="275">
        <f t="shared" si="11"/>
        <v>1</v>
      </c>
      <c r="L39" s="275">
        <f t="shared" si="12"/>
        <v>0</v>
      </c>
      <c r="M39" s="275">
        <f t="shared" si="13"/>
        <v>1</v>
      </c>
      <c r="N39" s="276">
        <f t="shared" si="14"/>
        <v>1</v>
      </c>
      <c r="O39" s="276">
        <f t="shared" si="15"/>
        <v>0</v>
      </c>
      <c r="P39" s="276">
        <f t="shared" si="16"/>
        <v>0</v>
      </c>
      <c r="Q39" s="276">
        <f t="shared" si="17"/>
        <v>0</v>
      </c>
      <c r="R39" s="329">
        <f t="shared" si="18"/>
        <v>1</v>
      </c>
      <c r="S39" s="273"/>
      <c r="T39" s="274" t="str">
        <f>IF(ISNA(VLOOKUP(D39,'One year follow-up_inperson'!$C:$C,1,FALSE)),"No","Yes")</f>
        <v>No</v>
      </c>
      <c r="U39" s="592" t="s">
        <v>679</v>
      </c>
    </row>
    <row r="40" spans="1:21" ht="175.5">
      <c r="A40" s="368">
        <v>39</v>
      </c>
      <c r="B40" s="550" t="s">
        <v>493</v>
      </c>
      <c r="C40" s="272" t="str">
        <f t="shared" si="0"/>
        <v>280</v>
      </c>
      <c r="D40" s="534">
        <v>28052</v>
      </c>
      <c r="E40" s="182" t="s">
        <v>307</v>
      </c>
      <c r="F40" s="535" t="s">
        <v>2</v>
      </c>
      <c r="G40" s="469">
        <v>23</v>
      </c>
      <c r="H40" s="537" t="s">
        <v>3</v>
      </c>
      <c r="I40" s="537" t="s">
        <v>470</v>
      </c>
      <c r="J40" s="275">
        <f t="shared" si="10"/>
        <v>1</v>
      </c>
      <c r="K40" s="275">
        <f t="shared" si="11"/>
        <v>0</v>
      </c>
      <c r="L40" s="275">
        <f t="shared" si="12"/>
        <v>0</v>
      </c>
      <c r="M40" s="275">
        <f t="shared" si="13"/>
        <v>1</v>
      </c>
      <c r="N40" s="276">
        <f t="shared" si="14"/>
        <v>0</v>
      </c>
      <c r="O40" s="276">
        <f t="shared" si="15"/>
        <v>0</v>
      </c>
      <c r="P40" s="276">
        <f t="shared" si="16"/>
        <v>0</v>
      </c>
      <c r="Q40" s="276">
        <f t="shared" si="17"/>
        <v>0</v>
      </c>
      <c r="R40" s="329">
        <f t="shared" si="18"/>
        <v>1</v>
      </c>
      <c r="S40" s="273"/>
      <c r="T40" s="274" t="str">
        <f>IF(ISNA(VLOOKUP(D40,'One year follow-up_inperson'!$C:$C,1,FALSE)),"No","Yes")</f>
        <v>No</v>
      </c>
      <c r="U40" s="592" t="s">
        <v>679</v>
      </c>
    </row>
    <row r="41" spans="1:21" ht="409.5">
      <c r="A41" s="368">
        <v>40</v>
      </c>
      <c r="B41" s="368"/>
      <c r="C41" s="272" t="str">
        <f>LEFT(D41,3)</f>
        <v>281</v>
      </c>
      <c r="D41" s="531">
        <v>2812</v>
      </c>
      <c r="E41" s="182" t="s">
        <v>261</v>
      </c>
      <c r="F41" s="532" t="s">
        <v>2</v>
      </c>
      <c r="G41" s="536">
        <v>38</v>
      </c>
      <c r="H41" s="532" t="s">
        <v>3</v>
      </c>
      <c r="I41" s="533" t="s">
        <v>275</v>
      </c>
      <c r="J41" s="275">
        <f>IF(OR(ISNUMBER(SEARCH("confidence",I41))=TRUE,ISNUMBER(SEARCH("hope for the future",I41))=TRUE,ISNUMBER(SEARCH("communicate",I41))=TRUE,ISNUMBER(SEARCH("worthy",I41))=TRUE,ISNUMBER(SEARCH("thought",I41))=TRUE,ISNUMBER(SEARCH("open",I41))=TRUE,ISNUMBER(SEARCH("believe",I41))=TRUE,ISNUMBER(SEARCH("confident",I41))=TRUE,ISNUMBER(SEARCH("empower",I41))=TRUE),1,0)</f>
        <v>0</v>
      </c>
      <c r="K41" s="275">
        <f>IF(OR(ISNUMBER(SEARCH("decision",I41))=TRUE,ISNUMBER(SEARCH("save",I41))=TRUE,ISNUMBER(SEARCH("saving",I41))=TRUE,ISNUMBER(SEARCH("started",I41))=TRUE,ISNUMBER(SEARCH("buy",I41))=TRUE,ISNUMBER(SEARCH("bought",I41))=TRUE),1,0)</f>
        <v>1</v>
      </c>
      <c r="L41" s="275">
        <f>IF(OR(ISNUMBER(SEARCH("active",I41))=TRUE,ISNUMBER(SEARCH("proactive",I41))=TRUE,ISNUMBER(SEARCH("face challenge",I41))=TRUE),1,0)</f>
        <v>0</v>
      </c>
      <c r="M41" s="275">
        <f>IF(OR(J41=1,K41=1,L41=1),1,0)</f>
        <v>1</v>
      </c>
      <c r="N41" s="276">
        <f>IF(OR(ISNUMBER(SEARCH("started a business",I41))=TRUE,ISNUMBER(SEARCH("started an income generating activity",I41))=TRUE,ISNUMBER(SEARCH("a business",I41))=TRUE),1,0)</f>
        <v>0</v>
      </c>
      <c r="O41" s="276">
        <f>IF(OR(ISNUMBER(SEARCH("got a job",I41))=TRUE,ISNUMBER(SEARCH("got an internship",I41))=TRUE,ISNUMBER(SEARCH("got a promotion",I41))=TRUE),1,0)</f>
        <v>0</v>
      </c>
      <c r="P41" s="276">
        <f>IF(OR(ISNUMBER(SEARCH("school admission",I41))=TRUE,ISNUMBER(SEARCH("perfomance in class",I41))=TRUE,ISNUMBER(SEARCH("scholarship",I41))=TRUE,ISNUMBER(SEARCH("pursue higher education",I41))=TRUE),1,0)</f>
        <v>0</v>
      </c>
      <c r="Q41" s="276">
        <f>IF(OR(ISNUMBER(SEARCH("leadership role",I41))=TRUE),1,0)</f>
        <v>0</v>
      </c>
      <c r="R41" s="329">
        <f>IF(OR(M41=1,N41=1,O41=1,P41=1,Q41=1),1,0)</f>
        <v>1</v>
      </c>
      <c r="S41" s="273"/>
      <c r="T41" s="274" t="str">
        <f>IF(ISNA(VLOOKUP(D41,'One year follow-up_inperson'!$C:$C,1,FALSE)),"No","Yes")</f>
        <v>No</v>
      </c>
      <c r="U41" s="592" t="s">
        <v>679</v>
      </c>
    </row>
    <row r="42" spans="1:21" ht="409.5">
      <c r="A42" s="368">
        <v>41</v>
      </c>
      <c r="B42" s="368"/>
      <c r="C42" s="272" t="str">
        <f t="shared" si="0"/>
        <v>281</v>
      </c>
      <c r="D42" s="531">
        <v>2813</v>
      </c>
      <c r="E42" s="182" t="s">
        <v>262</v>
      </c>
      <c r="F42" s="532" t="s">
        <v>2</v>
      </c>
      <c r="G42" s="469">
        <v>38</v>
      </c>
      <c r="H42" s="532" t="s">
        <v>3</v>
      </c>
      <c r="I42" s="533" t="s">
        <v>276</v>
      </c>
      <c r="J42" s="275">
        <f t="shared" ref="J42:J105" si="19">IF(OR(ISNUMBER(SEARCH("confidence",I42))=TRUE,ISNUMBER(SEARCH("hope for the future",I42))=TRUE,ISNUMBER(SEARCH("communicate",I42))=TRUE,ISNUMBER(SEARCH("worthy",I42))=TRUE,ISNUMBER(SEARCH("thought",I42))=TRUE,ISNUMBER(SEARCH("open",I42))=TRUE,ISNUMBER(SEARCH("believe",I42))=TRUE,ISNUMBER(SEARCH("confident",I42))=TRUE,ISNUMBER(SEARCH("empower",I42))=TRUE),1,0)</f>
        <v>1</v>
      </c>
      <c r="K42" s="275">
        <f t="shared" ref="K42:K55" si="20">IF(OR(ISNUMBER(SEARCH("decision",I42))=TRUE,ISNUMBER(SEARCH("save",I42))=TRUE,ISNUMBER(SEARCH("saving",I42))=TRUE,ISNUMBER(SEARCH("started",I42))=TRUE,ISNUMBER(SEARCH("buy",I42))=TRUE,ISNUMBER(SEARCH("bought",I42))=TRUE),1,0)</f>
        <v>1</v>
      </c>
      <c r="L42" s="275">
        <f t="shared" ref="L42:L55" si="21">IF(OR(ISNUMBER(SEARCH("active",I42))=TRUE,ISNUMBER(SEARCH("proactive",I42))=TRUE,ISNUMBER(SEARCH("face challenge",I42))=TRUE),1,0)</f>
        <v>0</v>
      </c>
      <c r="M42" s="275">
        <f t="shared" ref="M42:M55" si="22">IF(OR(J42=1,K42=1,L42=1),1,0)</f>
        <v>1</v>
      </c>
      <c r="N42" s="276">
        <f t="shared" ref="N42:N55" si="23">IF(OR(ISNUMBER(SEARCH("started a business",I42))=TRUE,ISNUMBER(SEARCH("started an income generating activity",I42))=TRUE,ISNUMBER(SEARCH("a business",I42))=TRUE),1,0)</f>
        <v>1</v>
      </c>
      <c r="O42" s="276">
        <f t="shared" ref="O42:O55" si="24">IF(OR(ISNUMBER(SEARCH("got a job",I42))=TRUE,ISNUMBER(SEARCH("got an internship",I42))=TRUE,ISNUMBER(SEARCH("got a promotion",I42))=TRUE),1,0)</f>
        <v>0</v>
      </c>
      <c r="P42" s="276">
        <f t="shared" ref="P42:P55" si="25">IF(OR(ISNUMBER(SEARCH("school admission",I42))=TRUE,ISNUMBER(SEARCH("perfomance in class",I42))=TRUE,ISNUMBER(SEARCH("scholarship",I42))=TRUE,ISNUMBER(SEARCH("pursue higher education",I42))=TRUE),1,0)</f>
        <v>0</v>
      </c>
      <c r="Q42" s="276">
        <f t="shared" ref="Q42:Q55" si="26">IF(OR(ISNUMBER(SEARCH("leadership role",I42))=TRUE),1,0)</f>
        <v>0</v>
      </c>
      <c r="R42" s="329">
        <f t="shared" ref="R42:R55" si="27">IF(OR(M42=1,N42=1,O42=1,P42=1,Q42=1),1,0)</f>
        <v>1</v>
      </c>
      <c r="S42" s="273"/>
      <c r="T42" s="274" t="str">
        <f>IF(ISNA(VLOOKUP(D42,'One year follow-up_inperson'!$C:$C,1,FALSE)),"No","Yes")</f>
        <v>No</v>
      </c>
      <c r="U42" s="592" t="s">
        <v>679</v>
      </c>
    </row>
    <row r="43" spans="1:21" ht="199.5">
      <c r="A43" s="368">
        <v>42</v>
      </c>
      <c r="B43" s="368"/>
      <c r="C43" s="272" t="str">
        <f t="shared" si="0"/>
        <v>281</v>
      </c>
      <c r="D43" s="531">
        <v>28114</v>
      </c>
      <c r="E43" s="182" t="s">
        <v>263</v>
      </c>
      <c r="F43" s="532" t="s">
        <v>2</v>
      </c>
      <c r="G43" s="469">
        <v>32</v>
      </c>
      <c r="H43" s="532" t="s">
        <v>3</v>
      </c>
      <c r="I43" s="533" t="s">
        <v>277</v>
      </c>
      <c r="J43" s="275">
        <f t="shared" si="19"/>
        <v>0</v>
      </c>
      <c r="K43" s="275">
        <f t="shared" si="20"/>
        <v>1</v>
      </c>
      <c r="L43" s="275">
        <f t="shared" si="21"/>
        <v>0</v>
      </c>
      <c r="M43" s="275">
        <f t="shared" si="22"/>
        <v>1</v>
      </c>
      <c r="N43" s="276">
        <f t="shared" si="23"/>
        <v>1</v>
      </c>
      <c r="O43" s="276">
        <f t="shared" si="24"/>
        <v>0</v>
      </c>
      <c r="P43" s="276">
        <f t="shared" si="25"/>
        <v>0</v>
      </c>
      <c r="Q43" s="276">
        <f t="shared" si="26"/>
        <v>0</v>
      </c>
      <c r="R43" s="329">
        <f t="shared" si="27"/>
        <v>1</v>
      </c>
      <c r="S43" s="273"/>
      <c r="T43" s="274" t="str">
        <f>IF(ISNA(VLOOKUP(D43,'One year follow-up_inperson'!$C:$C,1,FALSE)),"No","Yes")</f>
        <v>No</v>
      </c>
      <c r="U43" s="592" t="s">
        <v>679</v>
      </c>
    </row>
    <row r="44" spans="1:21" ht="15">
      <c r="A44" s="368">
        <v>43</v>
      </c>
      <c r="B44" s="368"/>
      <c r="C44" s="272" t="str">
        <f t="shared" si="0"/>
        <v>281</v>
      </c>
      <c r="D44" s="531">
        <v>28115</v>
      </c>
      <c r="E44" s="182" t="s">
        <v>264</v>
      </c>
      <c r="F44" s="532" t="s">
        <v>2</v>
      </c>
      <c r="G44" s="469">
        <v>30</v>
      </c>
      <c r="H44" s="532" t="s">
        <v>3</v>
      </c>
      <c r="I44" s="532" t="s">
        <v>278</v>
      </c>
      <c r="J44" s="275">
        <f t="shared" si="19"/>
        <v>1</v>
      </c>
      <c r="K44" s="275">
        <f t="shared" si="20"/>
        <v>0</v>
      </c>
      <c r="L44" s="275">
        <f t="shared" si="21"/>
        <v>0</v>
      </c>
      <c r="M44" s="275">
        <f t="shared" si="22"/>
        <v>1</v>
      </c>
      <c r="N44" s="276">
        <f t="shared" si="23"/>
        <v>0</v>
      </c>
      <c r="O44" s="276">
        <f t="shared" si="24"/>
        <v>0</v>
      </c>
      <c r="P44" s="276">
        <f t="shared" si="25"/>
        <v>0</v>
      </c>
      <c r="Q44" s="276">
        <f t="shared" si="26"/>
        <v>0</v>
      </c>
      <c r="R44" s="329">
        <f t="shared" si="27"/>
        <v>1</v>
      </c>
      <c r="S44" s="273"/>
      <c r="T44" s="274" t="str">
        <f>IF(ISNA(VLOOKUP(D44,'One year follow-up_inperson'!$C:$C,1,FALSE)),"No","Yes")</f>
        <v>No</v>
      </c>
      <c r="U44" s="592" t="s">
        <v>679</v>
      </c>
    </row>
    <row r="45" spans="1:21" ht="270.75">
      <c r="A45" s="368">
        <v>44</v>
      </c>
      <c r="B45" s="368"/>
      <c r="C45" s="272" t="str">
        <f t="shared" si="0"/>
        <v>281</v>
      </c>
      <c r="D45" s="531">
        <v>28116</v>
      </c>
      <c r="E45" s="182" t="s">
        <v>265</v>
      </c>
      <c r="F45" s="532" t="s">
        <v>2</v>
      </c>
      <c r="G45" s="469">
        <v>40</v>
      </c>
      <c r="H45" s="532" t="s">
        <v>3</v>
      </c>
      <c r="I45" s="533" t="s">
        <v>279</v>
      </c>
      <c r="J45" s="275">
        <f t="shared" si="19"/>
        <v>1</v>
      </c>
      <c r="K45" s="275">
        <f t="shared" si="20"/>
        <v>1</v>
      </c>
      <c r="L45" s="275">
        <f t="shared" si="21"/>
        <v>0</v>
      </c>
      <c r="M45" s="275">
        <f t="shared" si="22"/>
        <v>1</v>
      </c>
      <c r="N45" s="276">
        <f t="shared" si="23"/>
        <v>1</v>
      </c>
      <c r="O45" s="276">
        <f t="shared" si="24"/>
        <v>0</v>
      </c>
      <c r="P45" s="276">
        <f t="shared" si="25"/>
        <v>0</v>
      </c>
      <c r="Q45" s="276">
        <f t="shared" si="26"/>
        <v>0</v>
      </c>
      <c r="R45" s="329">
        <f t="shared" si="27"/>
        <v>1</v>
      </c>
      <c r="S45" s="273"/>
      <c r="T45" s="274" t="str">
        <f>IF(ISNA(VLOOKUP(D45,'One year follow-up_inperson'!$C:$C,1,FALSE)),"No","Yes")</f>
        <v>No</v>
      </c>
      <c r="U45" s="592" t="s">
        <v>679</v>
      </c>
    </row>
    <row r="46" spans="1:21" ht="15">
      <c r="A46" s="368">
        <v>45</v>
      </c>
      <c r="B46" s="368"/>
      <c r="C46" s="272" t="str">
        <f t="shared" si="0"/>
        <v>281</v>
      </c>
      <c r="D46" s="531">
        <v>28117</v>
      </c>
      <c r="E46" s="182" t="s">
        <v>266</v>
      </c>
      <c r="F46" s="532" t="s">
        <v>2</v>
      </c>
      <c r="G46" s="469">
        <v>62</v>
      </c>
      <c r="H46" s="532" t="s">
        <v>3</v>
      </c>
      <c r="I46" s="532" t="s">
        <v>280</v>
      </c>
      <c r="J46" s="275">
        <f t="shared" si="19"/>
        <v>0</v>
      </c>
      <c r="K46" s="275">
        <f t="shared" si="20"/>
        <v>1</v>
      </c>
      <c r="L46" s="275">
        <f t="shared" si="21"/>
        <v>0</v>
      </c>
      <c r="M46" s="275">
        <f t="shared" si="22"/>
        <v>1</v>
      </c>
      <c r="N46" s="276">
        <f t="shared" si="23"/>
        <v>1</v>
      </c>
      <c r="O46" s="276">
        <f t="shared" si="24"/>
        <v>0</v>
      </c>
      <c r="P46" s="276">
        <f t="shared" si="25"/>
        <v>0</v>
      </c>
      <c r="Q46" s="276">
        <f t="shared" si="26"/>
        <v>0</v>
      </c>
      <c r="R46" s="329">
        <f t="shared" si="27"/>
        <v>1</v>
      </c>
      <c r="S46" s="273"/>
      <c r="T46" s="274" t="str">
        <f>IF(ISNA(VLOOKUP(D46,'One year follow-up_inperson'!$C:$C,1,FALSE)),"No","Yes")</f>
        <v>No</v>
      </c>
      <c r="U46" s="592" t="s">
        <v>679</v>
      </c>
    </row>
    <row r="47" spans="1:21" ht="213.75">
      <c r="A47" s="368">
        <v>46</v>
      </c>
      <c r="B47" s="368"/>
      <c r="C47" s="272" t="str">
        <f t="shared" si="0"/>
        <v>281</v>
      </c>
      <c r="D47" s="531">
        <v>28118</v>
      </c>
      <c r="E47" s="182" t="s">
        <v>267</v>
      </c>
      <c r="F47" s="532" t="s">
        <v>2</v>
      </c>
      <c r="G47" s="469">
        <v>35</v>
      </c>
      <c r="H47" s="532" t="s">
        <v>3</v>
      </c>
      <c r="I47" s="533" t="s">
        <v>469</v>
      </c>
      <c r="J47" s="275">
        <f t="shared" si="19"/>
        <v>1</v>
      </c>
      <c r="K47" s="275">
        <f t="shared" si="20"/>
        <v>0</v>
      </c>
      <c r="L47" s="275">
        <f t="shared" si="21"/>
        <v>0</v>
      </c>
      <c r="M47" s="275">
        <f t="shared" si="22"/>
        <v>1</v>
      </c>
      <c r="N47" s="276">
        <f t="shared" si="23"/>
        <v>0</v>
      </c>
      <c r="O47" s="276">
        <f t="shared" si="24"/>
        <v>0</v>
      </c>
      <c r="P47" s="276">
        <f t="shared" si="25"/>
        <v>0</v>
      </c>
      <c r="Q47" s="276">
        <f t="shared" si="26"/>
        <v>0</v>
      </c>
      <c r="R47" s="329">
        <f t="shared" si="27"/>
        <v>1</v>
      </c>
      <c r="S47" s="273"/>
      <c r="T47" s="274" t="str">
        <f>IF(ISNA(VLOOKUP(D47,'One year follow-up_inperson'!$C:$C,1,FALSE)),"No","Yes")</f>
        <v>No</v>
      </c>
      <c r="U47" s="592" t="s">
        <v>679</v>
      </c>
    </row>
    <row r="48" spans="1:21" ht="213.75">
      <c r="A48" s="368">
        <v>47</v>
      </c>
      <c r="B48" s="368"/>
      <c r="C48" s="272" t="str">
        <f t="shared" si="0"/>
        <v>281</v>
      </c>
      <c r="D48" s="531">
        <v>28119</v>
      </c>
      <c r="E48" s="182" t="s">
        <v>268</v>
      </c>
      <c r="F48" s="532" t="s">
        <v>2</v>
      </c>
      <c r="G48" s="469">
        <v>45</v>
      </c>
      <c r="H48" s="532" t="s">
        <v>3</v>
      </c>
      <c r="I48" s="533" t="s">
        <v>281</v>
      </c>
      <c r="J48" s="275">
        <f t="shared" si="19"/>
        <v>0</v>
      </c>
      <c r="K48" s="275">
        <f t="shared" si="20"/>
        <v>1</v>
      </c>
      <c r="L48" s="275">
        <f t="shared" si="21"/>
        <v>0</v>
      </c>
      <c r="M48" s="275">
        <f t="shared" si="22"/>
        <v>1</v>
      </c>
      <c r="N48" s="276">
        <f t="shared" si="23"/>
        <v>1</v>
      </c>
      <c r="O48" s="276">
        <f t="shared" si="24"/>
        <v>0</v>
      </c>
      <c r="P48" s="276">
        <f t="shared" si="25"/>
        <v>0</v>
      </c>
      <c r="Q48" s="276">
        <f t="shared" si="26"/>
        <v>0</v>
      </c>
      <c r="R48" s="329">
        <f t="shared" si="27"/>
        <v>1</v>
      </c>
      <c r="S48" s="273"/>
      <c r="T48" s="274" t="str">
        <f>IF(ISNA(VLOOKUP(D48,'One year follow-up_inperson'!$C:$C,1,FALSE)),"No","Yes")</f>
        <v>No</v>
      </c>
      <c r="U48" s="592" t="s">
        <v>679</v>
      </c>
    </row>
    <row r="49" spans="1:21" ht="171">
      <c r="A49" s="368">
        <v>48</v>
      </c>
      <c r="B49" s="368"/>
      <c r="C49" s="272" t="str">
        <f t="shared" si="0"/>
        <v>281</v>
      </c>
      <c r="D49" s="531">
        <v>28120</v>
      </c>
      <c r="E49" s="182" t="s">
        <v>269</v>
      </c>
      <c r="F49" s="532" t="s">
        <v>2</v>
      </c>
      <c r="G49" s="469">
        <v>38</v>
      </c>
      <c r="H49" s="532" t="s">
        <v>3</v>
      </c>
      <c r="I49" s="533" t="s">
        <v>282</v>
      </c>
      <c r="J49" s="275">
        <f t="shared" si="19"/>
        <v>1</v>
      </c>
      <c r="K49" s="275">
        <f t="shared" si="20"/>
        <v>0</v>
      </c>
      <c r="L49" s="275">
        <f t="shared" si="21"/>
        <v>0</v>
      </c>
      <c r="M49" s="275">
        <f t="shared" si="22"/>
        <v>1</v>
      </c>
      <c r="N49" s="276">
        <f t="shared" si="23"/>
        <v>0</v>
      </c>
      <c r="O49" s="276">
        <f t="shared" si="24"/>
        <v>0</v>
      </c>
      <c r="P49" s="276">
        <f t="shared" si="25"/>
        <v>0</v>
      </c>
      <c r="Q49" s="276">
        <f t="shared" si="26"/>
        <v>0</v>
      </c>
      <c r="R49" s="329">
        <f t="shared" si="27"/>
        <v>1</v>
      </c>
      <c r="S49" s="273"/>
      <c r="T49" s="274" t="str">
        <f>IF(ISNA(VLOOKUP(D49,'One year follow-up_inperson'!$C:$C,1,FALSE)),"No","Yes")</f>
        <v>No</v>
      </c>
      <c r="U49" s="592" t="s">
        <v>679</v>
      </c>
    </row>
    <row r="50" spans="1:21" ht="299.25">
      <c r="A50" s="368">
        <v>49</v>
      </c>
      <c r="B50" s="368"/>
      <c r="C50" s="272" t="str">
        <f t="shared" si="0"/>
        <v>281</v>
      </c>
      <c r="D50" s="531">
        <v>28129</v>
      </c>
      <c r="E50" s="182" t="s">
        <v>359</v>
      </c>
      <c r="F50" s="532" t="s">
        <v>2</v>
      </c>
      <c r="G50" s="469">
        <v>37</v>
      </c>
      <c r="H50" s="532" t="s">
        <v>3</v>
      </c>
      <c r="I50" s="533" t="s">
        <v>360</v>
      </c>
      <c r="J50" s="275">
        <f t="shared" si="19"/>
        <v>1</v>
      </c>
      <c r="K50" s="275">
        <f t="shared" si="20"/>
        <v>1</v>
      </c>
      <c r="L50" s="275">
        <f t="shared" si="21"/>
        <v>0</v>
      </c>
      <c r="M50" s="275">
        <f t="shared" si="22"/>
        <v>1</v>
      </c>
      <c r="N50" s="276">
        <f t="shared" si="23"/>
        <v>1</v>
      </c>
      <c r="O50" s="276">
        <f t="shared" si="24"/>
        <v>0</v>
      </c>
      <c r="P50" s="276">
        <f t="shared" si="25"/>
        <v>0</v>
      </c>
      <c r="Q50" s="276">
        <f t="shared" si="26"/>
        <v>0</v>
      </c>
      <c r="R50" s="329">
        <f t="shared" si="27"/>
        <v>1</v>
      </c>
      <c r="S50" s="273"/>
      <c r="T50" s="274" t="str">
        <f>IF(ISNA(VLOOKUP(D50,'One year follow-up_inperson'!$C:$C,1,FALSE)),"No","Yes")</f>
        <v>No</v>
      </c>
      <c r="U50" s="592" t="s">
        <v>679</v>
      </c>
    </row>
    <row r="51" spans="1:21" ht="299.25">
      <c r="A51" s="368">
        <v>50</v>
      </c>
      <c r="B51" s="368"/>
      <c r="C51" s="272" t="str">
        <f t="shared" si="0"/>
        <v>281</v>
      </c>
      <c r="D51" s="531">
        <v>28132</v>
      </c>
      <c r="E51" s="182" t="s">
        <v>270</v>
      </c>
      <c r="F51" s="532" t="s">
        <v>2</v>
      </c>
      <c r="G51" s="469">
        <v>40</v>
      </c>
      <c r="H51" s="532" t="s">
        <v>3</v>
      </c>
      <c r="I51" s="533" t="s">
        <v>283</v>
      </c>
      <c r="J51" s="275">
        <f t="shared" si="19"/>
        <v>1</v>
      </c>
      <c r="K51" s="275">
        <f t="shared" si="20"/>
        <v>1</v>
      </c>
      <c r="L51" s="275">
        <f t="shared" si="21"/>
        <v>0</v>
      </c>
      <c r="M51" s="275">
        <f t="shared" si="22"/>
        <v>1</v>
      </c>
      <c r="N51" s="276">
        <f t="shared" si="23"/>
        <v>0</v>
      </c>
      <c r="O51" s="276">
        <f t="shared" si="24"/>
        <v>0</v>
      </c>
      <c r="P51" s="276">
        <f t="shared" si="25"/>
        <v>0</v>
      </c>
      <c r="Q51" s="276">
        <f t="shared" si="26"/>
        <v>0</v>
      </c>
      <c r="R51" s="329">
        <f t="shared" si="27"/>
        <v>1</v>
      </c>
      <c r="S51" s="273"/>
      <c r="T51" s="274" t="str">
        <f>IF(ISNA(VLOOKUP(D51,'One year follow-up_inperson'!$C:$C,1,FALSE)),"No","Yes")</f>
        <v>No</v>
      </c>
      <c r="U51" s="592" t="s">
        <v>679</v>
      </c>
    </row>
    <row r="52" spans="1:21" ht="256.5">
      <c r="A52" s="368">
        <v>51</v>
      </c>
      <c r="B52" s="368"/>
      <c r="C52" s="272" t="str">
        <f t="shared" si="0"/>
        <v>281</v>
      </c>
      <c r="D52" s="531">
        <v>28133</v>
      </c>
      <c r="E52" s="182" t="s">
        <v>271</v>
      </c>
      <c r="F52" s="532" t="s">
        <v>2</v>
      </c>
      <c r="G52" s="469">
        <v>35</v>
      </c>
      <c r="H52" s="532" t="s">
        <v>3</v>
      </c>
      <c r="I52" s="533" t="s">
        <v>284</v>
      </c>
      <c r="J52" s="275">
        <f t="shared" si="19"/>
        <v>1</v>
      </c>
      <c r="K52" s="275">
        <f t="shared" si="20"/>
        <v>0</v>
      </c>
      <c r="L52" s="275">
        <f t="shared" si="21"/>
        <v>0</v>
      </c>
      <c r="M52" s="275">
        <f t="shared" si="22"/>
        <v>1</v>
      </c>
      <c r="N52" s="276">
        <f t="shared" si="23"/>
        <v>0</v>
      </c>
      <c r="O52" s="276">
        <f t="shared" si="24"/>
        <v>0</v>
      </c>
      <c r="P52" s="276">
        <f t="shared" si="25"/>
        <v>0</v>
      </c>
      <c r="Q52" s="276">
        <f t="shared" si="26"/>
        <v>0</v>
      </c>
      <c r="R52" s="329">
        <f t="shared" si="27"/>
        <v>1</v>
      </c>
      <c r="S52" s="273"/>
      <c r="T52" s="274" t="str">
        <f>IF(ISNA(VLOOKUP(D52,'One year follow-up_inperson'!$C:$C,1,FALSE)),"No","Yes")</f>
        <v>No</v>
      </c>
      <c r="U52" s="592" t="s">
        <v>679</v>
      </c>
    </row>
    <row r="53" spans="1:21" ht="171">
      <c r="A53" s="368">
        <v>52</v>
      </c>
      <c r="B53" s="368"/>
      <c r="C53" s="272" t="str">
        <f t="shared" si="0"/>
        <v>281</v>
      </c>
      <c r="D53" s="531">
        <v>28122</v>
      </c>
      <c r="E53" s="182" t="s">
        <v>272</v>
      </c>
      <c r="F53" s="532" t="s">
        <v>2</v>
      </c>
      <c r="G53" s="469">
        <v>32</v>
      </c>
      <c r="H53" s="532" t="s">
        <v>3</v>
      </c>
      <c r="I53" s="533" t="s">
        <v>285</v>
      </c>
      <c r="J53" s="275">
        <f t="shared" si="19"/>
        <v>1</v>
      </c>
      <c r="K53" s="275">
        <f t="shared" si="20"/>
        <v>0</v>
      </c>
      <c r="L53" s="275">
        <f t="shared" si="21"/>
        <v>0</v>
      </c>
      <c r="M53" s="275">
        <f t="shared" si="22"/>
        <v>1</v>
      </c>
      <c r="N53" s="276">
        <f t="shared" si="23"/>
        <v>0</v>
      </c>
      <c r="O53" s="276">
        <f t="shared" si="24"/>
        <v>0</v>
      </c>
      <c r="P53" s="276">
        <f t="shared" si="25"/>
        <v>0</v>
      </c>
      <c r="Q53" s="276">
        <f t="shared" si="26"/>
        <v>0</v>
      </c>
      <c r="R53" s="329">
        <f t="shared" si="27"/>
        <v>1</v>
      </c>
      <c r="S53" s="273"/>
      <c r="T53" s="274" t="str">
        <f>IF(ISNA(VLOOKUP(D53,'One year follow-up_inperson'!$C:$C,1,FALSE)),"No","Yes")</f>
        <v>No</v>
      </c>
      <c r="U53" s="592" t="s">
        <v>679</v>
      </c>
    </row>
    <row r="54" spans="1:21" ht="114">
      <c r="A54" s="368">
        <v>53</v>
      </c>
      <c r="B54" s="368"/>
      <c r="C54" s="272" t="str">
        <f t="shared" si="0"/>
        <v>281</v>
      </c>
      <c r="D54" s="531">
        <v>28126</v>
      </c>
      <c r="E54" s="182" t="s">
        <v>273</v>
      </c>
      <c r="F54" s="532" t="s">
        <v>2</v>
      </c>
      <c r="G54" s="469">
        <v>48</v>
      </c>
      <c r="H54" s="532" t="s">
        <v>3</v>
      </c>
      <c r="I54" s="533" t="s">
        <v>468</v>
      </c>
      <c r="J54" s="275">
        <f t="shared" si="19"/>
        <v>1</v>
      </c>
      <c r="K54" s="275">
        <f t="shared" si="20"/>
        <v>0</v>
      </c>
      <c r="L54" s="275">
        <f t="shared" si="21"/>
        <v>0</v>
      </c>
      <c r="M54" s="275">
        <f t="shared" si="22"/>
        <v>1</v>
      </c>
      <c r="N54" s="276">
        <f t="shared" si="23"/>
        <v>0</v>
      </c>
      <c r="O54" s="276">
        <f t="shared" si="24"/>
        <v>0</v>
      </c>
      <c r="P54" s="276">
        <f t="shared" si="25"/>
        <v>0</v>
      </c>
      <c r="Q54" s="276">
        <f t="shared" si="26"/>
        <v>0</v>
      </c>
      <c r="R54" s="329">
        <f t="shared" si="27"/>
        <v>1</v>
      </c>
      <c r="S54" s="273"/>
      <c r="T54" s="274" t="str">
        <f>IF(ISNA(VLOOKUP(D54,'One year follow-up_inperson'!$C:$C,1,FALSE)),"No","Yes")</f>
        <v>No</v>
      </c>
      <c r="U54" s="592" t="s">
        <v>679</v>
      </c>
    </row>
    <row r="55" spans="1:21" ht="171">
      <c r="A55" s="368">
        <v>54</v>
      </c>
      <c r="B55" s="368"/>
      <c r="C55" s="272" t="str">
        <f t="shared" si="0"/>
        <v>281</v>
      </c>
      <c r="D55" s="531">
        <v>28127</v>
      </c>
      <c r="E55" s="182" t="s">
        <v>274</v>
      </c>
      <c r="F55" s="532" t="s">
        <v>2</v>
      </c>
      <c r="G55" s="469">
        <v>42</v>
      </c>
      <c r="H55" s="532" t="s">
        <v>3</v>
      </c>
      <c r="I55" s="533" t="s">
        <v>286</v>
      </c>
      <c r="J55" s="275">
        <f t="shared" si="19"/>
        <v>0</v>
      </c>
      <c r="K55" s="275">
        <f t="shared" si="20"/>
        <v>1</v>
      </c>
      <c r="L55" s="275">
        <f t="shared" si="21"/>
        <v>0</v>
      </c>
      <c r="M55" s="275">
        <f t="shared" si="22"/>
        <v>1</v>
      </c>
      <c r="N55" s="276">
        <f t="shared" si="23"/>
        <v>0</v>
      </c>
      <c r="O55" s="276">
        <f t="shared" si="24"/>
        <v>0</v>
      </c>
      <c r="P55" s="276">
        <f t="shared" si="25"/>
        <v>0</v>
      </c>
      <c r="Q55" s="276">
        <f t="shared" si="26"/>
        <v>0</v>
      </c>
      <c r="R55" s="329">
        <f t="shared" si="27"/>
        <v>1</v>
      </c>
      <c r="S55" s="273"/>
      <c r="T55" s="274" t="str">
        <f>IF(ISNA(VLOOKUP(D55,'One year follow-up_inperson'!$C:$C,1,FALSE)),"No","Yes")</f>
        <v>No</v>
      </c>
      <c r="U55" s="592" t="s">
        <v>679</v>
      </c>
    </row>
    <row r="56" spans="1:21" ht="409.5">
      <c r="A56" s="368">
        <v>55</v>
      </c>
      <c r="B56" s="368"/>
      <c r="C56" s="272" t="str">
        <f>LEFT(D56,3)</f>
        <v>282</v>
      </c>
      <c r="D56" s="527">
        <v>2823</v>
      </c>
      <c r="E56" s="182" t="s">
        <v>199</v>
      </c>
      <c r="F56" s="529" t="s">
        <v>2</v>
      </c>
      <c r="G56" s="182">
        <v>64</v>
      </c>
      <c r="H56" s="530" t="s">
        <v>3</v>
      </c>
      <c r="I56" s="530" t="s">
        <v>234</v>
      </c>
      <c r="J56" s="275">
        <f t="shared" si="19"/>
        <v>1</v>
      </c>
      <c r="K56" s="275">
        <f>IF(OR(ISNUMBER(SEARCH("decision",I56))=TRUE,ISNUMBER(SEARCH("save",I56))=TRUE,ISNUMBER(SEARCH("saving",I56))=TRUE,ISNUMBER(SEARCH("started",I56))=TRUE,ISNUMBER(SEARCH("buy",I56))=TRUE,ISNUMBER(SEARCH("bought",I56))=TRUE),1,0)</f>
        <v>0</v>
      </c>
      <c r="L56" s="275">
        <f>IF(OR(ISNUMBER(SEARCH("active",I56))=TRUE,ISNUMBER(SEARCH("proactive",I56))=TRUE,ISNUMBER(SEARCH("face challenge",I56))=TRUE),1,0)</f>
        <v>0</v>
      </c>
      <c r="M56" s="275">
        <f>IF(OR(J56=1,K56=1,L56=1),1,0)</f>
        <v>1</v>
      </c>
      <c r="N56" s="276">
        <f>IF(OR(ISNUMBER(SEARCH("started a business",I56))=TRUE,ISNUMBER(SEARCH("started an income generating activity",I56))=TRUE,ISNUMBER(SEARCH("a business",I56))=TRUE),1,0)</f>
        <v>0</v>
      </c>
      <c r="O56" s="276">
        <f>IF(OR(ISNUMBER(SEARCH("got a job",I56))=TRUE,ISNUMBER(SEARCH("got an internship",I56))=TRUE,ISNUMBER(SEARCH("got a promotion",I56))=TRUE),1,0)</f>
        <v>0</v>
      </c>
      <c r="P56" s="276">
        <f>IF(OR(ISNUMBER(SEARCH("school admission",I56))=TRUE,ISNUMBER(SEARCH("perfomance in class",I56))=TRUE,ISNUMBER(SEARCH("scholarship",I56))=TRUE,ISNUMBER(SEARCH("pursue higher education",I56))=TRUE),1,0)</f>
        <v>0</v>
      </c>
      <c r="Q56" s="276">
        <f>IF(OR(ISNUMBER(SEARCH("leadership role",I56))=TRUE),1,0)</f>
        <v>0</v>
      </c>
      <c r="R56" s="329">
        <f>IF(OR(M56=1,N56=1,O56=1,P56=1,Q56=1),1,0)</f>
        <v>1</v>
      </c>
      <c r="S56" s="273"/>
      <c r="T56" s="274" t="str">
        <f>IF(ISNA(VLOOKUP(D56,'One year follow-up_inperson'!$C:$C,1,FALSE)),"No","Yes")</f>
        <v>No</v>
      </c>
      <c r="U56" s="592" t="s">
        <v>679</v>
      </c>
    </row>
    <row r="57" spans="1:21" ht="256.5">
      <c r="A57" s="368">
        <v>56</v>
      </c>
      <c r="B57" s="368"/>
      <c r="C57" s="272" t="str">
        <f t="shared" si="0"/>
        <v>282</v>
      </c>
      <c r="D57" s="527">
        <v>2825</v>
      </c>
      <c r="E57" s="182" t="s">
        <v>200</v>
      </c>
      <c r="F57" s="529" t="s">
        <v>2</v>
      </c>
      <c r="G57" s="182">
        <v>48</v>
      </c>
      <c r="H57" s="530" t="s">
        <v>3</v>
      </c>
      <c r="I57" s="530" t="s">
        <v>235</v>
      </c>
      <c r="J57" s="275">
        <f t="shared" si="19"/>
        <v>0</v>
      </c>
      <c r="K57" s="275">
        <f t="shared" ref="K57:K92" si="28">IF(OR(ISNUMBER(SEARCH("decision",I57))=TRUE,ISNUMBER(SEARCH("save",I57))=TRUE,ISNUMBER(SEARCH("saving",I57))=TRUE,ISNUMBER(SEARCH("started",I57))=TRUE,ISNUMBER(SEARCH("buy",I57))=TRUE,ISNUMBER(SEARCH("bought",I57))=TRUE),1,0)</f>
        <v>1</v>
      </c>
      <c r="L57" s="275">
        <f t="shared" ref="L57:L92" si="29">IF(OR(ISNUMBER(SEARCH("active",I57))=TRUE,ISNUMBER(SEARCH("proactive",I57))=TRUE,ISNUMBER(SEARCH("face challenge",I57))=TRUE),1,0)</f>
        <v>0</v>
      </c>
      <c r="M57" s="275">
        <f t="shared" ref="M57:M92" si="30">IF(OR(J57=1,K57=1,L57=1),1,0)</f>
        <v>1</v>
      </c>
      <c r="N57" s="276">
        <f t="shared" ref="N57:N92" si="31">IF(OR(ISNUMBER(SEARCH("started a business",I57))=TRUE,ISNUMBER(SEARCH("started an income generating activity",I57))=TRUE,ISNUMBER(SEARCH("a business",I57))=TRUE),1,0)</f>
        <v>0</v>
      </c>
      <c r="O57" s="276">
        <f t="shared" ref="O57:O92" si="32">IF(OR(ISNUMBER(SEARCH("got a job",I57))=TRUE,ISNUMBER(SEARCH("got an internship",I57))=TRUE,ISNUMBER(SEARCH("got a promotion",I57))=TRUE),1,0)</f>
        <v>0</v>
      </c>
      <c r="P57" s="276">
        <f t="shared" ref="P57:P92" si="33">IF(OR(ISNUMBER(SEARCH("school admission",I57))=TRUE,ISNUMBER(SEARCH("perfomance in class",I57))=TRUE,ISNUMBER(SEARCH("scholarship",I57))=TRUE,ISNUMBER(SEARCH("pursue higher education",I57))=TRUE),1,0)</f>
        <v>0</v>
      </c>
      <c r="Q57" s="276">
        <f t="shared" ref="Q57:Q92" si="34">IF(OR(ISNUMBER(SEARCH("leadership role",I57))=TRUE),1,0)</f>
        <v>0</v>
      </c>
      <c r="R57" s="329">
        <f t="shared" ref="R57:R92" si="35">IF(OR(M57=1,N57=1,O57=1,P57=1,Q57=1),1,0)</f>
        <v>1</v>
      </c>
      <c r="S57" s="273"/>
      <c r="T57" s="274" t="str">
        <f>IF(ISNA(VLOOKUP(D57,'One year follow-up_inperson'!$C:$C,1,FALSE)),"No","Yes")</f>
        <v>No</v>
      </c>
      <c r="U57" s="592" t="s">
        <v>679</v>
      </c>
    </row>
    <row r="58" spans="1:21" ht="409.5">
      <c r="A58" s="368">
        <v>57</v>
      </c>
      <c r="B58" s="368"/>
      <c r="C58" s="272" t="str">
        <f t="shared" si="0"/>
        <v>282</v>
      </c>
      <c r="D58" s="527">
        <v>2826</v>
      </c>
      <c r="E58" s="182" t="s">
        <v>201</v>
      </c>
      <c r="F58" s="529" t="s">
        <v>2</v>
      </c>
      <c r="G58" s="182">
        <v>50</v>
      </c>
      <c r="H58" s="530" t="s">
        <v>3</v>
      </c>
      <c r="I58" s="530" t="s">
        <v>236</v>
      </c>
      <c r="J58" s="275">
        <f t="shared" si="19"/>
        <v>1</v>
      </c>
      <c r="K58" s="275">
        <f t="shared" si="28"/>
        <v>1</v>
      </c>
      <c r="L58" s="275">
        <f t="shared" si="29"/>
        <v>1</v>
      </c>
      <c r="M58" s="275">
        <f t="shared" si="30"/>
        <v>1</v>
      </c>
      <c r="N58" s="276">
        <f t="shared" si="31"/>
        <v>0</v>
      </c>
      <c r="O58" s="276">
        <f t="shared" si="32"/>
        <v>0</v>
      </c>
      <c r="P58" s="276">
        <f t="shared" si="33"/>
        <v>0</v>
      </c>
      <c r="Q58" s="276">
        <f t="shared" si="34"/>
        <v>0</v>
      </c>
      <c r="R58" s="329">
        <f t="shared" si="35"/>
        <v>1</v>
      </c>
      <c r="S58" s="273"/>
      <c r="T58" s="274" t="str">
        <f>IF(ISNA(VLOOKUP(D58,'One year follow-up_inperson'!$C:$C,1,FALSE)),"No","Yes")</f>
        <v>No</v>
      </c>
      <c r="U58" s="592" t="s">
        <v>679</v>
      </c>
    </row>
    <row r="59" spans="1:21" ht="148.5">
      <c r="A59" s="368">
        <v>58</v>
      </c>
      <c r="B59" s="368"/>
      <c r="C59" s="272" t="str">
        <f t="shared" si="0"/>
        <v>282</v>
      </c>
      <c r="D59" s="527">
        <v>2827</v>
      </c>
      <c r="E59" s="182" t="s">
        <v>202</v>
      </c>
      <c r="F59" s="529" t="s">
        <v>2</v>
      </c>
      <c r="G59" s="182">
        <v>48</v>
      </c>
      <c r="H59" s="528" t="s">
        <v>3</v>
      </c>
      <c r="I59" s="530" t="s">
        <v>237</v>
      </c>
      <c r="J59" s="275">
        <f t="shared" si="19"/>
        <v>1</v>
      </c>
      <c r="K59" s="275">
        <f t="shared" si="28"/>
        <v>0</v>
      </c>
      <c r="L59" s="275">
        <f t="shared" si="29"/>
        <v>0</v>
      </c>
      <c r="M59" s="275">
        <f t="shared" si="30"/>
        <v>1</v>
      </c>
      <c r="N59" s="276">
        <f t="shared" si="31"/>
        <v>0</v>
      </c>
      <c r="O59" s="276">
        <f t="shared" si="32"/>
        <v>0</v>
      </c>
      <c r="P59" s="276">
        <f t="shared" si="33"/>
        <v>0</v>
      </c>
      <c r="Q59" s="276">
        <f t="shared" si="34"/>
        <v>0</v>
      </c>
      <c r="R59" s="329">
        <f t="shared" si="35"/>
        <v>1</v>
      </c>
      <c r="S59" s="273"/>
      <c r="T59" s="274" t="str">
        <f>IF(ISNA(VLOOKUP(D59,'One year follow-up_inperson'!$C:$C,1,FALSE)),"No","Yes")</f>
        <v>No</v>
      </c>
      <c r="U59" s="592" t="s">
        <v>679</v>
      </c>
    </row>
    <row r="60" spans="1:21" ht="409.5">
      <c r="A60" s="368">
        <v>59</v>
      </c>
      <c r="B60" s="368"/>
      <c r="C60" s="272" t="str">
        <f t="shared" si="0"/>
        <v>282</v>
      </c>
      <c r="D60" s="527">
        <v>2829</v>
      </c>
      <c r="E60" s="182" t="s">
        <v>203</v>
      </c>
      <c r="F60" s="529" t="s">
        <v>2</v>
      </c>
      <c r="G60" s="182">
        <v>39</v>
      </c>
      <c r="H60" s="528" t="s">
        <v>3</v>
      </c>
      <c r="I60" s="530" t="s">
        <v>238</v>
      </c>
      <c r="J60" s="275">
        <f t="shared" si="19"/>
        <v>1</v>
      </c>
      <c r="K60" s="275">
        <f t="shared" si="28"/>
        <v>0</v>
      </c>
      <c r="L60" s="275">
        <f t="shared" si="29"/>
        <v>0</v>
      </c>
      <c r="M60" s="275">
        <f t="shared" si="30"/>
        <v>1</v>
      </c>
      <c r="N60" s="276">
        <f t="shared" si="31"/>
        <v>0</v>
      </c>
      <c r="O60" s="276">
        <f t="shared" si="32"/>
        <v>0</v>
      </c>
      <c r="P60" s="276">
        <f t="shared" si="33"/>
        <v>0</v>
      </c>
      <c r="Q60" s="276">
        <f t="shared" si="34"/>
        <v>0</v>
      </c>
      <c r="R60" s="329">
        <f t="shared" si="35"/>
        <v>1</v>
      </c>
      <c r="S60" s="273"/>
      <c r="T60" s="274" t="str">
        <f>IF(ISNA(VLOOKUP(D60,'One year follow-up_inperson'!$C:$C,1,FALSE)),"No","Yes")</f>
        <v>No</v>
      </c>
      <c r="U60" s="592" t="s">
        <v>679</v>
      </c>
    </row>
    <row r="61" spans="1:21" ht="175.5">
      <c r="A61" s="368">
        <v>60</v>
      </c>
      <c r="B61" s="368"/>
      <c r="C61" s="272" t="str">
        <f t="shared" si="0"/>
        <v>282</v>
      </c>
      <c r="D61" s="527">
        <v>28210</v>
      </c>
      <c r="E61" s="182" t="s">
        <v>204</v>
      </c>
      <c r="F61" s="529" t="s">
        <v>2</v>
      </c>
      <c r="G61" s="182">
        <v>37</v>
      </c>
      <c r="H61" s="528" t="s">
        <v>3</v>
      </c>
      <c r="I61" s="530" t="s">
        <v>239</v>
      </c>
      <c r="J61" s="275">
        <f t="shared" si="19"/>
        <v>0</v>
      </c>
      <c r="K61" s="275">
        <f t="shared" si="28"/>
        <v>1</v>
      </c>
      <c r="L61" s="275">
        <f t="shared" si="29"/>
        <v>0</v>
      </c>
      <c r="M61" s="275">
        <f t="shared" si="30"/>
        <v>1</v>
      </c>
      <c r="N61" s="276">
        <f t="shared" si="31"/>
        <v>1</v>
      </c>
      <c r="O61" s="276">
        <f t="shared" si="32"/>
        <v>0</v>
      </c>
      <c r="P61" s="276">
        <f t="shared" si="33"/>
        <v>0</v>
      </c>
      <c r="Q61" s="276">
        <f t="shared" si="34"/>
        <v>0</v>
      </c>
      <c r="R61" s="329">
        <f t="shared" si="35"/>
        <v>1</v>
      </c>
      <c r="S61" s="273"/>
      <c r="T61" s="274" t="str">
        <f>IF(ISNA(VLOOKUP(D61,'One year follow-up_inperson'!$C:$C,1,FALSE)),"No","Yes")</f>
        <v>No</v>
      </c>
      <c r="U61" s="592" t="s">
        <v>679</v>
      </c>
    </row>
    <row r="62" spans="1:21" ht="409.5">
      <c r="A62" s="368">
        <v>61</v>
      </c>
      <c r="B62" s="368"/>
      <c r="C62" s="272" t="str">
        <f t="shared" si="0"/>
        <v>282</v>
      </c>
      <c r="D62" s="527">
        <v>28211</v>
      </c>
      <c r="E62" s="182" t="s">
        <v>361</v>
      </c>
      <c r="F62" s="529" t="s">
        <v>2</v>
      </c>
      <c r="G62" s="182">
        <v>43</v>
      </c>
      <c r="H62" s="528" t="s">
        <v>3</v>
      </c>
      <c r="I62" s="530" t="s">
        <v>240</v>
      </c>
      <c r="J62" s="275">
        <f t="shared" si="19"/>
        <v>1</v>
      </c>
      <c r="K62" s="275">
        <f t="shared" si="28"/>
        <v>1</v>
      </c>
      <c r="L62" s="275">
        <f t="shared" si="29"/>
        <v>0</v>
      </c>
      <c r="M62" s="275">
        <f t="shared" si="30"/>
        <v>1</v>
      </c>
      <c r="N62" s="276">
        <f t="shared" si="31"/>
        <v>0</v>
      </c>
      <c r="O62" s="276">
        <f t="shared" si="32"/>
        <v>0</v>
      </c>
      <c r="P62" s="276">
        <f t="shared" si="33"/>
        <v>0</v>
      </c>
      <c r="Q62" s="276">
        <f t="shared" si="34"/>
        <v>0</v>
      </c>
      <c r="R62" s="329">
        <f t="shared" si="35"/>
        <v>1</v>
      </c>
      <c r="S62" s="273"/>
      <c r="T62" s="274" t="str">
        <f>IF(ISNA(VLOOKUP(D62,'One year follow-up_inperson'!$C:$C,1,FALSE)),"No","Yes")</f>
        <v>No</v>
      </c>
      <c r="U62" s="592" t="s">
        <v>679</v>
      </c>
    </row>
    <row r="63" spans="1:21" ht="270">
      <c r="A63" s="368">
        <v>62</v>
      </c>
      <c r="B63" s="368"/>
      <c r="C63" s="272" t="str">
        <f t="shared" si="0"/>
        <v>282</v>
      </c>
      <c r="D63" s="527">
        <v>28212</v>
      </c>
      <c r="E63" s="182" t="s">
        <v>205</v>
      </c>
      <c r="F63" s="529" t="s">
        <v>2</v>
      </c>
      <c r="G63" s="182">
        <v>47</v>
      </c>
      <c r="H63" s="528" t="s">
        <v>3</v>
      </c>
      <c r="I63" s="530" t="s">
        <v>241</v>
      </c>
      <c r="J63" s="275">
        <f t="shared" si="19"/>
        <v>1</v>
      </c>
      <c r="K63" s="275">
        <f t="shared" si="28"/>
        <v>1</v>
      </c>
      <c r="L63" s="275">
        <f t="shared" si="29"/>
        <v>0</v>
      </c>
      <c r="M63" s="275">
        <f t="shared" si="30"/>
        <v>1</v>
      </c>
      <c r="N63" s="276">
        <f t="shared" si="31"/>
        <v>1</v>
      </c>
      <c r="O63" s="276">
        <f t="shared" si="32"/>
        <v>0</v>
      </c>
      <c r="P63" s="276">
        <f t="shared" si="33"/>
        <v>0</v>
      </c>
      <c r="Q63" s="276">
        <f t="shared" si="34"/>
        <v>0</v>
      </c>
      <c r="R63" s="329">
        <f t="shared" si="35"/>
        <v>1</v>
      </c>
      <c r="S63" s="273"/>
      <c r="T63" s="274" t="str">
        <f>IF(ISNA(VLOOKUP(D63,'One year follow-up_inperson'!$C:$C,1,FALSE)),"No","Yes")</f>
        <v>No</v>
      </c>
      <c r="U63" s="592" t="s">
        <v>679</v>
      </c>
    </row>
    <row r="64" spans="1:21" ht="162">
      <c r="A64" s="368">
        <v>63</v>
      </c>
      <c r="B64" s="368"/>
      <c r="C64" s="272" t="str">
        <f t="shared" si="0"/>
        <v>282</v>
      </c>
      <c r="D64" s="527">
        <v>28213</v>
      </c>
      <c r="E64" s="182" t="s">
        <v>206</v>
      </c>
      <c r="F64" s="529" t="s">
        <v>2</v>
      </c>
      <c r="G64" s="182">
        <v>26</v>
      </c>
      <c r="H64" s="528" t="s">
        <v>3</v>
      </c>
      <c r="I64" s="530" t="s">
        <v>242</v>
      </c>
      <c r="J64" s="275">
        <f t="shared" si="19"/>
        <v>1</v>
      </c>
      <c r="K64" s="275">
        <f t="shared" si="28"/>
        <v>0</v>
      </c>
      <c r="L64" s="275">
        <f t="shared" si="29"/>
        <v>0</v>
      </c>
      <c r="M64" s="275">
        <f t="shared" si="30"/>
        <v>1</v>
      </c>
      <c r="N64" s="276">
        <f t="shared" si="31"/>
        <v>0</v>
      </c>
      <c r="O64" s="276">
        <f t="shared" si="32"/>
        <v>0</v>
      </c>
      <c r="P64" s="276">
        <f t="shared" si="33"/>
        <v>0</v>
      </c>
      <c r="Q64" s="276">
        <f t="shared" si="34"/>
        <v>0</v>
      </c>
      <c r="R64" s="329">
        <f t="shared" si="35"/>
        <v>1</v>
      </c>
      <c r="S64" s="273"/>
      <c r="T64" s="274" t="str">
        <f>IF(ISNA(VLOOKUP(D64,'One year follow-up_inperson'!$C:$C,1,FALSE)),"No","Yes")</f>
        <v>No</v>
      </c>
      <c r="U64" s="592" t="s">
        <v>679</v>
      </c>
    </row>
    <row r="65" spans="1:21" ht="202.5">
      <c r="A65" s="368">
        <v>64</v>
      </c>
      <c r="B65" s="368"/>
      <c r="C65" s="272" t="str">
        <f t="shared" si="0"/>
        <v>282</v>
      </c>
      <c r="D65" s="527">
        <v>28214</v>
      </c>
      <c r="E65" s="182" t="s">
        <v>207</v>
      </c>
      <c r="F65" s="529" t="s">
        <v>2</v>
      </c>
      <c r="G65" s="182">
        <v>43</v>
      </c>
      <c r="H65" s="528" t="s">
        <v>3</v>
      </c>
      <c r="I65" s="530" t="s">
        <v>243</v>
      </c>
      <c r="J65" s="275">
        <f t="shared" si="19"/>
        <v>0</v>
      </c>
      <c r="K65" s="275">
        <f t="shared" si="28"/>
        <v>1</v>
      </c>
      <c r="L65" s="275">
        <f t="shared" si="29"/>
        <v>0</v>
      </c>
      <c r="M65" s="275">
        <f t="shared" si="30"/>
        <v>1</v>
      </c>
      <c r="N65" s="276">
        <f t="shared" si="31"/>
        <v>0</v>
      </c>
      <c r="O65" s="276">
        <f t="shared" si="32"/>
        <v>0</v>
      </c>
      <c r="P65" s="276">
        <f t="shared" si="33"/>
        <v>0</v>
      </c>
      <c r="Q65" s="276">
        <f t="shared" si="34"/>
        <v>0</v>
      </c>
      <c r="R65" s="329">
        <f t="shared" si="35"/>
        <v>1</v>
      </c>
      <c r="S65" s="273"/>
      <c r="T65" s="274" t="str">
        <f>IF(ISNA(VLOOKUP(D65,'One year follow-up_inperson'!$C:$C,1,FALSE)),"No","Yes")</f>
        <v>No</v>
      </c>
      <c r="U65" s="592" t="s">
        <v>679</v>
      </c>
    </row>
    <row r="66" spans="1:21" ht="229.5">
      <c r="A66" s="368">
        <v>65</v>
      </c>
      <c r="B66" s="368"/>
      <c r="C66" s="272" t="str">
        <f t="shared" si="0"/>
        <v>282</v>
      </c>
      <c r="D66" s="527">
        <v>28215</v>
      </c>
      <c r="E66" s="182" t="s">
        <v>208</v>
      </c>
      <c r="F66" s="529" t="s">
        <v>2</v>
      </c>
      <c r="G66" s="182">
        <v>30</v>
      </c>
      <c r="H66" s="528" t="s">
        <v>3</v>
      </c>
      <c r="I66" s="530" t="s">
        <v>467</v>
      </c>
      <c r="J66" s="275">
        <f t="shared" si="19"/>
        <v>1</v>
      </c>
      <c r="K66" s="275">
        <f t="shared" si="28"/>
        <v>0</v>
      </c>
      <c r="L66" s="275">
        <f t="shared" si="29"/>
        <v>0</v>
      </c>
      <c r="M66" s="275">
        <f t="shared" si="30"/>
        <v>1</v>
      </c>
      <c r="N66" s="276">
        <f t="shared" si="31"/>
        <v>0</v>
      </c>
      <c r="O66" s="276">
        <f t="shared" si="32"/>
        <v>0</v>
      </c>
      <c r="P66" s="276">
        <f t="shared" si="33"/>
        <v>0</v>
      </c>
      <c r="Q66" s="276">
        <f t="shared" si="34"/>
        <v>0</v>
      </c>
      <c r="R66" s="329">
        <f t="shared" si="35"/>
        <v>1</v>
      </c>
      <c r="S66" s="273"/>
      <c r="T66" s="274" t="str">
        <f>IF(ISNA(VLOOKUP(D66,'One year follow-up_inperson'!$C:$C,1,FALSE)),"No","Yes")</f>
        <v>No</v>
      </c>
      <c r="U66" s="592" t="s">
        <v>679</v>
      </c>
    </row>
    <row r="67" spans="1:21" ht="15">
      <c r="A67" s="368">
        <v>66</v>
      </c>
      <c r="B67" s="368"/>
      <c r="C67" s="272" t="str">
        <f t="shared" si="0"/>
        <v>282</v>
      </c>
      <c r="D67" s="527">
        <v>28217</v>
      </c>
      <c r="E67" s="182" t="s">
        <v>209</v>
      </c>
      <c r="F67" s="529" t="s">
        <v>2</v>
      </c>
      <c r="G67" s="182">
        <v>33</v>
      </c>
      <c r="H67" s="528" t="s">
        <v>5</v>
      </c>
      <c r="I67" s="528"/>
      <c r="J67" s="275">
        <f t="shared" si="19"/>
        <v>0</v>
      </c>
      <c r="K67" s="275">
        <f t="shared" si="28"/>
        <v>0</v>
      </c>
      <c r="L67" s="275">
        <f t="shared" si="29"/>
        <v>0</v>
      </c>
      <c r="M67" s="275">
        <f t="shared" si="30"/>
        <v>0</v>
      </c>
      <c r="N67" s="276">
        <f t="shared" si="31"/>
        <v>0</v>
      </c>
      <c r="O67" s="276">
        <f t="shared" si="32"/>
        <v>0</v>
      </c>
      <c r="P67" s="276">
        <f t="shared" si="33"/>
        <v>0</v>
      </c>
      <c r="Q67" s="276">
        <f t="shared" si="34"/>
        <v>0</v>
      </c>
      <c r="R67" s="329">
        <f t="shared" si="35"/>
        <v>0</v>
      </c>
      <c r="S67" s="273"/>
      <c r="T67" s="274" t="str">
        <f>IF(ISNA(VLOOKUP(D67,'One year follow-up_inperson'!$C:$C,1,FALSE)),"No","Yes")</f>
        <v>No</v>
      </c>
      <c r="U67" s="592" t="s">
        <v>679</v>
      </c>
    </row>
    <row r="68" spans="1:21" ht="15">
      <c r="A68" s="368">
        <v>67</v>
      </c>
      <c r="B68" s="368"/>
      <c r="C68" s="272" t="str">
        <f t="shared" si="0"/>
        <v>282</v>
      </c>
      <c r="D68" s="527">
        <v>28218</v>
      </c>
      <c r="E68" s="182" t="s">
        <v>210</v>
      </c>
      <c r="F68" s="529" t="s">
        <v>2</v>
      </c>
      <c r="G68" s="182">
        <v>40</v>
      </c>
      <c r="H68" s="528" t="s">
        <v>5</v>
      </c>
      <c r="I68" s="528"/>
      <c r="J68" s="275">
        <f t="shared" si="19"/>
        <v>0</v>
      </c>
      <c r="K68" s="275">
        <f t="shared" si="28"/>
        <v>0</v>
      </c>
      <c r="L68" s="275">
        <f t="shared" si="29"/>
        <v>0</v>
      </c>
      <c r="M68" s="275">
        <f t="shared" si="30"/>
        <v>0</v>
      </c>
      <c r="N68" s="276">
        <f t="shared" si="31"/>
        <v>0</v>
      </c>
      <c r="O68" s="276">
        <f t="shared" si="32"/>
        <v>0</v>
      </c>
      <c r="P68" s="276">
        <f t="shared" si="33"/>
        <v>0</v>
      </c>
      <c r="Q68" s="276">
        <f t="shared" si="34"/>
        <v>0</v>
      </c>
      <c r="R68" s="329">
        <f t="shared" si="35"/>
        <v>0</v>
      </c>
      <c r="S68" s="273"/>
      <c r="T68" s="274" t="str">
        <f>IF(ISNA(VLOOKUP(D68,'One year follow-up_inperson'!$C:$C,1,FALSE)),"No","Yes")</f>
        <v>No</v>
      </c>
      <c r="U68" s="592" t="s">
        <v>679</v>
      </c>
    </row>
    <row r="69" spans="1:21" ht="175.5">
      <c r="A69" s="368">
        <v>68</v>
      </c>
      <c r="B69" s="368"/>
      <c r="C69" s="272" t="str">
        <f t="shared" si="0"/>
        <v>282</v>
      </c>
      <c r="D69" s="527">
        <v>28222</v>
      </c>
      <c r="E69" s="182" t="s">
        <v>211</v>
      </c>
      <c r="F69" s="529" t="s">
        <v>2</v>
      </c>
      <c r="G69" s="182">
        <v>33</v>
      </c>
      <c r="H69" s="528" t="s">
        <v>3</v>
      </c>
      <c r="I69" s="530" t="s">
        <v>244</v>
      </c>
      <c r="J69" s="275">
        <f t="shared" si="19"/>
        <v>1</v>
      </c>
      <c r="K69" s="275">
        <f t="shared" si="28"/>
        <v>0</v>
      </c>
      <c r="L69" s="275">
        <f t="shared" si="29"/>
        <v>0</v>
      </c>
      <c r="M69" s="275">
        <f t="shared" si="30"/>
        <v>1</v>
      </c>
      <c r="N69" s="276">
        <f t="shared" si="31"/>
        <v>0</v>
      </c>
      <c r="O69" s="276">
        <f t="shared" si="32"/>
        <v>0</v>
      </c>
      <c r="P69" s="276">
        <f t="shared" si="33"/>
        <v>0</v>
      </c>
      <c r="Q69" s="276">
        <f t="shared" si="34"/>
        <v>0</v>
      </c>
      <c r="R69" s="329">
        <f t="shared" si="35"/>
        <v>1</v>
      </c>
      <c r="S69" s="273"/>
      <c r="T69" s="274" t="str">
        <f>IF(ISNA(VLOOKUP(D69,'One year follow-up_inperson'!$C:$C,1,FALSE)),"No","Yes")</f>
        <v>No</v>
      </c>
      <c r="U69" s="592" t="s">
        <v>679</v>
      </c>
    </row>
    <row r="70" spans="1:21" ht="15">
      <c r="A70" s="368">
        <v>69</v>
      </c>
      <c r="B70" s="368"/>
      <c r="C70" s="272" t="str">
        <f t="shared" si="0"/>
        <v>282</v>
      </c>
      <c r="D70" s="527">
        <v>28223</v>
      </c>
      <c r="E70" s="182" t="s">
        <v>212</v>
      </c>
      <c r="F70" s="529" t="s">
        <v>2</v>
      </c>
      <c r="G70" s="182">
        <v>32</v>
      </c>
      <c r="H70" s="528" t="s">
        <v>5</v>
      </c>
      <c r="I70" s="528"/>
      <c r="J70" s="275">
        <f t="shared" si="19"/>
        <v>0</v>
      </c>
      <c r="K70" s="275">
        <f t="shared" si="28"/>
        <v>0</v>
      </c>
      <c r="L70" s="275">
        <f t="shared" si="29"/>
        <v>0</v>
      </c>
      <c r="M70" s="275">
        <f t="shared" si="30"/>
        <v>0</v>
      </c>
      <c r="N70" s="276">
        <f t="shared" si="31"/>
        <v>0</v>
      </c>
      <c r="O70" s="276">
        <f t="shared" si="32"/>
        <v>0</v>
      </c>
      <c r="P70" s="276">
        <f t="shared" si="33"/>
        <v>0</v>
      </c>
      <c r="Q70" s="276">
        <f t="shared" si="34"/>
        <v>0</v>
      </c>
      <c r="R70" s="329">
        <f t="shared" si="35"/>
        <v>0</v>
      </c>
      <c r="S70" s="273"/>
      <c r="T70" s="274" t="str">
        <f>IF(ISNA(VLOOKUP(D70,'One year follow-up_inperson'!$C:$C,1,FALSE)),"No","Yes")</f>
        <v>No</v>
      </c>
      <c r="U70" s="592" t="s">
        <v>679</v>
      </c>
    </row>
    <row r="71" spans="1:21" ht="54">
      <c r="A71" s="368">
        <v>70</v>
      </c>
      <c r="B71" s="368"/>
      <c r="C71" s="272" t="str">
        <f t="shared" si="0"/>
        <v>282</v>
      </c>
      <c r="D71" s="527">
        <v>28224</v>
      </c>
      <c r="E71" s="182" t="s">
        <v>213</v>
      </c>
      <c r="F71" s="529" t="s">
        <v>2</v>
      </c>
      <c r="G71" s="182">
        <v>31</v>
      </c>
      <c r="H71" s="528" t="s">
        <v>3</v>
      </c>
      <c r="I71" s="530" t="s">
        <v>245</v>
      </c>
      <c r="J71" s="275">
        <f t="shared" si="19"/>
        <v>1</v>
      </c>
      <c r="K71" s="275">
        <f t="shared" si="28"/>
        <v>0</v>
      </c>
      <c r="L71" s="275">
        <f t="shared" si="29"/>
        <v>0</v>
      </c>
      <c r="M71" s="275">
        <f t="shared" si="30"/>
        <v>1</v>
      </c>
      <c r="N71" s="276">
        <f t="shared" si="31"/>
        <v>0</v>
      </c>
      <c r="O71" s="276">
        <f t="shared" si="32"/>
        <v>0</v>
      </c>
      <c r="P71" s="276">
        <f t="shared" si="33"/>
        <v>0</v>
      </c>
      <c r="Q71" s="276">
        <f t="shared" si="34"/>
        <v>0</v>
      </c>
      <c r="R71" s="329">
        <f t="shared" si="35"/>
        <v>1</v>
      </c>
      <c r="S71" s="273"/>
      <c r="T71" s="274" t="str">
        <f>IF(ISNA(VLOOKUP(D71,'One year follow-up_inperson'!$C:$C,1,FALSE)),"No","Yes")</f>
        <v>No</v>
      </c>
      <c r="U71" s="592" t="s">
        <v>679</v>
      </c>
    </row>
    <row r="72" spans="1:21" ht="270">
      <c r="A72" s="368">
        <v>71</v>
      </c>
      <c r="B72" s="368"/>
      <c r="C72" s="272" t="str">
        <f t="shared" si="0"/>
        <v>282</v>
      </c>
      <c r="D72" s="527">
        <v>28225</v>
      </c>
      <c r="E72" s="182" t="s">
        <v>214</v>
      </c>
      <c r="F72" s="529" t="s">
        <v>2</v>
      </c>
      <c r="G72" s="182">
        <v>35</v>
      </c>
      <c r="H72" s="528" t="s">
        <v>3</v>
      </c>
      <c r="I72" s="530" t="s">
        <v>246</v>
      </c>
      <c r="J72" s="275">
        <f t="shared" si="19"/>
        <v>0</v>
      </c>
      <c r="K72" s="275">
        <f t="shared" si="28"/>
        <v>1</v>
      </c>
      <c r="L72" s="275">
        <f t="shared" si="29"/>
        <v>0</v>
      </c>
      <c r="M72" s="275">
        <f t="shared" si="30"/>
        <v>1</v>
      </c>
      <c r="N72" s="276">
        <f t="shared" si="31"/>
        <v>1</v>
      </c>
      <c r="O72" s="276">
        <f t="shared" si="32"/>
        <v>0</v>
      </c>
      <c r="P72" s="276">
        <f t="shared" si="33"/>
        <v>0</v>
      </c>
      <c r="Q72" s="276">
        <f t="shared" si="34"/>
        <v>0</v>
      </c>
      <c r="R72" s="329">
        <f t="shared" si="35"/>
        <v>1</v>
      </c>
      <c r="S72" s="273"/>
      <c r="T72" s="274" t="str">
        <f>IF(ISNA(VLOOKUP(D72,'One year follow-up_inperson'!$C:$C,1,FALSE)),"No","Yes")</f>
        <v>No</v>
      </c>
      <c r="U72" s="592" t="s">
        <v>679</v>
      </c>
    </row>
    <row r="73" spans="1:21" ht="15">
      <c r="A73" s="368">
        <v>72</v>
      </c>
      <c r="B73" s="368"/>
      <c r="C73" s="272" t="str">
        <f t="shared" si="0"/>
        <v>282</v>
      </c>
      <c r="D73" s="527">
        <v>28226</v>
      </c>
      <c r="E73" s="182" t="s">
        <v>215</v>
      </c>
      <c r="F73" s="529" t="s">
        <v>2</v>
      </c>
      <c r="G73" s="182">
        <v>37</v>
      </c>
      <c r="H73" s="528" t="s">
        <v>5</v>
      </c>
      <c r="I73" s="528"/>
      <c r="J73" s="275">
        <f t="shared" si="19"/>
        <v>0</v>
      </c>
      <c r="K73" s="275">
        <f t="shared" si="28"/>
        <v>0</v>
      </c>
      <c r="L73" s="275">
        <f t="shared" si="29"/>
        <v>0</v>
      </c>
      <c r="M73" s="275">
        <f t="shared" si="30"/>
        <v>0</v>
      </c>
      <c r="N73" s="276">
        <f t="shared" si="31"/>
        <v>0</v>
      </c>
      <c r="O73" s="276">
        <f t="shared" si="32"/>
        <v>0</v>
      </c>
      <c r="P73" s="276">
        <f t="shared" si="33"/>
        <v>0</v>
      </c>
      <c r="Q73" s="276">
        <f t="shared" si="34"/>
        <v>0</v>
      </c>
      <c r="R73" s="329">
        <f t="shared" si="35"/>
        <v>0</v>
      </c>
      <c r="S73" s="273"/>
      <c r="T73" s="274" t="str">
        <f>IF(ISNA(VLOOKUP(D73,'One year follow-up_inperson'!$C:$C,1,FALSE)),"No","Yes")</f>
        <v>No</v>
      </c>
      <c r="U73" s="592" t="s">
        <v>679</v>
      </c>
    </row>
    <row r="74" spans="1:21" ht="216">
      <c r="A74" s="368">
        <v>73</v>
      </c>
      <c r="B74" s="368"/>
      <c r="C74" s="272" t="str">
        <f t="shared" si="0"/>
        <v>282</v>
      </c>
      <c r="D74" s="527">
        <v>28227</v>
      </c>
      <c r="E74" s="182" t="s">
        <v>216</v>
      </c>
      <c r="F74" s="529" t="s">
        <v>2</v>
      </c>
      <c r="G74" s="182">
        <v>39</v>
      </c>
      <c r="H74" s="528" t="s">
        <v>3</v>
      </c>
      <c r="I74" s="530" t="s">
        <v>247</v>
      </c>
      <c r="J74" s="275">
        <f t="shared" si="19"/>
        <v>1</v>
      </c>
      <c r="K74" s="275">
        <f t="shared" si="28"/>
        <v>0</v>
      </c>
      <c r="L74" s="275">
        <f t="shared" si="29"/>
        <v>0</v>
      </c>
      <c r="M74" s="275">
        <f t="shared" si="30"/>
        <v>1</v>
      </c>
      <c r="N74" s="276">
        <f t="shared" si="31"/>
        <v>0</v>
      </c>
      <c r="O74" s="276">
        <f t="shared" si="32"/>
        <v>0</v>
      </c>
      <c r="P74" s="276">
        <f t="shared" si="33"/>
        <v>0</v>
      </c>
      <c r="Q74" s="276">
        <f t="shared" si="34"/>
        <v>0</v>
      </c>
      <c r="R74" s="329">
        <f t="shared" si="35"/>
        <v>1</v>
      </c>
      <c r="S74" s="273"/>
      <c r="T74" s="274" t="str">
        <f>IF(ISNA(VLOOKUP(D74,'One year follow-up_inperson'!$C:$C,1,FALSE)),"No","Yes")</f>
        <v>No</v>
      </c>
      <c r="U74" s="592" t="s">
        <v>679</v>
      </c>
    </row>
    <row r="75" spans="1:21" ht="378">
      <c r="A75" s="368">
        <v>74</v>
      </c>
      <c r="B75" s="368"/>
      <c r="C75" s="272" t="str">
        <f t="shared" si="0"/>
        <v>282</v>
      </c>
      <c r="D75" s="527">
        <v>28230</v>
      </c>
      <c r="E75" s="182" t="s">
        <v>217</v>
      </c>
      <c r="F75" s="529" t="s">
        <v>2</v>
      </c>
      <c r="G75" s="182">
        <v>40</v>
      </c>
      <c r="H75" s="528" t="s">
        <v>3</v>
      </c>
      <c r="I75" s="530" t="s">
        <v>248</v>
      </c>
      <c r="J75" s="275">
        <f t="shared" si="19"/>
        <v>0</v>
      </c>
      <c r="K75" s="275">
        <f t="shared" si="28"/>
        <v>1</v>
      </c>
      <c r="L75" s="275">
        <f t="shared" si="29"/>
        <v>0</v>
      </c>
      <c r="M75" s="275">
        <f t="shared" si="30"/>
        <v>1</v>
      </c>
      <c r="N75" s="276">
        <f t="shared" si="31"/>
        <v>0</v>
      </c>
      <c r="O75" s="276">
        <f t="shared" si="32"/>
        <v>0</v>
      </c>
      <c r="P75" s="276">
        <f t="shared" si="33"/>
        <v>0</v>
      </c>
      <c r="Q75" s="276">
        <f t="shared" si="34"/>
        <v>0</v>
      </c>
      <c r="R75" s="329">
        <f t="shared" si="35"/>
        <v>1</v>
      </c>
      <c r="S75" s="273"/>
      <c r="T75" s="274" t="str">
        <f>IF(ISNA(VLOOKUP(D75,'One year follow-up_inperson'!$C:$C,1,FALSE)),"No","Yes")</f>
        <v>No</v>
      </c>
      <c r="U75" s="592" t="s">
        <v>679</v>
      </c>
    </row>
    <row r="76" spans="1:21" ht="243">
      <c r="A76" s="368">
        <v>75</v>
      </c>
      <c r="B76" s="368"/>
      <c r="C76" s="272" t="str">
        <f t="shared" si="0"/>
        <v>282</v>
      </c>
      <c r="D76" s="527">
        <v>28231</v>
      </c>
      <c r="E76" s="182" t="s">
        <v>218</v>
      </c>
      <c r="F76" s="529" t="s">
        <v>2</v>
      </c>
      <c r="G76" s="182">
        <v>35</v>
      </c>
      <c r="H76" s="528" t="s">
        <v>3</v>
      </c>
      <c r="I76" s="530" t="s">
        <v>466</v>
      </c>
      <c r="J76" s="275">
        <f t="shared" si="19"/>
        <v>1</v>
      </c>
      <c r="K76" s="275">
        <f t="shared" si="28"/>
        <v>0</v>
      </c>
      <c r="L76" s="275">
        <f t="shared" si="29"/>
        <v>0</v>
      </c>
      <c r="M76" s="275">
        <f t="shared" si="30"/>
        <v>1</v>
      </c>
      <c r="N76" s="276">
        <f t="shared" si="31"/>
        <v>0</v>
      </c>
      <c r="O76" s="276">
        <f t="shared" si="32"/>
        <v>0</v>
      </c>
      <c r="P76" s="276">
        <f t="shared" si="33"/>
        <v>0</v>
      </c>
      <c r="Q76" s="276">
        <f t="shared" si="34"/>
        <v>0</v>
      </c>
      <c r="R76" s="329">
        <f t="shared" si="35"/>
        <v>1</v>
      </c>
      <c r="S76" s="273"/>
      <c r="T76" s="274" t="str">
        <f>IF(ISNA(VLOOKUP(D76,'One year follow-up_inperson'!$C:$C,1,FALSE)),"No","Yes")</f>
        <v>No</v>
      </c>
      <c r="U76" s="592" t="s">
        <v>679</v>
      </c>
    </row>
    <row r="77" spans="1:21" ht="270">
      <c r="A77" s="368">
        <v>76</v>
      </c>
      <c r="B77" s="368"/>
      <c r="C77" s="272" t="str">
        <f t="shared" si="0"/>
        <v>282</v>
      </c>
      <c r="D77" s="527">
        <v>28232</v>
      </c>
      <c r="E77" s="182" t="s">
        <v>219</v>
      </c>
      <c r="F77" s="529" t="s">
        <v>2</v>
      </c>
      <c r="G77" s="182">
        <v>41</v>
      </c>
      <c r="H77" s="528" t="s">
        <v>5</v>
      </c>
      <c r="I77" s="530" t="s">
        <v>465</v>
      </c>
      <c r="J77" s="275">
        <f t="shared" si="19"/>
        <v>1</v>
      </c>
      <c r="K77" s="275">
        <f t="shared" si="28"/>
        <v>0</v>
      </c>
      <c r="L77" s="275">
        <f t="shared" si="29"/>
        <v>0</v>
      </c>
      <c r="M77" s="275">
        <f t="shared" si="30"/>
        <v>1</v>
      </c>
      <c r="N77" s="276">
        <f t="shared" si="31"/>
        <v>0</v>
      </c>
      <c r="O77" s="276">
        <f t="shared" si="32"/>
        <v>0</v>
      </c>
      <c r="P77" s="276">
        <f t="shared" si="33"/>
        <v>0</v>
      </c>
      <c r="Q77" s="276">
        <f t="shared" si="34"/>
        <v>0</v>
      </c>
      <c r="R77" s="329">
        <f t="shared" si="35"/>
        <v>1</v>
      </c>
      <c r="S77" s="273"/>
      <c r="T77" s="274" t="str">
        <f>IF(ISNA(VLOOKUP(D77,'One year follow-up_inperson'!$C:$C,1,FALSE)),"No","Yes")</f>
        <v>No</v>
      </c>
      <c r="U77" s="592" t="s">
        <v>679</v>
      </c>
    </row>
    <row r="78" spans="1:21" ht="135">
      <c r="A78" s="368">
        <v>77</v>
      </c>
      <c r="B78" s="368"/>
      <c r="C78" s="272" t="str">
        <f t="shared" si="0"/>
        <v>282</v>
      </c>
      <c r="D78" s="527">
        <v>28233</v>
      </c>
      <c r="E78" s="182" t="s">
        <v>220</v>
      </c>
      <c r="F78" s="529" t="s">
        <v>2</v>
      </c>
      <c r="G78" s="182">
        <v>28</v>
      </c>
      <c r="H78" s="528" t="s">
        <v>3</v>
      </c>
      <c r="I78" s="530" t="s">
        <v>249</v>
      </c>
      <c r="J78" s="275">
        <f t="shared" si="19"/>
        <v>0</v>
      </c>
      <c r="K78" s="275">
        <f t="shared" si="28"/>
        <v>1</v>
      </c>
      <c r="L78" s="275">
        <f t="shared" si="29"/>
        <v>0</v>
      </c>
      <c r="M78" s="275">
        <f t="shared" si="30"/>
        <v>1</v>
      </c>
      <c r="N78" s="276">
        <f t="shared" si="31"/>
        <v>1</v>
      </c>
      <c r="O78" s="276">
        <f t="shared" si="32"/>
        <v>0</v>
      </c>
      <c r="P78" s="276">
        <f t="shared" si="33"/>
        <v>0</v>
      </c>
      <c r="Q78" s="276">
        <f t="shared" si="34"/>
        <v>0</v>
      </c>
      <c r="R78" s="329">
        <f t="shared" si="35"/>
        <v>1</v>
      </c>
      <c r="S78" s="273"/>
      <c r="T78" s="274" t="str">
        <f>IF(ISNA(VLOOKUP(D78,'One year follow-up_inperson'!$C:$C,1,FALSE)),"No","Yes")</f>
        <v>No</v>
      </c>
      <c r="U78" s="592" t="s">
        <v>679</v>
      </c>
    </row>
    <row r="79" spans="1:21" ht="15">
      <c r="A79" s="368">
        <v>78</v>
      </c>
      <c r="B79" s="368"/>
      <c r="C79" s="272" t="str">
        <f t="shared" si="0"/>
        <v>282</v>
      </c>
      <c r="D79" s="527">
        <v>28234</v>
      </c>
      <c r="E79" s="182" t="s">
        <v>221</v>
      </c>
      <c r="F79" s="529" t="s">
        <v>2</v>
      </c>
      <c r="G79" s="182">
        <v>23</v>
      </c>
      <c r="H79" s="528" t="s">
        <v>5</v>
      </c>
      <c r="I79" s="528"/>
      <c r="J79" s="275">
        <f t="shared" si="19"/>
        <v>0</v>
      </c>
      <c r="K79" s="275">
        <f t="shared" si="28"/>
        <v>0</v>
      </c>
      <c r="L79" s="275">
        <f t="shared" si="29"/>
        <v>0</v>
      </c>
      <c r="M79" s="275">
        <f t="shared" si="30"/>
        <v>0</v>
      </c>
      <c r="N79" s="276">
        <f t="shared" si="31"/>
        <v>0</v>
      </c>
      <c r="O79" s="276">
        <f t="shared" si="32"/>
        <v>0</v>
      </c>
      <c r="P79" s="276">
        <f t="shared" si="33"/>
        <v>0</v>
      </c>
      <c r="Q79" s="276">
        <f t="shared" si="34"/>
        <v>0</v>
      </c>
      <c r="R79" s="329">
        <f t="shared" si="35"/>
        <v>0</v>
      </c>
      <c r="S79" s="273"/>
      <c r="T79" s="274" t="str">
        <f>IF(ISNA(VLOOKUP(D79,'One year follow-up_inperson'!$C:$C,1,FALSE)),"No","Yes")</f>
        <v>No</v>
      </c>
      <c r="U79" s="592" t="s">
        <v>679</v>
      </c>
    </row>
    <row r="80" spans="1:21" ht="135">
      <c r="A80" s="368">
        <v>79</v>
      </c>
      <c r="B80" s="368"/>
      <c r="C80" s="272" t="str">
        <f t="shared" si="0"/>
        <v>282</v>
      </c>
      <c r="D80" s="527">
        <v>28235</v>
      </c>
      <c r="E80" s="182" t="s">
        <v>222</v>
      </c>
      <c r="F80" s="529" t="s">
        <v>2</v>
      </c>
      <c r="G80" s="182">
        <v>26</v>
      </c>
      <c r="H80" s="528" t="s">
        <v>3</v>
      </c>
      <c r="I80" s="530" t="s">
        <v>250</v>
      </c>
      <c r="J80" s="275">
        <f t="shared" si="19"/>
        <v>0</v>
      </c>
      <c r="K80" s="275">
        <f t="shared" si="28"/>
        <v>1</v>
      </c>
      <c r="L80" s="275">
        <f t="shared" si="29"/>
        <v>0</v>
      </c>
      <c r="M80" s="275">
        <f t="shared" si="30"/>
        <v>1</v>
      </c>
      <c r="N80" s="276">
        <f t="shared" si="31"/>
        <v>1</v>
      </c>
      <c r="O80" s="276">
        <f t="shared" si="32"/>
        <v>0</v>
      </c>
      <c r="P80" s="276">
        <f t="shared" si="33"/>
        <v>0</v>
      </c>
      <c r="Q80" s="276">
        <f t="shared" si="34"/>
        <v>0</v>
      </c>
      <c r="R80" s="329">
        <f t="shared" si="35"/>
        <v>1</v>
      </c>
      <c r="S80" s="273"/>
      <c r="T80" s="274" t="str">
        <f>IF(ISNA(VLOOKUP(D80,'One year follow-up_inperson'!$C:$C,1,FALSE)),"No","Yes")</f>
        <v>No</v>
      </c>
      <c r="U80" s="592" t="s">
        <v>679</v>
      </c>
    </row>
    <row r="81" spans="1:21" ht="108">
      <c r="A81" s="368">
        <v>80</v>
      </c>
      <c r="B81" s="368"/>
      <c r="C81" s="272" t="str">
        <f t="shared" si="0"/>
        <v>282</v>
      </c>
      <c r="D81" s="527">
        <v>28236</v>
      </c>
      <c r="E81" s="182" t="s">
        <v>223</v>
      </c>
      <c r="F81" s="529" t="s">
        <v>2</v>
      </c>
      <c r="G81" s="182">
        <v>33</v>
      </c>
      <c r="H81" s="528" t="s">
        <v>3</v>
      </c>
      <c r="I81" s="530" t="s">
        <v>251</v>
      </c>
      <c r="J81" s="275">
        <f t="shared" si="19"/>
        <v>0</v>
      </c>
      <c r="K81" s="275">
        <f t="shared" si="28"/>
        <v>0</v>
      </c>
      <c r="L81" s="275">
        <f t="shared" si="29"/>
        <v>1</v>
      </c>
      <c r="M81" s="275">
        <f t="shared" si="30"/>
        <v>1</v>
      </c>
      <c r="N81" s="276">
        <f t="shared" si="31"/>
        <v>0</v>
      </c>
      <c r="O81" s="276">
        <f t="shared" si="32"/>
        <v>0</v>
      </c>
      <c r="P81" s="276">
        <f t="shared" si="33"/>
        <v>0</v>
      </c>
      <c r="Q81" s="276">
        <f t="shared" si="34"/>
        <v>0</v>
      </c>
      <c r="R81" s="329">
        <f t="shared" si="35"/>
        <v>1</v>
      </c>
      <c r="S81" s="273"/>
      <c r="T81" s="274" t="str">
        <f>IF(ISNA(VLOOKUP(D81,'One year follow-up_inperson'!$C:$C,1,FALSE)),"No","Yes")</f>
        <v>No</v>
      </c>
      <c r="U81" s="592" t="s">
        <v>679</v>
      </c>
    </row>
    <row r="82" spans="1:21" ht="229.5">
      <c r="A82" s="368">
        <v>81</v>
      </c>
      <c r="B82" s="368"/>
      <c r="C82" s="272" t="str">
        <f t="shared" si="0"/>
        <v>282</v>
      </c>
      <c r="D82" s="527">
        <v>28237</v>
      </c>
      <c r="E82" s="183" t="s">
        <v>253</v>
      </c>
      <c r="F82" s="529" t="s">
        <v>2</v>
      </c>
      <c r="G82" s="182">
        <v>32</v>
      </c>
      <c r="H82" s="528" t="s">
        <v>3</v>
      </c>
      <c r="I82" s="530" t="s">
        <v>252</v>
      </c>
      <c r="J82" s="275">
        <f t="shared" si="19"/>
        <v>0</v>
      </c>
      <c r="K82" s="275">
        <f t="shared" si="28"/>
        <v>1</v>
      </c>
      <c r="L82" s="275">
        <f t="shared" si="29"/>
        <v>0</v>
      </c>
      <c r="M82" s="275">
        <f t="shared" si="30"/>
        <v>1</v>
      </c>
      <c r="N82" s="276">
        <f t="shared" si="31"/>
        <v>0</v>
      </c>
      <c r="O82" s="276">
        <f t="shared" si="32"/>
        <v>0</v>
      </c>
      <c r="P82" s="276">
        <f t="shared" si="33"/>
        <v>0</v>
      </c>
      <c r="Q82" s="276">
        <f t="shared" si="34"/>
        <v>0</v>
      </c>
      <c r="R82" s="329">
        <f t="shared" si="35"/>
        <v>1</v>
      </c>
      <c r="S82" s="273"/>
      <c r="T82" s="274" t="str">
        <f>IF(ISNA(VLOOKUP(D82,'One year follow-up_inperson'!$C:$C,1,FALSE)),"No","Yes")</f>
        <v>No</v>
      </c>
      <c r="U82" s="592" t="s">
        <v>679</v>
      </c>
    </row>
    <row r="83" spans="1:21" ht="15">
      <c r="A83" s="368">
        <v>82</v>
      </c>
      <c r="B83" s="368"/>
      <c r="C83" s="272" t="str">
        <f t="shared" si="0"/>
        <v>282</v>
      </c>
      <c r="D83" s="527">
        <v>28240</v>
      </c>
      <c r="E83" s="182" t="s">
        <v>224</v>
      </c>
      <c r="F83" s="529" t="s">
        <v>2</v>
      </c>
      <c r="G83" s="182">
        <v>37</v>
      </c>
      <c r="H83" s="528" t="s">
        <v>5</v>
      </c>
      <c r="I83" s="528"/>
      <c r="J83" s="275">
        <f t="shared" si="19"/>
        <v>0</v>
      </c>
      <c r="K83" s="275">
        <f t="shared" si="28"/>
        <v>0</v>
      </c>
      <c r="L83" s="275">
        <f t="shared" si="29"/>
        <v>0</v>
      </c>
      <c r="M83" s="275">
        <f t="shared" si="30"/>
        <v>0</v>
      </c>
      <c r="N83" s="276">
        <f t="shared" si="31"/>
        <v>0</v>
      </c>
      <c r="O83" s="276">
        <f t="shared" si="32"/>
        <v>0</v>
      </c>
      <c r="P83" s="276">
        <f t="shared" si="33"/>
        <v>0</v>
      </c>
      <c r="Q83" s="276">
        <f t="shared" si="34"/>
        <v>0</v>
      </c>
      <c r="R83" s="329">
        <f t="shared" si="35"/>
        <v>0</v>
      </c>
      <c r="S83" s="273"/>
      <c r="T83" s="274" t="str">
        <f>IF(ISNA(VLOOKUP(D83,'One year follow-up_inperson'!$C:$C,1,FALSE)),"No","Yes")</f>
        <v>No</v>
      </c>
      <c r="U83" s="592" t="s">
        <v>679</v>
      </c>
    </row>
    <row r="84" spans="1:21" ht="409.5">
      <c r="A84" s="368">
        <v>83</v>
      </c>
      <c r="B84" s="368"/>
      <c r="C84" s="272" t="str">
        <f t="shared" si="0"/>
        <v>282</v>
      </c>
      <c r="D84" s="527">
        <v>28241</v>
      </c>
      <c r="E84" s="182" t="s">
        <v>225</v>
      </c>
      <c r="F84" s="529" t="s">
        <v>2</v>
      </c>
      <c r="G84" s="182">
        <v>41</v>
      </c>
      <c r="H84" s="528" t="s">
        <v>3</v>
      </c>
      <c r="I84" s="530" t="s">
        <v>254</v>
      </c>
      <c r="J84" s="275">
        <f t="shared" si="19"/>
        <v>0</v>
      </c>
      <c r="K84" s="275">
        <f t="shared" si="28"/>
        <v>1</v>
      </c>
      <c r="L84" s="275">
        <f t="shared" si="29"/>
        <v>0</v>
      </c>
      <c r="M84" s="275">
        <f t="shared" si="30"/>
        <v>1</v>
      </c>
      <c r="N84" s="276">
        <f>IF(OR(ISNUMBER(SEARCH("started a business",I84))=TRUE,ISNUMBER(SEARCH("started an income-generating activity",I84))=TRUE,ISNUMBER(SEARCH("a business",I84))=TRUE),1,0)</f>
        <v>1</v>
      </c>
      <c r="O84" s="276">
        <f t="shared" si="32"/>
        <v>0</v>
      </c>
      <c r="P84" s="276">
        <f t="shared" si="33"/>
        <v>0</v>
      </c>
      <c r="Q84" s="276">
        <f t="shared" si="34"/>
        <v>0</v>
      </c>
      <c r="R84" s="329">
        <f t="shared" si="35"/>
        <v>1</v>
      </c>
      <c r="S84" s="273"/>
      <c r="T84" s="274" t="str">
        <f>IF(ISNA(VLOOKUP(D84,'One year follow-up_inperson'!$C:$C,1,FALSE)),"No","Yes")</f>
        <v>No</v>
      </c>
      <c r="U84" s="592" t="s">
        <v>679</v>
      </c>
    </row>
    <row r="85" spans="1:21" ht="108">
      <c r="A85" s="368">
        <v>84</v>
      </c>
      <c r="B85" s="368"/>
      <c r="C85" s="272" t="str">
        <f t="shared" si="0"/>
        <v>282</v>
      </c>
      <c r="D85" s="527">
        <v>28242</v>
      </c>
      <c r="E85" s="182" t="s">
        <v>226</v>
      </c>
      <c r="F85" s="529" t="s">
        <v>2</v>
      </c>
      <c r="G85" s="182">
        <v>29</v>
      </c>
      <c r="H85" s="528" t="s">
        <v>3</v>
      </c>
      <c r="I85" s="530" t="s">
        <v>255</v>
      </c>
      <c r="J85" s="275">
        <f t="shared" si="19"/>
        <v>0</v>
      </c>
      <c r="K85" s="275">
        <f t="shared" si="28"/>
        <v>1</v>
      </c>
      <c r="L85" s="275">
        <f t="shared" si="29"/>
        <v>0</v>
      </c>
      <c r="M85" s="275">
        <f t="shared" si="30"/>
        <v>1</v>
      </c>
      <c r="N85" s="276">
        <f t="shared" si="31"/>
        <v>1</v>
      </c>
      <c r="O85" s="276">
        <f t="shared" si="32"/>
        <v>0</v>
      </c>
      <c r="P85" s="276">
        <f t="shared" si="33"/>
        <v>0</v>
      </c>
      <c r="Q85" s="276">
        <f t="shared" si="34"/>
        <v>0</v>
      </c>
      <c r="R85" s="329">
        <f t="shared" si="35"/>
        <v>1</v>
      </c>
      <c r="S85" s="273"/>
      <c r="T85" s="274" t="str">
        <f>IF(ISNA(VLOOKUP(D85,'One year follow-up_inperson'!$C:$C,1,FALSE)),"No","Yes")</f>
        <v>No</v>
      </c>
      <c r="U85" s="592" t="s">
        <v>679</v>
      </c>
    </row>
    <row r="86" spans="1:21" ht="108">
      <c r="A86" s="368">
        <v>85</v>
      </c>
      <c r="B86" s="368"/>
      <c r="C86" s="272" t="str">
        <f t="shared" si="0"/>
        <v>282</v>
      </c>
      <c r="D86" s="527">
        <v>28244</v>
      </c>
      <c r="E86" s="182" t="s">
        <v>227</v>
      </c>
      <c r="F86" s="529" t="s">
        <v>2</v>
      </c>
      <c r="G86" s="182">
        <v>40</v>
      </c>
      <c r="H86" s="528" t="s">
        <v>3</v>
      </c>
      <c r="I86" s="528" t="s">
        <v>464</v>
      </c>
      <c r="J86" s="275">
        <f t="shared" si="19"/>
        <v>0</v>
      </c>
      <c r="K86" s="275">
        <f t="shared" si="28"/>
        <v>0</v>
      </c>
      <c r="L86" s="275">
        <f t="shared" si="29"/>
        <v>1</v>
      </c>
      <c r="M86" s="275">
        <f t="shared" si="30"/>
        <v>1</v>
      </c>
      <c r="N86" s="276">
        <f t="shared" si="31"/>
        <v>0</v>
      </c>
      <c r="O86" s="276">
        <f t="shared" si="32"/>
        <v>0</v>
      </c>
      <c r="P86" s="276">
        <f t="shared" si="33"/>
        <v>0</v>
      </c>
      <c r="Q86" s="276">
        <f t="shared" si="34"/>
        <v>0</v>
      </c>
      <c r="R86" s="329">
        <f t="shared" si="35"/>
        <v>1</v>
      </c>
      <c r="S86" s="273"/>
      <c r="T86" s="274" t="str">
        <f>IF(ISNA(VLOOKUP(D86,'One year follow-up_inperson'!$C:$C,1,FALSE)),"No","Yes")</f>
        <v>No</v>
      </c>
      <c r="U86" s="592" t="s">
        <v>679</v>
      </c>
    </row>
    <row r="87" spans="1:21" ht="243">
      <c r="A87" s="368">
        <v>86</v>
      </c>
      <c r="B87" s="368"/>
      <c r="C87" s="272" t="str">
        <f t="shared" si="0"/>
        <v>282</v>
      </c>
      <c r="D87" s="527">
        <v>28245</v>
      </c>
      <c r="E87" s="182" t="s">
        <v>228</v>
      </c>
      <c r="F87" s="529" t="s">
        <v>2</v>
      </c>
      <c r="G87" s="182">
        <v>41</v>
      </c>
      <c r="H87" s="528" t="s">
        <v>3</v>
      </c>
      <c r="I87" s="530" t="s">
        <v>463</v>
      </c>
      <c r="J87" s="275">
        <f t="shared" si="19"/>
        <v>1</v>
      </c>
      <c r="K87" s="275">
        <f t="shared" si="28"/>
        <v>0</v>
      </c>
      <c r="L87" s="275">
        <f t="shared" si="29"/>
        <v>0</v>
      </c>
      <c r="M87" s="275">
        <f t="shared" si="30"/>
        <v>1</v>
      </c>
      <c r="N87" s="276">
        <f t="shared" si="31"/>
        <v>0</v>
      </c>
      <c r="O87" s="276">
        <f t="shared" si="32"/>
        <v>0</v>
      </c>
      <c r="P87" s="276">
        <f t="shared" si="33"/>
        <v>0</v>
      </c>
      <c r="Q87" s="276">
        <f t="shared" si="34"/>
        <v>0</v>
      </c>
      <c r="R87" s="329">
        <f t="shared" si="35"/>
        <v>1</v>
      </c>
      <c r="S87" s="273"/>
      <c r="T87" s="274" t="str">
        <f>IF(ISNA(VLOOKUP(D87,'One year follow-up_inperson'!$C:$C,1,FALSE)),"No","Yes")</f>
        <v>No</v>
      </c>
      <c r="U87" s="592" t="s">
        <v>679</v>
      </c>
    </row>
    <row r="88" spans="1:21" ht="391.5">
      <c r="A88" s="368">
        <v>87</v>
      </c>
      <c r="B88" s="368"/>
      <c r="C88" s="272" t="str">
        <f t="shared" si="0"/>
        <v>282</v>
      </c>
      <c r="D88" s="527">
        <v>28249</v>
      </c>
      <c r="E88" s="182" t="s">
        <v>229</v>
      </c>
      <c r="F88" s="529" t="s">
        <v>2</v>
      </c>
      <c r="G88" s="182">
        <v>32</v>
      </c>
      <c r="H88" s="528" t="s">
        <v>3</v>
      </c>
      <c r="I88" s="530" t="s">
        <v>256</v>
      </c>
      <c r="J88" s="275">
        <f t="shared" si="19"/>
        <v>0</v>
      </c>
      <c r="K88" s="275">
        <f t="shared" si="28"/>
        <v>1</v>
      </c>
      <c r="L88" s="275">
        <f t="shared" si="29"/>
        <v>0</v>
      </c>
      <c r="M88" s="275">
        <f t="shared" si="30"/>
        <v>1</v>
      </c>
      <c r="N88" s="276">
        <f t="shared" si="31"/>
        <v>1</v>
      </c>
      <c r="O88" s="276">
        <f t="shared" si="32"/>
        <v>0</v>
      </c>
      <c r="P88" s="276">
        <f t="shared" si="33"/>
        <v>0</v>
      </c>
      <c r="Q88" s="276">
        <f t="shared" si="34"/>
        <v>0</v>
      </c>
      <c r="R88" s="329">
        <f t="shared" si="35"/>
        <v>1</v>
      </c>
      <c r="S88" s="273"/>
      <c r="T88" s="274" t="str">
        <f>IF(ISNA(VLOOKUP(D88,'One year follow-up_inperson'!$C:$C,1,FALSE)),"No","Yes")</f>
        <v>No</v>
      </c>
      <c r="U88" s="592" t="s">
        <v>679</v>
      </c>
    </row>
    <row r="89" spans="1:21" ht="148.5">
      <c r="A89" s="368">
        <v>88</v>
      </c>
      <c r="B89" s="368"/>
      <c r="C89" s="272" t="str">
        <f t="shared" si="0"/>
        <v>282</v>
      </c>
      <c r="D89" s="527">
        <v>28250</v>
      </c>
      <c r="E89" s="182" t="s">
        <v>230</v>
      </c>
      <c r="F89" s="529" t="s">
        <v>2</v>
      </c>
      <c r="G89" s="182">
        <v>29</v>
      </c>
      <c r="H89" s="528" t="s">
        <v>3</v>
      </c>
      <c r="I89" s="530" t="s">
        <v>257</v>
      </c>
      <c r="J89" s="275">
        <f t="shared" si="19"/>
        <v>0</v>
      </c>
      <c r="K89" s="275">
        <f t="shared" si="28"/>
        <v>0</v>
      </c>
      <c r="L89" s="275">
        <f t="shared" si="29"/>
        <v>1</v>
      </c>
      <c r="M89" s="275">
        <f t="shared" si="30"/>
        <v>1</v>
      </c>
      <c r="N89" s="276">
        <f t="shared" si="31"/>
        <v>0</v>
      </c>
      <c r="O89" s="276">
        <f t="shared" si="32"/>
        <v>0</v>
      </c>
      <c r="P89" s="276">
        <f t="shared" si="33"/>
        <v>0</v>
      </c>
      <c r="Q89" s="276">
        <f t="shared" si="34"/>
        <v>0</v>
      </c>
      <c r="R89" s="329">
        <f t="shared" si="35"/>
        <v>1</v>
      </c>
      <c r="S89" s="273"/>
      <c r="T89" s="274" t="str">
        <f>IF(ISNA(VLOOKUP(D89,'One year follow-up_inperson'!$C:$C,1,FALSE)),"No","Yes")</f>
        <v>No</v>
      </c>
      <c r="U89" s="592" t="s">
        <v>679</v>
      </c>
    </row>
    <row r="90" spans="1:21" ht="175.5">
      <c r="A90" s="368">
        <v>89</v>
      </c>
      <c r="B90" s="368"/>
      <c r="C90" s="272" t="str">
        <f t="shared" si="0"/>
        <v>282</v>
      </c>
      <c r="D90" s="527">
        <v>28253</v>
      </c>
      <c r="E90" s="182" t="s">
        <v>231</v>
      </c>
      <c r="F90" s="529" t="s">
        <v>2</v>
      </c>
      <c r="G90" s="182">
        <v>45</v>
      </c>
      <c r="H90" s="528" t="s">
        <v>3</v>
      </c>
      <c r="I90" s="530" t="s">
        <v>258</v>
      </c>
      <c r="J90" s="275">
        <f t="shared" si="19"/>
        <v>1</v>
      </c>
      <c r="K90" s="275">
        <f t="shared" si="28"/>
        <v>0</v>
      </c>
      <c r="L90" s="275">
        <f t="shared" si="29"/>
        <v>0</v>
      </c>
      <c r="M90" s="275">
        <f t="shared" si="30"/>
        <v>1</v>
      </c>
      <c r="N90" s="276">
        <f t="shared" si="31"/>
        <v>0</v>
      </c>
      <c r="O90" s="276">
        <f t="shared" si="32"/>
        <v>0</v>
      </c>
      <c r="P90" s="276">
        <f t="shared" si="33"/>
        <v>0</v>
      </c>
      <c r="Q90" s="276">
        <f t="shared" si="34"/>
        <v>0</v>
      </c>
      <c r="R90" s="329">
        <f t="shared" si="35"/>
        <v>1</v>
      </c>
      <c r="S90" s="273"/>
      <c r="T90" s="274" t="str">
        <f>IF(ISNA(VLOOKUP(D90,'One year follow-up_inperson'!$C:$C,1,FALSE)),"No","Yes")</f>
        <v>No</v>
      </c>
      <c r="U90" s="592" t="s">
        <v>679</v>
      </c>
    </row>
    <row r="91" spans="1:21" ht="216">
      <c r="A91" s="368">
        <v>90</v>
      </c>
      <c r="B91" s="368"/>
      <c r="C91" s="272" t="str">
        <f t="shared" si="0"/>
        <v>282</v>
      </c>
      <c r="D91" s="527">
        <v>28254</v>
      </c>
      <c r="E91" s="182" t="s">
        <v>232</v>
      </c>
      <c r="F91" s="529" t="s">
        <v>2</v>
      </c>
      <c r="G91" s="182">
        <v>39</v>
      </c>
      <c r="H91" s="528" t="s">
        <v>3</v>
      </c>
      <c r="I91" s="530" t="s">
        <v>259</v>
      </c>
      <c r="J91" s="275">
        <f t="shared" si="19"/>
        <v>1</v>
      </c>
      <c r="K91" s="275">
        <f t="shared" si="28"/>
        <v>0</v>
      </c>
      <c r="L91" s="275">
        <f t="shared" si="29"/>
        <v>0</v>
      </c>
      <c r="M91" s="275">
        <f t="shared" si="30"/>
        <v>1</v>
      </c>
      <c r="N91" s="276">
        <f t="shared" si="31"/>
        <v>0</v>
      </c>
      <c r="O91" s="276">
        <f t="shared" si="32"/>
        <v>0</v>
      </c>
      <c r="P91" s="276">
        <f t="shared" si="33"/>
        <v>0</v>
      </c>
      <c r="Q91" s="276">
        <f t="shared" si="34"/>
        <v>0</v>
      </c>
      <c r="R91" s="329">
        <f t="shared" si="35"/>
        <v>1</v>
      </c>
      <c r="S91" s="273"/>
      <c r="T91" s="274" t="str">
        <f>IF(ISNA(VLOOKUP(D91,'One year follow-up_inperson'!$C:$C,1,FALSE)),"No","Yes")</f>
        <v>No</v>
      </c>
      <c r="U91" s="592" t="s">
        <v>679</v>
      </c>
    </row>
    <row r="92" spans="1:21" ht="175.5">
      <c r="A92" s="368">
        <v>91</v>
      </c>
      <c r="B92" s="368"/>
      <c r="C92" s="272" t="str">
        <f t="shared" si="0"/>
        <v>282</v>
      </c>
      <c r="D92" s="527">
        <v>28255</v>
      </c>
      <c r="E92" s="182" t="s">
        <v>233</v>
      </c>
      <c r="F92" s="529" t="s">
        <v>2</v>
      </c>
      <c r="G92" s="182">
        <v>38</v>
      </c>
      <c r="H92" s="528" t="s">
        <v>3</v>
      </c>
      <c r="I92" s="530" t="s">
        <v>260</v>
      </c>
      <c r="J92" s="275">
        <f t="shared" si="19"/>
        <v>1</v>
      </c>
      <c r="K92" s="275">
        <f t="shared" si="28"/>
        <v>0</v>
      </c>
      <c r="L92" s="275">
        <f t="shared" si="29"/>
        <v>0</v>
      </c>
      <c r="M92" s="275">
        <f t="shared" si="30"/>
        <v>1</v>
      </c>
      <c r="N92" s="276">
        <f t="shared" si="31"/>
        <v>0</v>
      </c>
      <c r="O92" s="276">
        <f t="shared" si="32"/>
        <v>0</v>
      </c>
      <c r="P92" s="276">
        <f t="shared" si="33"/>
        <v>0</v>
      </c>
      <c r="Q92" s="276">
        <f t="shared" si="34"/>
        <v>0</v>
      </c>
      <c r="R92" s="329">
        <f t="shared" si="35"/>
        <v>1</v>
      </c>
      <c r="S92" s="273"/>
      <c r="T92" s="274" t="str">
        <f>IF(ISNA(VLOOKUP(D92,'One year follow-up_inperson'!$C:$C,1,FALSE)),"No","Yes")</f>
        <v>No</v>
      </c>
      <c r="U92" s="592" t="s">
        <v>679</v>
      </c>
    </row>
    <row r="93" spans="1:21" ht="378">
      <c r="A93" s="368">
        <v>92</v>
      </c>
      <c r="B93" s="368"/>
      <c r="C93" s="272" t="str">
        <f t="shared" si="0"/>
        <v>283</v>
      </c>
      <c r="D93" s="542">
        <v>2832</v>
      </c>
      <c r="E93" s="182" t="s">
        <v>351</v>
      </c>
      <c r="F93" s="543" t="s">
        <v>2</v>
      </c>
      <c r="G93" s="182">
        <v>43</v>
      </c>
      <c r="H93" s="543" t="s">
        <v>3</v>
      </c>
      <c r="I93" s="545" t="s">
        <v>355</v>
      </c>
      <c r="J93" s="275">
        <f t="shared" si="19"/>
        <v>0</v>
      </c>
      <c r="K93" s="275">
        <f>IF(OR(ISNUMBER(SEARCH("decision",I93))=TRUE,ISNUMBER(SEARCH("save",I93))=TRUE,ISNUMBER(SEARCH("saving",I93))=TRUE,ISNUMBER(SEARCH("started",I93))=TRUE,ISNUMBER(SEARCH("buy",I93))=TRUE,ISNUMBER(SEARCH("bought",I93))=TRUE),1,0)</f>
        <v>1</v>
      </c>
      <c r="L93" s="275">
        <f>IF(OR(ISNUMBER(SEARCH("active",I93))=TRUE,ISNUMBER(SEARCH("proactive",I93))=TRUE,ISNUMBER(SEARCH("face challenge",I93))=TRUE),1,0)</f>
        <v>0</v>
      </c>
      <c r="M93" s="275">
        <f>IF(OR(J93=1,K93=1,L93=1),1,0)</f>
        <v>1</v>
      </c>
      <c r="N93" s="276">
        <f>IF(OR(ISNUMBER(SEARCH("started a business",I93))=TRUE,ISNUMBER(SEARCH("started an income generating activity",I93))=TRUE,ISNUMBER(SEARCH("a business",I93))=TRUE),1,0)</f>
        <v>0</v>
      </c>
      <c r="O93" s="276">
        <f>IF(OR(ISNUMBER(SEARCH("got a job",I93))=TRUE,ISNUMBER(SEARCH("got an internship",I93))=TRUE,ISNUMBER(SEARCH("got a promotion",I93))=TRUE),1,0)</f>
        <v>0</v>
      </c>
      <c r="P93" s="276">
        <f>IF(OR(ISNUMBER(SEARCH("school admission",I93))=TRUE,ISNUMBER(SEARCH("perfomance in class",I93))=TRUE,ISNUMBER(SEARCH("scholarship",I93))=TRUE,ISNUMBER(SEARCH("pursue higher education",I93))=TRUE),1,0)</f>
        <v>0</v>
      </c>
      <c r="Q93" s="276">
        <f>IF(OR(ISNUMBER(SEARCH("leadership role",I93))=TRUE),1,0)</f>
        <v>0</v>
      </c>
      <c r="R93" s="329">
        <f>IF(OR(M93=1,N93=1,O93=1,P93=1,Q93=1),1,0)</f>
        <v>1</v>
      </c>
      <c r="S93" s="273"/>
      <c r="T93" s="274" t="str">
        <f>IF(ISNA(VLOOKUP(D93,'One year follow-up_inperson'!$C:$C,1,FALSE)),"No","Yes")</f>
        <v>No</v>
      </c>
      <c r="U93" s="592" t="s">
        <v>679</v>
      </c>
    </row>
    <row r="94" spans="1:21" ht="409.5">
      <c r="A94" s="368">
        <v>93</v>
      </c>
      <c r="B94" s="368"/>
      <c r="C94" s="272" t="str">
        <f t="shared" si="0"/>
        <v>283</v>
      </c>
      <c r="D94" s="542">
        <v>2835</v>
      </c>
      <c r="E94" s="182" t="s">
        <v>352</v>
      </c>
      <c r="F94" s="544" t="s">
        <v>2</v>
      </c>
      <c r="G94" s="182">
        <v>27</v>
      </c>
      <c r="H94" s="543" t="s">
        <v>3</v>
      </c>
      <c r="I94" s="545" t="s">
        <v>356</v>
      </c>
      <c r="J94" s="275">
        <f t="shared" si="19"/>
        <v>1</v>
      </c>
      <c r="K94" s="275">
        <f>IF(OR(ISNUMBER(SEARCH("decision",I94))=TRUE,ISNUMBER(SEARCH("save",I94))=TRUE,ISNUMBER(SEARCH("saving",I94))=TRUE,ISNUMBER(SEARCH("started",I94))=TRUE,ISNUMBER(SEARCH("buy",I94))=TRUE,ISNUMBER(SEARCH("bought",I94))=TRUE),1,0)</f>
        <v>0</v>
      </c>
      <c r="L94" s="275">
        <f>IF(OR(ISNUMBER(SEARCH("active",I94))=TRUE,ISNUMBER(SEARCH("proactive",I94))=TRUE,ISNUMBER(SEARCH("face challenge",I94))=TRUE),1,0)</f>
        <v>0</v>
      </c>
      <c r="M94" s="275">
        <f>IF(OR(J94=1,K94=1,L94=1),1,0)</f>
        <v>1</v>
      </c>
      <c r="N94" s="276">
        <f>IF(OR(ISNUMBER(SEARCH("started a business",I94))=TRUE,ISNUMBER(SEARCH("started an income generating activity",I94))=TRUE,ISNUMBER(SEARCH("a business",I94))=TRUE),1,0)</f>
        <v>0</v>
      </c>
      <c r="O94" s="276">
        <f>IF(OR(ISNUMBER(SEARCH("got a job",I94))=TRUE,ISNUMBER(SEARCH("got an internship",I94))=TRUE,ISNUMBER(SEARCH("got a promotion",I94))=TRUE),1,0)</f>
        <v>0</v>
      </c>
      <c r="P94" s="276">
        <f>IF(OR(ISNUMBER(SEARCH("school admission",I94))=TRUE,ISNUMBER(SEARCH("perfomance in class",I94))=TRUE,ISNUMBER(SEARCH("scholarship",I94))=TRUE,ISNUMBER(SEARCH("pursue higher education",I94))=TRUE),1,0)</f>
        <v>0</v>
      </c>
      <c r="Q94" s="276">
        <f>IF(OR(ISNUMBER(SEARCH("leadership role",I94))=TRUE),1,0)</f>
        <v>0</v>
      </c>
      <c r="R94" s="329">
        <f>IF(OR(M94=1,N94=1,O94=1,P94=1,Q94=1),1,0)</f>
        <v>1</v>
      </c>
      <c r="S94" s="273"/>
      <c r="T94" s="274" t="str">
        <f>IF(ISNA(VLOOKUP(D94,'One year follow-up_inperson'!$C:$C,1,FALSE)),"No","Yes")</f>
        <v>No</v>
      </c>
      <c r="U94" s="592" t="s">
        <v>679</v>
      </c>
    </row>
    <row r="95" spans="1:21" ht="202.5">
      <c r="A95" s="368">
        <v>94</v>
      </c>
      <c r="B95" s="368"/>
      <c r="C95" s="272" t="str">
        <f t="shared" si="0"/>
        <v>283</v>
      </c>
      <c r="D95" s="542">
        <v>2837</v>
      </c>
      <c r="E95" s="182" t="s">
        <v>353</v>
      </c>
      <c r="F95" s="544" t="s">
        <v>2</v>
      </c>
      <c r="G95" s="182">
        <v>45</v>
      </c>
      <c r="H95" s="543" t="s">
        <v>3</v>
      </c>
      <c r="I95" s="545" t="s">
        <v>357</v>
      </c>
      <c r="J95" s="275">
        <f t="shared" si="19"/>
        <v>1</v>
      </c>
      <c r="K95" s="275">
        <f>IF(OR(ISNUMBER(SEARCH("decision",I95))=TRUE,ISNUMBER(SEARCH("save",I95))=TRUE,ISNUMBER(SEARCH("saving",I95))=TRUE,ISNUMBER(SEARCH("started",I95))=TRUE,ISNUMBER(SEARCH("buy",I95))=TRUE,ISNUMBER(SEARCH("bought",I95))=TRUE),1,0)</f>
        <v>0</v>
      </c>
      <c r="L95" s="275">
        <f>IF(OR(ISNUMBER(SEARCH("active",I95))=TRUE,ISNUMBER(SEARCH("proactive",I95))=TRUE,ISNUMBER(SEARCH("face challenge",I95))=TRUE),1,0)</f>
        <v>0</v>
      </c>
      <c r="M95" s="275">
        <f>IF(OR(J95=1,K95=1,L95=1),1,0)</f>
        <v>1</v>
      </c>
      <c r="N95" s="276">
        <f>IF(OR(ISNUMBER(SEARCH("started a business",I95))=TRUE,ISNUMBER(SEARCH("started an income generating activity",I95))=TRUE,ISNUMBER(SEARCH("a business",I95))=TRUE),1,0)</f>
        <v>0</v>
      </c>
      <c r="O95" s="276">
        <f>IF(OR(ISNUMBER(SEARCH("got a job",I95))=TRUE,ISNUMBER(SEARCH("got an internship",I95))=TRUE,ISNUMBER(SEARCH("got a promotion",I95))=TRUE),1,0)</f>
        <v>0</v>
      </c>
      <c r="P95" s="276">
        <f>IF(OR(ISNUMBER(SEARCH("school admission",I95))=TRUE,ISNUMBER(SEARCH("perfomance in class",I95))=TRUE,ISNUMBER(SEARCH("scholarship",I95))=TRUE,ISNUMBER(SEARCH("pursue higher education",I95))=TRUE),1,0)</f>
        <v>0</v>
      </c>
      <c r="Q95" s="276">
        <f>IF(OR(ISNUMBER(SEARCH("leadership role",I95))=TRUE),1,0)</f>
        <v>0</v>
      </c>
      <c r="R95" s="329">
        <f>IF(OR(M95=1,N95=1,O95=1,P95=1,Q95=1),1,0)</f>
        <v>1</v>
      </c>
      <c r="S95" s="273"/>
      <c r="T95" s="274" t="str">
        <f>IF(ISNA(VLOOKUP(D95,'One year follow-up_inperson'!$C:$C,1,FALSE)),"No","Yes")</f>
        <v>No</v>
      </c>
      <c r="U95" s="592" t="s">
        <v>679</v>
      </c>
    </row>
    <row r="96" spans="1:21" ht="310.5">
      <c r="A96" s="368">
        <v>95</v>
      </c>
      <c r="B96" s="368"/>
      <c r="C96" s="272" t="str">
        <f t="shared" si="0"/>
        <v>283</v>
      </c>
      <c r="D96" s="542">
        <v>28310</v>
      </c>
      <c r="E96" s="182" t="s">
        <v>354</v>
      </c>
      <c r="F96" s="544" t="s">
        <v>2</v>
      </c>
      <c r="G96" s="182">
        <v>38</v>
      </c>
      <c r="H96" s="543" t="s">
        <v>3</v>
      </c>
      <c r="I96" s="545" t="s">
        <v>358</v>
      </c>
      <c r="J96" s="275">
        <f t="shared" si="19"/>
        <v>0</v>
      </c>
      <c r="K96" s="275">
        <f>IF(OR(ISNUMBER(SEARCH("decision",I96))=TRUE,ISNUMBER(SEARCH("save",I96))=TRUE,ISNUMBER(SEARCH("saving",I96))=TRUE,ISNUMBER(SEARCH("started",I96))=TRUE,ISNUMBER(SEARCH("buy",I96))=TRUE,ISNUMBER(SEARCH("bought",I96))=TRUE),1,0)</f>
        <v>1</v>
      </c>
      <c r="L96" s="275">
        <f>IF(OR(ISNUMBER(SEARCH("active",I96))=TRUE,ISNUMBER(SEARCH("proactive",I96))=TRUE,ISNUMBER(SEARCH("face challenge",I96))=TRUE),1,0)</f>
        <v>0</v>
      </c>
      <c r="M96" s="275">
        <f>IF(OR(J96=1,K96=1,L96=1),1,0)</f>
        <v>1</v>
      </c>
      <c r="N96" s="276">
        <f>IF(OR(ISNUMBER(SEARCH("started a business",I96))=TRUE,ISNUMBER(SEARCH("started an income generating activity",I96))=TRUE,ISNUMBER(SEARCH("a business",I96))=TRUE),1,0)</f>
        <v>0</v>
      </c>
      <c r="O96" s="276">
        <f>IF(OR(ISNUMBER(SEARCH("got a job",I96))=TRUE,ISNUMBER(SEARCH("got an internship",I96))=TRUE,ISNUMBER(SEARCH("got a promotion",I96))=TRUE),1,0)</f>
        <v>0</v>
      </c>
      <c r="P96" s="276">
        <f>IF(OR(ISNUMBER(SEARCH("school admission",I96))=TRUE,ISNUMBER(SEARCH("perfomance in class",I96))=TRUE,ISNUMBER(SEARCH("scholarship",I96))=TRUE,ISNUMBER(SEARCH("pursue higher education",I96))=TRUE),1,0)</f>
        <v>0</v>
      </c>
      <c r="Q96" s="276">
        <f>IF(OR(ISNUMBER(SEARCH("leadership role",I96))=TRUE),1,0)</f>
        <v>0</v>
      </c>
      <c r="R96" s="329">
        <f>IF(OR(M96=1,N96=1,O96=1,P96=1,Q96=1),1,0)</f>
        <v>1</v>
      </c>
      <c r="S96" s="273"/>
      <c r="T96" s="274" t="str">
        <f>IF(ISNA(VLOOKUP(D96,'One year follow-up_inperson'!$C:$C,1,FALSE)),"No","Yes")</f>
        <v>No</v>
      </c>
      <c r="U96" s="592" t="s">
        <v>679</v>
      </c>
    </row>
    <row r="97" spans="1:21" ht="409.5">
      <c r="A97" s="368">
        <v>96</v>
      </c>
      <c r="B97" s="550" t="s">
        <v>371</v>
      </c>
      <c r="C97" s="272" t="str">
        <f t="shared" si="0"/>
        <v>285</v>
      </c>
      <c r="D97" s="547">
        <v>2851</v>
      </c>
      <c r="E97" s="182" t="s">
        <v>362</v>
      </c>
      <c r="F97" s="548" t="s">
        <v>2</v>
      </c>
      <c r="G97" s="182">
        <v>35</v>
      </c>
      <c r="H97" s="549" t="s">
        <v>3</v>
      </c>
      <c r="I97" s="551" t="s">
        <v>372</v>
      </c>
      <c r="J97" s="275">
        <f t="shared" si="19"/>
        <v>0</v>
      </c>
      <c r="K97" s="275">
        <f t="shared" ref="K97:K160" si="36">IF(OR(ISNUMBER(SEARCH("decision",I97))=TRUE,ISNUMBER(SEARCH("save",I97))=TRUE,ISNUMBER(SEARCH("saving",I97))=TRUE,ISNUMBER(SEARCH("started",I97))=TRUE,ISNUMBER(SEARCH("buy",I97))=TRUE,ISNUMBER(SEARCH("bought",I97))=TRUE),1,0)</f>
        <v>1</v>
      </c>
      <c r="L97" s="275">
        <f t="shared" ref="L97:L160" si="37">IF(OR(ISNUMBER(SEARCH("active",I97))=TRUE,ISNUMBER(SEARCH("proactive",I97))=TRUE,ISNUMBER(SEARCH("face challenge",I97))=TRUE),1,0)</f>
        <v>0</v>
      </c>
      <c r="M97" s="275">
        <f t="shared" ref="M97:M105" si="38">IF(OR(J97=1,K97=1,L97=1),1,0)</f>
        <v>1</v>
      </c>
      <c r="N97" s="276">
        <f t="shared" ref="N97:N105" si="39">IF(OR(ISNUMBER(SEARCH("started a business",I97))=TRUE,ISNUMBER(SEARCH("started an income generating activity",I97))=TRUE,ISNUMBER(SEARCH("a business",I97))=TRUE),1,0)</f>
        <v>1</v>
      </c>
      <c r="O97" s="276">
        <f t="shared" ref="O97:O105" si="40">IF(OR(ISNUMBER(SEARCH("got a job",I97))=TRUE,ISNUMBER(SEARCH("got an internship",I97))=TRUE,ISNUMBER(SEARCH("got a promotion",I97))=TRUE),1,0)</f>
        <v>0</v>
      </c>
      <c r="P97" s="276">
        <f t="shared" ref="P97:P160" si="41">IF(OR(ISNUMBER(SEARCH("school admission",I97))=TRUE,ISNUMBER(SEARCH("perfomance in class",I97))=TRUE,ISNUMBER(SEARCH("scholarship",I97))=TRUE,ISNUMBER(SEARCH("pursue higher education",I97))=TRUE),1,0)</f>
        <v>0</v>
      </c>
      <c r="Q97" s="276">
        <f t="shared" ref="Q97:Q160" si="42">IF(OR(ISNUMBER(SEARCH("leadership role",I97))=TRUE),1,0)</f>
        <v>0</v>
      </c>
      <c r="R97" s="329">
        <f t="shared" ref="R97:R105" si="43">IF(OR(M97=1,N97=1,O97=1,P97=1,Q97=1),1,0)</f>
        <v>1</v>
      </c>
      <c r="S97" s="273"/>
      <c r="T97" s="274" t="str">
        <f>IF(ISNA(VLOOKUP(D97,'One year follow-up_inperson'!$C:$C,1,FALSE)),"No","Yes")</f>
        <v>No</v>
      </c>
      <c r="U97" s="592" t="s">
        <v>679</v>
      </c>
    </row>
    <row r="98" spans="1:21" ht="409.5">
      <c r="A98" s="368">
        <v>97</v>
      </c>
      <c r="B98" s="550" t="s">
        <v>371</v>
      </c>
      <c r="C98" s="272" t="str">
        <f t="shared" si="0"/>
        <v>285</v>
      </c>
      <c r="D98" s="547">
        <v>2852</v>
      </c>
      <c r="E98" s="182" t="s">
        <v>363</v>
      </c>
      <c r="F98" s="548" t="s">
        <v>2</v>
      </c>
      <c r="G98" s="182">
        <v>43</v>
      </c>
      <c r="H98" s="549" t="s">
        <v>3</v>
      </c>
      <c r="I98" s="549" t="s">
        <v>373</v>
      </c>
      <c r="J98" s="275">
        <f t="shared" si="19"/>
        <v>0</v>
      </c>
      <c r="K98" s="275">
        <f t="shared" si="36"/>
        <v>1</v>
      </c>
      <c r="L98" s="275">
        <f t="shared" si="37"/>
        <v>0</v>
      </c>
      <c r="M98" s="275">
        <f t="shared" si="38"/>
        <v>1</v>
      </c>
      <c r="N98" s="276">
        <f t="shared" si="39"/>
        <v>0</v>
      </c>
      <c r="O98" s="276">
        <f t="shared" si="40"/>
        <v>0</v>
      </c>
      <c r="P98" s="276">
        <f t="shared" si="41"/>
        <v>0</v>
      </c>
      <c r="Q98" s="276">
        <f t="shared" si="42"/>
        <v>0</v>
      </c>
      <c r="R98" s="329">
        <f t="shared" si="43"/>
        <v>1</v>
      </c>
      <c r="S98" s="273"/>
      <c r="T98" s="274" t="str">
        <f>IF(ISNA(VLOOKUP(D98,'One year follow-up_inperson'!$C:$C,1,FALSE)),"No","Yes")</f>
        <v>No</v>
      </c>
      <c r="U98" s="592" t="s">
        <v>679</v>
      </c>
    </row>
    <row r="99" spans="1:21" ht="409.5">
      <c r="A99" s="368">
        <v>98</v>
      </c>
      <c r="B99" s="550" t="s">
        <v>371</v>
      </c>
      <c r="C99" s="272" t="str">
        <f t="shared" si="0"/>
        <v>285</v>
      </c>
      <c r="D99" s="547">
        <v>28515</v>
      </c>
      <c r="E99" s="182" t="s">
        <v>364</v>
      </c>
      <c r="F99" s="548" t="s">
        <v>2</v>
      </c>
      <c r="G99" s="182">
        <v>40</v>
      </c>
      <c r="H99" s="549" t="s">
        <v>3</v>
      </c>
      <c r="I99" s="549" t="s">
        <v>375</v>
      </c>
      <c r="J99" s="275">
        <f t="shared" si="19"/>
        <v>1</v>
      </c>
      <c r="K99" s="275">
        <f t="shared" si="36"/>
        <v>1</v>
      </c>
      <c r="L99" s="275">
        <f t="shared" si="37"/>
        <v>0</v>
      </c>
      <c r="M99" s="275">
        <f t="shared" si="38"/>
        <v>1</v>
      </c>
      <c r="N99" s="276">
        <f t="shared" si="39"/>
        <v>0</v>
      </c>
      <c r="O99" s="276">
        <f t="shared" si="40"/>
        <v>0</v>
      </c>
      <c r="P99" s="276">
        <f t="shared" si="41"/>
        <v>0</v>
      </c>
      <c r="Q99" s="276">
        <f t="shared" si="42"/>
        <v>0</v>
      </c>
      <c r="R99" s="329">
        <f t="shared" si="43"/>
        <v>1</v>
      </c>
      <c r="S99" s="273"/>
      <c r="T99" s="274" t="str">
        <f>IF(ISNA(VLOOKUP(D99,'One year follow-up_inperson'!$C:$C,1,FALSE)),"No","Yes")</f>
        <v>No</v>
      </c>
      <c r="U99" s="592" t="s">
        <v>679</v>
      </c>
    </row>
    <row r="100" spans="1:21" ht="409.5">
      <c r="A100" s="368">
        <v>99</v>
      </c>
      <c r="B100" s="550" t="s">
        <v>371</v>
      </c>
      <c r="C100" s="272" t="str">
        <f t="shared" si="0"/>
        <v>285</v>
      </c>
      <c r="D100" s="547">
        <v>28518</v>
      </c>
      <c r="E100" s="182" t="s">
        <v>374</v>
      </c>
      <c r="F100" s="548" t="s">
        <v>2</v>
      </c>
      <c r="G100" s="182">
        <v>60</v>
      </c>
      <c r="H100" s="549" t="s">
        <v>3</v>
      </c>
      <c r="I100" s="549" t="s">
        <v>376</v>
      </c>
      <c r="J100" s="275">
        <f>IF(OR(ISNUMBER(SEARCH("confidence",I100))=TRUE,ISNUMBER(SEARCH("hope for the future",I100))=TRUE,ISNUMBER(SEARCH("communicate",I100))=TRUE,ISNUMBER(SEARCH("worthy",I100))=TRUE,ISNUMBER(SEARCH("thought",I100))=TRUE,ISNUMBER(SEARCH("open",I100))=TRUE,ISNUMBER(SEARCH("believe",I100))=TRUE,ISNUMBER(SEARCH("confident",I100))=TRUE,ISNUMBER(SEARCH("empower",I100))=TRUE),1,0)</f>
        <v>1</v>
      </c>
      <c r="K100" s="275">
        <f>IF(OR(ISNUMBER(SEARCH("decision",I100))=TRUE,ISNUMBER(SEARCH("save",I100))=TRUE,ISNUMBER(SEARCH("saving",I100))=TRUE,ISNUMBER(SEARCH("started",I100))=TRUE,ISNUMBER(SEARCH("buy",I100))=TRUE,ISNUMBER(SEARCH("bought",I100))=TRUE),1,0)</f>
        <v>1</v>
      </c>
      <c r="L100" s="275">
        <f>IF(OR(ISNUMBER(SEARCH("active",I100))=TRUE,ISNUMBER(SEARCH("proactive",I100))=TRUE,ISNUMBER(SEARCH("face challenge",I100))=TRUE),1,0)</f>
        <v>1</v>
      </c>
      <c r="M100" s="275">
        <f>IF(OR(J100=1,K100=1,L100=1),1,0)</f>
        <v>1</v>
      </c>
      <c r="N100" s="276">
        <f>IF(OR(ISNUMBER(SEARCH("started a business",I100))=TRUE,ISNUMBER(SEARCH("started an income generating activity",I100))=TRUE,ISNUMBER(SEARCH("a business",I100))=TRUE),1,0)</f>
        <v>1</v>
      </c>
      <c r="O100" s="276">
        <f>IF(OR(ISNUMBER(SEARCH("got a job",I100))=TRUE,ISNUMBER(SEARCH("got an internship",I100))=TRUE,ISNUMBER(SEARCH("got a promotion",I100))=TRUE),1,0)</f>
        <v>0</v>
      </c>
      <c r="P100" s="276">
        <f>IF(OR(ISNUMBER(SEARCH("school admission",I100))=TRUE,ISNUMBER(SEARCH("perfomance in class",I100))=TRUE,ISNUMBER(SEARCH("scholarship",I100))=TRUE,ISNUMBER(SEARCH("pursue higher education",I100))=TRUE),1,0)</f>
        <v>0</v>
      </c>
      <c r="Q100" s="276">
        <f>IF(OR(ISNUMBER(SEARCH("leadership role",I100))=TRUE),1,0)</f>
        <v>0</v>
      </c>
      <c r="R100" s="329">
        <f>IF(OR(M100=1,N100=1,O100=1,P100=1,Q100=1),1,0)</f>
        <v>1</v>
      </c>
      <c r="S100" s="273"/>
      <c r="T100" s="274" t="str">
        <f>IF(ISNA(VLOOKUP(D100,'One year follow-up_inperson'!$C:$C,1,FALSE)),"No","Yes")</f>
        <v>No</v>
      </c>
      <c r="U100" s="592" t="s">
        <v>679</v>
      </c>
    </row>
    <row r="101" spans="1:21" ht="409.5">
      <c r="A101" s="368">
        <v>100</v>
      </c>
      <c r="B101" s="550" t="s">
        <v>371</v>
      </c>
      <c r="C101" s="272" t="str">
        <f t="shared" si="0"/>
        <v>285</v>
      </c>
      <c r="D101" s="547">
        <v>28521</v>
      </c>
      <c r="E101" s="182" t="s">
        <v>365</v>
      </c>
      <c r="F101" s="548" t="s">
        <v>2</v>
      </c>
      <c r="G101" s="182">
        <v>33</v>
      </c>
      <c r="H101" s="549" t="s">
        <v>3</v>
      </c>
      <c r="I101" s="549" t="s">
        <v>377</v>
      </c>
      <c r="J101" s="275">
        <f t="shared" si="19"/>
        <v>1</v>
      </c>
      <c r="K101" s="275">
        <f t="shared" si="36"/>
        <v>1</v>
      </c>
      <c r="L101" s="275">
        <f t="shared" si="37"/>
        <v>0</v>
      </c>
      <c r="M101" s="275">
        <f t="shared" si="38"/>
        <v>1</v>
      </c>
      <c r="N101" s="276">
        <f t="shared" si="39"/>
        <v>0</v>
      </c>
      <c r="O101" s="276">
        <f t="shared" si="40"/>
        <v>0</v>
      </c>
      <c r="P101" s="276">
        <f t="shared" si="41"/>
        <v>0</v>
      </c>
      <c r="Q101" s="276">
        <f t="shared" si="42"/>
        <v>1</v>
      </c>
      <c r="R101" s="329">
        <f t="shared" si="43"/>
        <v>1</v>
      </c>
      <c r="S101" s="273"/>
      <c r="T101" s="274" t="str">
        <f>IF(ISNA(VLOOKUP(D101,'One year follow-up_inperson'!$C:$C,1,FALSE)),"No","Yes")</f>
        <v>No</v>
      </c>
      <c r="U101" s="592" t="s">
        <v>679</v>
      </c>
    </row>
    <row r="102" spans="1:21" ht="409.5">
      <c r="A102" s="368">
        <v>101</v>
      </c>
      <c r="B102" s="550" t="s">
        <v>371</v>
      </c>
      <c r="C102" s="272" t="str">
        <f t="shared" si="0"/>
        <v>285</v>
      </c>
      <c r="D102" s="547">
        <v>28530</v>
      </c>
      <c r="E102" s="182" t="s">
        <v>366</v>
      </c>
      <c r="F102" s="548" t="s">
        <v>2</v>
      </c>
      <c r="G102" s="182">
        <v>32</v>
      </c>
      <c r="H102" s="549" t="s">
        <v>3</v>
      </c>
      <c r="I102" s="549" t="s">
        <v>378</v>
      </c>
      <c r="J102" s="275">
        <f t="shared" si="19"/>
        <v>0</v>
      </c>
      <c r="K102" s="275">
        <f t="shared" si="36"/>
        <v>1</v>
      </c>
      <c r="L102" s="275">
        <f t="shared" si="37"/>
        <v>0</v>
      </c>
      <c r="M102" s="275">
        <f t="shared" si="38"/>
        <v>1</v>
      </c>
      <c r="N102" s="276">
        <f t="shared" si="39"/>
        <v>1</v>
      </c>
      <c r="O102" s="276">
        <f t="shared" si="40"/>
        <v>0</v>
      </c>
      <c r="P102" s="276">
        <f t="shared" si="41"/>
        <v>0</v>
      </c>
      <c r="Q102" s="276">
        <f t="shared" si="42"/>
        <v>0</v>
      </c>
      <c r="R102" s="329">
        <f t="shared" si="43"/>
        <v>1</v>
      </c>
      <c r="S102" s="273"/>
      <c r="T102" s="274" t="str">
        <f>IF(ISNA(VLOOKUP(D102,'One year follow-up_inperson'!$C:$C,1,FALSE)),"No","Yes")</f>
        <v>No</v>
      </c>
      <c r="U102" s="592" t="s">
        <v>679</v>
      </c>
    </row>
    <row r="103" spans="1:21" ht="409.5">
      <c r="A103" s="368">
        <v>102</v>
      </c>
      <c r="B103" s="550" t="s">
        <v>371</v>
      </c>
      <c r="C103" s="272" t="str">
        <f t="shared" si="0"/>
        <v>285</v>
      </c>
      <c r="D103" s="547">
        <v>28534</v>
      </c>
      <c r="E103" s="182" t="s">
        <v>367</v>
      </c>
      <c r="F103" s="548" t="s">
        <v>2</v>
      </c>
      <c r="G103" s="182">
        <v>37</v>
      </c>
      <c r="H103" s="549" t="s">
        <v>3</v>
      </c>
      <c r="I103" s="549" t="s">
        <v>379</v>
      </c>
      <c r="J103" s="275">
        <f t="shared" si="19"/>
        <v>1</v>
      </c>
      <c r="K103" s="275">
        <f t="shared" si="36"/>
        <v>1</v>
      </c>
      <c r="L103" s="275">
        <f t="shared" si="37"/>
        <v>0</v>
      </c>
      <c r="M103" s="275">
        <f t="shared" si="38"/>
        <v>1</v>
      </c>
      <c r="N103" s="276">
        <f t="shared" si="39"/>
        <v>0</v>
      </c>
      <c r="O103" s="276">
        <f t="shared" si="40"/>
        <v>0</v>
      </c>
      <c r="P103" s="276">
        <f t="shared" si="41"/>
        <v>0</v>
      </c>
      <c r="Q103" s="276">
        <f t="shared" si="42"/>
        <v>0</v>
      </c>
      <c r="R103" s="329">
        <f t="shared" si="43"/>
        <v>1</v>
      </c>
      <c r="S103" s="273"/>
      <c r="T103" s="274" t="str">
        <f>IF(ISNA(VLOOKUP(D103,'One year follow-up_inperson'!$C:$C,1,FALSE)),"No","Yes")</f>
        <v>No</v>
      </c>
      <c r="U103" s="592" t="s">
        <v>679</v>
      </c>
    </row>
    <row r="104" spans="1:21" ht="409.5">
      <c r="A104" s="368">
        <v>103</v>
      </c>
      <c r="B104" s="550" t="s">
        <v>371</v>
      </c>
      <c r="C104" s="272" t="str">
        <f t="shared" si="0"/>
        <v>285</v>
      </c>
      <c r="D104" s="547">
        <v>28536</v>
      </c>
      <c r="E104" s="182" t="s">
        <v>368</v>
      </c>
      <c r="F104" s="548" t="s">
        <v>2</v>
      </c>
      <c r="G104" s="182">
        <v>39</v>
      </c>
      <c r="H104" s="549" t="s">
        <v>3</v>
      </c>
      <c r="I104" s="549" t="s">
        <v>380</v>
      </c>
      <c r="J104" s="275">
        <f t="shared" si="19"/>
        <v>1</v>
      </c>
      <c r="K104" s="275">
        <f t="shared" si="36"/>
        <v>1</v>
      </c>
      <c r="L104" s="275">
        <f t="shared" si="37"/>
        <v>0</v>
      </c>
      <c r="M104" s="275">
        <f t="shared" si="38"/>
        <v>1</v>
      </c>
      <c r="N104" s="276">
        <f t="shared" si="39"/>
        <v>1</v>
      </c>
      <c r="O104" s="276">
        <f t="shared" si="40"/>
        <v>0</v>
      </c>
      <c r="P104" s="276">
        <f t="shared" si="41"/>
        <v>0</v>
      </c>
      <c r="Q104" s="276">
        <f t="shared" si="42"/>
        <v>0</v>
      </c>
      <c r="R104" s="329">
        <f t="shared" si="43"/>
        <v>1</v>
      </c>
      <c r="S104" s="273"/>
      <c r="T104" s="274" t="str">
        <f>IF(ISNA(VLOOKUP(D104,'One year follow-up_inperson'!$C:$C,1,FALSE)),"No","Yes")</f>
        <v>No</v>
      </c>
      <c r="U104" s="592" t="s">
        <v>679</v>
      </c>
    </row>
    <row r="105" spans="1:21" ht="409.5">
      <c r="A105" s="368">
        <v>104</v>
      </c>
      <c r="B105" s="550" t="s">
        <v>371</v>
      </c>
      <c r="C105" s="272" t="str">
        <f t="shared" si="0"/>
        <v>285</v>
      </c>
      <c r="D105" s="547">
        <v>28533</v>
      </c>
      <c r="E105" s="182" t="s">
        <v>369</v>
      </c>
      <c r="F105" s="548" t="s">
        <v>2</v>
      </c>
      <c r="G105" s="182">
        <v>42</v>
      </c>
      <c r="H105" s="549" t="s">
        <v>3</v>
      </c>
      <c r="I105" s="549" t="s">
        <v>381</v>
      </c>
      <c r="J105" s="275">
        <f t="shared" si="19"/>
        <v>1</v>
      </c>
      <c r="K105" s="275">
        <f t="shared" si="36"/>
        <v>0</v>
      </c>
      <c r="L105" s="275">
        <f t="shared" si="37"/>
        <v>0</v>
      </c>
      <c r="M105" s="275">
        <f t="shared" si="38"/>
        <v>1</v>
      </c>
      <c r="N105" s="276">
        <f t="shared" si="39"/>
        <v>0</v>
      </c>
      <c r="O105" s="276">
        <f t="shared" si="40"/>
        <v>0</v>
      </c>
      <c r="P105" s="276">
        <f t="shared" si="41"/>
        <v>0</v>
      </c>
      <c r="Q105" s="276">
        <f t="shared" si="42"/>
        <v>0</v>
      </c>
      <c r="R105" s="329">
        <f t="shared" si="43"/>
        <v>1</v>
      </c>
      <c r="S105" s="273"/>
      <c r="T105" s="274" t="str">
        <f>IF(ISNA(VLOOKUP(D105,'One year follow-up_inperson'!$C:$C,1,FALSE)),"No","Yes")</f>
        <v>No</v>
      </c>
      <c r="U105" s="592" t="s">
        <v>679</v>
      </c>
    </row>
    <row r="106" spans="1:21" ht="409.5">
      <c r="A106" s="368">
        <v>105</v>
      </c>
      <c r="B106" s="368"/>
      <c r="C106" s="272" t="str">
        <f>LEFT(D106,3)</f>
        <v>286</v>
      </c>
      <c r="D106" s="522">
        <v>2861</v>
      </c>
      <c r="E106" s="182" t="s">
        <v>168</v>
      </c>
      <c r="F106" s="471" t="s">
        <v>2</v>
      </c>
      <c r="G106" s="523">
        <v>47</v>
      </c>
      <c r="H106" s="473" t="s">
        <v>3</v>
      </c>
      <c r="I106" s="526" t="s">
        <v>183</v>
      </c>
      <c r="J106" s="275">
        <f t="shared" ref="J106:J169" si="44">IF(OR(ISNUMBER(SEARCH("confidence",I106))=TRUE,ISNUMBER(SEARCH("hope for the future",I106))=TRUE,ISNUMBER(SEARCH("communicate",I106))=TRUE,ISNUMBER(SEARCH("worthy",I106))=TRUE,ISNUMBER(SEARCH("thought",I106))=TRUE,ISNUMBER(SEARCH("open",I106))=TRUE,ISNUMBER(SEARCH("believe",I106))=TRUE,ISNUMBER(SEARCH("confident",I106))=TRUE,ISNUMBER(SEARCH("empower",I106))=TRUE),1,0)</f>
        <v>1</v>
      </c>
      <c r="K106" s="275">
        <f t="shared" si="36"/>
        <v>1</v>
      </c>
      <c r="L106" s="275">
        <f t="shared" si="37"/>
        <v>0</v>
      </c>
      <c r="M106" s="275">
        <f>IF(OR(J106=1,K106=1,L106=1),1,0)</f>
        <v>1</v>
      </c>
      <c r="N106" s="276">
        <f>IF(OR(ISNUMBER(SEARCH("started a business",I106))=TRUE,ISNUMBER(SEARCH("started an income generating activity",I106))=TRUE,ISNUMBER(SEARCH("a business",I106))=TRUE),1,0)</f>
        <v>0</v>
      </c>
      <c r="O106" s="276">
        <f>IF(OR(ISNUMBER(SEARCH("got a job",I106))=TRUE,ISNUMBER(SEARCH("got an internship",I106))=TRUE,ISNUMBER(SEARCH("got a promotion",I106))=TRUE),1,0)</f>
        <v>0</v>
      </c>
      <c r="P106" s="276">
        <f t="shared" si="41"/>
        <v>0</v>
      </c>
      <c r="Q106" s="276">
        <f t="shared" si="42"/>
        <v>0</v>
      </c>
      <c r="R106" s="329">
        <f>IF(OR(M106=1,N106=1,O106=1,P106=1,Q106=1),1,0)</f>
        <v>1</v>
      </c>
      <c r="S106" s="273"/>
      <c r="T106" s="274" t="str">
        <f>IF(ISNA(VLOOKUP(D106,'One year follow-up_inperson'!$C:$C,1,FALSE)),"No","Yes")</f>
        <v>No</v>
      </c>
      <c r="U106" s="592" t="s">
        <v>679</v>
      </c>
    </row>
    <row r="107" spans="1:21" ht="409.5">
      <c r="A107" s="368">
        <v>106</v>
      </c>
      <c r="B107" s="368"/>
      <c r="C107" s="272" t="str">
        <f t="shared" si="0"/>
        <v>286</v>
      </c>
      <c r="D107" s="522">
        <v>2862</v>
      </c>
      <c r="E107" s="182" t="s">
        <v>169</v>
      </c>
      <c r="F107" s="471" t="s">
        <v>2</v>
      </c>
      <c r="G107" s="523">
        <v>38</v>
      </c>
      <c r="H107" s="482" t="s">
        <v>3</v>
      </c>
      <c r="I107" s="526" t="s">
        <v>184</v>
      </c>
      <c r="J107" s="275">
        <f t="shared" si="44"/>
        <v>1</v>
      </c>
      <c r="K107" s="275">
        <f t="shared" si="36"/>
        <v>0</v>
      </c>
      <c r="L107" s="275">
        <f t="shared" si="37"/>
        <v>1</v>
      </c>
      <c r="M107" s="275">
        <f t="shared" ref="M107:M170" si="45">IF(OR(J107=1,K107=1,L107=1),1,0)</f>
        <v>1</v>
      </c>
      <c r="N107" s="276">
        <f t="shared" ref="N107:N170" si="46">IF(OR(ISNUMBER(SEARCH("started a business",I107))=TRUE,ISNUMBER(SEARCH("started an income generating activity",I107))=TRUE,ISNUMBER(SEARCH("a business",I107))=TRUE),1,0)</f>
        <v>0</v>
      </c>
      <c r="O107" s="276">
        <f t="shared" ref="O107:O170" si="47">IF(OR(ISNUMBER(SEARCH("got a job",I107))=TRUE,ISNUMBER(SEARCH("got an internship",I107))=TRUE,ISNUMBER(SEARCH("got a promotion",I107))=TRUE),1,0)</f>
        <v>0</v>
      </c>
      <c r="P107" s="276">
        <f t="shared" si="41"/>
        <v>0</v>
      </c>
      <c r="Q107" s="276">
        <f t="shared" si="42"/>
        <v>0</v>
      </c>
      <c r="R107" s="329">
        <f t="shared" ref="R107:R170" si="48">IF(OR(M107=1,N107=1,O107=1,P107=1,Q107=1),1,0)</f>
        <v>1</v>
      </c>
      <c r="S107" s="273"/>
      <c r="T107" s="274" t="str">
        <f>IF(ISNA(VLOOKUP(D107,'One year follow-up_inperson'!$C:$C,1,FALSE)),"No","Yes")</f>
        <v>No</v>
      </c>
      <c r="U107" s="592" t="s">
        <v>679</v>
      </c>
    </row>
    <row r="108" spans="1:21" ht="409.5">
      <c r="A108" s="368">
        <v>107</v>
      </c>
      <c r="B108" s="368"/>
      <c r="C108" s="272" t="str">
        <f>LEFT(D108,3)</f>
        <v>286</v>
      </c>
      <c r="D108" s="522">
        <v>2863</v>
      </c>
      <c r="E108" s="182" t="s">
        <v>171</v>
      </c>
      <c r="F108" s="471" t="s">
        <v>2</v>
      </c>
      <c r="G108" s="523">
        <v>40</v>
      </c>
      <c r="H108" s="471" t="s">
        <v>3</v>
      </c>
      <c r="I108" s="526" t="s">
        <v>185</v>
      </c>
      <c r="J108" s="275">
        <f t="shared" si="44"/>
        <v>0</v>
      </c>
      <c r="K108" s="275">
        <f t="shared" si="36"/>
        <v>1</v>
      </c>
      <c r="L108" s="275">
        <f t="shared" si="37"/>
        <v>0</v>
      </c>
      <c r="M108" s="275">
        <f>IF(OR(J108=1,K108=1,L108=1),1,0)</f>
        <v>1</v>
      </c>
      <c r="N108" s="276">
        <f t="shared" si="46"/>
        <v>1</v>
      </c>
      <c r="O108" s="276">
        <f>IF(OR(ISNUMBER(SEARCH("got a job",I108))=TRUE,ISNUMBER(SEARCH("got an internship",I108))=TRUE,ISNUMBER(SEARCH("got a promotion",I108))=TRUE),1,0)</f>
        <v>0</v>
      </c>
      <c r="P108" s="276">
        <f t="shared" si="41"/>
        <v>0</v>
      </c>
      <c r="Q108" s="276">
        <f t="shared" si="42"/>
        <v>0</v>
      </c>
      <c r="R108" s="329">
        <f>IF(OR(M108=1,N108=1,O108=1,P108=1,Q108=1),1,0)</f>
        <v>1</v>
      </c>
      <c r="S108" s="273"/>
      <c r="T108" s="274" t="str">
        <f>IF(ISNA(VLOOKUP(D108,'One year follow-up_inperson'!$C:$C,1,FALSE)),"No","Yes")</f>
        <v>No</v>
      </c>
      <c r="U108" s="592" t="s">
        <v>679</v>
      </c>
    </row>
    <row r="109" spans="1:21" ht="409.5">
      <c r="A109" s="368">
        <v>108</v>
      </c>
      <c r="B109" s="368"/>
      <c r="C109" s="272" t="str">
        <f t="shared" si="0"/>
        <v>286</v>
      </c>
      <c r="D109" s="522">
        <v>2864</v>
      </c>
      <c r="E109" s="182" t="s">
        <v>170</v>
      </c>
      <c r="F109" s="471" t="s">
        <v>2</v>
      </c>
      <c r="G109" s="524">
        <v>33</v>
      </c>
      <c r="H109" s="471" t="s">
        <v>3</v>
      </c>
      <c r="I109" s="526" t="s">
        <v>186</v>
      </c>
      <c r="J109" s="275">
        <f t="shared" si="44"/>
        <v>1</v>
      </c>
      <c r="K109" s="275">
        <f t="shared" si="36"/>
        <v>1</v>
      </c>
      <c r="L109" s="275">
        <f t="shared" si="37"/>
        <v>0</v>
      </c>
      <c r="M109" s="275">
        <f t="shared" si="45"/>
        <v>1</v>
      </c>
      <c r="N109" s="276">
        <f t="shared" si="46"/>
        <v>0</v>
      </c>
      <c r="O109" s="276">
        <f t="shared" si="47"/>
        <v>0</v>
      </c>
      <c r="P109" s="276">
        <f t="shared" si="41"/>
        <v>0</v>
      </c>
      <c r="Q109" s="276">
        <f t="shared" si="42"/>
        <v>0</v>
      </c>
      <c r="R109" s="329">
        <f t="shared" si="48"/>
        <v>1</v>
      </c>
      <c r="S109" s="273"/>
      <c r="T109" s="274" t="str">
        <f>IF(ISNA(VLOOKUP(D109,'One year follow-up_inperson'!$C:$C,1,FALSE)),"No","Yes")</f>
        <v>No</v>
      </c>
      <c r="U109" s="592" t="s">
        <v>679</v>
      </c>
    </row>
    <row r="110" spans="1:21" ht="409.5">
      <c r="A110" s="368">
        <v>109</v>
      </c>
      <c r="B110" s="368"/>
      <c r="C110" s="272" t="str">
        <f t="shared" si="0"/>
        <v>286</v>
      </c>
      <c r="D110" s="522">
        <v>2865</v>
      </c>
      <c r="E110" s="182" t="s">
        <v>172</v>
      </c>
      <c r="F110" s="471" t="s">
        <v>2</v>
      </c>
      <c r="G110" s="523">
        <v>24</v>
      </c>
      <c r="H110" s="471" t="s">
        <v>3</v>
      </c>
      <c r="I110" s="526" t="s">
        <v>187</v>
      </c>
      <c r="J110" s="275">
        <f t="shared" si="44"/>
        <v>1</v>
      </c>
      <c r="K110" s="275">
        <f t="shared" si="36"/>
        <v>1</v>
      </c>
      <c r="L110" s="275">
        <f t="shared" si="37"/>
        <v>0</v>
      </c>
      <c r="M110" s="275">
        <f t="shared" si="45"/>
        <v>1</v>
      </c>
      <c r="N110" s="276">
        <f t="shared" si="46"/>
        <v>1</v>
      </c>
      <c r="O110" s="276">
        <f t="shared" si="47"/>
        <v>0</v>
      </c>
      <c r="P110" s="276">
        <f t="shared" si="41"/>
        <v>0</v>
      </c>
      <c r="Q110" s="276">
        <f t="shared" si="42"/>
        <v>0</v>
      </c>
      <c r="R110" s="329">
        <f t="shared" si="48"/>
        <v>1</v>
      </c>
      <c r="S110" s="273"/>
      <c r="T110" s="274" t="str">
        <f>IF(ISNA(VLOOKUP(D110,'One year follow-up_inperson'!$C:$C,1,FALSE)),"No","Yes")</f>
        <v>No</v>
      </c>
      <c r="U110" s="592" t="s">
        <v>679</v>
      </c>
    </row>
    <row r="111" spans="1:21" ht="409.5">
      <c r="A111" s="368">
        <v>110</v>
      </c>
      <c r="B111" s="368"/>
      <c r="C111" s="272" t="str">
        <f>LEFT(D111,3)</f>
        <v>286</v>
      </c>
      <c r="D111" s="522">
        <v>2866</v>
      </c>
      <c r="E111" s="182" t="s">
        <v>177</v>
      </c>
      <c r="F111" s="471" t="s">
        <v>2</v>
      </c>
      <c r="G111" s="525">
        <v>36</v>
      </c>
      <c r="H111" s="473" t="s">
        <v>3</v>
      </c>
      <c r="I111" s="526" t="s">
        <v>188</v>
      </c>
      <c r="J111" s="275">
        <f t="shared" si="44"/>
        <v>1</v>
      </c>
      <c r="K111" s="275">
        <f t="shared" si="36"/>
        <v>1</v>
      </c>
      <c r="L111" s="275">
        <f t="shared" si="37"/>
        <v>0</v>
      </c>
      <c r="M111" s="275">
        <f>IF(OR(J111=1,K111=1,L111=1),1,0)</f>
        <v>1</v>
      </c>
      <c r="N111" s="276">
        <f t="shared" si="46"/>
        <v>1</v>
      </c>
      <c r="O111" s="276">
        <f>IF(OR(ISNUMBER(SEARCH("got a job",I111))=TRUE,ISNUMBER(SEARCH("got an internship",I111))=TRUE,ISNUMBER(SEARCH("got a promotion",I111))=TRUE),1,0)</f>
        <v>0</v>
      </c>
      <c r="P111" s="276">
        <f t="shared" si="41"/>
        <v>0</v>
      </c>
      <c r="Q111" s="276">
        <f t="shared" si="42"/>
        <v>0</v>
      </c>
      <c r="R111" s="329">
        <f>IF(OR(M111=1,N111=1,O111=1,P111=1,Q111=1),1,0)</f>
        <v>1</v>
      </c>
      <c r="S111" s="273"/>
      <c r="T111" s="274" t="str">
        <f>IF(ISNA(VLOOKUP(D111,'One year follow-up_inperson'!$C:$C,1,FALSE)),"No","Yes")</f>
        <v>No</v>
      </c>
      <c r="U111" s="592" t="s">
        <v>679</v>
      </c>
    </row>
    <row r="112" spans="1:21" ht="409.5">
      <c r="A112" s="368">
        <v>111</v>
      </c>
      <c r="B112" s="368"/>
      <c r="C112" s="272" t="str">
        <f t="shared" si="0"/>
        <v>286</v>
      </c>
      <c r="D112" s="522">
        <v>2867</v>
      </c>
      <c r="E112" s="182" t="s">
        <v>173</v>
      </c>
      <c r="F112" s="471" t="s">
        <v>2</v>
      </c>
      <c r="G112" s="523">
        <v>42</v>
      </c>
      <c r="H112" s="472" t="s">
        <v>3</v>
      </c>
      <c r="I112" s="526" t="s">
        <v>189</v>
      </c>
      <c r="J112" s="275">
        <f t="shared" si="44"/>
        <v>1</v>
      </c>
      <c r="K112" s="275">
        <f t="shared" si="36"/>
        <v>1</v>
      </c>
      <c r="L112" s="275">
        <f t="shared" si="37"/>
        <v>0</v>
      </c>
      <c r="M112" s="275">
        <f t="shared" si="45"/>
        <v>1</v>
      </c>
      <c r="N112" s="276">
        <f t="shared" si="46"/>
        <v>0</v>
      </c>
      <c r="O112" s="276">
        <f t="shared" si="47"/>
        <v>0</v>
      </c>
      <c r="P112" s="276">
        <f t="shared" si="41"/>
        <v>0</v>
      </c>
      <c r="Q112" s="276">
        <f t="shared" si="42"/>
        <v>0</v>
      </c>
      <c r="R112" s="329">
        <f t="shared" si="48"/>
        <v>1</v>
      </c>
      <c r="S112" s="273"/>
      <c r="T112" s="274" t="str">
        <f>IF(ISNA(VLOOKUP(D112,'One year follow-up_inperson'!$C:$C,1,FALSE)),"No","Yes")</f>
        <v>No</v>
      </c>
      <c r="U112" s="592" t="s">
        <v>679</v>
      </c>
    </row>
    <row r="113" spans="1:21" ht="409.5">
      <c r="A113" s="368">
        <v>112</v>
      </c>
      <c r="B113" s="368"/>
      <c r="C113" s="272" t="str">
        <f t="shared" si="0"/>
        <v>286</v>
      </c>
      <c r="D113" s="522">
        <v>2868</v>
      </c>
      <c r="E113" s="182" t="s">
        <v>174</v>
      </c>
      <c r="F113" s="471" t="s">
        <v>2</v>
      </c>
      <c r="G113" s="523">
        <v>26</v>
      </c>
      <c r="H113" s="472" t="s">
        <v>3</v>
      </c>
      <c r="I113" s="526" t="s">
        <v>190</v>
      </c>
      <c r="J113" s="275">
        <f t="shared" si="44"/>
        <v>1</v>
      </c>
      <c r="K113" s="275">
        <f t="shared" si="36"/>
        <v>1</v>
      </c>
      <c r="L113" s="275">
        <f t="shared" si="37"/>
        <v>0</v>
      </c>
      <c r="M113" s="275">
        <f t="shared" si="45"/>
        <v>1</v>
      </c>
      <c r="N113" s="276">
        <f t="shared" si="46"/>
        <v>1</v>
      </c>
      <c r="O113" s="276">
        <f t="shared" si="47"/>
        <v>0</v>
      </c>
      <c r="P113" s="276">
        <f t="shared" si="41"/>
        <v>0</v>
      </c>
      <c r="Q113" s="276">
        <f t="shared" si="42"/>
        <v>0</v>
      </c>
      <c r="R113" s="329">
        <f t="shared" si="48"/>
        <v>1</v>
      </c>
      <c r="S113" s="273"/>
      <c r="T113" s="274" t="str">
        <f>IF(ISNA(VLOOKUP(D113,'One year follow-up_inperson'!$C:$C,1,FALSE)),"No","Yes")</f>
        <v>No</v>
      </c>
      <c r="U113" s="592" t="s">
        <v>679</v>
      </c>
    </row>
    <row r="114" spans="1:21" ht="409.5">
      <c r="A114" s="368">
        <v>113</v>
      </c>
      <c r="B114" s="368"/>
      <c r="C114" s="272" t="str">
        <f t="shared" si="0"/>
        <v>286</v>
      </c>
      <c r="D114" s="522">
        <v>28611</v>
      </c>
      <c r="E114" s="182" t="s">
        <v>175</v>
      </c>
      <c r="F114" s="471" t="s">
        <v>2</v>
      </c>
      <c r="G114" s="525">
        <v>51</v>
      </c>
      <c r="H114" s="473" t="s">
        <v>3</v>
      </c>
      <c r="I114" s="526" t="s">
        <v>191</v>
      </c>
      <c r="J114" s="275">
        <f t="shared" si="44"/>
        <v>0</v>
      </c>
      <c r="K114" s="275">
        <f t="shared" si="36"/>
        <v>1</v>
      </c>
      <c r="L114" s="275">
        <f t="shared" si="37"/>
        <v>0</v>
      </c>
      <c r="M114" s="275">
        <f t="shared" si="45"/>
        <v>1</v>
      </c>
      <c r="N114" s="276">
        <f t="shared" si="46"/>
        <v>0</v>
      </c>
      <c r="O114" s="276">
        <f t="shared" si="47"/>
        <v>0</v>
      </c>
      <c r="P114" s="276">
        <f t="shared" si="41"/>
        <v>0</v>
      </c>
      <c r="Q114" s="276">
        <f t="shared" si="42"/>
        <v>0</v>
      </c>
      <c r="R114" s="329">
        <f t="shared" si="48"/>
        <v>1</v>
      </c>
      <c r="S114" s="273"/>
      <c r="T114" s="274" t="str">
        <f>IF(ISNA(VLOOKUP(D114,'One year follow-up_inperson'!$C:$C,1,FALSE)),"No","Yes")</f>
        <v>No</v>
      </c>
      <c r="U114" s="592" t="s">
        <v>679</v>
      </c>
    </row>
    <row r="115" spans="1:21" ht="409.5">
      <c r="A115" s="368">
        <v>114</v>
      </c>
      <c r="B115" s="368"/>
      <c r="C115" s="272" t="str">
        <f t="shared" si="0"/>
        <v>286</v>
      </c>
      <c r="D115" s="522">
        <v>28613</v>
      </c>
      <c r="E115" s="182" t="s">
        <v>176</v>
      </c>
      <c r="F115" s="471" t="s">
        <v>2</v>
      </c>
      <c r="G115" s="525">
        <v>34</v>
      </c>
      <c r="H115" s="473" t="s">
        <v>3</v>
      </c>
      <c r="I115" s="526" t="s">
        <v>192</v>
      </c>
      <c r="J115" s="275">
        <f t="shared" si="44"/>
        <v>1</v>
      </c>
      <c r="K115" s="275">
        <f t="shared" si="36"/>
        <v>1</v>
      </c>
      <c r="L115" s="275">
        <f t="shared" si="37"/>
        <v>0</v>
      </c>
      <c r="M115" s="275">
        <f t="shared" si="45"/>
        <v>1</v>
      </c>
      <c r="N115" s="276">
        <f t="shared" si="46"/>
        <v>1</v>
      </c>
      <c r="O115" s="276">
        <f t="shared" si="47"/>
        <v>0</v>
      </c>
      <c r="P115" s="276">
        <f t="shared" si="41"/>
        <v>0</v>
      </c>
      <c r="Q115" s="276">
        <f t="shared" si="42"/>
        <v>0</v>
      </c>
      <c r="R115" s="329">
        <f t="shared" si="48"/>
        <v>1</v>
      </c>
      <c r="S115" s="273"/>
      <c r="T115" s="274" t="str">
        <f>IF(ISNA(VLOOKUP(D115,'One year follow-up_inperson'!$C:$C,1,FALSE)),"No","Yes")</f>
        <v>No</v>
      </c>
      <c r="U115" s="592" t="s">
        <v>679</v>
      </c>
    </row>
    <row r="116" spans="1:21" ht="409.5">
      <c r="A116" s="368">
        <v>115</v>
      </c>
      <c r="B116" s="368"/>
      <c r="C116" s="272" t="str">
        <f t="shared" si="0"/>
        <v>286</v>
      </c>
      <c r="D116" s="522">
        <v>28614</v>
      </c>
      <c r="E116" s="182" t="s">
        <v>178</v>
      </c>
      <c r="F116" s="471" t="s">
        <v>2</v>
      </c>
      <c r="G116" s="525">
        <v>29</v>
      </c>
      <c r="H116" s="472" t="s">
        <v>3</v>
      </c>
      <c r="I116" s="526" t="s">
        <v>193</v>
      </c>
      <c r="J116" s="275">
        <f t="shared" si="44"/>
        <v>1</v>
      </c>
      <c r="K116" s="275">
        <f t="shared" si="36"/>
        <v>0</v>
      </c>
      <c r="L116" s="275">
        <f t="shared" si="37"/>
        <v>0</v>
      </c>
      <c r="M116" s="275">
        <f t="shared" si="45"/>
        <v>1</v>
      </c>
      <c r="N116" s="276">
        <f t="shared" si="46"/>
        <v>1</v>
      </c>
      <c r="O116" s="276">
        <f t="shared" si="47"/>
        <v>0</v>
      </c>
      <c r="P116" s="276">
        <f t="shared" si="41"/>
        <v>0</v>
      </c>
      <c r="Q116" s="276">
        <f t="shared" si="42"/>
        <v>0</v>
      </c>
      <c r="R116" s="329">
        <f t="shared" si="48"/>
        <v>1</v>
      </c>
      <c r="S116" s="273"/>
      <c r="T116" s="274" t="str">
        <f>IF(ISNA(VLOOKUP(D116,'One year follow-up_inperson'!$C:$C,1,FALSE)),"No","Yes")</f>
        <v>No</v>
      </c>
      <c r="U116" s="592" t="s">
        <v>679</v>
      </c>
    </row>
    <row r="117" spans="1:21" ht="409.5">
      <c r="A117" s="368">
        <v>116</v>
      </c>
      <c r="B117" s="368"/>
      <c r="C117" s="272" t="str">
        <f t="shared" si="0"/>
        <v>286</v>
      </c>
      <c r="D117" s="522">
        <v>28615</v>
      </c>
      <c r="E117" s="182" t="s">
        <v>179</v>
      </c>
      <c r="F117" s="471" t="s">
        <v>2</v>
      </c>
      <c r="G117" s="523">
        <v>28</v>
      </c>
      <c r="H117" s="471" t="s">
        <v>3</v>
      </c>
      <c r="I117" s="526" t="s">
        <v>194</v>
      </c>
      <c r="J117" s="275">
        <f t="shared" si="44"/>
        <v>1</v>
      </c>
      <c r="K117" s="275">
        <f t="shared" si="36"/>
        <v>1</v>
      </c>
      <c r="L117" s="275">
        <f t="shared" si="37"/>
        <v>0</v>
      </c>
      <c r="M117" s="275">
        <f t="shared" si="45"/>
        <v>1</v>
      </c>
      <c r="N117" s="276">
        <f t="shared" si="46"/>
        <v>1</v>
      </c>
      <c r="O117" s="276">
        <f t="shared" si="47"/>
        <v>0</v>
      </c>
      <c r="P117" s="276">
        <f t="shared" si="41"/>
        <v>0</v>
      </c>
      <c r="Q117" s="276">
        <f t="shared" si="42"/>
        <v>0</v>
      </c>
      <c r="R117" s="329">
        <f t="shared" si="48"/>
        <v>1</v>
      </c>
      <c r="S117" s="273"/>
      <c r="T117" s="274" t="str">
        <f>IF(ISNA(VLOOKUP(D117,'One year follow-up_inperson'!$C:$C,1,FALSE)),"No","Yes")</f>
        <v>No</v>
      </c>
      <c r="U117" s="592" t="s">
        <v>679</v>
      </c>
    </row>
    <row r="118" spans="1:21" ht="409.5">
      <c r="A118" s="368">
        <v>117</v>
      </c>
      <c r="B118" s="368"/>
      <c r="C118" s="272" t="str">
        <f t="shared" si="0"/>
        <v>286</v>
      </c>
      <c r="D118" s="522">
        <v>28616</v>
      </c>
      <c r="E118" s="182" t="s">
        <v>180</v>
      </c>
      <c r="F118" s="479" t="s">
        <v>2</v>
      </c>
      <c r="G118" s="523">
        <v>56</v>
      </c>
      <c r="H118" s="479" t="s">
        <v>3</v>
      </c>
      <c r="I118" s="526" t="s">
        <v>195</v>
      </c>
      <c r="J118" s="275">
        <f t="shared" si="44"/>
        <v>1</v>
      </c>
      <c r="K118" s="275">
        <f t="shared" si="36"/>
        <v>1</v>
      </c>
      <c r="L118" s="275">
        <f t="shared" si="37"/>
        <v>0</v>
      </c>
      <c r="M118" s="275">
        <f t="shared" si="45"/>
        <v>1</v>
      </c>
      <c r="N118" s="276">
        <f t="shared" si="46"/>
        <v>0</v>
      </c>
      <c r="O118" s="276">
        <f t="shared" si="47"/>
        <v>0</v>
      </c>
      <c r="P118" s="276">
        <f t="shared" si="41"/>
        <v>0</v>
      </c>
      <c r="Q118" s="276">
        <f t="shared" si="42"/>
        <v>0</v>
      </c>
      <c r="R118" s="329">
        <f t="shared" si="48"/>
        <v>1</v>
      </c>
      <c r="S118" s="273"/>
      <c r="T118" s="274" t="str">
        <f>IF(ISNA(VLOOKUP(D118,'One year follow-up_inperson'!$C:$C,1,FALSE)),"No","Yes")</f>
        <v>No</v>
      </c>
      <c r="U118" s="592" t="s">
        <v>679</v>
      </c>
    </row>
    <row r="119" spans="1:21" ht="409.5">
      <c r="A119" s="368">
        <v>118</v>
      </c>
      <c r="B119" s="368"/>
      <c r="C119" s="272" t="str">
        <f t="shared" si="0"/>
        <v>286</v>
      </c>
      <c r="D119" s="522">
        <v>28619</v>
      </c>
      <c r="E119" s="182" t="s">
        <v>181</v>
      </c>
      <c r="F119" s="479" t="s">
        <v>2</v>
      </c>
      <c r="G119" s="523">
        <v>30</v>
      </c>
      <c r="H119" s="480" t="s">
        <v>3</v>
      </c>
      <c r="I119" s="526" t="s">
        <v>196</v>
      </c>
      <c r="J119" s="275">
        <f t="shared" si="44"/>
        <v>1</v>
      </c>
      <c r="K119" s="275">
        <f t="shared" si="36"/>
        <v>1</v>
      </c>
      <c r="L119" s="275">
        <f t="shared" si="37"/>
        <v>0</v>
      </c>
      <c r="M119" s="275">
        <f t="shared" si="45"/>
        <v>1</v>
      </c>
      <c r="N119" s="276">
        <f t="shared" si="46"/>
        <v>0</v>
      </c>
      <c r="O119" s="276">
        <f t="shared" si="47"/>
        <v>0</v>
      </c>
      <c r="P119" s="276">
        <f t="shared" si="41"/>
        <v>0</v>
      </c>
      <c r="Q119" s="276">
        <f t="shared" si="42"/>
        <v>1</v>
      </c>
      <c r="R119" s="329">
        <f t="shared" si="48"/>
        <v>1</v>
      </c>
      <c r="S119" s="273" t="s">
        <v>197</v>
      </c>
      <c r="T119" s="274" t="str">
        <f>IF(ISNA(VLOOKUP(D119,'One year follow-up_inperson'!$C:$C,1,FALSE)),"No","Yes")</f>
        <v>No</v>
      </c>
      <c r="U119" s="592" t="s">
        <v>679</v>
      </c>
    </row>
    <row r="120" spans="1:21" ht="409.5">
      <c r="A120" s="368">
        <v>119</v>
      </c>
      <c r="B120" s="368"/>
      <c r="C120" s="274" t="str">
        <f t="shared" ref="C120:C183" si="49">LEFT(D120,3)</f>
        <v>286</v>
      </c>
      <c r="D120" s="522">
        <v>28617</v>
      </c>
      <c r="E120" s="182" t="s">
        <v>182</v>
      </c>
      <c r="F120" s="479" t="s">
        <v>2</v>
      </c>
      <c r="G120" s="523">
        <v>38</v>
      </c>
      <c r="H120" s="479" t="s">
        <v>3</v>
      </c>
      <c r="I120" s="526" t="s">
        <v>198</v>
      </c>
      <c r="J120" s="275">
        <f t="shared" si="44"/>
        <v>0</v>
      </c>
      <c r="K120" s="275">
        <f t="shared" si="36"/>
        <v>1</v>
      </c>
      <c r="L120" s="275">
        <f t="shared" si="37"/>
        <v>0</v>
      </c>
      <c r="M120" s="275">
        <f t="shared" si="45"/>
        <v>1</v>
      </c>
      <c r="N120" s="276">
        <f t="shared" si="46"/>
        <v>0</v>
      </c>
      <c r="O120" s="276">
        <f t="shared" si="47"/>
        <v>0</v>
      </c>
      <c r="P120" s="276">
        <f t="shared" si="41"/>
        <v>0</v>
      </c>
      <c r="Q120" s="276">
        <f t="shared" si="42"/>
        <v>0</v>
      </c>
      <c r="R120" s="329">
        <f t="shared" si="48"/>
        <v>1</v>
      </c>
      <c r="S120" s="273"/>
      <c r="T120" s="274" t="str">
        <f>IF(ISNA(VLOOKUP(D120,'One year follow-up_inperson'!$C:$C,1,FALSE)),"No","Yes")</f>
        <v>No</v>
      </c>
      <c r="U120" s="592" t="s">
        <v>679</v>
      </c>
    </row>
    <row r="121" spans="1:21" ht="409.5">
      <c r="A121" s="368">
        <v>120</v>
      </c>
      <c r="B121" s="555" t="s">
        <v>423</v>
      </c>
      <c r="C121" s="182" t="str">
        <f t="shared" si="49"/>
        <v>289</v>
      </c>
      <c r="D121" s="531">
        <v>289</v>
      </c>
      <c r="E121" s="182" t="s">
        <v>382</v>
      </c>
      <c r="F121" s="183" t="s">
        <v>2</v>
      </c>
      <c r="G121" s="182">
        <v>22</v>
      </c>
      <c r="H121" s="531" t="s">
        <v>3</v>
      </c>
      <c r="I121" s="554" t="s">
        <v>424</v>
      </c>
      <c r="J121" s="275">
        <f t="shared" si="44"/>
        <v>1</v>
      </c>
      <c r="K121" s="275">
        <f t="shared" si="36"/>
        <v>0</v>
      </c>
      <c r="L121" s="275">
        <f t="shared" si="37"/>
        <v>0</v>
      </c>
      <c r="M121" s="275">
        <f t="shared" si="45"/>
        <v>1</v>
      </c>
      <c r="N121" s="276">
        <f t="shared" si="46"/>
        <v>0</v>
      </c>
      <c r="O121" s="276">
        <f t="shared" si="47"/>
        <v>0</v>
      </c>
      <c r="P121" s="276">
        <f t="shared" si="41"/>
        <v>0</v>
      </c>
      <c r="Q121" s="276">
        <f t="shared" si="42"/>
        <v>0</v>
      </c>
      <c r="R121" s="329">
        <f t="shared" si="48"/>
        <v>1</v>
      </c>
      <c r="S121" s="273"/>
      <c r="T121" s="274" t="str">
        <f>IF(ISNA(VLOOKUP(D121,'One year follow-up_inperson'!$C:$C,1,FALSE)),"No","Yes")</f>
        <v>No</v>
      </c>
      <c r="U121" s="592" t="s">
        <v>679</v>
      </c>
    </row>
    <row r="122" spans="1:21" ht="409.5">
      <c r="A122" s="368">
        <v>121</v>
      </c>
      <c r="B122" s="555" t="s">
        <v>423</v>
      </c>
      <c r="C122" s="182" t="str">
        <f t="shared" si="49"/>
        <v>289</v>
      </c>
      <c r="D122" s="531">
        <v>289</v>
      </c>
      <c r="E122" s="182" t="s">
        <v>383</v>
      </c>
      <c r="F122" s="183" t="s">
        <v>2</v>
      </c>
      <c r="G122" s="182">
        <v>23</v>
      </c>
      <c r="H122" s="531" t="s">
        <v>3</v>
      </c>
      <c r="I122" s="554" t="s">
        <v>425</v>
      </c>
      <c r="J122" s="275">
        <f t="shared" si="44"/>
        <v>1</v>
      </c>
      <c r="K122" s="275">
        <f t="shared" si="36"/>
        <v>0</v>
      </c>
      <c r="L122" s="275">
        <f t="shared" si="37"/>
        <v>0</v>
      </c>
      <c r="M122" s="275">
        <f t="shared" si="45"/>
        <v>1</v>
      </c>
      <c r="N122" s="276">
        <f t="shared" si="46"/>
        <v>0</v>
      </c>
      <c r="O122" s="276">
        <f t="shared" si="47"/>
        <v>0</v>
      </c>
      <c r="P122" s="276">
        <f t="shared" si="41"/>
        <v>0</v>
      </c>
      <c r="Q122" s="276">
        <f t="shared" si="42"/>
        <v>0</v>
      </c>
      <c r="R122" s="329">
        <f t="shared" si="48"/>
        <v>1</v>
      </c>
      <c r="S122" s="273"/>
      <c r="T122" s="274" t="str">
        <f>IF(ISNA(VLOOKUP(D122,'One year follow-up_inperson'!$C:$C,1,FALSE)),"No","Yes")</f>
        <v>No</v>
      </c>
      <c r="U122" s="592" t="s">
        <v>679</v>
      </c>
    </row>
    <row r="123" spans="1:21" ht="409.5">
      <c r="A123" s="368">
        <v>122</v>
      </c>
      <c r="B123" s="555" t="s">
        <v>423</v>
      </c>
      <c r="C123" s="182" t="str">
        <f t="shared" si="49"/>
        <v>289</v>
      </c>
      <c r="D123" s="531">
        <v>289</v>
      </c>
      <c r="E123" s="182" t="s">
        <v>384</v>
      </c>
      <c r="F123" s="183" t="s">
        <v>2</v>
      </c>
      <c r="G123" s="182">
        <v>27</v>
      </c>
      <c r="H123" s="531" t="s">
        <v>3</v>
      </c>
      <c r="I123" s="554" t="s">
        <v>426</v>
      </c>
      <c r="J123" s="275">
        <f t="shared" si="44"/>
        <v>1</v>
      </c>
      <c r="K123" s="275">
        <f t="shared" si="36"/>
        <v>0</v>
      </c>
      <c r="L123" s="275">
        <f t="shared" si="37"/>
        <v>0</v>
      </c>
      <c r="M123" s="275">
        <f t="shared" si="45"/>
        <v>1</v>
      </c>
      <c r="N123" s="276">
        <f t="shared" si="46"/>
        <v>0</v>
      </c>
      <c r="O123" s="276">
        <f t="shared" si="47"/>
        <v>0</v>
      </c>
      <c r="P123" s="276">
        <f t="shared" si="41"/>
        <v>0</v>
      </c>
      <c r="Q123" s="276">
        <f t="shared" si="42"/>
        <v>0</v>
      </c>
      <c r="R123" s="329">
        <f t="shared" si="48"/>
        <v>1</v>
      </c>
      <c r="S123" s="273"/>
      <c r="T123" s="274" t="str">
        <f>IF(ISNA(VLOOKUP(D123,'One year follow-up_inperson'!$C:$C,1,FALSE)),"No","Yes")</f>
        <v>No</v>
      </c>
      <c r="U123" s="592" t="s">
        <v>679</v>
      </c>
    </row>
    <row r="124" spans="1:21" ht="409.5">
      <c r="A124" s="368">
        <v>123</v>
      </c>
      <c r="B124" s="555" t="s">
        <v>423</v>
      </c>
      <c r="C124" s="182" t="str">
        <f t="shared" si="49"/>
        <v>289</v>
      </c>
      <c r="D124" s="531">
        <v>289</v>
      </c>
      <c r="E124" s="182" t="s">
        <v>385</v>
      </c>
      <c r="F124" s="183" t="s">
        <v>2</v>
      </c>
      <c r="G124" s="182">
        <v>26</v>
      </c>
      <c r="H124" s="531" t="s">
        <v>3</v>
      </c>
      <c r="I124" s="554" t="s">
        <v>427</v>
      </c>
      <c r="J124" s="275">
        <f t="shared" si="44"/>
        <v>1</v>
      </c>
      <c r="K124" s="275">
        <f t="shared" si="36"/>
        <v>1</v>
      </c>
      <c r="L124" s="275">
        <f t="shared" si="37"/>
        <v>0</v>
      </c>
      <c r="M124" s="275">
        <f t="shared" si="45"/>
        <v>1</v>
      </c>
      <c r="N124" s="276">
        <f t="shared" si="46"/>
        <v>0</v>
      </c>
      <c r="O124" s="276">
        <f t="shared" si="47"/>
        <v>0</v>
      </c>
      <c r="P124" s="276">
        <f t="shared" si="41"/>
        <v>0</v>
      </c>
      <c r="Q124" s="276">
        <f t="shared" si="42"/>
        <v>0</v>
      </c>
      <c r="R124" s="329">
        <f t="shared" si="48"/>
        <v>1</v>
      </c>
      <c r="S124" s="273"/>
      <c r="T124" s="274" t="str">
        <f>IF(ISNA(VLOOKUP(D124,'One year follow-up_inperson'!$C:$C,1,FALSE)),"No","Yes")</f>
        <v>No</v>
      </c>
      <c r="U124" s="592" t="s">
        <v>679</v>
      </c>
    </row>
    <row r="125" spans="1:21" ht="409.5">
      <c r="A125" s="368">
        <v>124</v>
      </c>
      <c r="B125" s="555" t="s">
        <v>423</v>
      </c>
      <c r="C125" s="182" t="str">
        <f t="shared" si="49"/>
        <v>289</v>
      </c>
      <c r="D125" s="531">
        <v>289</v>
      </c>
      <c r="E125" s="182" t="s">
        <v>386</v>
      </c>
      <c r="F125" s="183" t="s">
        <v>2</v>
      </c>
      <c r="G125" s="182">
        <v>29</v>
      </c>
      <c r="H125" s="531" t="s">
        <v>3</v>
      </c>
      <c r="I125" s="554" t="s">
        <v>462</v>
      </c>
      <c r="J125" s="275">
        <f t="shared" si="44"/>
        <v>1</v>
      </c>
      <c r="K125" s="275">
        <f t="shared" si="36"/>
        <v>0</v>
      </c>
      <c r="L125" s="275">
        <f t="shared" si="37"/>
        <v>0</v>
      </c>
      <c r="M125" s="275">
        <f t="shared" si="45"/>
        <v>1</v>
      </c>
      <c r="N125" s="276">
        <f t="shared" si="46"/>
        <v>0</v>
      </c>
      <c r="O125" s="276">
        <f t="shared" si="47"/>
        <v>0</v>
      </c>
      <c r="P125" s="276">
        <f t="shared" si="41"/>
        <v>0</v>
      </c>
      <c r="Q125" s="276">
        <f t="shared" si="42"/>
        <v>0</v>
      </c>
      <c r="R125" s="329">
        <f t="shared" si="48"/>
        <v>1</v>
      </c>
      <c r="S125" s="273"/>
      <c r="T125" s="274" t="str">
        <f>IF(ISNA(VLOOKUP(D125,'One year follow-up_inperson'!$C:$C,1,FALSE)),"No","Yes")</f>
        <v>No</v>
      </c>
      <c r="U125" s="592" t="s">
        <v>679</v>
      </c>
    </row>
    <row r="126" spans="1:21" ht="409.5">
      <c r="A126" s="368">
        <v>125</v>
      </c>
      <c r="B126" s="555" t="s">
        <v>423</v>
      </c>
      <c r="C126" s="182" t="str">
        <f t="shared" si="49"/>
        <v>289</v>
      </c>
      <c r="D126" s="531">
        <v>289</v>
      </c>
      <c r="E126" s="182" t="s">
        <v>387</v>
      </c>
      <c r="F126" s="183" t="s">
        <v>2</v>
      </c>
      <c r="G126" s="182">
        <v>25</v>
      </c>
      <c r="H126" s="531" t="s">
        <v>3</v>
      </c>
      <c r="I126" s="552" t="s">
        <v>428</v>
      </c>
      <c r="J126" s="275">
        <f t="shared" si="44"/>
        <v>1</v>
      </c>
      <c r="K126" s="275">
        <f t="shared" si="36"/>
        <v>0</v>
      </c>
      <c r="L126" s="275">
        <f t="shared" si="37"/>
        <v>1</v>
      </c>
      <c r="M126" s="275">
        <f t="shared" si="45"/>
        <v>1</v>
      </c>
      <c r="N126" s="276">
        <f t="shared" si="46"/>
        <v>0</v>
      </c>
      <c r="O126" s="276">
        <f t="shared" si="47"/>
        <v>0</v>
      </c>
      <c r="P126" s="276">
        <f t="shared" si="41"/>
        <v>0</v>
      </c>
      <c r="Q126" s="276">
        <f t="shared" si="42"/>
        <v>0</v>
      </c>
      <c r="R126" s="329">
        <f t="shared" si="48"/>
        <v>1</v>
      </c>
      <c r="S126" s="273"/>
      <c r="T126" s="274" t="str">
        <f>IF(ISNA(VLOOKUP(D126,'One year follow-up_inperson'!$C:$C,1,FALSE)),"No","Yes")</f>
        <v>No</v>
      </c>
      <c r="U126" s="592" t="s">
        <v>679</v>
      </c>
    </row>
    <row r="127" spans="1:21" ht="409.5">
      <c r="A127" s="368">
        <v>126</v>
      </c>
      <c r="B127" s="555" t="s">
        <v>423</v>
      </c>
      <c r="C127" s="182" t="str">
        <f t="shared" si="49"/>
        <v>289</v>
      </c>
      <c r="D127" s="531">
        <v>289</v>
      </c>
      <c r="E127" s="182" t="s">
        <v>388</v>
      </c>
      <c r="F127" s="183" t="s">
        <v>2</v>
      </c>
      <c r="G127" s="182">
        <v>23</v>
      </c>
      <c r="H127" s="531" t="s">
        <v>3</v>
      </c>
      <c r="I127" s="553" t="s">
        <v>429</v>
      </c>
      <c r="J127" s="275">
        <f t="shared" si="44"/>
        <v>0</v>
      </c>
      <c r="K127" s="275">
        <f t="shared" si="36"/>
        <v>1</v>
      </c>
      <c r="L127" s="275">
        <f t="shared" si="37"/>
        <v>0</v>
      </c>
      <c r="M127" s="275">
        <f t="shared" si="45"/>
        <v>1</v>
      </c>
      <c r="N127" s="276">
        <f t="shared" si="46"/>
        <v>0</v>
      </c>
      <c r="O127" s="276">
        <f t="shared" si="47"/>
        <v>0</v>
      </c>
      <c r="P127" s="276">
        <f t="shared" si="41"/>
        <v>0</v>
      </c>
      <c r="Q127" s="276">
        <f t="shared" si="42"/>
        <v>0</v>
      </c>
      <c r="R127" s="329">
        <f t="shared" si="48"/>
        <v>1</v>
      </c>
      <c r="S127" s="273"/>
      <c r="T127" s="274" t="str">
        <f>IF(ISNA(VLOOKUP(D127,'One year follow-up_inperson'!$C:$C,1,FALSE)),"No","Yes")</f>
        <v>No</v>
      </c>
      <c r="U127" s="592" t="s">
        <v>679</v>
      </c>
    </row>
    <row r="128" spans="1:21" ht="409.5">
      <c r="A128" s="368">
        <v>127</v>
      </c>
      <c r="B128" s="555" t="s">
        <v>423</v>
      </c>
      <c r="C128" s="182" t="str">
        <f t="shared" si="49"/>
        <v>289</v>
      </c>
      <c r="D128" s="531">
        <v>289</v>
      </c>
      <c r="E128" s="182" t="s">
        <v>389</v>
      </c>
      <c r="F128" s="183" t="s">
        <v>2</v>
      </c>
      <c r="G128" s="182">
        <v>20</v>
      </c>
      <c r="H128" s="531" t="s">
        <v>3</v>
      </c>
      <c r="I128" s="552" t="s">
        <v>430</v>
      </c>
      <c r="J128" s="275">
        <f t="shared" si="44"/>
        <v>0</v>
      </c>
      <c r="K128" s="275">
        <f t="shared" si="36"/>
        <v>1</v>
      </c>
      <c r="L128" s="275">
        <f t="shared" si="37"/>
        <v>0</v>
      </c>
      <c r="M128" s="275">
        <f t="shared" si="45"/>
        <v>1</v>
      </c>
      <c r="N128" s="276">
        <f t="shared" si="46"/>
        <v>0</v>
      </c>
      <c r="O128" s="276">
        <f t="shared" si="47"/>
        <v>0</v>
      </c>
      <c r="P128" s="276">
        <f t="shared" si="41"/>
        <v>0</v>
      </c>
      <c r="Q128" s="276">
        <f t="shared" si="42"/>
        <v>0</v>
      </c>
      <c r="R128" s="329">
        <f t="shared" si="48"/>
        <v>1</v>
      </c>
      <c r="S128" s="273"/>
      <c r="T128" s="274" t="str">
        <f>IF(ISNA(VLOOKUP(D128,'One year follow-up_inperson'!$C:$C,1,FALSE)),"No","Yes")</f>
        <v>No</v>
      </c>
      <c r="U128" s="592" t="s">
        <v>679</v>
      </c>
    </row>
    <row r="129" spans="1:21" ht="409.5">
      <c r="A129" s="368">
        <v>128</v>
      </c>
      <c r="B129" s="555" t="s">
        <v>423</v>
      </c>
      <c r="C129" s="182" t="str">
        <f t="shared" si="49"/>
        <v>289</v>
      </c>
      <c r="D129" s="531">
        <v>289</v>
      </c>
      <c r="E129" s="182" t="s">
        <v>390</v>
      </c>
      <c r="F129" s="183" t="s">
        <v>2</v>
      </c>
      <c r="G129" s="182">
        <v>23</v>
      </c>
      <c r="H129" s="531" t="s">
        <v>3</v>
      </c>
      <c r="I129" s="552" t="s">
        <v>431</v>
      </c>
      <c r="J129" s="275">
        <f t="shared" si="44"/>
        <v>0</v>
      </c>
      <c r="K129" s="275">
        <f t="shared" si="36"/>
        <v>1</v>
      </c>
      <c r="L129" s="275">
        <f t="shared" si="37"/>
        <v>0</v>
      </c>
      <c r="M129" s="275">
        <f t="shared" si="45"/>
        <v>1</v>
      </c>
      <c r="N129" s="276">
        <f t="shared" si="46"/>
        <v>1</v>
      </c>
      <c r="O129" s="276">
        <f t="shared" si="47"/>
        <v>0</v>
      </c>
      <c r="P129" s="276">
        <f t="shared" si="41"/>
        <v>0</v>
      </c>
      <c r="Q129" s="276">
        <f t="shared" si="42"/>
        <v>0</v>
      </c>
      <c r="R129" s="329">
        <f t="shared" si="48"/>
        <v>1</v>
      </c>
      <c r="S129" s="273"/>
      <c r="T129" s="274" t="str">
        <f>IF(ISNA(VLOOKUP(D129,'One year follow-up_inperson'!$C:$C,1,FALSE)),"No","Yes")</f>
        <v>No</v>
      </c>
      <c r="U129" s="592" t="s">
        <v>679</v>
      </c>
    </row>
    <row r="130" spans="1:21" ht="409.5">
      <c r="A130" s="368">
        <v>129</v>
      </c>
      <c r="B130" s="555" t="s">
        <v>423</v>
      </c>
      <c r="C130" s="182" t="str">
        <f t="shared" si="49"/>
        <v>289</v>
      </c>
      <c r="D130" s="531">
        <v>289</v>
      </c>
      <c r="E130" s="182" t="s">
        <v>391</v>
      </c>
      <c r="F130" s="183" t="s">
        <v>2</v>
      </c>
      <c r="G130" s="182">
        <v>22</v>
      </c>
      <c r="H130" s="531" t="s">
        <v>3</v>
      </c>
      <c r="I130" s="552" t="s">
        <v>432</v>
      </c>
      <c r="J130" s="275">
        <f t="shared" si="44"/>
        <v>1</v>
      </c>
      <c r="K130" s="275">
        <f t="shared" si="36"/>
        <v>0</v>
      </c>
      <c r="L130" s="275">
        <f t="shared" si="37"/>
        <v>0</v>
      </c>
      <c r="M130" s="275">
        <f t="shared" si="45"/>
        <v>1</v>
      </c>
      <c r="N130" s="276">
        <f t="shared" si="46"/>
        <v>0</v>
      </c>
      <c r="O130" s="276">
        <f t="shared" si="47"/>
        <v>0</v>
      </c>
      <c r="P130" s="276">
        <f t="shared" si="41"/>
        <v>0</v>
      </c>
      <c r="Q130" s="276">
        <f t="shared" si="42"/>
        <v>0</v>
      </c>
      <c r="R130" s="329">
        <f t="shared" si="48"/>
        <v>1</v>
      </c>
      <c r="S130" s="273"/>
      <c r="T130" s="274" t="str">
        <f>IF(ISNA(VLOOKUP(D130,'One year follow-up_inperson'!$C:$C,1,FALSE)),"No","Yes")</f>
        <v>No</v>
      </c>
      <c r="U130" s="592" t="s">
        <v>679</v>
      </c>
    </row>
    <row r="131" spans="1:21" ht="409.5">
      <c r="A131" s="368">
        <v>130</v>
      </c>
      <c r="B131" s="555" t="s">
        <v>423</v>
      </c>
      <c r="C131" s="182" t="str">
        <f t="shared" si="49"/>
        <v>289</v>
      </c>
      <c r="D131" s="531">
        <v>289</v>
      </c>
      <c r="E131" s="182" t="s">
        <v>392</v>
      </c>
      <c r="F131" s="183" t="s">
        <v>2</v>
      </c>
      <c r="G131" s="182">
        <v>23</v>
      </c>
      <c r="H131" s="531" t="s">
        <v>3</v>
      </c>
      <c r="I131" s="552" t="s">
        <v>433</v>
      </c>
      <c r="J131" s="275">
        <f t="shared" si="44"/>
        <v>1</v>
      </c>
      <c r="K131" s="275">
        <f t="shared" si="36"/>
        <v>0</v>
      </c>
      <c r="L131" s="275">
        <f t="shared" si="37"/>
        <v>0</v>
      </c>
      <c r="M131" s="275">
        <f t="shared" si="45"/>
        <v>1</v>
      </c>
      <c r="N131" s="276">
        <f t="shared" si="46"/>
        <v>0</v>
      </c>
      <c r="O131" s="276">
        <f t="shared" si="47"/>
        <v>0</v>
      </c>
      <c r="P131" s="276">
        <f t="shared" si="41"/>
        <v>0</v>
      </c>
      <c r="Q131" s="276">
        <f t="shared" si="42"/>
        <v>0</v>
      </c>
      <c r="R131" s="329">
        <f t="shared" si="48"/>
        <v>1</v>
      </c>
      <c r="S131" s="273"/>
      <c r="T131" s="274" t="str">
        <f>IF(ISNA(VLOOKUP(D131,'One year follow-up_inperson'!$C:$C,1,FALSE)),"No","Yes")</f>
        <v>No</v>
      </c>
      <c r="U131" s="592" t="s">
        <v>679</v>
      </c>
    </row>
    <row r="132" spans="1:21" ht="409.5">
      <c r="A132" s="368">
        <v>131</v>
      </c>
      <c r="B132" s="555" t="s">
        <v>423</v>
      </c>
      <c r="C132" s="182" t="str">
        <f t="shared" si="49"/>
        <v>289</v>
      </c>
      <c r="D132" s="531">
        <v>289</v>
      </c>
      <c r="E132" s="182" t="s">
        <v>393</v>
      </c>
      <c r="F132" s="183" t="s">
        <v>2</v>
      </c>
      <c r="G132" s="182">
        <v>21</v>
      </c>
      <c r="H132" s="531" t="s">
        <v>3</v>
      </c>
      <c r="I132" s="552" t="s">
        <v>434</v>
      </c>
      <c r="J132" s="275">
        <f t="shared" si="44"/>
        <v>1</v>
      </c>
      <c r="K132" s="275">
        <f t="shared" si="36"/>
        <v>0</v>
      </c>
      <c r="L132" s="275">
        <f t="shared" si="37"/>
        <v>0</v>
      </c>
      <c r="M132" s="275">
        <f t="shared" si="45"/>
        <v>1</v>
      </c>
      <c r="N132" s="276">
        <f t="shared" si="46"/>
        <v>0</v>
      </c>
      <c r="O132" s="276">
        <f t="shared" si="47"/>
        <v>0</v>
      </c>
      <c r="P132" s="276">
        <f t="shared" si="41"/>
        <v>0</v>
      </c>
      <c r="Q132" s="276">
        <f t="shared" si="42"/>
        <v>0</v>
      </c>
      <c r="R132" s="329">
        <f t="shared" si="48"/>
        <v>1</v>
      </c>
      <c r="S132" s="273"/>
      <c r="T132" s="274" t="str">
        <f>IF(ISNA(VLOOKUP(D132,'One year follow-up_inperson'!$C:$C,1,FALSE)),"No","Yes")</f>
        <v>No</v>
      </c>
      <c r="U132" s="592" t="s">
        <v>679</v>
      </c>
    </row>
    <row r="133" spans="1:21" ht="409.5">
      <c r="A133" s="368">
        <v>132</v>
      </c>
      <c r="B133" s="555" t="s">
        <v>423</v>
      </c>
      <c r="C133" s="182" t="str">
        <f t="shared" si="49"/>
        <v>289</v>
      </c>
      <c r="D133" s="531">
        <v>289</v>
      </c>
      <c r="E133" s="182" t="s">
        <v>394</v>
      </c>
      <c r="F133" s="183" t="s">
        <v>2</v>
      </c>
      <c r="G133" s="182">
        <v>36</v>
      </c>
      <c r="H133" s="531" t="s">
        <v>3</v>
      </c>
      <c r="I133" s="552" t="s">
        <v>435</v>
      </c>
      <c r="J133" s="275">
        <f t="shared" si="44"/>
        <v>1</v>
      </c>
      <c r="K133" s="275">
        <f t="shared" si="36"/>
        <v>0</v>
      </c>
      <c r="L133" s="275">
        <f t="shared" si="37"/>
        <v>1</v>
      </c>
      <c r="M133" s="275">
        <f t="shared" si="45"/>
        <v>1</v>
      </c>
      <c r="N133" s="276">
        <f t="shared" si="46"/>
        <v>0</v>
      </c>
      <c r="O133" s="276">
        <f t="shared" si="47"/>
        <v>0</v>
      </c>
      <c r="P133" s="276">
        <f t="shared" si="41"/>
        <v>0</v>
      </c>
      <c r="Q133" s="276">
        <f t="shared" si="42"/>
        <v>0</v>
      </c>
      <c r="R133" s="329">
        <f t="shared" si="48"/>
        <v>1</v>
      </c>
      <c r="S133" s="273"/>
      <c r="T133" s="274" t="str">
        <f>IF(ISNA(VLOOKUP(D133,'One year follow-up_inperson'!$C:$C,1,FALSE)),"No","Yes")</f>
        <v>No</v>
      </c>
      <c r="U133" s="592" t="s">
        <v>679</v>
      </c>
    </row>
    <row r="134" spans="1:21" ht="409.5">
      <c r="A134" s="368">
        <v>133</v>
      </c>
      <c r="B134" s="555" t="s">
        <v>423</v>
      </c>
      <c r="C134" s="182" t="str">
        <f t="shared" si="49"/>
        <v>289</v>
      </c>
      <c r="D134" s="531">
        <v>289</v>
      </c>
      <c r="E134" s="182" t="s">
        <v>395</v>
      </c>
      <c r="F134" s="183" t="s">
        <v>2</v>
      </c>
      <c r="G134" s="182">
        <v>26</v>
      </c>
      <c r="H134" s="531" t="s">
        <v>3</v>
      </c>
      <c r="I134" s="552" t="s">
        <v>436</v>
      </c>
      <c r="J134" s="275">
        <f t="shared" si="44"/>
        <v>1</v>
      </c>
      <c r="K134" s="275">
        <f t="shared" si="36"/>
        <v>0</v>
      </c>
      <c r="L134" s="275">
        <f t="shared" si="37"/>
        <v>0</v>
      </c>
      <c r="M134" s="275">
        <f t="shared" si="45"/>
        <v>1</v>
      </c>
      <c r="N134" s="276">
        <f t="shared" si="46"/>
        <v>0</v>
      </c>
      <c r="O134" s="276">
        <f t="shared" si="47"/>
        <v>0</v>
      </c>
      <c r="P134" s="276">
        <f t="shared" si="41"/>
        <v>0</v>
      </c>
      <c r="Q134" s="276">
        <f t="shared" si="42"/>
        <v>0</v>
      </c>
      <c r="R134" s="329">
        <f t="shared" si="48"/>
        <v>1</v>
      </c>
      <c r="S134" s="273"/>
      <c r="T134" s="274" t="str">
        <f>IF(ISNA(VLOOKUP(D134,'One year follow-up_inperson'!$C:$C,1,FALSE)),"No","Yes")</f>
        <v>No</v>
      </c>
      <c r="U134" s="592" t="s">
        <v>679</v>
      </c>
    </row>
    <row r="135" spans="1:21" ht="409.5">
      <c r="A135" s="368">
        <v>134</v>
      </c>
      <c r="B135" s="555" t="s">
        <v>423</v>
      </c>
      <c r="C135" s="182" t="str">
        <f t="shared" si="49"/>
        <v>289</v>
      </c>
      <c r="D135" s="531">
        <v>289</v>
      </c>
      <c r="E135" s="182" t="s">
        <v>396</v>
      </c>
      <c r="F135" s="183" t="s">
        <v>2</v>
      </c>
      <c r="G135" s="182">
        <v>23</v>
      </c>
      <c r="H135" s="531" t="s">
        <v>3</v>
      </c>
      <c r="I135" s="552" t="s">
        <v>437</v>
      </c>
      <c r="J135" s="275">
        <f t="shared" si="44"/>
        <v>1</v>
      </c>
      <c r="K135" s="275">
        <f t="shared" si="36"/>
        <v>0</v>
      </c>
      <c r="L135" s="275">
        <f t="shared" si="37"/>
        <v>1</v>
      </c>
      <c r="M135" s="275">
        <f t="shared" si="45"/>
        <v>1</v>
      </c>
      <c r="N135" s="276">
        <f t="shared" si="46"/>
        <v>0</v>
      </c>
      <c r="O135" s="276">
        <f t="shared" si="47"/>
        <v>0</v>
      </c>
      <c r="P135" s="276">
        <f t="shared" si="41"/>
        <v>0</v>
      </c>
      <c r="Q135" s="276">
        <f t="shared" si="42"/>
        <v>0</v>
      </c>
      <c r="R135" s="329">
        <f t="shared" si="48"/>
        <v>1</v>
      </c>
      <c r="S135" s="273"/>
      <c r="T135" s="274" t="str">
        <f>IF(ISNA(VLOOKUP(D135,'One year follow-up_inperson'!$C:$C,1,FALSE)),"No","Yes")</f>
        <v>No</v>
      </c>
      <c r="U135" s="592" t="s">
        <v>679</v>
      </c>
    </row>
    <row r="136" spans="1:21" ht="409.5">
      <c r="A136" s="368">
        <v>135</v>
      </c>
      <c r="B136" s="555" t="s">
        <v>423</v>
      </c>
      <c r="C136" s="182" t="str">
        <f t="shared" si="49"/>
        <v>289</v>
      </c>
      <c r="D136" s="531">
        <v>289</v>
      </c>
      <c r="E136" s="182" t="s">
        <v>397</v>
      </c>
      <c r="F136" s="183" t="s">
        <v>2</v>
      </c>
      <c r="G136" s="182">
        <v>23</v>
      </c>
      <c r="H136" s="531" t="s">
        <v>3</v>
      </c>
      <c r="I136" s="552" t="s">
        <v>438</v>
      </c>
      <c r="J136" s="275">
        <f t="shared" si="44"/>
        <v>0</v>
      </c>
      <c r="K136" s="275">
        <f t="shared" si="36"/>
        <v>1</v>
      </c>
      <c r="L136" s="275">
        <f t="shared" si="37"/>
        <v>0</v>
      </c>
      <c r="M136" s="275">
        <f t="shared" si="45"/>
        <v>1</v>
      </c>
      <c r="N136" s="276">
        <f t="shared" si="46"/>
        <v>1</v>
      </c>
      <c r="O136" s="276">
        <f t="shared" si="47"/>
        <v>0</v>
      </c>
      <c r="P136" s="276">
        <f t="shared" si="41"/>
        <v>0</v>
      </c>
      <c r="Q136" s="276">
        <f t="shared" si="42"/>
        <v>0</v>
      </c>
      <c r="R136" s="329">
        <f t="shared" si="48"/>
        <v>1</v>
      </c>
      <c r="S136" s="273"/>
      <c r="T136" s="274" t="str">
        <f>IF(ISNA(VLOOKUP(D136,'One year follow-up_inperson'!$C:$C,1,FALSE)),"No","Yes")</f>
        <v>No</v>
      </c>
      <c r="U136" s="592" t="s">
        <v>679</v>
      </c>
    </row>
    <row r="137" spans="1:21" ht="409.5">
      <c r="A137" s="368">
        <v>136</v>
      </c>
      <c r="B137" s="555" t="s">
        <v>423</v>
      </c>
      <c r="C137" s="182" t="str">
        <f t="shared" si="49"/>
        <v>289</v>
      </c>
      <c r="D137" s="531">
        <v>289</v>
      </c>
      <c r="E137" s="182" t="s">
        <v>398</v>
      </c>
      <c r="F137" s="183" t="s">
        <v>2</v>
      </c>
      <c r="G137" s="182">
        <v>24</v>
      </c>
      <c r="H137" s="531" t="s">
        <v>3</v>
      </c>
      <c r="I137" s="552" t="s">
        <v>439</v>
      </c>
      <c r="J137" s="275">
        <f t="shared" si="44"/>
        <v>1</v>
      </c>
      <c r="K137" s="275">
        <f t="shared" si="36"/>
        <v>0</v>
      </c>
      <c r="L137" s="275">
        <f t="shared" si="37"/>
        <v>1</v>
      </c>
      <c r="M137" s="275">
        <f t="shared" si="45"/>
        <v>1</v>
      </c>
      <c r="N137" s="276">
        <f t="shared" si="46"/>
        <v>0</v>
      </c>
      <c r="O137" s="276">
        <f t="shared" si="47"/>
        <v>0</v>
      </c>
      <c r="P137" s="276">
        <f t="shared" si="41"/>
        <v>0</v>
      </c>
      <c r="Q137" s="276">
        <f t="shared" si="42"/>
        <v>0</v>
      </c>
      <c r="R137" s="329">
        <f t="shared" si="48"/>
        <v>1</v>
      </c>
      <c r="S137" s="273"/>
      <c r="T137" s="274" t="str">
        <f>IF(ISNA(VLOOKUP(D137,'One year follow-up_inperson'!$C:$C,1,FALSE)),"No","Yes")</f>
        <v>No</v>
      </c>
      <c r="U137" s="592" t="s">
        <v>679</v>
      </c>
    </row>
    <row r="138" spans="1:21" ht="409.5">
      <c r="A138" s="368">
        <v>137</v>
      </c>
      <c r="B138" s="555" t="s">
        <v>423</v>
      </c>
      <c r="C138" s="182" t="str">
        <f t="shared" si="49"/>
        <v>289</v>
      </c>
      <c r="D138" s="531">
        <v>289</v>
      </c>
      <c r="E138" s="182" t="s">
        <v>399</v>
      </c>
      <c r="F138" s="183" t="s">
        <v>2</v>
      </c>
      <c r="G138" s="182">
        <v>24</v>
      </c>
      <c r="H138" s="531" t="s">
        <v>3</v>
      </c>
      <c r="I138" s="552" t="s">
        <v>440</v>
      </c>
      <c r="J138" s="275">
        <f t="shared" si="44"/>
        <v>1</v>
      </c>
      <c r="K138" s="275">
        <f t="shared" si="36"/>
        <v>0</v>
      </c>
      <c r="L138" s="275">
        <f t="shared" si="37"/>
        <v>0</v>
      </c>
      <c r="M138" s="275">
        <f t="shared" si="45"/>
        <v>1</v>
      </c>
      <c r="N138" s="276">
        <f t="shared" si="46"/>
        <v>0</v>
      </c>
      <c r="O138" s="276">
        <f t="shared" si="47"/>
        <v>0</v>
      </c>
      <c r="P138" s="276">
        <f t="shared" si="41"/>
        <v>0</v>
      </c>
      <c r="Q138" s="276">
        <f t="shared" si="42"/>
        <v>0</v>
      </c>
      <c r="R138" s="329">
        <f t="shared" si="48"/>
        <v>1</v>
      </c>
      <c r="S138" s="273"/>
      <c r="T138" s="274" t="str">
        <f>IF(ISNA(VLOOKUP(D138,'One year follow-up_inperson'!$C:$C,1,FALSE)),"No","Yes")</f>
        <v>No</v>
      </c>
      <c r="U138" s="592" t="s">
        <v>679</v>
      </c>
    </row>
    <row r="139" spans="1:21" ht="409.5">
      <c r="A139" s="368">
        <v>138</v>
      </c>
      <c r="B139" s="555" t="s">
        <v>423</v>
      </c>
      <c r="C139" s="182" t="str">
        <f t="shared" si="49"/>
        <v>289</v>
      </c>
      <c r="D139" s="531">
        <v>289</v>
      </c>
      <c r="E139" s="182" t="s">
        <v>400</v>
      </c>
      <c r="F139" s="183" t="s">
        <v>2</v>
      </c>
      <c r="G139" s="182">
        <v>25</v>
      </c>
      <c r="H139" s="531" t="s">
        <v>3</v>
      </c>
      <c r="I139" s="554" t="s">
        <v>441</v>
      </c>
      <c r="J139" s="275">
        <f t="shared" si="44"/>
        <v>1</v>
      </c>
      <c r="K139" s="275">
        <f t="shared" si="36"/>
        <v>1</v>
      </c>
      <c r="L139" s="275">
        <f t="shared" si="37"/>
        <v>0</v>
      </c>
      <c r="M139" s="275">
        <f t="shared" si="45"/>
        <v>1</v>
      </c>
      <c r="N139" s="276">
        <f t="shared" si="46"/>
        <v>1</v>
      </c>
      <c r="O139" s="276">
        <f t="shared" si="47"/>
        <v>0</v>
      </c>
      <c r="P139" s="276">
        <f t="shared" si="41"/>
        <v>0</v>
      </c>
      <c r="Q139" s="276">
        <f t="shared" si="42"/>
        <v>0</v>
      </c>
      <c r="R139" s="329">
        <f t="shared" si="48"/>
        <v>1</v>
      </c>
      <c r="S139" s="273"/>
      <c r="T139" s="274" t="str">
        <f>IF(ISNA(VLOOKUP(D139,'One year follow-up_inperson'!$C:$C,1,FALSE)),"No","Yes")</f>
        <v>No</v>
      </c>
      <c r="U139" s="592" t="s">
        <v>679</v>
      </c>
    </row>
    <row r="140" spans="1:21" ht="409.5">
      <c r="A140" s="368">
        <v>139</v>
      </c>
      <c r="B140" s="555" t="s">
        <v>423</v>
      </c>
      <c r="C140" s="182" t="str">
        <f t="shared" si="49"/>
        <v>289</v>
      </c>
      <c r="D140" s="531">
        <v>289</v>
      </c>
      <c r="E140" s="182" t="s">
        <v>401</v>
      </c>
      <c r="F140" s="183" t="s">
        <v>2</v>
      </c>
      <c r="G140" s="182">
        <v>21</v>
      </c>
      <c r="H140" s="531" t="s">
        <v>3</v>
      </c>
      <c r="I140" s="552" t="s">
        <v>442</v>
      </c>
      <c r="J140" s="275">
        <f t="shared" si="44"/>
        <v>1</v>
      </c>
      <c r="K140" s="275">
        <f t="shared" si="36"/>
        <v>1</v>
      </c>
      <c r="L140" s="275">
        <f t="shared" si="37"/>
        <v>0</v>
      </c>
      <c r="M140" s="275">
        <f t="shared" si="45"/>
        <v>1</v>
      </c>
      <c r="N140" s="276">
        <f t="shared" si="46"/>
        <v>1</v>
      </c>
      <c r="O140" s="276">
        <f t="shared" si="47"/>
        <v>0</v>
      </c>
      <c r="P140" s="276">
        <f t="shared" si="41"/>
        <v>0</v>
      </c>
      <c r="Q140" s="276">
        <f t="shared" si="42"/>
        <v>0</v>
      </c>
      <c r="R140" s="329">
        <f t="shared" si="48"/>
        <v>1</v>
      </c>
      <c r="S140" s="273"/>
      <c r="T140" s="274" t="str">
        <f>IF(ISNA(VLOOKUP(D140,'One year follow-up_inperson'!$C:$C,1,FALSE)),"No","Yes")</f>
        <v>No</v>
      </c>
      <c r="U140" s="592" t="s">
        <v>679</v>
      </c>
    </row>
    <row r="141" spans="1:21" ht="409.5">
      <c r="A141" s="368">
        <v>140</v>
      </c>
      <c r="B141" s="555" t="s">
        <v>423</v>
      </c>
      <c r="C141" s="182" t="str">
        <f t="shared" si="49"/>
        <v>289</v>
      </c>
      <c r="D141" s="531">
        <v>289</v>
      </c>
      <c r="E141" s="182" t="s">
        <v>402</v>
      </c>
      <c r="F141" s="183" t="s">
        <v>2</v>
      </c>
      <c r="G141" s="182">
        <v>24</v>
      </c>
      <c r="H141" s="531" t="s">
        <v>3</v>
      </c>
      <c r="I141" s="554" t="s">
        <v>443</v>
      </c>
      <c r="J141" s="275">
        <f t="shared" si="44"/>
        <v>1</v>
      </c>
      <c r="K141" s="275">
        <f t="shared" si="36"/>
        <v>0</v>
      </c>
      <c r="L141" s="275">
        <f t="shared" si="37"/>
        <v>0</v>
      </c>
      <c r="M141" s="275">
        <f t="shared" si="45"/>
        <v>1</v>
      </c>
      <c r="N141" s="276">
        <f t="shared" si="46"/>
        <v>0</v>
      </c>
      <c r="O141" s="276">
        <f t="shared" si="47"/>
        <v>0</v>
      </c>
      <c r="P141" s="276">
        <f t="shared" si="41"/>
        <v>0</v>
      </c>
      <c r="Q141" s="276">
        <f t="shared" si="42"/>
        <v>0</v>
      </c>
      <c r="R141" s="329">
        <f t="shared" si="48"/>
        <v>1</v>
      </c>
      <c r="S141" s="273"/>
      <c r="T141" s="274" t="str">
        <f>IF(ISNA(VLOOKUP(D141,'One year follow-up_inperson'!$C:$C,1,FALSE)),"No","Yes")</f>
        <v>No</v>
      </c>
      <c r="U141" s="592" t="s">
        <v>679</v>
      </c>
    </row>
    <row r="142" spans="1:21" ht="409.5">
      <c r="A142" s="368">
        <v>141</v>
      </c>
      <c r="B142" s="555" t="s">
        <v>423</v>
      </c>
      <c r="C142" s="182" t="str">
        <f t="shared" si="49"/>
        <v>289</v>
      </c>
      <c r="D142" s="531">
        <v>289</v>
      </c>
      <c r="E142" s="182" t="s">
        <v>403</v>
      </c>
      <c r="F142" s="183" t="s">
        <v>2</v>
      </c>
      <c r="G142" s="182">
        <v>27</v>
      </c>
      <c r="H142" s="531" t="s">
        <v>3</v>
      </c>
      <c r="I142" s="552" t="s">
        <v>444</v>
      </c>
      <c r="J142" s="275">
        <f t="shared" si="44"/>
        <v>1</v>
      </c>
      <c r="K142" s="275">
        <f t="shared" si="36"/>
        <v>0</v>
      </c>
      <c r="L142" s="275">
        <f t="shared" si="37"/>
        <v>0</v>
      </c>
      <c r="M142" s="275">
        <f t="shared" si="45"/>
        <v>1</v>
      </c>
      <c r="N142" s="276">
        <f t="shared" si="46"/>
        <v>0</v>
      </c>
      <c r="O142" s="276">
        <f t="shared" si="47"/>
        <v>0</v>
      </c>
      <c r="P142" s="276">
        <f t="shared" si="41"/>
        <v>0</v>
      </c>
      <c r="Q142" s="276">
        <f t="shared" si="42"/>
        <v>0</v>
      </c>
      <c r="R142" s="329">
        <f t="shared" si="48"/>
        <v>1</v>
      </c>
      <c r="S142" s="273"/>
      <c r="T142" s="274" t="str">
        <f>IF(ISNA(VLOOKUP(D142,'One year follow-up_inperson'!$C:$C,1,FALSE)),"No","Yes")</f>
        <v>No</v>
      </c>
      <c r="U142" s="592" t="s">
        <v>679</v>
      </c>
    </row>
    <row r="143" spans="1:21" ht="409.5">
      <c r="A143" s="368">
        <v>142</v>
      </c>
      <c r="B143" s="555" t="s">
        <v>423</v>
      </c>
      <c r="C143" s="182" t="str">
        <f t="shared" si="49"/>
        <v>289</v>
      </c>
      <c r="D143" s="531">
        <v>289</v>
      </c>
      <c r="E143" s="182" t="s">
        <v>404</v>
      </c>
      <c r="F143" s="183" t="s">
        <v>2</v>
      </c>
      <c r="G143" s="182">
        <v>22</v>
      </c>
      <c r="H143" s="531" t="s">
        <v>3</v>
      </c>
      <c r="I143" s="552" t="s">
        <v>445</v>
      </c>
      <c r="J143" s="275">
        <f t="shared" si="44"/>
        <v>1</v>
      </c>
      <c r="K143" s="275">
        <f t="shared" si="36"/>
        <v>0</v>
      </c>
      <c r="L143" s="275">
        <f t="shared" si="37"/>
        <v>0</v>
      </c>
      <c r="M143" s="275">
        <f t="shared" si="45"/>
        <v>1</v>
      </c>
      <c r="N143" s="276">
        <f t="shared" si="46"/>
        <v>0</v>
      </c>
      <c r="O143" s="276">
        <f t="shared" si="47"/>
        <v>0</v>
      </c>
      <c r="P143" s="276">
        <f t="shared" si="41"/>
        <v>0</v>
      </c>
      <c r="Q143" s="276">
        <f t="shared" si="42"/>
        <v>0</v>
      </c>
      <c r="R143" s="329">
        <f t="shared" si="48"/>
        <v>1</v>
      </c>
      <c r="S143" s="273"/>
      <c r="T143" s="274" t="str">
        <f>IF(ISNA(VLOOKUP(D143,'One year follow-up_inperson'!$C:$C,1,FALSE)),"No","Yes")</f>
        <v>No</v>
      </c>
      <c r="U143" s="592" t="s">
        <v>679</v>
      </c>
    </row>
    <row r="144" spans="1:21" ht="337.5">
      <c r="A144" s="368">
        <v>143</v>
      </c>
      <c r="B144" s="555" t="s">
        <v>423</v>
      </c>
      <c r="C144" s="182" t="str">
        <f t="shared" si="49"/>
        <v>289</v>
      </c>
      <c r="D144" s="531">
        <v>289</v>
      </c>
      <c r="E144" s="182" t="s">
        <v>405</v>
      </c>
      <c r="F144" s="183" t="s">
        <v>2</v>
      </c>
      <c r="G144" s="182">
        <v>21</v>
      </c>
      <c r="H144" s="531" t="s">
        <v>3</v>
      </c>
      <c r="I144" s="552" t="s">
        <v>446</v>
      </c>
      <c r="J144" s="275">
        <f t="shared" si="44"/>
        <v>0</v>
      </c>
      <c r="K144" s="275">
        <f t="shared" si="36"/>
        <v>1</v>
      </c>
      <c r="L144" s="275">
        <f t="shared" si="37"/>
        <v>0</v>
      </c>
      <c r="M144" s="275">
        <f t="shared" si="45"/>
        <v>1</v>
      </c>
      <c r="N144" s="276">
        <f t="shared" si="46"/>
        <v>0</v>
      </c>
      <c r="O144" s="276">
        <f t="shared" si="47"/>
        <v>0</v>
      </c>
      <c r="P144" s="276">
        <f t="shared" si="41"/>
        <v>0</v>
      </c>
      <c r="Q144" s="276">
        <f t="shared" si="42"/>
        <v>0</v>
      </c>
      <c r="R144" s="329">
        <f t="shared" si="48"/>
        <v>1</v>
      </c>
      <c r="S144" s="273"/>
      <c r="T144" s="274" t="str">
        <f>IF(ISNA(VLOOKUP(D144,'One year follow-up_inperson'!$C:$C,1,FALSE)),"No","Yes")</f>
        <v>No</v>
      </c>
      <c r="U144" s="592" t="s">
        <v>679</v>
      </c>
    </row>
    <row r="145" spans="1:21" ht="409.5">
      <c r="A145" s="368">
        <v>144</v>
      </c>
      <c r="B145" s="555" t="s">
        <v>423</v>
      </c>
      <c r="C145" s="182" t="str">
        <f t="shared" si="49"/>
        <v>289</v>
      </c>
      <c r="D145" s="531">
        <v>289</v>
      </c>
      <c r="E145" s="182" t="s">
        <v>406</v>
      </c>
      <c r="F145" s="183" t="s">
        <v>2</v>
      </c>
      <c r="G145" s="182">
        <v>20</v>
      </c>
      <c r="H145" s="531" t="s">
        <v>3</v>
      </c>
      <c r="I145" s="552" t="s">
        <v>447</v>
      </c>
      <c r="J145" s="275">
        <f t="shared" si="44"/>
        <v>1</v>
      </c>
      <c r="K145" s="275">
        <f t="shared" si="36"/>
        <v>1</v>
      </c>
      <c r="L145" s="275">
        <f t="shared" si="37"/>
        <v>0</v>
      </c>
      <c r="M145" s="275">
        <f t="shared" si="45"/>
        <v>1</v>
      </c>
      <c r="N145" s="276">
        <f t="shared" si="46"/>
        <v>1</v>
      </c>
      <c r="O145" s="276">
        <f t="shared" si="47"/>
        <v>0</v>
      </c>
      <c r="P145" s="276">
        <f t="shared" si="41"/>
        <v>0</v>
      </c>
      <c r="Q145" s="276">
        <f t="shared" si="42"/>
        <v>0</v>
      </c>
      <c r="R145" s="329">
        <f t="shared" si="48"/>
        <v>1</v>
      </c>
      <c r="S145" s="273"/>
      <c r="T145" s="274" t="str">
        <f>IF(ISNA(VLOOKUP(D145,'One year follow-up_inperson'!$C:$C,1,FALSE)),"No","Yes")</f>
        <v>No</v>
      </c>
      <c r="U145" s="592" t="s">
        <v>679</v>
      </c>
    </row>
    <row r="146" spans="1:21" ht="391.5">
      <c r="A146" s="368">
        <v>145</v>
      </c>
      <c r="B146" s="555" t="s">
        <v>423</v>
      </c>
      <c r="C146" s="182" t="str">
        <f t="shared" si="49"/>
        <v>289</v>
      </c>
      <c r="D146" s="531">
        <v>289</v>
      </c>
      <c r="E146" s="182" t="s">
        <v>407</v>
      </c>
      <c r="F146" s="183" t="s">
        <v>2</v>
      </c>
      <c r="G146" s="182">
        <v>22</v>
      </c>
      <c r="H146" s="531" t="s">
        <v>3</v>
      </c>
      <c r="I146" s="552" t="s">
        <v>448</v>
      </c>
      <c r="J146" s="275">
        <f t="shared" si="44"/>
        <v>1</v>
      </c>
      <c r="K146" s="275">
        <f t="shared" si="36"/>
        <v>0</v>
      </c>
      <c r="L146" s="275">
        <f t="shared" si="37"/>
        <v>0</v>
      </c>
      <c r="M146" s="275">
        <f t="shared" si="45"/>
        <v>1</v>
      </c>
      <c r="N146" s="276">
        <f t="shared" si="46"/>
        <v>0</v>
      </c>
      <c r="O146" s="276">
        <f t="shared" si="47"/>
        <v>0</v>
      </c>
      <c r="P146" s="276">
        <f t="shared" si="41"/>
        <v>0</v>
      </c>
      <c r="Q146" s="276">
        <f t="shared" si="42"/>
        <v>0</v>
      </c>
      <c r="R146" s="329">
        <f t="shared" si="48"/>
        <v>1</v>
      </c>
      <c r="S146" s="273"/>
      <c r="T146" s="274" t="str">
        <f>IF(ISNA(VLOOKUP(D146,'One year follow-up_inperson'!$C:$C,1,FALSE)),"No","Yes")</f>
        <v>No</v>
      </c>
      <c r="U146" s="592" t="s">
        <v>679</v>
      </c>
    </row>
    <row r="147" spans="1:21" ht="409.5">
      <c r="A147" s="368">
        <v>146</v>
      </c>
      <c r="B147" s="555" t="s">
        <v>423</v>
      </c>
      <c r="C147" s="182" t="str">
        <f t="shared" si="49"/>
        <v>289</v>
      </c>
      <c r="D147" s="531">
        <v>289</v>
      </c>
      <c r="E147" s="182" t="s">
        <v>408</v>
      </c>
      <c r="F147" s="183" t="s">
        <v>2</v>
      </c>
      <c r="G147" s="182">
        <v>23</v>
      </c>
      <c r="H147" s="531" t="s">
        <v>3</v>
      </c>
      <c r="I147" s="552" t="s">
        <v>449</v>
      </c>
      <c r="J147" s="275">
        <f t="shared" si="44"/>
        <v>1</v>
      </c>
      <c r="K147" s="275">
        <f t="shared" si="36"/>
        <v>0</v>
      </c>
      <c r="L147" s="275">
        <f t="shared" si="37"/>
        <v>0</v>
      </c>
      <c r="M147" s="275">
        <f t="shared" si="45"/>
        <v>1</v>
      </c>
      <c r="N147" s="276">
        <f t="shared" si="46"/>
        <v>0</v>
      </c>
      <c r="O147" s="276">
        <f t="shared" si="47"/>
        <v>0</v>
      </c>
      <c r="P147" s="276">
        <f t="shared" si="41"/>
        <v>0</v>
      </c>
      <c r="Q147" s="276">
        <f t="shared" si="42"/>
        <v>0</v>
      </c>
      <c r="R147" s="329">
        <f t="shared" si="48"/>
        <v>1</v>
      </c>
      <c r="S147" s="273"/>
      <c r="T147" s="274" t="str">
        <f>IF(ISNA(VLOOKUP(D147,'One year follow-up_inperson'!$C:$C,1,FALSE)),"No","Yes")</f>
        <v>No</v>
      </c>
      <c r="U147" s="592" t="s">
        <v>679</v>
      </c>
    </row>
    <row r="148" spans="1:21" ht="409.5">
      <c r="A148" s="368">
        <v>147</v>
      </c>
      <c r="B148" s="555" t="s">
        <v>423</v>
      </c>
      <c r="C148" s="182" t="str">
        <f t="shared" si="49"/>
        <v>289</v>
      </c>
      <c r="D148" s="531">
        <v>289</v>
      </c>
      <c r="E148" s="182" t="s">
        <v>409</v>
      </c>
      <c r="F148" s="183" t="s">
        <v>2</v>
      </c>
      <c r="G148" s="182">
        <v>23</v>
      </c>
      <c r="H148" s="531" t="s">
        <v>3</v>
      </c>
      <c r="I148" s="552" t="s">
        <v>450</v>
      </c>
      <c r="J148" s="275">
        <f t="shared" si="44"/>
        <v>1</v>
      </c>
      <c r="K148" s="275">
        <f t="shared" si="36"/>
        <v>0</v>
      </c>
      <c r="L148" s="275">
        <f t="shared" si="37"/>
        <v>0</v>
      </c>
      <c r="M148" s="275">
        <f t="shared" si="45"/>
        <v>1</v>
      </c>
      <c r="N148" s="276">
        <f t="shared" si="46"/>
        <v>0</v>
      </c>
      <c r="O148" s="276">
        <f t="shared" si="47"/>
        <v>0</v>
      </c>
      <c r="P148" s="276">
        <f t="shared" si="41"/>
        <v>0</v>
      </c>
      <c r="Q148" s="276">
        <f t="shared" si="42"/>
        <v>0</v>
      </c>
      <c r="R148" s="329">
        <f t="shared" si="48"/>
        <v>1</v>
      </c>
      <c r="S148" s="273"/>
      <c r="T148" s="274" t="str">
        <f>IF(ISNA(VLOOKUP(D148,'One year follow-up_inperson'!$C:$C,1,FALSE)),"No","Yes")</f>
        <v>No</v>
      </c>
      <c r="U148" s="592" t="s">
        <v>679</v>
      </c>
    </row>
    <row r="149" spans="1:21" ht="409.5">
      <c r="A149" s="368">
        <v>148</v>
      </c>
      <c r="B149" s="555" t="s">
        <v>423</v>
      </c>
      <c r="C149" s="182" t="str">
        <f t="shared" si="49"/>
        <v>289</v>
      </c>
      <c r="D149" s="531">
        <v>289</v>
      </c>
      <c r="E149" s="182" t="s">
        <v>410</v>
      </c>
      <c r="F149" s="183" t="s">
        <v>2</v>
      </c>
      <c r="G149" s="182">
        <v>23</v>
      </c>
      <c r="H149" s="531" t="s">
        <v>3</v>
      </c>
      <c r="I149" s="552" t="s">
        <v>451</v>
      </c>
      <c r="J149" s="275">
        <f t="shared" si="44"/>
        <v>1</v>
      </c>
      <c r="K149" s="275">
        <f t="shared" si="36"/>
        <v>0</v>
      </c>
      <c r="L149" s="275">
        <f t="shared" si="37"/>
        <v>0</v>
      </c>
      <c r="M149" s="275">
        <f t="shared" si="45"/>
        <v>1</v>
      </c>
      <c r="N149" s="276">
        <f t="shared" si="46"/>
        <v>0</v>
      </c>
      <c r="O149" s="276">
        <f t="shared" si="47"/>
        <v>0</v>
      </c>
      <c r="P149" s="276">
        <f t="shared" si="41"/>
        <v>0</v>
      </c>
      <c r="Q149" s="276">
        <f t="shared" si="42"/>
        <v>0</v>
      </c>
      <c r="R149" s="329">
        <f t="shared" si="48"/>
        <v>1</v>
      </c>
      <c r="S149" s="273"/>
      <c r="T149" s="274" t="str">
        <f>IF(ISNA(VLOOKUP(D149,'One year follow-up_inperson'!$C:$C,1,FALSE)),"No","Yes")</f>
        <v>No</v>
      </c>
      <c r="U149" s="592" t="s">
        <v>679</v>
      </c>
    </row>
    <row r="150" spans="1:21" ht="409.5">
      <c r="A150" s="368">
        <v>149</v>
      </c>
      <c r="B150" s="555" t="s">
        <v>423</v>
      </c>
      <c r="C150" s="182" t="str">
        <f t="shared" si="49"/>
        <v>289</v>
      </c>
      <c r="D150" s="531">
        <v>289</v>
      </c>
      <c r="E150" s="182" t="s">
        <v>411</v>
      </c>
      <c r="F150" s="183" t="s">
        <v>2</v>
      </c>
      <c r="G150" s="182">
        <v>29</v>
      </c>
      <c r="H150" s="531" t="s">
        <v>3</v>
      </c>
      <c r="I150" s="554" t="s">
        <v>452</v>
      </c>
      <c r="J150" s="275">
        <f t="shared" si="44"/>
        <v>0</v>
      </c>
      <c r="K150" s="275">
        <f t="shared" si="36"/>
        <v>0</v>
      </c>
      <c r="L150" s="275">
        <f t="shared" si="37"/>
        <v>1</v>
      </c>
      <c r="M150" s="275">
        <f t="shared" si="45"/>
        <v>1</v>
      </c>
      <c r="N150" s="276">
        <f t="shared" si="46"/>
        <v>0</v>
      </c>
      <c r="O150" s="276">
        <f t="shared" si="47"/>
        <v>0</v>
      </c>
      <c r="P150" s="276">
        <f t="shared" si="41"/>
        <v>0</v>
      </c>
      <c r="Q150" s="276">
        <f t="shared" si="42"/>
        <v>0</v>
      </c>
      <c r="R150" s="329">
        <f t="shared" si="48"/>
        <v>1</v>
      </c>
      <c r="S150" s="273"/>
      <c r="T150" s="274" t="str">
        <f>IF(ISNA(VLOOKUP(D150,'One year follow-up_inperson'!$C:$C,1,FALSE)),"No","Yes")</f>
        <v>No</v>
      </c>
      <c r="U150" s="592" t="s">
        <v>679</v>
      </c>
    </row>
    <row r="151" spans="1:21" ht="409.5">
      <c r="A151" s="368">
        <v>150</v>
      </c>
      <c r="B151" s="555" t="s">
        <v>423</v>
      </c>
      <c r="C151" s="182" t="str">
        <f t="shared" si="49"/>
        <v>289</v>
      </c>
      <c r="D151" s="531">
        <v>289</v>
      </c>
      <c r="E151" s="182" t="s">
        <v>412</v>
      </c>
      <c r="F151" s="183" t="s">
        <v>2</v>
      </c>
      <c r="G151" s="182">
        <v>24</v>
      </c>
      <c r="H151" s="531" t="s">
        <v>3</v>
      </c>
      <c r="I151" s="580" t="s">
        <v>666</v>
      </c>
      <c r="J151" s="275">
        <f t="shared" si="44"/>
        <v>1</v>
      </c>
      <c r="K151" s="275">
        <f t="shared" si="36"/>
        <v>0</v>
      </c>
      <c r="L151" s="275">
        <f t="shared" si="37"/>
        <v>0</v>
      </c>
      <c r="M151" s="275">
        <f t="shared" si="45"/>
        <v>1</v>
      </c>
      <c r="N151" s="276">
        <f t="shared" si="46"/>
        <v>0</v>
      </c>
      <c r="O151" s="276">
        <f t="shared" si="47"/>
        <v>1</v>
      </c>
      <c r="P151" s="276">
        <f t="shared" si="41"/>
        <v>0</v>
      </c>
      <c r="Q151" s="276">
        <f t="shared" si="42"/>
        <v>0</v>
      </c>
      <c r="R151" s="329">
        <f t="shared" si="48"/>
        <v>1</v>
      </c>
      <c r="S151" s="273"/>
      <c r="T151" s="274" t="str">
        <f>IF(ISNA(VLOOKUP(D151,'One year follow-up_inperson'!$C:$C,1,FALSE)),"No","Yes")</f>
        <v>No</v>
      </c>
      <c r="U151" s="592" t="s">
        <v>679</v>
      </c>
    </row>
    <row r="152" spans="1:21" ht="409.5">
      <c r="A152" s="368">
        <v>151</v>
      </c>
      <c r="B152" s="555" t="s">
        <v>423</v>
      </c>
      <c r="C152" s="182" t="str">
        <f t="shared" si="49"/>
        <v>289</v>
      </c>
      <c r="D152" s="531">
        <v>289</v>
      </c>
      <c r="E152" s="182" t="s">
        <v>413</v>
      </c>
      <c r="F152" s="183" t="s">
        <v>2</v>
      </c>
      <c r="G152" s="182">
        <v>24</v>
      </c>
      <c r="H152" s="531" t="s">
        <v>3</v>
      </c>
      <c r="I152" s="554" t="s">
        <v>453</v>
      </c>
      <c r="J152" s="275">
        <f t="shared" si="44"/>
        <v>1</v>
      </c>
      <c r="K152" s="275">
        <f t="shared" si="36"/>
        <v>1</v>
      </c>
      <c r="L152" s="275">
        <f t="shared" si="37"/>
        <v>0</v>
      </c>
      <c r="M152" s="275">
        <f t="shared" si="45"/>
        <v>1</v>
      </c>
      <c r="N152" s="276">
        <f t="shared" si="46"/>
        <v>0</v>
      </c>
      <c r="O152" s="276">
        <f t="shared" si="47"/>
        <v>0</v>
      </c>
      <c r="P152" s="276">
        <f t="shared" si="41"/>
        <v>0</v>
      </c>
      <c r="Q152" s="276">
        <f t="shared" si="42"/>
        <v>0</v>
      </c>
      <c r="R152" s="329">
        <f t="shared" si="48"/>
        <v>1</v>
      </c>
      <c r="S152" s="273"/>
      <c r="T152" s="274" t="str">
        <f>IF(ISNA(VLOOKUP(D152,'One year follow-up_inperson'!$C:$C,1,FALSE)),"No","Yes")</f>
        <v>No</v>
      </c>
      <c r="U152" s="592" t="s">
        <v>679</v>
      </c>
    </row>
    <row r="153" spans="1:21" ht="409.5">
      <c r="A153" s="368">
        <v>152</v>
      </c>
      <c r="B153" s="555" t="s">
        <v>423</v>
      </c>
      <c r="C153" s="182" t="str">
        <f t="shared" si="49"/>
        <v>289</v>
      </c>
      <c r="D153" s="531">
        <v>289</v>
      </c>
      <c r="E153" s="182" t="s">
        <v>414</v>
      </c>
      <c r="F153" s="183" t="s">
        <v>2</v>
      </c>
      <c r="G153" s="182">
        <v>24</v>
      </c>
      <c r="H153" s="531" t="s">
        <v>3</v>
      </c>
      <c r="I153" s="554" t="s">
        <v>461</v>
      </c>
      <c r="J153" s="275">
        <f t="shared" si="44"/>
        <v>1</v>
      </c>
      <c r="K153" s="275">
        <f t="shared" si="36"/>
        <v>0</v>
      </c>
      <c r="L153" s="275">
        <f t="shared" si="37"/>
        <v>0</v>
      </c>
      <c r="M153" s="275">
        <f t="shared" si="45"/>
        <v>1</v>
      </c>
      <c r="N153" s="276">
        <f t="shared" si="46"/>
        <v>0</v>
      </c>
      <c r="O153" s="276">
        <f t="shared" si="47"/>
        <v>0</v>
      </c>
      <c r="P153" s="276">
        <f t="shared" si="41"/>
        <v>0</v>
      </c>
      <c r="Q153" s="276">
        <f t="shared" si="42"/>
        <v>0</v>
      </c>
      <c r="R153" s="329">
        <f t="shared" si="48"/>
        <v>1</v>
      </c>
      <c r="S153" s="273"/>
      <c r="T153" s="274" t="str">
        <f>IF(ISNA(VLOOKUP(D153,'One year follow-up_inperson'!$C:$C,1,FALSE)),"No","Yes")</f>
        <v>No</v>
      </c>
      <c r="U153" s="592" t="s">
        <v>679</v>
      </c>
    </row>
    <row r="154" spans="1:21" ht="409.5">
      <c r="A154" s="368">
        <v>153</v>
      </c>
      <c r="B154" s="555" t="s">
        <v>423</v>
      </c>
      <c r="C154" s="182" t="str">
        <f t="shared" si="49"/>
        <v>289</v>
      </c>
      <c r="D154" s="531">
        <v>289</v>
      </c>
      <c r="E154" s="182" t="s">
        <v>415</v>
      </c>
      <c r="F154" s="183" t="s">
        <v>2</v>
      </c>
      <c r="G154" s="182">
        <v>21</v>
      </c>
      <c r="H154" s="531" t="s">
        <v>3</v>
      </c>
      <c r="I154" s="579" t="s">
        <v>665</v>
      </c>
      <c r="J154" s="275">
        <f t="shared" si="44"/>
        <v>1</v>
      </c>
      <c r="K154" s="275">
        <f t="shared" si="36"/>
        <v>0</v>
      </c>
      <c r="L154" s="275">
        <f t="shared" si="37"/>
        <v>0</v>
      </c>
      <c r="M154" s="275">
        <f t="shared" si="45"/>
        <v>1</v>
      </c>
      <c r="N154" s="276">
        <f t="shared" si="46"/>
        <v>0</v>
      </c>
      <c r="O154" s="276">
        <f t="shared" si="47"/>
        <v>1</v>
      </c>
      <c r="P154" s="276">
        <f t="shared" si="41"/>
        <v>0</v>
      </c>
      <c r="Q154" s="276">
        <f t="shared" si="42"/>
        <v>0</v>
      </c>
      <c r="R154" s="329">
        <f t="shared" si="48"/>
        <v>1</v>
      </c>
      <c r="S154" s="273"/>
      <c r="T154" s="274" t="str">
        <f>IF(ISNA(VLOOKUP(D154,'One year follow-up_inperson'!$C:$C,1,FALSE)),"No","Yes")</f>
        <v>No</v>
      </c>
      <c r="U154" s="592" t="s">
        <v>679</v>
      </c>
    </row>
    <row r="155" spans="1:21" ht="409.5">
      <c r="A155" s="368">
        <v>154</v>
      </c>
      <c r="B155" s="555" t="s">
        <v>423</v>
      </c>
      <c r="C155" s="182" t="str">
        <f t="shared" si="49"/>
        <v>289</v>
      </c>
      <c r="D155" s="531">
        <v>289</v>
      </c>
      <c r="E155" s="182" t="s">
        <v>416</v>
      </c>
      <c r="F155" s="183" t="s">
        <v>2</v>
      </c>
      <c r="G155" s="182">
        <v>23</v>
      </c>
      <c r="H155" s="531" t="s">
        <v>3</v>
      </c>
      <c r="I155" s="578" t="s">
        <v>458</v>
      </c>
      <c r="J155" s="275">
        <f t="shared" si="44"/>
        <v>0</v>
      </c>
      <c r="K155" s="275">
        <f t="shared" si="36"/>
        <v>1</v>
      </c>
      <c r="L155" s="275">
        <f t="shared" si="37"/>
        <v>0</v>
      </c>
      <c r="M155" s="275">
        <f t="shared" si="45"/>
        <v>1</v>
      </c>
      <c r="N155" s="276">
        <f t="shared" si="46"/>
        <v>1</v>
      </c>
      <c r="O155" s="276">
        <f t="shared" si="47"/>
        <v>0</v>
      </c>
      <c r="P155" s="276">
        <f t="shared" si="41"/>
        <v>0</v>
      </c>
      <c r="Q155" s="276">
        <f t="shared" si="42"/>
        <v>0</v>
      </c>
      <c r="R155" s="329">
        <f t="shared" si="48"/>
        <v>1</v>
      </c>
      <c r="S155" s="273"/>
      <c r="T155" s="274" t="str">
        <f>IF(ISNA(VLOOKUP(D155,'One year follow-up_inperson'!$C:$C,1,FALSE)),"No","Yes")</f>
        <v>No</v>
      </c>
      <c r="U155" s="592" t="s">
        <v>679</v>
      </c>
    </row>
    <row r="156" spans="1:21" ht="409.5">
      <c r="A156" s="368">
        <v>155</v>
      </c>
      <c r="B156" s="555" t="s">
        <v>423</v>
      </c>
      <c r="C156" s="182" t="str">
        <f t="shared" si="49"/>
        <v>289</v>
      </c>
      <c r="D156" s="531">
        <v>289</v>
      </c>
      <c r="E156" s="182" t="s">
        <v>417</v>
      </c>
      <c r="F156" s="183" t="s">
        <v>2</v>
      </c>
      <c r="G156" s="182">
        <v>23</v>
      </c>
      <c r="H156" s="531" t="s">
        <v>3</v>
      </c>
      <c r="I156" s="554" t="s">
        <v>457</v>
      </c>
      <c r="J156" s="275">
        <f t="shared" si="44"/>
        <v>0</v>
      </c>
      <c r="K156" s="275">
        <f t="shared" si="36"/>
        <v>1</v>
      </c>
      <c r="L156" s="275">
        <f t="shared" si="37"/>
        <v>1</v>
      </c>
      <c r="M156" s="275">
        <f t="shared" si="45"/>
        <v>1</v>
      </c>
      <c r="N156" s="276">
        <f t="shared" si="46"/>
        <v>0</v>
      </c>
      <c r="O156" s="276">
        <f t="shared" si="47"/>
        <v>0</v>
      </c>
      <c r="P156" s="276">
        <f t="shared" si="41"/>
        <v>0</v>
      </c>
      <c r="Q156" s="276">
        <f t="shared" si="42"/>
        <v>0</v>
      </c>
      <c r="R156" s="329">
        <f t="shared" si="48"/>
        <v>1</v>
      </c>
      <c r="S156" s="273"/>
      <c r="T156" s="274" t="str">
        <f>IF(ISNA(VLOOKUP(D156,'One year follow-up_inperson'!$C:$C,1,FALSE)),"No","Yes")</f>
        <v>No</v>
      </c>
      <c r="U156" s="592" t="s">
        <v>679</v>
      </c>
    </row>
    <row r="157" spans="1:21" ht="409.5">
      <c r="A157" s="368">
        <v>156</v>
      </c>
      <c r="B157" s="555" t="s">
        <v>423</v>
      </c>
      <c r="C157" s="182" t="str">
        <f t="shared" si="49"/>
        <v>289</v>
      </c>
      <c r="D157" s="531">
        <v>289</v>
      </c>
      <c r="E157" s="182" t="s">
        <v>418</v>
      </c>
      <c r="F157" s="183" t="s">
        <v>2</v>
      </c>
      <c r="G157" s="182">
        <v>26</v>
      </c>
      <c r="H157" s="531" t="s">
        <v>3</v>
      </c>
      <c r="I157" s="554" t="s">
        <v>460</v>
      </c>
      <c r="J157" s="275">
        <f t="shared" si="44"/>
        <v>1</v>
      </c>
      <c r="K157" s="275">
        <f t="shared" si="36"/>
        <v>0</v>
      </c>
      <c r="L157" s="275">
        <f t="shared" si="37"/>
        <v>0</v>
      </c>
      <c r="M157" s="275">
        <f t="shared" si="45"/>
        <v>1</v>
      </c>
      <c r="N157" s="276">
        <f t="shared" si="46"/>
        <v>0</v>
      </c>
      <c r="O157" s="276">
        <f t="shared" si="47"/>
        <v>0</v>
      </c>
      <c r="P157" s="276">
        <f t="shared" si="41"/>
        <v>0</v>
      </c>
      <c r="Q157" s="276">
        <f t="shared" si="42"/>
        <v>0</v>
      </c>
      <c r="R157" s="329">
        <f t="shared" si="48"/>
        <v>1</v>
      </c>
      <c r="S157" s="273"/>
      <c r="T157" s="274" t="str">
        <f>IF(ISNA(VLOOKUP(D157,'One year follow-up_inperson'!$C:$C,1,FALSE)),"No","Yes")</f>
        <v>No</v>
      </c>
      <c r="U157" s="592" t="s">
        <v>679</v>
      </c>
    </row>
    <row r="158" spans="1:21" ht="409.5">
      <c r="A158" s="368">
        <v>157</v>
      </c>
      <c r="B158" s="555" t="s">
        <v>423</v>
      </c>
      <c r="C158" s="182" t="str">
        <f t="shared" si="49"/>
        <v>289</v>
      </c>
      <c r="D158" s="531">
        <v>289</v>
      </c>
      <c r="E158" s="182" t="s">
        <v>419</v>
      </c>
      <c r="F158" s="183" t="s">
        <v>2</v>
      </c>
      <c r="G158" s="182">
        <v>27</v>
      </c>
      <c r="H158" s="531" t="s">
        <v>3</v>
      </c>
      <c r="I158" s="578" t="s">
        <v>456</v>
      </c>
      <c r="J158" s="275">
        <f t="shared" si="44"/>
        <v>0</v>
      </c>
      <c r="K158" s="275">
        <f t="shared" si="36"/>
        <v>1</v>
      </c>
      <c r="L158" s="275">
        <f t="shared" si="37"/>
        <v>0</v>
      </c>
      <c r="M158" s="275">
        <f t="shared" si="45"/>
        <v>1</v>
      </c>
      <c r="N158" s="276">
        <f t="shared" si="46"/>
        <v>1</v>
      </c>
      <c r="O158" s="276">
        <f t="shared" si="47"/>
        <v>0</v>
      </c>
      <c r="P158" s="276">
        <f t="shared" si="41"/>
        <v>0</v>
      </c>
      <c r="Q158" s="276">
        <f t="shared" si="42"/>
        <v>0</v>
      </c>
      <c r="R158" s="329">
        <f t="shared" si="48"/>
        <v>1</v>
      </c>
      <c r="S158" s="273"/>
      <c r="T158" s="274" t="str">
        <f>IF(ISNA(VLOOKUP(D158,'One year follow-up_inperson'!$C:$C,1,FALSE)),"No","Yes")</f>
        <v>No</v>
      </c>
      <c r="U158" s="592" t="s">
        <v>679</v>
      </c>
    </row>
    <row r="159" spans="1:21" ht="409.5">
      <c r="A159" s="368">
        <v>158</v>
      </c>
      <c r="B159" s="555" t="s">
        <v>423</v>
      </c>
      <c r="C159" s="182" t="str">
        <f t="shared" si="49"/>
        <v>289</v>
      </c>
      <c r="D159" s="531">
        <v>289</v>
      </c>
      <c r="E159" s="182" t="s">
        <v>420</v>
      </c>
      <c r="F159" s="183" t="s">
        <v>2</v>
      </c>
      <c r="G159" s="182">
        <v>23</v>
      </c>
      <c r="H159" s="531" t="s">
        <v>3</v>
      </c>
      <c r="I159" s="554" t="s">
        <v>459</v>
      </c>
      <c r="J159" s="275">
        <f t="shared" si="44"/>
        <v>1</v>
      </c>
      <c r="K159" s="275">
        <f t="shared" si="36"/>
        <v>0</v>
      </c>
      <c r="L159" s="275">
        <f t="shared" si="37"/>
        <v>0</v>
      </c>
      <c r="M159" s="275">
        <f t="shared" si="45"/>
        <v>1</v>
      </c>
      <c r="N159" s="276">
        <f t="shared" si="46"/>
        <v>0</v>
      </c>
      <c r="O159" s="276">
        <f t="shared" si="47"/>
        <v>0</v>
      </c>
      <c r="P159" s="276">
        <f t="shared" si="41"/>
        <v>0</v>
      </c>
      <c r="Q159" s="276">
        <f t="shared" si="42"/>
        <v>0</v>
      </c>
      <c r="R159" s="329">
        <f t="shared" si="48"/>
        <v>1</v>
      </c>
      <c r="S159" s="273"/>
      <c r="T159" s="274" t="str">
        <f>IF(ISNA(VLOOKUP(D159,'One year follow-up_inperson'!$C:$C,1,FALSE)),"No","Yes")</f>
        <v>No</v>
      </c>
      <c r="U159" s="592" t="s">
        <v>679</v>
      </c>
    </row>
    <row r="160" spans="1:21" ht="409.5">
      <c r="A160" s="368">
        <v>159</v>
      </c>
      <c r="B160" s="555" t="s">
        <v>423</v>
      </c>
      <c r="C160" s="182" t="str">
        <f t="shared" si="49"/>
        <v>289</v>
      </c>
      <c r="D160" s="531">
        <v>289</v>
      </c>
      <c r="E160" s="182" t="s">
        <v>421</v>
      </c>
      <c r="F160" s="183" t="s">
        <v>2</v>
      </c>
      <c r="G160" s="182">
        <v>21</v>
      </c>
      <c r="H160" s="531" t="s">
        <v>3</v>
      </c>
      <c r="I160" s="554" t="s">
        <v>455</v>
      </c>
      <c r="J160" s="275">
        <f t="shared" si="44"/>
        <v>1</v>
      </c>
      <c r="K160" s="275">
        <f t="shared" si="36"/>
        <v>0</v>
      </c>
      <c r="L160" s="275">
        <f t="shared" si="37"/>
        <v>0</v>
      </c>
      <c r="M160" s="275">
        <f t="shared" si="45"/>
        <v>1</v>
      </c>
      <c r="N160" s="276">
        <f t="shared" si="46"/>
        <v>0</v>
      </c>
      <c r="O160" s="276">
        <f t="shared" si="47"/>
        <v>0</v>
      </c>
      <c r="P160" s="276">
        <f t="shared" si="41"/>
        <v>0</v>
      </c>
      <c r="Q160" s="276">
        <f t="shared" si="42"/>
        <v>0</v>
      </c>
      <c r="R160" s="329">
        <f t="shared" si="48"/>
        <v>1</v>
      </c>
      <c r="S160" s="273"/>
      <c r="T160" s="274" t="str">
        <f>IF(ISNA(VLOOKUP(D160,'One year follow-up_inperson'!$C:$C,1,FALSE)),"No","Yes")</f>
        <v>No</v>
      </c>
      <c r="U160" s="592" t="s">
        <v>679</v>
      </c>
    </row>
    <row r="161" spans="1:21" ht="409.5">
      <c r="A161" s="368">
        <v>160</v>
      </c>
      <c r="B161" s="555" t="s">
        <v>423</v>
      </c>
      <c r="C161" s="182" t="str">
        <f t="shared" si="49"/>
        <v>289</v>
      </c>
      <c r="D161" s="531">
        <v>289</v>
      </c>
      <c r="E161" s="182" t="s">
        <v>422</v>
      </c>
      <c r="F161" s="183" t="s">
        <v>2</v>
      </c>
      <c r="G161" s="182">
        <v>20</v>
      </c>
      <c r="H161" s="531" t="s">
        <v>3</v>
      </c>
      <c r="I161" s="554" t="s">
        <v>454</v>
      </c>
      <c r="J161" s="275">
        <f t="shared" si="44"/>
        <v>0</v>
      </c>
      <c r="K161" s="275">
        <f t="shared" ref="K161:K224" si="50">IF(OR(ISNUMBER(SEARCH("decision",I161))=TRUE,ISNUMBER(SEARCH("save",I161))=TRUE,ISNUMBER(SEARCH("saving",I161))=TRUE,ISNUMBER(SEARCH("started",I161))=TRUE,ISNUMBER(SEARCH("buy",I161))=TRUE,ISNUMBER(SEARCH("bought",I161))=TRUE),1,0)</f>
        <v>0</v>
      </c>
      <c r="L161" s="275">
        <f t="shared" ref="L161:L224" si="51">IF(OR(ISNUMBER(SEARCH("active",I161))=TRUE,ISNUMBER(SEARCH("proactive",I161))=TRUE,ISNUMBER(SEARCH("face challenge",I161))=TRUE),1,0)</f>
        <v>1</v>
      </c>
      <c r="M161" s="275">
        <f t="shared" si="45"/>
        <v>1</v>
      </c>
      <c r="N161" s="276">
        <f t="shared" si="46"/>
        <v>0</v>
      </c>
      <c r="O161" s="276">
        <f t="shared" si="47"/>
        <v>0</v>
      </c>
      <c r="P161" s="276">
        <f t="shared" ref="P161:P224" si="52">IF(OR(ISNUMBER(SEARCH("school admission",I161))=TRUE,ISNUMBER(SEARCH("perfomance in class",I161))=TRUE,ISNUMBER(SEARCH("scholarship",I161))=TRUE,ISNUMBER(SEARCH("pursue higher education",I161))=TRUE),1,0)</f>
        <v>0</v>
      </c>
      <c r="Q161" s="276">
        <f t="shared" ref="Q161:Q224" si="53">IF(OR(ISNUMBER(SEARCH("leadership role",I161))=TRUE),1,0)</f>
        <v>0</v>
      </c>
      <c r="R161" s="329">
        <f t="shared" si="48"/>
        <v>1</v>
      </c>
      <c r="S161" s="273"/>
      <c r="T161" s="274" t="str">
        <f>IF(ISNA(VLOOKUP(D161,'One year follow-up_inperson'!$C:$C,1,FALSE)),"No","Yes")</f>
        <v>No</v>
      </c>
      <c r="U161" s="592" t="s">
        <v>679</v>
      </c>
    </row>
    <row r="162" spans="1:21" ht="162">
      <c r="A162" s="368">
        <v>161</v>
      </c>
      <c r="B162" s="182" t="s">
        <v>493</v>
      </c>
      <c r="C162" s="182" t="str">
        <f t="shared" si="49"/>
        <v>290</v>
      </c>
      <c r="D162" s="556" t="s">
        <v>473</v>
      </c>
      <c r="E162" s="182" t="s">
        <v>494</v>
      </c>
      <c r="F162" s="183" t="s">
        <v>2</v>
      </c>
      <c r="G162" s="557">
        <v>17</v>
      </c>
      <c r="H162" s="182" t="s">
        <v>3</v>
      </c>
      <c r="I162" s="558" t="s">
        <v>520</v>
      </c>
      <c r="J162" s="275">
        <f t="shared" si="44"/>
        <v>1</v>
      </c>
      <c r="K162" s="275">
        <f t="shared" si="50"/>
        <v>1</v>
      </c>
      <c r="L162" s="275">
        <f t="shared" si="51"/>
        <v>0</v>
      </c>
      <c r="M162" s="275">
        <f t="shared" si="45"/>
        <v>1</v>
      </c>
      <c r="N162" s="276">
        <f t="shared" si="46"/>
        <v>1</v>
      </c>
      <c r="O162" s="276">
        <f t="shared" si="47"/>
        <v>0</v>
      </c>
      <c r="P162" s="276">
        <f t="shared" si="52"/>
        <v>0</v>
      </c>
      <c r="Q162" s="276">
        <f t="shared" si="53"/>
        <v>0</v>
      </c>
      <c r="R162" s="329">
        <f t="shared" si="48"/>
        <v>1</v>
      </c>
      <c r="S162" s="273"/>
      <c r="T162" s="274" t="str">
        <f>IF(ISNA(VLOOKUP(D162,'One year follow-up_inperson'!$C:$C,1,FALSE)),"No","Yes")</f>
        <v>No</v>
      </c>
      <c r="U162" s="592" t="s">
        <v>679</v>
      </c>
    </row>
    <row r="163" spans="1:21" ht="216">
      <c r="A163" s="368">
        <v>162</v>
      </c>
      <c r="B163" s="182" t="s">
        <v>493</v>
      </c>
      <c r="C163" s="182" t="str">
        <f t="shared" si="49"/>
        <v>290</v>
      </c>
      <c r="D163" s="556" t="s">
        <v>474</v>
      </c>
      <c r="E163" s="182" t="s">
        <v>495</v>
      </c>
      <c r="F163" s="183" t="s">
        <v>2</v>
      </c>
      <c r="G163" s="557">
        <v>20</v>
      </c>
      <c r="H163" s="182" t="s">
        <v>3</v>
      </c>
      <c r="I163" s="558" t="s">
        <v>521</v>
      </c>
      <c r="J163" s="275">
        <f t="shared" si="44"/>
        <v>1</v>
      </c>
      <c r="K163" s="275">
        <f t="shared" si="50"/>
        <v>0</v>
      </c>
      <c r="L163" s="275">
        <f t="shared" si="51"/>
        <v>0</v>
      </c>
      <c r="M163" s="275">
        <f t="shared" si="45"/>
        <v>1</v>
      </c>
      <c r="N163" s="276">
        <f t="shared" si="46"/>
        <v>0</v>
      </c>
      <c r="O163" s="276">
        <f t="shared" si="47"/>
        <v>0</v>
      </c>
      <c r="P163" s="276">
        <f t="shared" si="52"/>
        <v>0</v>
      </c>
      <c r="Q163" s="276">
        <f t="shared" si="53"/>
        <v>0</v>
      </c>
      <c r="R163" s="329">
        <f t="shared" si="48"/>
        <v>1</v>
      </c>
      <c r="S163" s="273"/>
      <c r="T163" s="274" t="str">
        <f>IF(ISNA(VLOOKUP(D163,'One year follow-up_inperson'!$C:$C,1,FALSE)),"No","Yes")</f>
        <v>No</v>
      </c>
      <c r="U163" s="592" t="s">
        <v>679</v>
      </c>
    </row>
    <row r="164" spans="1:21" ht="40.5">
      <c r="A164" s="368">
        <v>163</v>
      </c>
      <c r="B164" s="182" t="s">
        <v>493</v>
      </c>
      <c r="C164" s="182" t="str">
        <f t="shared" si="49"/>
        <v>290</v>
      </c>
      <c r="D164" s="556" t="s">
        <v>475</v>
      </c>
      <c r="E164" s="182" t="s">
        <v>496</v>
      </c>
      <c r="F164" s="183" t="s">
        <v>2</v>
      </c>
      <c r="G164" s="557">
        <v>30</v>
      </c>
      <c r="H164" s="182" t="s">
        <v>3</v>
      </c>
      <c r="I164" s="558" t="s">
        <v>522</v>
      </c>
      <c r="J164" s="275">
        <f t="shared" si="44"/>
        <v>0</v>
      </c>
      <c r="K164" s="275">
        <f t="shared" si="50"/>
        <v>0</v>
      </c>
      <c r="L164" s="275">
        <f t="shared" si="51"/>
        <v>0</v>
      </c>
      <c r="M164" s="275">
        <f t="shared" si="45"/>
        <v>0</v>
      </c>
      <c r="N164" s="276">
        <f t="shared" si="46"/>
        <v>0</v>
      </c>
      <c r="O164" s="276">
        <f t="shared" si="47"/>
        <v>0</v>
      </c>
      <c r="P164" s="276">
        <f t="shared" si="52"/>
        <v>0</v>
      </c>
      <c r="Q164" s="276">
        <f t="shared" si="53"/>
        <v>0</v>
      </c>
      <c r="R164" s="329">
        <f t="shared" si="48"/>
        <v>0</v>
      </c>
      <c r="S164" s="273"/>
      <c r="T164" s="274" t="str">
        <f>IF(ISNA(VLOOKUP(D164,'One year follow-up_inperson'!$C:$C,1,FALSE)),"No","Yes")</f>
        <v>No</v>
      </c>
      <c r="U164" s="592" t="s">
        <v>679</v>
      </c>
    </row>
    <row r="165" spans="1:21" ht="40.5">
      <c r="A165" s="368">
        <v>164</v>
      </c>
      <c r="B165" s="182" t="s">
        <v>493</v>
      </c>
      <c r="C165" s="182" t="str">
        <f t="shared" si="49"/>
        <v>290</v>
      </c>
      <c r="D165" s="556" t="s">
        <v>476</v>
      </c>
      <c r="E165" s="182" t="s">
        <v>497</v>
      </c>
      <c r="F165" s="183" t="s">
        <v>2</v>
      </c>
      <c r="G165" s="557">
        <v>28</v>
      </c>
      <c r="H165" s="182" t="s">
        <v>3</v>
      </c>
      <c r="I165" s="558" t="s">
        <v>514</v>
      </c>
      <c r="J165" s="275">
        <f t="shared" si="44"/>
        <v>0</v>
      </c>
      <c r="K165" s="275">
        <f t="shared" si="50"/>
        <v>0</v>
      </c>
      <c r="L165" s="275">
        <f t="shared" si="51"/>
        <v>0</v>
      </c>
      <c r="M165" s="275">
        <f t="shared" si="45"/>
        <v>0</v>
      </c>
      <c r="N165" s="276">
        <f t="shared" si="46"/>
        <v>0</v>
      </c>
      <c r="O165" s="276">
        <f t="shared" si="47"/>
        <v>1</v>
      </c>
      <c r="P165" s="276">
        <f t="shared" si="52"/>
        <v>0</v>
      </c>
      <c r="Q165" s="276">
        <f t="shared" si="53"/>
        <v>0</v>
      </c>
      <c r="R165" s="329">
        <f t="shared" si="48"/>
        <v>1</v>
      </c>
      <c r="S165" s="273"/>
      <c r="T165" s="274" t="str">
        <f>IF(ISNA(VLOOKUP(D165,'One year follow-up_inperson'!$C:$C,1,FALSE)),"No","Yes")</f>
        <v>No</v>
      </c>
      <c r="U165" s="592" t="s">
        <v>679</v>
      </c>
    </row>
    <row r="166" spans="1:21" ht="40.5">
      <c r="A166" s="368">
        <v>165</v>
      </c>
      <c r="B166" s="182" t="s">
        <v>493</v>
      </c>
      <c r="C166" s="182" t="str">
        <f t="shared" si="49"/>
        <v>290</v>
      </c>
      <c r="D166" s="556" t="s">
        <v>477</v>
      </c>
      <c r="E166" s="182" t="s">
        <v>498</v>
      </c>
      <c r="F166" s="183" t="s">
        <v>2</v>
      </c>
      <c r="G166" s="557">
        <v>24</v>
      </c>
      <c r="H166" s="182" t="s">
        <v>3</v>
      </c>
      <c r="I166" s="558" t="s">
        <v>515</v>
      </c>
      <c r="J166" s="275">
        <f t="shared" si="44"/>
        <v>0</v>
      </c>
      <c r="K166" s="275">
        <f t="shared" si="50"/>
        <v>0</v>
      </c>
      <c r="L166" s="275">
        <f t="shared" si="51"/>
        <v>0</v>
      </c>
      <c r="M166" s="275">
        <f t="shared" si="45"/>
        <v>0</v>
      </c>
      <c r="N166" s="276">
        <f t="shared" si="46"/>
        <v>0</v>
      </c>
      <c r="O166" s="276">
        <f t="shared" si="47"/>
        <v>0</v>
      </c>
      <c r="P166" s="276">
        <f t="shared" si="52"/>
        <v>0</v>
      </c>
      <c r="Q166" s="276">
        <f t="shared" si="53"/>
        <v>0</v>
      </c>
      <c r="R166" s="329">
        <f t="shared" si="48"/>
        <v>0</v>
      </c>
      <c r="S166" s="273"/>
      <c r="T166" s="274" t="str">
        <f>IF(ISNA(VLOOKUP(D166,'One year follow-up_inperson'!$C:$C,1,FALSE)),"No","Yes")</f>
        <v>No</v>
      </c>
      <c r="U166" s="592" t="s">
        <v>679</v>
      </c>
    </row>
    <row r="167" spans="1:21" ht="121.5">
      <c r="A167" s="368">
        <v>166</v>
      </c>
      <c r="B167" s="182" t="s">
        <v>493</v>
      </c>
      <c r="C167" s="182" t="str">
        <f t="shared" si="49"/>
        <v>290</v>
      </c>
      <c r="D167" s="556" t="s">
        <v>478</v>
      </c>
      <c r="E167" s="182" t="s">
        <v>499</v>
      </c>
      <c r="F167" s="183" t="s">
        <v>2</v>
      </c>
      <c r="G167" s="557">
        <v>22</v>
      </c>
      <c r="H167" s="182" t="s">
        <v>3</v>
      </c>
      <c r="I167" s="558" t="s">
        <v>523</v>
      </c>
      <c r="J167" s="275">
        <f t="shared" si="44"/>
        <v>0</v>
      </c>
      <c r="K167" s="275">
        <f t="shared" si="50"/>
        <v>1</v>
      </c>
      <c r="L167" s="275">
        <f t="shared" si="51"/>
        <v>0</v>
      </c>
      <c r="M167" s="275">
        <f t="shared" si="45"/>
        <v>1</v>
      </c>
      <c r="N167" s="276">
        <f t="shared" si="46"/>
        <v>1</v>
      </c>
      <c r="O167" s="276">
        <f t="shared" si="47"/>
        <v>0</v>
      </c>
      <c r="P167" s="276">
        <f t="shared" si="52"/>
        <v>0</v>
      </c>
      <c r="Q167" s="276">
        <f t="shared" si="53"/>
        <v>0</v>
      </c>
      <c r="R167" s="329">
        <f t="shared" si="48"/>
        <v>1</v>
      </c>
      <c r="S167" s="273"/>
      <c r="T167" s="274" t="str">
        <f>IF(ISNA(VLOOKUP(D167,'One year follow-up_inperson'!$C:$C,1,FALSE)),"No","Yes")</f>
        <v>No</v>
      </c>
      <c r="U167" s="592" t="s">
        <v>679</v>
      </c>
    </row>
    <row r="168" spans="1:21" ht="94.5">
      <c r="A168" s="368">
        <v>167</v>
      </c>
      <c r="B168" s="182" t="s">
        <v>493</v>
      </c>
      <c r="C168" s="182" t="str">
        <f t="shared" si="49"/>
        <v>290</v>
      </c>
      <c r="D168" s="556" t="s">
        <v>479</v>
      </c>
      <c r="E168" s="182" t="s">
        <v>500</v>
      </c>
      <c r="F168" s="183" t="s">
        <v>2</v>
      </c>
      <c r="G168" s="557">
        <v>21</v>
      </c>
      <c r="H168" s="182" t="s">
        <v>3</v>
      </c>
      <c r="I168" s="558" t="s">
        <v>664</v>
      </c>
      <c r="J168" s="275">
        <f t="shared" si="44"/>
        <v>1</v>
      </c>
      <c r="K168" s="275">
        <f t="shared" si="50"/>
        <v>0</v>
      </c>
      <c r="L168" s="275">
        <f t="shared" si="51"/>
        <v>0</v>
      </c>
      <c r="M168" s="275">
        <f t="shared" si="45"/>
        <v>1</v>
      </c>
      <c r="N168" s="276">
        <f t="shared" si="46"/>
        <v>0</v>
      </c>
      <c r="O168" s="276">
        <f t="shared" si="47"/>
        <v>0</v>
      </c>
      <c r="P168" s="276">
        <f t="shared" si="52"/>
        <v>0</v>
      </c>
      <c r="Q168" s="276">
        <f t="shared" si="53"/>
        <v>0</v>
      </c>
      <c r="R168" s="329">
        <f t="shared" si="48"/>
        <v>1</v>
      </c>
      <c r="S168" s="273"/>
      <c r="T168" s="274" t="str">
        <f>IF(ISNA(VLOOKUP(D168,'One year follow-up_inperson'!$C:$C,1,FALSE)),"No","Yes")</f>
        <v>No</v>
      </c>
      <c r="U168" s="592" t="s">
        <v>679</v>
      </c>
    </row>
    <row r="169" spans="1:21" ht="94.5">
      <c r="A169" s="368">
        <v>168</v>
      </c>
      <c r="B169" s="182" t="s">
        <v>493</v>
      </c>
      <c r="C169" s="182" t="str">
        <f t="shared" si="49"/>
        <v>290</v>
      </c>
      <c r="D169" s="556" t="s">
        <v>480</v>
      </c>
      <c r="E169" s="182" t="s">
        <v>501</v>
      </c>
      <c r="F169" s="183" t="s">
        <v>2</v>
      </c>
      <c r="G169" s="182">
        <v>18</v>
      </c>
      <c r="H169" s="182" t="s">
        <v>3</v>
      </c>
      <c r="I169" s="558" t="s">
        <v>516</v>
      </c>
      <c r="J169" s="275">
        <f t="shared" si="44"/>
        <v>0</v>
      </c>
      <c r="K169" s="275">
        <f t="shared" si="50"/>
        <v>0</v>
      </c>
      <c r="L169" s="275">
        <f t="shared" si="51"/>
        <v>0</v>
      </c>
      <c r="M169" s="275">
        <f t="shared" si="45"/>
        <v>0</v>
      </c>
      <c r="N169" s="276">
        <f t="shared" si="46"/>
        <v>0</v>
      </c>
      <c r="O169" s="276">
        <f t="shared" si="47"/>
        <v>0</v>
      </c>
      <c r="P169" s="276">
        <f t="shared" si="52"/>
        <v>0</v>
      </c>
      <c r="Q169" s="276">
        <f t="shared" si="53"/>
        <v>0</v>
      </c>
      <c r="R169" s="329">
        <f t="shared" si="48"/>
        <v>0</v>
      </c>
      <c r="S169" s="273"/>
      <c r="T169" s="274" t="str">
        <f>IF(ISNA(VLOOKUP(D169,'One year follow-up_inperson'!$C:$C,1,FALSE)),"No","Yes")</f>
        <v>No</v>
      </c>
      <c r="U169" s="592" t="s">
        <v>679</v>
      </c>
    </row>
    <row r="170" spans="1:21" ht="81">
      <c r="A170" s="368">
        <v>169</v>
      </c>
      <c r="B170" s="182" t="s">
        <v>493</v>
      </c>
      <c r="C170" s="182" t="str">
        <f t="shared" si="49"/>
        <v>290</v>
      </c>
      <c r="D170" s="556" t="s">
        <v>481</v>
      </c>
      <c r="E170" s="182" t="s">
        <v>502</v>
      </c>
      <c r="F170" s="183" t="s">
        <v>2</v>
      </c>
      <c r="G170" s="557">
        <v>17</v>
      </c>
      <c r="H170" s="182" t="s">
        <v>3</v>
      </c>
      <c r="I170" s="558" t="s">
        <v>524</v>
      </c>
      <c r="J170" s="275">
        <f t="shared" ref="J170:J233" si="54">IF(OR(ISNUMBER(SEARCH("confidence",I170))=TRUE,ISNUMBER(SEARCH("hope for the future",I170))=TRUE,ISNUMBER(SEARCH("communicate",I170))=TRUE,ISNUMBER(SEARCH("worthy",I170))=TRUE,ISNUMBER(SEARCH("thought",I170))=TRUE,ISNUMBER(SEARCH("open",I170))=TRUE,ISNUMBER(SEARCH("believe",I170))=TRUE,ISNUMBER(SEARCH("confident",I170))=TRUE,ISNUMBER(SEARCH("empower",I170))=TRUE),1,0)</f>
        <v>1</v>
      </c>
      <c r="K170" s="275">
        <f t="shared" si="50"/>
        <v>0</v>
      </c>
      <c r="L170" s="275">
        <f t="shared" si="51"/>
        <v>0</v>
      </c>
      <c r="M170" s="275">
        <f t="shared" si="45"/>
        <v>1</v>
      </c>
      <c r="N170" s="276">
        <f t="shared" si="46"/>
        <v>0</v>
      </c>
      <c r="O170" s="276">
        <f t="shared" si="47"/>
        <v>0</v>
      </c>
      <c r="P170" s="276">
        <f t="shared" si="52"/>
        <v>0</v>
      </c>
      <c r="Q170" s="276">
        <f t="shared" si="53"/>
        <v>0</v>
      </c>
      <c r="R170" s="329">
        <f t="shared" si="48"/>
        <v>1</v>
      </c>
      <c r="S170" s="273"/>
      <c r="T170" s="274" t="str">
        <f>IF(ISNA(VLOOKUP(D170,'One year follow-up_inperson'!$C:$C,1,FALSE)),"No","Yes")</f>
        <v>No</v>
      </c>
      <c r="U170" s="592" t="s">
        <v>679</v>
      </c>
    </row>
    <row r="171" spans="1:21" ht="162">
      <c r="A171" s="368">
        <v>170</v>
      </c>
      <c r="B171" s="182" t="s">
        <v>493</v>
      </c>
      <c r="C171" s="182" t="str">
        <f t="shared" si="49"/>
        <v>290</v>
      </c>
      <c r="D171" s="556" t="s">
        <v>482</v>
      </c>
      <c r="E171" s="182" t="s">
        <v>503</v>
      </c>
      <c r="F171" s="183" t="s">
        <v>2</v>
      </c>
      <c r="G171" s="557">
        <v>20</v>
      </c>
      <c r="H171" s="182" t="s">
        <v>3</v>
      </c>
      <c r="I171" s="558" t="s">
        <v>663</v>
      </c>
      <c r="J171" s="275">
        <f t="shared" si="54"/>
        <v>1</v>
      </c>
      <c r="K171" s="275">
        <f t="shared" si="50"/>
        <v>0</v>
      </c>
      <c r="L171" s="275">
        <f t="shared" si="51"/>
        <v>0</v>
      </c>
      <c r="M171" s="275">
        <f t="shared" ref="M171:M234" si="55">IF(OR(J171=1,K171=1,L171=1),1,0)</f>
        <v>1</v>
      </c>
      <c r="N171" s="276">
        <f t="shared" ref="N171:N234" si="56">IF(OR(ISNUMBER(SEARCH("started a business",I171))=TRUE,ISNUMBER(SEARCH("started an income generating activity",I171))=TRUE,ISNUMBER(SEARCH("a business",I171))=TRUE),1,0)</f>
        <v>0</v>
      </c>
      <c r="O171" s="276">
        <f t="shared" ref="O171:O234" si="57">IF(OR(ISNUMBER(SEARCH("got a job",I171))=TRUE,ISNUMBER(SEARCH("got an internship",I171))=TRUE,ISNUMBER(SEARCH("got a promotion",I171))=TRUE),1,0)</f>
        <v>0</v>
      </c>
      <c r="P171" s="276">
        <f t="shared" si="52"/>
        <v>0</v>
      </c>
      <c r="Q171" s="276">
        <f t="shared" si="53"/>
        <v>0</v>
      </c>
      <c r="R171" s="329">
        <f t="shared" ref="R171:R234" si="58">IF(OR(M171=1,N171=1,O171=1,P171=1,Q171=1),1,0)</f>
        <v>1</v>
      </c>
      <c r="S171" s="273"/>
      <c r="T171" s="274" t="str">
        <f>IF(ISNA(VLOOKUP(D171,'One year follow-up_inperson'!$C:$C,1,FALSE)),"No","Yes")</f>
        <v>No</v>
      </c>
      <c r="U171" s="592" t="s">
        <v>679</v>
      </c>
    </row>
    <row r="172" spans="1:21" ht="94.5">
      <c r="A172" s="368">
        <v>171</v>
      </c>
      <c r="B172" s="182" t="s">
        <v>493</v>
      </c>
      <c r="C172" s="182" t="str">
        <f t="shared" si="49"/>
        <v>290</v>
      </c>
      <c r="D172" s="556" t="s">
        <v>483</v>
      </c>
      <c r="E172" s="182" t="s">
        <v>504</v>
      </c>
      <c r="F172" s="183" t="s">
        <v>2</v>
      </c>
      <c r="G172" s="557">
        <v>19</v>
      </c>
      <c r="H172" s="182" t="s">
        <v>3</v>
      </c>
      <c r="I172" s="558" t="s">
        <v>525</v>
      </c>
      <c r="J172" s="275">
        <f t="shared" si="54"/>
        <v>0</v>
      </c>
      <c r="K172" s="275">
        <f t="shared" si="50"/>
        <v>1</v>
      </c>
      <c r="L172" s="275">
        <f t="shared" si="51"/>
        <v>0</v>
      </c>
      <c r="M172" s="275">
        <f t="shared" si="55"/>
        <v>1</v>
      </c>
      <c r="N172" s="276">
        <f t="shared" si="56"/>
        <v>1</v>
      </c>
      <c r="O172" s="276">
        <f t="shared" si="57"/>
        <v>0</v>
      </c>
      <c r="P172" s="276">
        <f t="shared" si="52"/>
        <v>0</v>
      </c>
      <c r="Q172" s="276">
        <f t="shared" si="53"/>
        <v>0</v>
      </c>
      <c r="R172" s="329">
        <f t="shared" si="58"/>
        <v>1</v>
      </c>
      <c r="S172" s="273"/>
      <c r="T172" s="274" t="str">
        <f>IF(ISNA(VLOOKUP(D172,'One year follow-up_inperson'!$C:$C,1,FALSE)),"No","Yes")</f>
        <v>No</v>
      </c>
      <c r="U172" s="592" t="s">
        <v>679</v>
      </c>
    </row>
    <row r="173" spans="1:21" ht="15">
      <c r="A173" s="368">
        <v>172</v>
      </c>
      <c r="B173" s="182" t="s">
        <v>493</v>
      </c>
      <c r="C173" s="182" t="str">
        <f t="shared" si="49"/>
        <v>290</v>
      </c>
      <c r="D173" s="556" t="s">
        <v>484</v>
      </c>
      <c r="E173" s="182" t="s">
        <v>505</v>
      </c>
      <c r="F173" s="183" t="s">
        <v>2</v>
      </c>
      <c r="G173" s="557">
        <v>19</v>
      </c>
      <c r="H173" s="182" t="s">
        <v>5</v>
      </c>
      <c r="I173" s="558"/>
      <c r="J173" s="275">
        <f t="shared" si="54"/>
        <v>0</v>
      </c>
      <c r="K173" s="275">
        <f t="shared" si="50"/>
        <v>0</v>
      </c>
      <c r="L173" s="275">
        <f t="shared" si="51"/>
        <v>0</v>
      </c>
      <c r="M173" s="275">
        <f t="shared" si="55"/>
        <v>0</v>
      </c>
      <c r="N173" s="276">
        <f t="shared" si="56"/>
        <v>0</v>
      </c>
      <c r="O173" s="276">
        <f t="shared" si="57"/>
        <v>0</v>
      </c>
      <c r="P173" s="276">
        <f t="shared" si="52"/>
        <v>0</v>
      </c>
      <c r="Q173" s="276">
        <f t="shared" si="53"/>
        <v>0</v>
      </c>
      <c r="R173" s="329">
        <f t="shared" si="58"/>
        <v>0</v>
      </c>
      <c r="S173" s="273"/>
      <c r="T173" s="274" t="str">
        <f>IF(ISNA(VLOOKUP(D173,'One year follow-up_inperson'!$C:$C,1,FALSE)),"No","Yes")</f>
        <v>No</v>
      </c>
      <c r="U173" s="592" t="s">
        <v>679</v>
      </c>
    </row>
    <row r="174" spans="1:21" ht="108">
      <c r="A174" s="368">
        <v>173</v>
      </c>
      <c r="B174" s="182" t="s">
        <v>493</v>
      </c>
      <c r="C174" s="182" t="str">
        <f t="shared" si="49"/>
        <v>290</v>
      </c>
      <c r="D174" s="556" t="s">
        <v>485</v>
      </c>
      <c r="E174" s="182" t="s">
        <v>506</v>
      </c>
      <c r="F174" s="183" t="s">
        <v>2</v>
      </c>
      <c r="G174" s="557">
        <v>19</v>
      </c>
      <c r="H174" s="182" t="s">
        <v>3</v>
      </c>
      <c r="I174" s="558" t="s">
        <v>662</v>
      </c>
      <c r="J174" s="275">
        <f t="shared" si="54"/>
        <v>0</v>
      </c>
      <c r="K174" s="275">
        <f t="shared" si="50"/>
        <v>1</v>
      </c>
      <c r="L174" s="275">
        <f t="shared" si="51"/>
        <v>0</v>
      </c>
      <c r="M174" s="275">
        <f t="shared" si="55"/>
        <v>1</v>
      </c>
      <c r="N174" s="276">
        <f t="shared" si="56"/>
        <v>0</v>
      </c>
      <c r="O174" s="276">
        <f t="shared" si="57"/>
        <v>0</v>
      </c>
      <c r="P174" s="276">
        <f t="shared" si="52"/>
        <v>0</v>
      </c>
      <c r="Q174" s="276">
        <f t="shared" si="53"/>
        <v>1</v>
      </c>
      <c r="R174" s="329">
        <f t="shared" si="58"/>
        <v>1</v>
      </c>
      <c r="S174" s="273"/>
      <c r="T174" s="274" t="str">
        <f>IF(ISNA(VLOOKUP(D174,'One year follow-up_inperson'!$C:$C,1,FALSE)),"No","Yes")</f>
        <v>No</v>
      </c>
      <c r="U174" s="592" t="s">
        <v>679</v>
      </c>
    </row>
    <row r="175" spans="1:21" ht="121.5">
      <c r="A175" s="368">
        <v>174</v>
      </c>
      <c r="B175" s="182" t="s">
        <v>493</v>
      </c>
      <c r="C175" s="182" t="str">
        <f t="shared" si="49"/>
        <v>290</v>
      </c>
      <c r="D175" s="556" t="s">
        <v>486</v>
      </c>
      <c r="E175" s="182" t="s">
        <v>507</v>
      </c>
      <c r="F175" s="183" t="s">
        <v>2</v>
      </c>
      <c r="G175" s="557">
        <v>18</v>
      </c>
      <c r="H175" s="182" t="s">
        <v>3</v>
      </c>
      <c r="I175" s="558" t="s">
        <v>526</v>
      </c>
      <c r="J175" s="275">
        <f t="shared" si="54"/>
        <v>1</v>
      </c>
      <c r="K175" s="275">
        <f t="shared" si="50"/>
        <v>0</v>
      </c>
      <c r="L175" s="275">
        <f t="shared" si="51"/>
        <v>0</v>
      </c>
      <c r="M175" s="275">
        <f t="shared" si="55"/>
        <v>1</v>
      </c>
      <c r="N175" s="276">
        <f t="shared" si="56"/>
        <v>0</v>
      </c>
      <c r="O175" s="276">
        <f t="shared" si="57"/>
        <v>0</v>
      </c>
      <c r="P175" s="276">
        <f t="shared" si="52"/>
        <v>0</v>
      </c>
      <c r="Q175" s="276">
        <f t="shared" si="53"/>
        <v>1</v>
      </c>
      <c r="R175" s="329">
        <f t="shared" si="58"/>
        <v>1</v>
      </c>
      <c r="S175" s="273"/>
      <c r="T175" s="274" t="str">
        <f>IF(ISNA(VLOOKUP(D175,'One year follow-up_inperson'!$C:$C,1,FALSE)),"No","Yes")</f>
        <v>No</v>
      </c>
      <c r="U175" s="592" t="s">
        <v>679</v>
      </c>
    </row>
    <row r="176" spans="1:21" ht="40.5">
      <c r="A176" s="368">
        <v>175</v>
      </c>
      <c r="B176" s="182" t="s">
        <v>493</v>
      </c>
      <c r="C176" s="182" t="str">
        <f t="shared" si="49"/>
        <v>290</v>
      </c>
      <c r="D176" s="556" t="s">
        <v>487</v>
      </c>
      <c r="E176" s="182" t="s">
        <v>508</v>
      </c>
      <c r="F176" s="183" t="s">
        <v>2</v>
      </c>
      <c r="G176" s="557">
        <v>20</v>
      </c>
      <c r="H176" s="182" t="s">
        <v>3</v>
      </c>
      <c r="I176" s="558" t="s">
        <v>517</v>
      </c>
      <c r="J176" s="275">
        <f t="shared" si="54"/>
        <v>1</v>
      </c>
      <c r="K176" s="275">
        <f t="shared" si="50"/>
        <v>0</v>
      </c>
      <c r="L176" s="275">
        <f t="shared" si="51"/>
        <v>0</v>
      </c>
      <c r="M176" s="275">
        <f t="shared" si="55"/>
        <v>1</v>
      </c>
      <c r="N176" s="276">
        <f t="shared" si="56"/>
        <v>0</v>
      </c>
      <c r="O176" s="276">
        <f t="shared" si="57"/>
        <v>0</v>
      </c>
      <c r="P176" s="276">
        <f t="shared" si="52"/>
        <v>0</v>
      </c>
      <c r="Q176" s="276">
        <f t="shared" si="53"/>
        <v>0</v>
      </c>
      <c r="R176" s="329">
        <f t="shared" si="58"/>
        <v>1</v>
      </c>
      <c r="S176" s="273"/>
      <c r="T176" s="274" t="str">
        <f>IF(ISNA(VLOOKUP(D176,'One year follow-up_inperson'!$C:$C,1,FALSE)),"No","Yes")</f>
        <v>No</v>
      </c>
      <c r="U176" s="592" t="s">
        <v>679</v>
      </c>
    </row>
    <row r="177" spans="1:21" ht="54">
      <c r="A177" s="368">
        <v>176</v>
      </c>
      <c r="B177" s="182" t="s">
        <v>493</v>
      </c>
      <c r="C177" s="182" t="str">
        <f t="shared" si="49"/>
        <v>290</v>
      </c>
      <c r="D177" s="556" t="s">
        <v>488</v>
      </c>
      <c r="E177" s="182" t="s">
        <v>509</v>
      </c>
      <c r="F177" s="183" t="s">
        <v>2</v>
      </c>
      <c r="G177" s="557">
        <v>20</v>
      </c>
      <c r="H177" s="182" t="s">
        <v>3</v>
      </c>
      <c r="I177" s="558" t="s">
        <v>518</v>
      </c>
      <c r="J177" s="275">
        <f t="shared" si="54"/>
        <v>1</v>
      </c>
      <c r="K177" s="275">
        <f t="shared" si="50"/>
        <v>0</v>
      </c>
      <c r="L177" s="275">
        <f t="shared" si="51"/>
        <v>0</v>
      </c>
      <c r="M177" s="275">
        <f t="shared" si="55"/>
        <v>1</v>
      </c>
      <c r="N177" s="276">
        <f t="shared" si="56"/>
        <v>0</v>
      </c>
      <c r="O177" s="276">
        <f t="shared" si="57"/>
        <v>0</v>
      </c>
      <c r="P177" s="276">
        <f t="shared" si="52"/>
        <v>0</v>
      </c>
      <c r="Q177" s="276">
        <f t="shared" si="53"/>
        <v>0</v>
      </c>
      <c r="R177" s="329">
        <f t="shared" si="58"/>
        <v>1</v>
      </c>
      <c r="S177" s="273"/>
      <c r="T177" s="274" t="str">
        <f>IF(ISNA(VLOOKUP(D177,'One year follow-up_inperson'!$C:$C,1,FALSE)),"No","Yes")</f>
        <v>No</v>
      </c>
      <c r="U177" s="592" t="s">
        <v>679</v>
      </c>
    </row>
    <row r="178" spans="1:21" ht="67.5">
      <c r="A178" s="368">
        <v>177</v>
      </c>
      <c r="B178" s="182" t="s">
        <v>493</v>
      </c>
      <c r="C178" s="182" t="str">
        <f t="shared" si="49"/>
        <v>290</v>
      </c>
      <c r="D178" s="556" t="s">
        <v>489</v>
      </c>
      <c r="E178" s="182" t="s">
        <v>510</v>
      </c>
      <c r="F178" s="183" t="s">
        <v>2</v>
      </c>
      <c r="G178" s="557">
        <v>23</v>
      </c>
      <c r="H178" s="182" t="s">
        <v>3</v>
      </c>
      <c r="I178" s="558" t="s">
        <v>661</v>
      </c>
      <c r="J178" s="275">
        <f t="shared" si="54"/>
        <v>1</v>
      </c>
      <c r="K178" s="275">
        <f t="shared" si="50"/>
        <v>0</v>
      </c>
      <c r="L178" s="275">
        <f t="shared" si="51"/>
        <v>0</v>
      </c>
      <c r="M178" s="275">
        <f t="shared" si="55"/>
        <v>1</v>
      </c>
      <c r="N178" s="276">
        <f t="shared" si="56"/>
        <v>0</v>
      </c>
      <c r="O178" s="276">
        <f t="shared" si="57"/>
        <v>0</v>
      </c>
      <c r="P178" s="276">
        <f t="shared" si="52"/>
        <v>0</v>
      </c>
      <c r="Q178" s="276">
        <f t="shared" si="53"/>
        <v>0</v>
      </c>
      <c r="R178" s="329">
        <f t="shared" si="58"/>
        <v>1</v>
      </c>
      <c r="S178" s="273"/>
      <c r="T178" s="274" t="str">
        <f>IF(ISNA(VLOOKUP(D178,'One year follow-up_inperson'!$C:$C,1,FALSE)),"No","Yes")</f>
        <v>No</v>
      </c>
      <c r="U178" s="592" t="s">
        <v>679</v>
      </c>
    </row>
    <row r="179" spans="1:21" ht="15">
      <c r="A179" s="368">
        <v>178</v>
      </c>
      <c r="B179" s="182" t="s">
        <v>493</v>
      </c>
      <c r="C179" s="182" t="str">
        <f t="shared" si="49"/>
        <v>290</v>
      </c>
      <c r="D179" s="556" t="s">
        <v>490</v>
      </c>
      <c r="E179" s="182" t="s">
        <v>511</v>
      </c>
      <c r="F179" s="183" t="s">
        <v>2</v>
      </c>
      <c r="G179" s="557">
        <v>19</v>
      </c>
      <c r="H179" s="182" t="s">
        <v>5</v>
      </c>
      <c r="I179" s="558"/>
      <c r="J179" s="275">
        <f t="shared" si="54"/>
        <v>0</v>
      </c>
      <c r="K179" s="275">
        <f t="shared" si="50"/>
        <v>0</v>
      </c>
      <c r="L179" s="275">
        <f t="shared" si="51"/>
        <v>0</v>
      </c>
      <c r="M179" s="275">
        <f t="shared" si="55"/>
        <v>0</v>
      </c>
      <c r="N179" s="276">
        <f t="shared" si="56"/>
        <v>0</v>
      </c>
      <c r="O179" s="276">
        <f t="shared" si="57"/>
        <v>0</v>
      </c>
      <c r="P179" s="276">
        <f t="shared" si="52"/>
        <v>0</v>
      </c>
      <c r="Q179" s="276">
        <f t="shared" si="53"/>
        <v>0</v>
      </c>
      <c r="R179" s="329">
        <f t="shared" si="58"/>
        <v>0</v>
      </c>
      <c r="S179" s="273"/>
      <c r="T179" s="274" t="str">
        <f>IF(ISNA(VLOOKUP(D179,'One year follow-up_inperson'!$C:$C,1,FALSE)),"No","Yes")</f>
        <v>No</v>
      </c>
      <c r="U179" s="592" t="s">
        <v>679</v>
      </c>
    </row>
    <row r="180" spans="1:21" ht="27">
      <c r="A180" s="368">
        <v>179</v>
      </c>
      <c r="B180" s="182" t="s">
        <v>493</v>
      </c>
      <c r="C180" s="182" t="str">
        <f t="shared" si="49"/>
        <v>290</v>
      </c>
      <c r="D180" s="556" t="s">
        <v>491</v>
      </c>
      <c r="E180" s="182" t="s">
        <v>512</v>
      </c>
      <c r="F180" s="183" t="s">
        <v>2</v>
      </c>
      <c r="G180" s="557">
        <v>24</v>
      </c>
      <c r="H180" s="182" t="s">
        <v>3</v>
      </c>
      <c r="I180" s="558" t="s">
        <v>519</v>
      </c>
      <c r="J180" s="275">
        <f t="shared" si="54"/>
        <v>0</v>
      </c>
      <c r="K180" s="275">
        <f t="shared" si="50"/>
        <v>0</v>
      </c>
      <c r="L180" s="275">
        <f t="shared" si="51"/>
        <v>0</v>
      </c>
      <c r="M180" s="275">
        <f t="shared" si="55"/>
        <v>0</v>
      </c>
      <c r="N180" s="276">
        <f t="shared" si="56"/>
        <v>0</v>
      </c>
      <c r="O180" s="276">
        <f t="shared" si="57"/>
        <v>1</v>
      </c>
      <c r="P180" s="276">
        <f t="shared" si="52"/>
        <v>0</v>
      </c>
      <c r="Q180" s="276">
        <f t="shared" si="53"/>
        <v>0</v>
      </c>
      <c r="R180" s="329">
        <f t="shared" si="58"/>
        <v>1</v>
      </c>
      <c r="S180" s="273"/>
      <c r="T180" s="274" t="str">
        <f>IF(ISNA(VLOOKUP(D180,'One year follow-up_inperson'!$C:$C,1,FALSE)),"No","Yes")</f>
        <v>No</v>
      </c>
      <c r="U180" s="592" t="s">
        <v>679</v>
      </c>
    </row>
    <row r="181" spans="1:21" ht="135">
      <c r="A181" s="368">
        <v>180</v>
      </c>
      <c r="B181" s="182" t="s">
        <v>493</v>
      </c>
      <c r="C181" s="182" t="str">
        <f t="shared" si="49"/>
        <v>290</v>
      </c>
      <c r="D181" s="556" t="s">
        <v>492</v>
      </c>
      <c r="E181" s="182" t="s">
        <v>513</v>
      </c>
      <c r="F181" s="183" t="s">
        <v>2</v>
      </c>
      <c r="G181" s="557">
        <v>23</v>
      </c>
      <c r="H181" s="182" t="s">
        <v>3</v>
      </c>
      <c r="I181" s="558" t="s">
        <v>527</v>
      </c>
      <c r="J181" s="275">
        <f t="shared" si="54"/>
        <v>0</v>
      </c>
      <c r="K181" s="275">
        <f t="shared" si="50"/>
        <v>0</v>
      </c>
      <c r="L181" s="275">
        <f t="shared" si="51"/>
        <v>0</v>
      </c>
      <c r="M181" s="275">
        <f t="shared" si="55"/>
        <v>0</v>
      </c>
      <c r="N181" s="276">
        <f t="shared" si="56"/>
        <v>0</v>
      </c>
      <c r="O181" s="276">
        <f t="shared" si="57"/>
        <v>0</v>
      </c>
      <c r="P181" s="276">
        <f t="shared" si="52"/>
        <v>0</v>
      </c>
      <c r="Q181" s="276">
        <f t="shared" si="53"/>
        <v>1</v>
      </c>
      <c r="R181" s="329">
        <f t="shared" si="58"/>
        <v>1</v>
      </c>
      <c r="S181" s="273"/>
      <c r="T181" s="274" t="str">
        <f>IF(ISNA(VLOOKUP(D181,'One year follow-up_inperson'!$C:$C,1,FALSE)),"No","Yes")</f>
        <v>No</v>
      </c>
      <c r="U181" s="592" t="s">
        <v>679</v>
      </c>
    </row>
    <row r="182" spans="1:21" ht="299.25">
      <c r="A182" s="368">
        <v>181</v>
      </c>
      <c r="B182" s="182" t="s">
        <v>371</v>
      </c>
      <c r="C182" s="182" t="str">
        <f t="shared" si="49"/>
        <v>291</v>
      </c>
      <c r="D182" s="559">
        <v>291</v>
      </c>
      <c r="E182" s="182" t="s">
        <v>528</v>
      </c>
      <c r="F182" s="183" t="s">
        <v>2</v>
      </c>
      <c r="G182" s="182">
        <v>18</v>
      </c>
      <c r="H182" s="182" t="s">
        <v>3</v>
      </c>
      <c r="I182" s="560" t="s">
        <v>589</v>
      </c>
      <c r="J182" s="275">
        <f t="shared" si="54"/>
        <v>1</v>
      </c>
      <c r="K182" s="275">
        <f t="shared" si="50"/>
        <v>0</v>
      </c>
      <c r="L182" s="275">
        <f t="shared" si="51"/>
        <v>0</v>
      </c>
      <c r="M182" s="275">
        <f t="shared" si="55"/>
        <v>1</v>
      </c>
      <c r="N182" s="276">
        <f t="shared" si="56"/>
        <v>0</v>
      </c>
      <c r="O182" s="276">
        <f t="shared" si="57"/>
        <v>0</v>
      </c>
      <c r="P182" s="276">
        <f t="shared" si="52"/>
        <v>0</v>
      </c>
      <c r="Q182" s="276">
        <f t="shared" si="53"/>
        <v>0</v>
      </c>
      <c r="R182" s="329">
        <f t="shared" si="58"/>
        <v>1</v>
      </c>
      <c r="S182" s="273"/>
      <c r="T182" s="274" t="str">
        <f>IF(ISNA(VLOOKUP(D182,'One year follow-up_inperson'!$C:$C,1,FALSE)),"No","Yes")</f>
        <v>No</v>
      </c>
      <c r="U182" s="592" t="s">
        <v>679</v>
      </c>
    </row>
    <row r="183" spans="1:21" ht="356.25">
      <c r="A183" s="368">
        <v>182</v>
      </c>
      <c r="B183" s="182" t="s">
        <v>493</v>
      </c>
      <c r="C183" s="182" t="str">
        <f t="shared" si="49"/>
        <v>291</v>
      </c>
      <c r="D183" s="559">
        <v>291</v>
      </c>
      <c r="E183" s="182" t="s">
        <v>529</v>
      </c>
      <c r="F183" s="183" t="s">
        <v>2</v>
      </c>
      <c r="G183" s="182">
        <v>19</v>
      </c>
      <c r="H183" s="182" t="s">
        <v>3</v>
      </c>
      <c r="I183" s="560" t="s">
        <v>660</v>
      </c>
      <c r="J183" s="275">
        <f t="shared" si="54"/>
        <v>0</v>
      </c>
      <c r="K183" s="275">
        <f t="shared" si="50"/>
        <v>0</v>
      </c>
      <c r="L183" s="275">
        <f t="shared" si="51"/>
        <v>0</v>
      </c>
      <c r="M183" s="275">
        <f t="shared" si="55"/>
        <v>0</v>
      </c>
      <c r="N183" s="276">
        <f t="shared" si="56"/>
        <v>0</v>
      </c>
      <c r="O183" s="276">
        <f t="shared" si="57"/>
        <v>1</v>
      </c>
      <c r="P183" s="276">
        <f t="shared" si="52"/>
        <v>0</v>
      </c>
      <c r="Q183" s="276">
        <f t="shared" si="53"/>
        <v>1</v>
      </c>
      <c r="R183" s="329">
        <f t="shared" si="58"/>
        <v>1</v>
      </c>
      <c r="S183" s="273"/>
      <c r="T183" s="274" t="str">
        <f>IF(ISNA(VLOOKUP(D183,'One year follow-up_inperson'!$C:$C,1,FALSE)),"No","Yes")</f>
        <v>No</v>
      </c>
      <c r="U183" s="592" t="s">
        <v>679</v>
      </c>
    </row>
    <row r="184" spans="1:21" ht="270.75">
      <c r="A184" s="368">
        <v>183</v>
      </c>
      <c r="B184" s="182" t="s">
        <v>493</v>
      </c>
      <c r="C184" s="182" t="str">
        <f t="shared" ref="C184:C242" si="59">LEFT(D184,3)</f>
        <v>291</v>
      </c>
      <c r="D184" s="559">
        <v>291</v>
      </c>
      <c r="E184" s="182" t="s">
        <v>530</v>
      </c>
      <c r="F184" s="183" t="s">
        <v>2</v>
      </c>
      <c r="G184" s="182">
        <v>20</v>
      </c>
      <c r="H184" s="182" t="s">
        <v>3</v>
      </c>
      <c r="I184" s="560" t="s">
        <v>659</v>
      </c>
      <c r="J184" s="275">
        <f t="shared" si="54"/>
        <v>0</v>
      </c>
      <c r="K184" s="275">
        <f t="shared" si="50"/>
        <v>1</v>
      </c>
      <c r="L184" s="275">
        <f t="shared" si="51"/>
        <v>0</v>
      </c>
      <c r="M184" s="275">
        <f t="shared" si="55"/>
        <v>1</v>
      </c>
      <c r="N184" s="276">
        <f t="shared" si="56"/>
        <v>1</v>
      </c>
      <c r="O184" s="276">
        <f t="shared" si="57"/>
        <v>0</v>
      </c>
      <c r="P184" s="276">
        <f t="shared" si="52"/>
        <v>0</v>
      </c>
      <c r="Q184" s="276">
        <f t="shared" si="53"/>
        <v>0</v>
      </c>
      <c r="R184" s="329">
        <f t="shared" si="58"/>
        <v>1</v>
      </c>
      <c r="S184" s="273"/>
      <c r="T184" s="274" t="str">
        <f>IF(ISNA(VLOOKUP(D184,'One year follow-up_inperson'!$C:$C,1,FALSE)),"No","Yes")</f>
        <v>No</v>
      </c>
      <c r="U184" s="592" t="s">
        <v>679</v>
      </c>
    </row>
    <row r="185" spans="1:21" ht="242.25">
      <c r="A185" s="368">
        <v>184</v>
      </c>
      <c r="B185" s="182" t="s">
        <v>493</v>
      </c>
      <c r="C185" s="182" t="str">
        <f t="shared" si="59"/>
        <v>291</v>
      </c>
      <c r="D185" s="559">
        <v>291</v>
      </c>
      <c r="E185" s="182" t="s">
        <v>531</v>
      </c>
      <c r="F185" s="183" t="s">
        <v>2</v>
      </c>
      <c r="G185" s="182">
        <v>23</v>
      </c>
      <c r="H185" s="182" t="s">
        <v>3</v>
      </c>
      <c r="I185" s="560" t="s">
        <v>590</v>
      </c>
      <c r="J185" s="275">
        <f t="shared" si="54"/>
        <v>0</v>
      </c>
      <c r="K185" s="275">
        <f t="shared" si="50"/>
        <v>1</v>
      </c>
      <c r="L185" s="275">
        <f t="shared" si="51"/>
        <v>0</v>
      </c>
      <c r="M185" s="275">
        <f t="shared" si="55"/>
        <v>1</v>
      </c>
      <c r="N185" s="276">
        <f t="shared" si="56"/>
        <v>0</v>
      </c>
      <c r="O185" s="276">
        <f t="shared" si="57"/>
        <v>0</v>
      </c>
      <c r="P185" s="276">
        <f t="shared" si="52"/>
        <v>0</v>
      </c>
      <c r="Q185" s="276">
        <f t="shared" si="53"/>
        <v>0</v>
      </c>
      <c r="R185" s="329">
        <f t="shared" si="58"/>
        <v>1</v>
      </c>
      <c r="S185" s="273"/>
      <c r="T185" s="274" t="str">
        <f>IF(ISNA(VLOOKUP(D185,'One year follow-up_inperson'!$C:$C,1,FALSE)),"No","Yes")</f>
        <v>No</v>
      </c>
      <c r="U185" s="592" t="s">
        <v>679</v>
      </c>
    </row>
    <row r="186" spans="1:21" ht="85.5">
      <c r="A186" s="368">
        <v>185</v>
      </c>
      <c r="B186" s="182" t="s">
        <v>493</v>
      </c>
      <c r="C186" s="182" t="str">
        <f t="shared" si="59"/>
        <v>291</v>
      </c>
      <c r="D186" s="559">
        <v>291</v>
      </c>
      <c r="E186" s="182" t="s">
        <v>532</v>
      </c>
      <c r="F186" s="183" t="s">
        <v>2</v>
      </c>
      <c r="G186" s="182">
        <v>30</v>
      </c>
      <c r="H186" s="182" t="s">
        <v>3</v>
      </c>
      <c r="I186" s="560" t="s">
        <v>658</v>
      </c>
      <c r="J186" s="275">
        <f t="shared" si="54"/>
        <v>0</v>
      </c>
      <c r="K186" s="275">
        <f t="shared" si="50"/>
        <v>1</v>
      </c>
      <c r="L186" s="275">
        <f t="shared" si="51"/>
        <v>0</v>
      </c>
      <c r="M186" s="275">
        <f t="shared" si="55"/>
        <v>1</v>
      </c>
      <c r="N186" s="276">
        <f t="shared" si="56"/>
        <v>1</v>
      </c>
      <c r="O186" s="276">
        <f t="shared" si="57"/>
        <v>0</v>
      </c>
      <c r="P186" s="276">
        <f t="shared" si="52"/>
        <v>0</v>
      </c>
      <c r="Q186" s="276">
        <f t="shared" si="53"/>
        <v>0</v>
      </c>
      <c r="R186" s="329">
        <f t="shared" si="58"/>
        <v>1</v>
      </c>
      <c r="S186" s="273"/>
      <c r="T186" s="274" t="str">
        <f>IF(ISNA(VLOOKUP(D186,'One year follow-up_inperson'!$C:$C,1,FALSE)),"No","Yes")</f>
        <v>No</v>
      </c>
      <c r="U186" s="592" t="s">
        <v>679</v>
      </c>
    </row>
    <row r="187" spans="1:21" ht="99.75">
      <c r="A187" s="368">
        <v>186</v>
      </c>
      <c r="B187" s="182" t="s">
        <v>493</v>
      </c>
      <c r="C187" s="182" t="str">
        <f t="shared" si="59"/>
        <v>291</v>
      </c>
      <c r="D187" s="559">
        <v>291</v>
      </c>
      <c r="E187" s="182" t="s">
        <v>533</v>
      </c>
      <c r="F187" s="183" t="s">
        <v>2</v>
      </c>
      <c r="G187" s="182">
        <v>22</v>
      </c>
      <c r="H187" s="182" t="s">
        <v>3</v>
      </c>
      <c r="I187" s="560" t="s">
        <v>657</v>
      </c>
      <c r="J187" s="275">
        <f t="shared" si="54"/>
        <v>1</v>
      </c>
      <c r="K187" s="275">
        <f t="shared" si="50"/>
        <v>0</v>
      </c>
      <c r="L187" s="275">
        <f t="shared" si="51"/>
        <v>0</v>
      </c>
      <c r="M187" s="275">
        <f t="shared" si="55"/>
        <v>1</v>
      </c>
      <c r="N187" s="276">
        <f t="shared" si="56"/>
        <v>0</v>
      </c>
      <c r="O187" s="276">
        <f t="shared" si="57"/>
        <v>0</v>
      </c>
      <c r="P187" s="276">
        <f t="shared" si="52"/>
        <v>0</v>
      </c>
      <c r="Q187" s="276">
        <f t="shared" si="53"/>
        <v>0</v>
      </c>
      <c r="R187" s="329">
        <f t="shared" si="58"/>
        <v>1</v>
      </c>
      <c r="S187" s="273"/>
      <c r="T187" s="274" t="str">
        <f>IF(ISNA(VLOOKUP(D187,'One year follow-up_inperson'!$C:$C,1,FALSE)),"No","Yes")</f>
        <v>No</v>
      </c>
      <c r="U187" s="592" t="s">
        <v>679</v>
      </c>
    </row>
    <row r="188" spans="1:21" ht="199.5">
      <c r="A188" s="368">
        <v>187</v>
      </c>
      <c r="B188" s="182" t="s">
        <v>493</v>
      </c>
      <c r="C188" s="182" t="str">
        <f t="shared" si="59"/>
        <v>291</v>
      </c>
      <c r="D188" s="559">
        <v>291</v>
      </c>
      <c r="E188" s="182" t="s">
        <v>534</v>
      </c>
      <c r="F188" s="183" t="s">
        <v>2</v>
      </c>
      <c r="G188" s="182">
        <v>30</v>
      </c>
      <c r="H188" s="182" t="s">
        <v>3</v>
      </c>
      <c r="I188" s="560" t="s">
        <v>656</v>
      </c>
      <c r="J188" s="275">
        <f t="shared" si="54"/>
        <v>0</v>
      </c>
      <c r="K188" s="275">
        <f t="shared" si="50"/>
        <v>1</v>
      </c>
      <c r="L188" s="275">
        <f t="shared" si="51"/>
        <v>0</v>
      </c>
      <c r="M188" s="275">
        <f t="shared" si="55"/>
        <v>1</v>
      </c>
      <c r="N188" s="276">
        <f t="shared" si="56"/>
        <v>0</v>
      </c>
      <c r="O188" s="276">
        <f t="shared" si="57"/>
        <v>1</v>
      </c>
      <c r="P188" s="276">
        <f t="shared" si="52"/>
        <v>0</v>
      </c>
      <c r="Q188" s="276">
        <f t="shared" si="53"/>
        <v>0</v>
      </c>
      <c r="R188" s="329">
        <f t="shared" si="58"/>
        <v>1</v>
      </c>
      <c r="S188" s="273"/>
      <c r="T188" s="274" t="str">
        <f>IF(ISNA(VLOOKUP(D188,'One year follow-up_inperson'!$C:$C,1,FALSE)),"No","Yes")</f>
        <v>No</v>
      </c>
      <c r="U188" s="592" t="s">
        <v>679</v>
      </c>
    </row>
    <row r="189" spans="1:21" ht="213.75">
      <c r="A189" s="368">
        <v>188</v>
      </c>
      <c r="B189" s="182" t="s">
        <v>493</v>
      </c>
      <c r="C189" s="182" t="str">
        <f t="shared" si="59"/>
        <v>291</v>
      </c>
      <c r="D189" s="559">
        <v>291</v>
      </c>
      <c r="E189" s="182" t="s">
        <v>535</v>
      </c>
      <c r="F189" s="183" t="s">
        <v>2</v>
      </c>
      <c r="G189" s="182">
        <v>22</v>
      </c>
      <c r="H189" s="182" t="s">
        <v>3</v>
      </c>
      <c r="I189" s="560" t="s">
        <v>655</v>
      </c>
      <c r="J189" s="275">
        <f t="shared" si="54"/>
        <v>0</v>
      </c>
      <c r="K189" s="275">
        <f t="shared" si="50"/>
        <v>1</v>
      </c>
      <c r="L189" s="275">
        <f t="shared" si="51"/>
        <v>0</v>
      </c>
      <c r="M189" s="275">
        <f t="shared" si="55"/>
        <v>1</v>
      </c>
      <c r="N189" s="276">
        <f t="shared" si="56"/>
        <v>1</v>
      </c>
      <c r="O189" s="276">
        <f t="shared" si="57"/>
        <v>0</v>
      </c>
      <c r="P189" s="276">
        <f t="shared" si="52"/>
        <v>0</v>
      </c>
      <c r="Q189" s="276">
        <f t="shared" si="53"/>
        <v>0</v>
      </c>
      <c r="R189" s="329">
        <f t="shared" si="58"/>
        <v>1</v>
      </c>
      <c r="S189" s="273"/>
      <c r="T189" s="274" t="str">
        <f>IF(ISNA(VLOOKUP(D189,'One year follow-up_inperson'!$C:$C,1,FALSE)),"No","Yes")</f>
        <v>No</v>
      </c>
      <c r="U189" s="592" t="s">
        <v>679</v>
      </c>
    </row>
    <row r="190" spans="1:21" ht="242.25">
      <c r="A190" s="368">
        <v>189</v>
      </c>
      <c r="B190" s="182" t="s">
        <v>493</v>
      </c>
      <c r="C190" s="182" t="str">
        <f t="shared" si="59"/>
        <v>291</v>
      </c>
      <c r="D190" s="559">
        <v>291</v>
      </c>
      <c r="E190" s="182" t="s">
        <v>536</v>
      </c>
      <c r="F190" s="183" t="s">
        <v>2</v>
      </c>
      <c r="G190" s="182">
        <v>22</v>
      </c>
      <c r="H190" s="182" t="s">
        <v>3</v>
      </c>
      <c r="I190" s="560" t="s">
        <v>654</v>
      </c>
      <c r="J190" s="275">
        <f t="shared" si="54"/>
        <v>1</v>
      </c>
      <c r="K190" s="275">
        <f t="shared" si="50"/>
        <v>1</v>
      </c>
      <c r="L190" s="275">
        <f t="shared" si="51"/>
        <v>0</v>
      </c>
      <c r="M190" s="275">
        <f t="shared" si="55"/>
        <v>1</v>
      </c>
      <c r="N190" s="276">
        <f t="shared" si="56"/>
        <v>1</v>
      </c>
      <c r="O190" s="276">
        <f t="shared" si="57"/>
        <v>0</v>
      </c>
      <c r="P190" s="276">
        <f t="shared" si="52"/>
        <v>0</v>
      </c>
      <c r="Q190" s="276">
        <f t="shared" si="53"/>
        <v>0</v>
      </c>
      <c r="R190" s="329">
        <f t="shared" si="58"/>
        <v>1</v>
      </c>
      <c r="S190" s="273"/>
      <c r="T190" s="274" t="str">
        <f>IF(ISNA(VLOOKUP(D190,'One year follow-up_inperson'!$C:$C,1,FALSE)),"No","Yes")</f>
        <v>No</v>
      </c>
      <c r="U190" s="592" t="s">
        <v>679</v>
      </c>
    </row>
    <row r="191" spans="1:21" ht="156.75">
      <c r="A191" s="368">
        <v>190</v>
      </c>
      <c r="B191" s="182" t="s">
        <v>493</v>
      </c>
      <c r="C191" s="182" t="str">
        <f t="shared" si="59"/>
        <v>291</v>
      </c>
      <c r="D191" s="559">
        <v>291</v>
      </c>
      <c r="E191" s="182" t="s">
        <v>537</v>
      </c>
      <c r="F191" s="183" t="s">
        <v>2</v>
      </c>
      <c r="G191" s="182">
        <v>26</v>
      </c>
      <c r="H191" s="182" t="s">
        <v>3</v>
      </c>
      <c r="I191" s="560" t="s">
        <v>653</v>
      </c>
      <c r="J191" s="275">
        <f t="shared" si="54"/>
        <v>1</v>
      </c>
      <c r="K191" s="275">
        <f t="shared" si="50"/>
        <v>0</v>
      </c>
      <c r="L191" s="275">
        <f t="shared" si="51"/>
        <v>0</v>
      </c>
      <c r="M191" s="275">
        <f t="shared" si="55"/>
        <v>1</v>
      </c>
      <c r="N191" s="276">
        <f t="shared" si="56"/>
        <v>0</v>
      </c>
      <c r="O191" s="276">
        <f t="shared" si="57"/>
        <v>0</v>
      </c>
      <c r="P191" s="276">
        <f t="shared" si="52"/>
        <v>0</v>
      </c>
      <c r="Q191" s="276">
        <f t="shared" si="53"/>
        <v>0</v>
      </c>
      <c r="R191" s="329">
        <f t="shared" si="58"/>
        <v>1</v>
      </c>
      <c r="S191" s="273"/>
      <c r="T191" s="274" t="str">
        <f>IF(ISNA(VLOOKUP(D191,'One year follow-up_inperson'!$C:$C,1,FALSE)),"No","Yes")</f>
        <v>No</v>
      </c>
      <c r="U191" s="592" t="s">
        <v>679</v>
      </c>
    </row>
    <row r="192" spans="1:21" ht="171">
      <c r="A192" s="368">
        <v>191</v>
      </c>
      <c r="B192" s="182" t="s">
        <v>493</v>
      </c>
      <c r="C192" s="182" t="str">
        <f t="shared" si="59"/>
        <v>291</v>
      </c>
      <c r="D192" s="559">
        <v>291</v>
      </c>
      <c r="E192" s="182" t="s">
        <v>538</v>
      </c>
      <c r="F192" s="183" t="s">
        <v>2</v>
      </c>
      <c r="G192" s="182">
        <v>22</v>
      </c>
      <c r="H192" s="182" t="s">
        <v>3</v>
      </c>
      <c r="I192" s="560" t="s">
        <v>652</v>
      </c>
      <c r="J192" s="275">
        <f t="shared" si="54"/>
        <v>0</v>
      </c>
      <c r="K192" s="275">
        <f t="shared" si="50"/>
        <v>1</v>
      </c>
      <c r="L192" s="275">
        <f t="shared" si="51"/>
        <v>0</v>
      </c>
      <c r="M192" s="275">
        <f t="shared" si="55"/>
        <v>1</v>
      </c>
      <c r="N192" s="276">
        <f t="shared" si="56"/>
        <v>1</v>
      </c>
      <c r="O192" s="276">
        <f t="shared" si="57"/>
        <v>0</v>
      </c>
      <c r="P192" s="276">
        <f t="shared" si="52"/>
        <v>0</v>
      </c>
      <c r="Q192" s="276">
        <f t="shared" si="53"/>
        <v>0</v>
      </c>
      <c r="R192" s="329">
        <f t="shared" si="58"/>
        <v>1</v>
      </c>
      <c r="S192" s="273"/>
      <c r="T192" s="274" t="str">
        <f>IF(ISNA(VLOOKUP(D192,'One year follow-up_inperson'!$C:$C,1,FALSE)),"No","Yes")</f>
        <v>No</v>
      </c>
      <c r="U192" s="592" t="s">
        <v>679</v>
      </c>
    </row>
    <row r="193" spans="1:21" ht="15">
      <c r="A193" s="368">
        <v>192</v>
      </c>
      <c r="B193" s="182" t="s">
        <v>493</v>
      </c>
      <c r="C193" s="182" t="str">
        <f t="shared" si="59"/>
        <v>291</v>
      </c>
      <c r="D193" s="559">
        <v>291</v>
      </c>
      <c r="E193" s="182" t="s">
        <v>539</v>
      </c>
      <c r="F193" s="183" t="s">
        <v>2</v>
      </c>
      <c r="G193" s="182">
        <v>20</v>
      </c>
      <c r="H193" s="182" t="s">
        <v>5</v>
      </c>
      <c r="I193" s="560" t="s">
        <v>591</v>
      </c>
      <c r="J193" s="275">
        <f t="shared" si="54"/>
        <v>0</v>
      </c>
      <c r="K193" s="275">
        <f t="shared" si="50"/>
        <v>0</v>
      </c>
      <c r="L193" s="275">
        <f t="shared" si="51"/>
        <v>0</v>
      </c>
      <c r="M193" s="275">
        <f t="shared" si="55"/>
        <v>0</v>
      </c>
      <c r="N193" s="276">
        <f t="shared" si="56"/>
        <v>0</v>
      </c>
      <c r="O193" s="276">
        <f t="shared" si="57"/>
        <v>0</v>
      </c>
      <c r="P193" s="276">
        <f t="shared" si="52"/>
        <v>0</v>
      </c>
      <c r="Q193" s="276">
        <f t="shared" si="53"/>
        <v>0</v>
      </c>
      <c r="R193" s="329">
        <f t="shared" si="58"/>
        <v>0</v>
      </c>
      <c r="S193" s="273"/>
      <c r="T193" s="274" t="str">
        <f>IF(ISNA(VLOOKUP(D193,'One year follow-up_inperson'!$C:$C,1,FALSE)),"No","Yes")</f>
        <v>No</v>
      </c>
      <c r="U193" s="592" t="s">
        <v>679</v>
      </c>
    </row>
    <row r="194" spans="1:21" ht="199.5">
      <c r="A194" s="368">
        <v>193</v>
      </c>
      <c r="B194" s="182" t="s">
        <v>493</v>
      </c>
      <c r="C194" s="182" t="str">
        <f t="shared" si="59"/>
        <v>291</v>
      </c>
      <c r="D194" s="559">
        <v>291</v>
      </c>
      <c r="E194" s="182" t="s">
        <v>540</v>
      </c>
      <c r="F194" s="183" t="s">
        <v>2</v>
      </c>
      <c r="G194" s="182">
        <v>27</v>
      </c>
      <c r="H194" s="182" t="s">
        <v>3</v>
      </c>
      <c r="I194" s="560" t="s">
        <v>651</v>
      </c>
      <c r="J194" s="275">
        <f t="shared" si="54"/>
        <v>1</v>
      </c>
      <c r="K194" s="275">
        <f t="shared" si="50"/>
        <v>0</v>
      </c>
      <c r="L194" s="275">
        <f t="shared" si="51"/>
        <v>0</v>
      </c>
      <c r="M194" s="275">
        <f t="shared" si="55"/>
        <v>1</v>
      </c>
      <c r="N194" s="276">
        <f t="shared" si="56"/>
        <v>0</v>
      </c>
      <c r="O194" s="276">
        <f t="shared" si="57"/>
        <v>1</v>
      </c>
      <c r="P194" s="276">
        <f t="shared" si="52"/>
        <v>0</v>
      </c>
      <c r="Q194" s="276">
        <f t="shared" si="53"/>
        <v>0</v>
      </c>
      <c r="R194" s="329">
        <f t="shared" si="58"/>
        <v>1</v>
      </c>
      <c r="S194" s="273"/>
      <c r="T194" s="274" t="str">
        <f>IF(ISNA(VLOOKUP(D194,'One year follow-up_inperson'!$C:$C,1,FALSE)),"No","Yes")</f>
        <v>No</v>
      </c>
      <c r="U194" s="592" t="s">
        <v>679</v>
      </c>
    </row>
    <row r="195" spans="1:21" ht="142.5">
      <c r="A195" s="368">
        <v>194</v>
      </c>
      <c r="B195" s="182" t="s">
        <v>493</v>
      </c>
      <c r="C195" s="182" t="str">
        <f t="shared" si="59"/>
        <v>291</v>
      </c>
      <c r="D195" s="559">
        <v>291</v>
      </c>
      <c r="E195" s="182" t="s">
        <v>541</v>
      </c>
      <c r="F195" s="183" t="s">
        <v>2</v>
      </c>
      <c r="G195" s="182">
        <v>30</v>
      </c>
      <c r="H195" s="182" t="s">
        <v>3</v>
      </c>
      <c r="I195" s="560" t="s">
        <v>650</v>
      </c>
      <c r="J195" s="275">
        <f t="shared" si="54"/>
        <v>0</v>
      </c>
      <c r="K195" s="275">
        <f t="shared" si="50"/>
        <v>0</v>
      </c>
      <c r="L195" s="275">
        <f t="shared" si="51"/>
        <v>1</v>
      </c>
      <c r="M195" s="275">
        <f t="shared" si="55"/>
        <v>1</v>
      </c>
      <c r="N195" s="276">
        <f t="shared" si="56"/>
        <v>0</v>
      </c>
      <c r="O195" s="276">
        <f t="shared" si="57"/>
        <v>0</v>
      </c>
      <c r="P195" s="276">
        <f t="shared" si="52"/>
        <v>0</v>
      </c>
      <c r="Q195" s="276">
        <f t="shared" si="53"/>
        <v>0</v>
      </c>
      <c r="R195" s="329">
        <f t="shared" si="58"/>
        <v>1</v>
      </c>
      <c r="S195" s="273"/>
      <c r="T195" s="274" t="str">
        <f>IF(ISNA(VLOOKUP(D195,'One year follow-up_inperson'!$C:$C,1,FALSE)),"No","Yes")</f>
        <v>No</v>
      </c>
      <c r="U195" s="592" t="s">
        <v>679</v>
      </c>
    </row>
    <row r="196" spans="1:21" ht="156.75">
      <c r="A196" s="368">
        <v>195</v>
      </c>
      <c r="B196" s="182" t="s">
        <v>493</v>
      </c>
      <c r="C196" s="182" t="str">
        <f t="shared" si="59"/>
        <v>291</v>
      </c>
      <c r="D196" s="559">
        <v>291</v>
      </c>
      <c r="E196" s="182" t="s">
        <v>542</v>
      </c>
      <c r="F196" s="183" t="s">
        <v>2</v>
      </c>
      <c r="G196" s="182">
        <v>26</v>
      </c>
      <c r="H196" s="182" t="s">
        <v>3</v>
      </c>
      <c r="I196" s="560" t="s">
        <v>649</v>
      </c>
      <c r="J196" s="275">
        <f t="shared" si="54"/>
        <v>1</v>
      </c>
      <c r="K196" s="275">
        <f t="shared" si="50"/>
        <v>0</v>
      </c>
      <c r="L196" s="275">
        <f t="shared" si="51"/>
        <v>0</v>
      </c>
      <c r="M196" s="275">
        <f t="shared" si="55"/>
        <v>1</v>
      </c>
      <c r="N196" s="276">
        <f t="shared" si="56"/>
        <v>0</v>
      </c>
      <c r="O196" s="276">
        <f t="shared" si="57"/>
        <v>0</v>
      </c>
      <c r="P196" s="276">
        <f t="shared" si="52"/>
        <v>0</v>
      </c>
      <c r="Q196" s="276">
        <f t="shared" si="53"/>
        <v>0</v>
      </c>
      <c r="R196" s="329">
        <f t="shared" si="58"/>
        <v>1</v>
      </c>
      <c r="S196" s="273"/>
      <c r="T196" s="274" t="str">
        <f>IF(ISNA(VLOOKUP(D196,'One year follow-up_inperson'!$C:$C,1,FALSE)),"No","Yes")</f>
        <v>No</v>
      </c>
      <c r="U196" s="592" t="s">
        <v>679</v>
      </c>
    </row>
    <row r="197" spans="1:21" ht="409.5">
      <c r="A197" s="368">
        <v>196</v>
      </c>
      <c r="B197" s="182" t="s">
        <v>493</v>
      </c>
      <c r="C197" s="182" t="str">
        <f t="shared" si="59"/>
        <v>291</v>
      </c>
      <c r="D197" s="559">
        <v>291</v>
      </c>
      <c r="E197" s="182" t="s">
        <v>543</v>
      </c>
      <c r="F197" s="183" t="s">
        <v>2</v>
      </c>
      <c r="G197" s="182">
        <v>18</v>
      </c>
      <c r="H197" s="182" t="s">
        <v>3</v>
      </c>
      <c r="I197" s="560" t="s">
        <v>648</v>
      </c>
      <c r="J197" s="275">
        <f t="shared" si="54"/>
        <v>1</v>
      </c>
      <c r="K197" s="275">
        <f t="shared" si="50"/>
        <v>1</v>
      </c>
      <c r="L197" s="275">
        <f t="shared" si="51"/>
        <v>0</v>
      </c>
      <c r="M197" s="275">
        <f t="shared" si="55"/>
        <v>1</v>
      </c>
      <c r="N197" s="276">
        <f t="shared" si="56"/>
        <v>0</v>
      </c>
      <c r="O197" s="276">
        <f t="shared" si="57"/>
        <v>1</v>
      </c>
      <c r="P197" s="276">
        <f t="shared" si="52"/>
        <v>0</v>
      </c>
      <c r="Q197" s="276">
        <f t="shared" si="53"/>
        <v>0</v>
      </c>
      <c r="R197" s="329">
        <f t="shared" si="58"/>
        <v>1</v>
      </c>
      <c r="S197" s="273"/>
      <c r="T197" s="274" t="str">
        <f>IF(ISNA(VLOOKUP(D197,'One year follow-up_inperson'!$C:$C,1,FALSE)),"No","Yes")</f>
        <v>No</v>
      </c>
      <c r="U197" s="592" t="s">
        <v>679</v>
      </c>
    </row>
    <row r="198" spans="1:21" ht="327.75">
      <c r="A198" s="368">
        <v>197</v>
      </c>
      <c r="B198" s="182" t="s">
        <v>493</v>
      </c>
      <c r="C198" s="182" t="str">
        <f t="shared" si="59"/>
        <v>291</v>
      </c>
      <c r="D198" s="559">
        <v>291</v>
      </c>
      <c r="E198" s="182" t="s">
        <v>544</v>
      </c>
      <c r="F198" s="183" t="s">
        <v>2</v>
      </c>
      <c r="G198" s="182">
        <v>24</v>
      </c>
      <c r="H198" s="182" t="s">
        <v>3</v>
      </c>
      <c r="I198" s="560" t="s">
        <v>592</v>
      </c>
      <c r="J198" s="275">
        <f t="shared" si="54"/>
        <v>0</v>
      </c>
      <c r="K198" s="275">
        <f t="shared" si="50"/>
        <v>0</v>
      </c>
      <c r="L198" s="275">
        <f t="shared" si="51"/>
        <v>0</v>
      </c>
      <c r="M198" s="275">
        <f t="shared" si="55"/>
        <v>0</v>
      </c>
      <c r="N198" s="276">
        <f t="shared" si="56"/>
        <v>0</v>
      </c>
      <c r="O198" s="276">
        <f t="shared" si="57"/>
        <v>0</v>
      </c>
      <c r="P198" s="276">
        <f t="shared" si="52"/>
        <v>0</v>
      </c>
      <c r="Q198" s="276">
        <f t="shared" si="53"/>
        <v>0</v>
      </c>
      <c r="R198" s="329">
        <f t="shared" si="58"/>
        <v>0</v>
      </c>
      <c r="S198" s="273"/>
      <c r="T198" s="274" t="str">
        <f>IF(ISNA(VLOOKUP(D198,'One year follow-up_inperson'!$C:$C,1,FALSE)),"No","Yes")</f>
        <v>No</v>
      </c>
      <c r="U198" s="592" t="s">
        <v>679</v>
      </c>
    </row>
    <row r="199" spans="1:21" ht="171">
      <c r="A199" s="368">
        <v>198</v>
      </c>
      <c r="B199" s="182" t="s">
        <v>493</v>
      </c>
      <c r="C199" s="182" t="str">
        <f t="shared" si="59"/>
        <v>291</v>
      </c>
      <c r="D199" s="559">
        <v>291</v>
      </c>
      <c r="E199" s="182" t="s">
        <v>545</v>
      </c>
      <c r="F199" s="183" t="s">
        <v>2</v>
      </c>
      <c r="G199" s="182">
        <v>23</v>
      </c>
      <c r="H199" s="182" t="s">
        <v>3</v>
      </c>
      <c r="I199" s="560" t="s">
        <v>593</v>
      </c>
      <c r="J199" s="275">
        <f t="shared" si="54"/>
        <v>1</v>
      </c>
      <c r="K199" s="275">
        <f t="shared" si="50"/>
        <v>0</v>
      </c>
      <c r="L199" s="275">
        <f t="shared" si="51"/>
        <v>0</v>
      </c>
      <c r="M199" s="275">
        <f t="shared" si="55"/>
        <v>1</v>
      </c>
      <c r="N199" s="276">
        <f t="shared" si="56"/>
        <v>0</v>
      </c>
      <c r="O199" s="276">
        <f t="shared" si="57"/>
        <v>0</v>
      </c>
      <c r="P199" s="276">
        <f t="shared" si="52"/>
        <v>0</v>
      </c>
      <c r="Q199" s="276">
        <f t="shared" si="53"/>
        <v>0</v>
      </c>
      <c r="R199" s="329">
        <f t="shared" si="58"/>
        <v>1</v>
      </c>
      <c r="S199" s="273"/>
      <c r="T199" s="274" t="str">
        <f>IF(ISNA(VLOOKUP(D199,'One year follow-up_inperson'!$C:$C,1,FALSE)),"No","Yes")</f>
        <v>No</v>
      </c>
      <c r="U199" s="592" t="s">
        <v>679</v>
      </c>
    </row>
    <row r="200" spans="1:21" ht="185.25">
      <c r="A200" s="368">
        <v>199</v>
      </c>
      <c r="B200" s="182" t="s">
        <v>493</v>
      </c>
      <c r="C200" s="182" t="str">
        <f t="shared" si="59"/>
        <v>291</v>
      </c>
      <c r="D200" s="559">
        <v>291</v>
      </c>
      <c r="E200" s="182" t="s">
        <v>546</v>
      </c>
      <c r="F200" s="183" t="s">
        <v>2</v>
      </c>
      <c r="G200" s="182">
        <v>22</v>
      </c>
      <c r="H200" s="182" t="s">
        <v>3</v>
      </c>
      <c r="I200" s="560" t="s">
        <v>594</v>
      </c>
      <c r="J200" s="275">
        <f t="shared" si="54"/>
        <v>1</v>
      </c>
      <c r="K200" s="275">
        <f t="shared" si="50"/>
        <v>0</v>
      </c>
      <c r="L200" s="275">
        <f t="shared" si="51"/>
        <v>1</v>
      </c>
      <c r="M200" s="275">
        <f t="shared" si="55"/>
        <v>1</v>
      </c>
      <c r="N200" s="276">
        <f t="shared" si="56"/>
        <v>0</v>
      </c>
      <c r="O200" s="276">
        <f t="shared" si="57"/>
        <v>0</v>
      </c>
      <c r="P200" s="276">
        <f t="shared" si="52"/>
        <v>0</v>
      </c>
      <c r="Q200" s="276">
        <f t="shared" si="53"/>
        <v>0</v>
      </c>
      <c r="R200" s="329">
        <f t="shared" si="58"/>
        <v>1</v>
      </c>
      <c r="S200" s="273"/>
      <c r="T200" s="274" t="str">
        <f>IF(ISNA(VLOOKUP(D200,'One year follow-up_inperson'!$C:$C,1,FALSE)),"No","Yes")</f>
        <v>No</v>
      </c>
      <c r="U200" s="592" t="s">
        <v>679</v>
      </c>
    </row>
    <row r="201" spans="1:21" ht="213.75">
      <c r="A201" s="368">
        <v>200</v>
      </c>
      <c r="B201" s="182" t="s">
        <v>493</v>
      </c>
      <c r="C201" s="182" t="str">
        <f t="shared" si="59"/>
        <v>291</v>
      </c>
      <c r="D201" s="559">
        <v>291</v>
      </c>
      <c r="E201" s="182" t="s">
        <v>547</v>
      </c>
      <c r="F201" s="183" t="s">
        <v>2</v>
      </c>
      <c r="G201" s="182">
        <v>24</v>
      </c>
      <c r="H201" s="182" t="s">
        <v>5</v>
      </c>
      <c r="I201" s="560" t="s">
        <v>595</v>
      </c>
      <c r="J201" s="275">
        <f t="shared" si="54"/>
        <v>1</v>
      </c>
      <c r="K201" s="275">
        <f t="shared" si="50"/>
        <v>0</v>
      </c>
      <c r="L201" s="275">
        <f t="shared" si="51"/>
        <v>0</v>
      </c>
      <c r="M201" s="275">
        <f t="shared" si="55"/>
        <v>1</v>
      </c>
      <c r="N201" s="276">
        <f t="shared" si="56"/>
        <v>0</v>
      </c>
      <c r="O201" s="276">
        <f t="shared" si="57"/>
        <v>0</v>
      </c>
      <c r="P201" s="276">
        <f t="shared" si="52"/>
        <v>0</v>
      </c>
      <c r="Q201" s="276">
        <f t="shared" si="53"/>
        <v>0</v>
      </c>
      <c r="R201" s="329">
        <f t="shared" si="58"/>
        <v>1</v>
      </c>
      <c r="S201" s="273"/>
      <c r="T201" s="274" t="str">
        <f>IF(ISNA(VLOOKUP(D201,'One year follow-up_inperson'!$C:$C,1,FALSE)),"No","Yes")</f>
        <v>No</v>
      </c>
      <c r="U201" s="592" t="s">
        <v>679</v>
      </c>
    </row>
    <row r="202" spans="1:21" ht="171">
      <c r="A202" s="368">
        <v>201</v>
      </c>
      <c r="B202" s="182" t="s">
        <v>493</v>
      </c>
      <c r="C202" s="182" t="str">
        <f t="shared" si="59"/>
        <v>291</v>
      </c>
      <c r="D202" s="559">
        <v>291</v>
      </c>
      <c r="E202" s="182" t="s">
        <v>548</v>
      </c>
      <c r="F202" s="183" t="s">
        <v>2</v>
      </c>
      <c r="G202" s="182">
        <v>25</v>
      </c>
      <c r="H202" s="182" t="s">
        <v>3</v>
      </c>
      <c r="I202" s="561" t="s">
        <v>647</v>
      </c>
      <c r="J202" s="275">
        <f t="shared" si="54"/>
        <v>1</v>
      </c>
      <c r="K202" s="275">
        <f t="shared" si="50"/>
        <v>1</v>
      </c>
      <c r="L202" s="275">
        <f t="shared" si="51"/>
        <v>0</v>
      </c>
      <c r="M202" s="275">
        <f t="shared" si="55"/>
        <v>1</v>
      </c>
      <c r="N202" s="276">
        <f t="shared" si="56"/>
        <v>1</v>
      </c>
      <c r="O202" s="276">
        <f t="shared" si="57"/>
        <v>0</v>
      </c>
      <c r="P202" s="276">
        <f t="shared" si="52"/>
        <v>0</v>
      </c>
      <c r="Q202" s="276">
        <f t="shared" si="53"/>
        <v>0</v>
      </c>
      <c r="R202" s="329">
        <f t="shared" si="58"/>
        <v>1</v>
      </c>
      <c r="S202" s="273"/>
      <c r="T202" s="274" t="str">
        <f>IF(ISNA(VLOOKUP(D202,'One year follow-up_inperson'!$C:$C,1,FALSE)),"No","Yes")</f>
        <v>No</v>
      </c>
      <c r="U202" s="592" t="s">
        <v>679</v>
      </c>
    </row>
    <row r="203" spans="1:21" ht="409.5">
      <c r="A203" s="368">
        <v>202</v>
      </c>
      <c r="B203" s="182" t="s">
        <v>493</v>
      </c>
      <c r="C203" s="182" t="str">
        <f t="shared" si="59"/>
        <v>291</v>
      </c>
      <c r="D203" s="559">
        <v>291</v>
      </c>
      <c r="E203" s="182" t="s">
        <v>549</v>
      </c>
      <c r="F203" s="183" t="s">
        <v>2</v>
      </c>
      <c r="G203" s="182">
        <v>30</v>
      </c>
      <c r="H203" s="182" t="s">
        <v>3</v>
      </c>
      <c r="I203" s="576" t="s">
        <v>646</v>
      </c>
      <c r="J203" s="275">
        <f t="shared" si="54"/>
        <v>1</v>
      </c>
      <c r="K203" s="275">
        <f t="shared" si="50"/>
        <v>1</v>
      </c>
      <c r="L203" s="275">
        <f t="shared" si="51"/>
        <v>0</v>
      </c>
      <c r="M203" s="275">
        <f t="shared" si="55"/>
        <v>1</v>
      </c>
      <c r="N203" s="276">
        <f t="shared" si="56"/>
        <v>1</v>
      </c>
      <c r="O203" s="276">
        <f t="shared" si="57"/>
        <v>0</v>
      </c>
      <c r="P203" s="276">
        <f t="shared" si="52"/>
        <v>0</v>
      </c>
      <c r="Q203" s="276">
        <f t="shared" si="53"/>
        <v>0</v>
      </c>
      <c r="R203" s="329">
        <f t="shared" si="58"/>
        <v>1</v>
      </c>
      <c r="S203" s="273"/>
      <c r="T203" s="274" t="str">
        <f>IF(ISNA(VLOOKUP(D203,'One year follow-up_inperson'!$C:$C,1,FALSE)),"No","Yes")</f>
        <v>No</v>
      </c>
      <c r="U203" s="592" t="s">
        <v>679</v>
      </c>
    </row>
    <row r="204" spans="1:21" ht="228">
      <c r="A204" s="368">
        <v>203</v>
      </c>
      <c r="B204" s="182" t="s">
        <v>493</v>
      </c>
      <c r="C204" s="182" t="str">
        <f t="shared" si="59"/>
        <v>291</v>
      </c>
      <c r="D204" s="559">
        <v>291</v>
      </c>
      <c r="E204" s="182" t="s">
        <v>550</v>
      </c>
      <c r="F204" s="183" t="s">
        <v>2</v>
      </c>
      <c r="G204" s="182">
        <v>21</v>
      </c>
      <c r="H204" s="182" t="s">
        <v>3</v>
      </c>
      <c r="I204" s="560" t="s">
        <v>596</v>
      </c>
      <c r="J204" s="275">
        <f t="shared" si="54"/>
        <v>0</v>
      </c>
      <c r="K204" s="275">
        <f t="shared" si="50"/>
        <v>1</v>
      </c>
      <c r="L204" s="275">
        <f t="shared" si="51"/>
        <v>0</v>
      </c>
      <c r="M204" s="275">
        <f t="shared" si="55"/>
        <v>1</v>
      </c>
      <c r="N204" s="276">
        <f t="shared" si="56"/>
        <v>0</v>
      </c>
      <c r="O204" s="276">
        <f t="shared" si="57"/>
        <v>0</v>
      </c>
      <c r="P204" s="276">
        <f t="shared" si="52"/>
        <v>0</v>
      </c>
      <c r="Q204" s="276">
        <f t="shared" si="53"/>
        <v>0</v>
      </c>
      <c r="R204" s="329">
        <f t="shared" si="58"/>
        <v>1</v>
      </c>
      <c r="S204" s="273"/>
      <c r="T204" s="274" t="str">
        <f>IF(ISNA(VLOOKUP(D204,'One year follow-up_inperson'!$C:$C,1,FALSE)),"No","Yes")</f>
        <v>No</v>
      </c>
      <c r="U204" s="592" t="s">
        <v>679</v>
      </c>
    </row>
    <row r="205" spans="1:21" ht="156.75">
      <c r="A205" s="368">
        <v>204</v>
      </c>
      <c r="B205" s="182" t="s">
        <v>493</v>
      </c>
      <c r="C205" s="182" t="str">
        <f t="shared" si="59"/>
        <v>291</v>
      </c>
      <c r="D205" s="559">
        <v>291</v>
      </c>
      <c r="E205" s="182" t="s">
        <v>551</v>
      </c>
      <c r="F205" s="183" t="s">
        <v>2</v>
      </c>
      <c r="G205" s="182">
        <v>24</v>
      </c>
      <c r="H205" s="182" t="s">
        <v>3</v>
      </c>
      <c r="I205" s="560" t="s">
        <v>597</v>
      </c>
      <c r="J205" s="275">
        <f t="shared" si="54"/>
        <v>1</v>
      </c>
      <c r="K205" s="275">
        <f t="shared" si="50"/>
        <v>0</v>
      </c>
      <c r="L205" s="275">
        <f t="shared" si="51"/>
        <v>0</v>
      </c>
      <c r="M205" s="275">
        <f t="shared" si="55"/>
        <v>1</v>
      </c>
      <c r="N205" s="276">
        <f t="shared" si="56"/>
        <v>0</v>
      </c>
      <c r="O205" s="276">
        <f t="shared" si="57"/>
        <v>0</v>
      </c>
      <c r="P205" s="276">
        <f t="shared" si="52"/>
        <v>0</v>
      </c>
      <c r="Q205" s="276">
        <f t="shared" si="53"/>
        <v>0</v>
      </c>
      <c r="R205" s="329">
        <f t="shared" si="58"/>
        <v>1</v>
      </c>
      <c r="S205" s="273"/>
      <c r="T205" s="274" t="str">
        <f>IF(ISNA(VLOOKUP(D205,'One year follow-up_inperson'!$C:$C,1,FALSE)),"No","Yes")</f>
        <v>No</v>
      </c>
      <c r="U205" s="592" t="s">
        <v>679</v>
      </c>
    </row>
    <row r="206" spans="1:21" ht="242.25">
      <c r="A206" s="368">
        <v>205</v>
      </c>
      <c r="B206" s="182" t="s">
        <v>493</v>
      </c>
      <c r="C206" s="182" t="str">
        <f t="shared" si="59"/>
        <v>291</v>
      </c>
      <c r="D206" s="559">
        <v>291</v>
      </c>
      <c r="E206" s="182" t="s">
        <v>552</v>
      </c>
      <c r="F206" s="183" t="s">
        <v>2</v>
      </c>
      <c r="G206" s="182">
        <v>24</v>
      </c>
      <c r="H206" s="182" t="s">
        <v>3</v>
      </c>
      <c r="I206" s="560" t="s">
        <v>598</v>
      </c>
      <c r="J206" s="275">
        <f t="shared" si="54"/>
        <v>0</v>
      </c>
      <c r="K206" s="275">
        <f t="shared" si="50"/>
        <v>0</v>
      </c>
      <c r="L206" s="275">
        <f t="shared" si="51"/>
        <v>1</v>
      </c>
      <c r="M206" s="275">
        <f t="shared" si="55"/>
        <v>1</v>
      </c>
      <c r="N206" s="276">
        <f t="shared" si="56"/>
        <v>0</v>
      </c>
      <c r="O206" s="276">
        <f t="shared" si="57"/>
        <v>0</v>
      </c>
      <c r="P206" s="276">
        <f t="shared" si="52"/>
        <v>0</v>
      </c>
      <c r="Q206" s="276">
        <f t="shared" si="53"/>
        <v>0</v>
      </c>
      <c r="R206" s="329">
        <f t="shared" si="58"/>
        <v>1</v>
      </c>
      <c r="S206" s="273"/>
      <c r="T206" s="274" t="str">
        <f>IF(ISNA(VLOOKUP(D206,'One year follow-up_inperson'!$C:$C,1,FALSE)),"No","Yes")</f>
        <v>No</v>
      </c>
      <c r="U206" s="592" t="s">
        <v>679</v>
      </c>
    </row>
    <row r="207" spans="1:21" ht="409.5">
      <c r="A207" s="368">
        <v>206</v>
      </c>
      <c r="B207" s="182" t="s">
        <v>493</v>
      </c>
      <c r="C207" s="182" t="str">
        <f t="shared" si="59"/>
        <v>291</v>
      </c>
      <c r="D207" s="559">
        <v>291</v>
      </c>
      <c r="E207" s="182" t="s">
        <v>553</v>
      </c>
      <c r="F207" s="183" t="s">
        <v>2</v>
      </c>
      <c r="G207" s="182">
        <v>28</v>
      </c>
      <c r="H207" s="182" t="s">
        <v>3</v>
      </c>
      <c r="I207" s="560" t="s">
        <v>627</v>
      </c>
      <c r="J207" s="275">
        <f t="shared" si="54"/>
        <v>1</v>
      </c>
      <c r="K207" s="275">
        <f t="shared" si="50"/>
        <v>1</v>
      </c>
      <c r="L207" s="275">
        <f t="shared" si="51"/>
        <v>0</v>
      </c>
      <c r="M207" s="275">
        <f t="shared" si="55"/>
        <v>1</v>
      </c>
      <c r="N207" s="276">
        <f t="shared" si="56"/>
        <v>1</v>
      </c>
      <c r="O207" s="276">
        <f t="shared" si="57"/>
        <v>0</v>
      </c>
      <c r="P207" s="276">
        <f t="shared" si="52"/>
        <v>0</v>
      </c>
      <c r="Q207" s="276">
        <f t="shared" si="53"/>
        <v>0</v>
      </c>
      <c r="R207" s="329">
        <f t="shared" si="58"/>
        <v>1</v>
      </c>
      <c r="S207" s="273"/>
      <c r="T207" s="274" t="str">
        <f>IF(ISNA(VLOOKUP(D207,'One year follow-up_inperson'!$C:$C,1,FALSE)),"No","Yes")</f>
        <v>No</v>
      </c>
      <c r="U207" s="592" t="s">
        <v>679</v>
      </c>
    </row>
    <row r="208" spans="1:21" ht="327.75">
      <c r="A208" s="368">
        <v>207</v>
      </c>
      <c r="B208" s="182" t="s">
        <v>493</v>
      </c>
      <c r="C208" s="182" t="str">
        <f t="shared" si="59"/>
        <v>291</v>
      </c>
      <c r="D208" s="559">
        <v>291</v>
      </c>
      <c r="E208" s="182" t="s">
        <v>554</v>
      </c>
      <c r="F208" s="183" t="s">
        <v>2</v>
      </c>
      <c r="G208" s="182">
        <v>18</v>
      </c>
      <c r="H208" s="182" t="s">
        <v>3</v>
      </c>
      <c r="I208" s="560" t="s">
        <v>599</v>
      </c>
      <c r="J208" s="275">
        <f t="shared" si="54"/>
        <v>1</v>
      </c>
      <c r="K208" s="275">
        <f t="shared" si="50"/>
        <v>0</v>
      </c>
      <c r="L208" s="275">
        <f t="shared" si="51"/>
        <v>0</v>
      </c>
      <c r="M208" s="275">
        <f t="shared" si="55"/>
        <v>1</v>
      </c>
      <c r="N208" s="276">
        <f t="shared" si="56"/>
        <v>0</v>
      </c>
      <c r="O208" s="276">
        <f t="shared" si="57"/>
        <v>0</v>
      </c>
      <c r="P208" s="276">
        <f t="shared" si="52"/>
        <v>0</v>
      </c>
      <c r="Q208" s="276">
        <f t="shared" si="53"/>
        <v>0</v>
      </c>
      <c r="R208" s="329">
        <f t="shared" si="58"/>
        <v>1</v>
      </c>
      <c r="S208" s="273"/>
      <c r="T208" s="274" t="str">
        <f>IF(ISNA(VLOOKUP(D208,'One year follow-up_inperson'!$C:$C,1,FALSE)),"No","Yes")</f>
        <v>No</v>
      </c>
      <c r="U208" s="592" t="s">
        <v>679</v>
      </c>
    </row>
    <row r="209" spans="1:21" ht="15">
      <c r="A209" s="368">
        <v>208</v>
      </c>
      <c r="B209" s="182" t="s">
        <v>493</v>
      </c>
      <c r="C209" s="182" t="str">
        <f t="shared" si="59"/>
        <v>291</v>
      </c>
      <c r="D209" s="559">
        <v>291</v>
      </c>
      <c r="E209" s="182" t="s">
        <v>555</v>
      </c>
      <c r="F209" s="183" t="s">
        <v>2</v>
      </c>
      <c r="G209" s="182">
        <v>22</v>
      </c>
      <c r="H209" s="182" t="s">
        <v>5</v>
      </c>
      <c r="I209" s="560" t="s">
        <v>600</v>
      </c>
      <c r="J209" s="275">
        <f t="shared" si="54"/>
        <v>0</v>
      </c>
      <c r="K209" s="275">
        <f t="shared" si="50"/>
        <v>0</v>
      </c>
      <c r="L209" s="275">
        <f t="shared" si="51"/>
        <v>0</v>
      </c>
      <c r="M209" s="275">
        <f t="shared" si="55"/>
        <v>0</v>
      </c>
      <c r="N209" s="276">
        <f t="shared" si="56"/>
        <v>0</v>
      </c>
      <c r="O209" s="276">
        <f t="shared" si="57"/>
        <v>0</v>
      </c>
      <c r="P209" s="276">
        <f t="shared" si="52"/>
        <v>0</v>
      </c>
      <c r="Q209" s="276">
        <f t="shared" si="53"/>
        <v>0</v>
      </c>
      <c r="R209" s="329">
        <f t="shared" si="58"/>
        <v>0</v>
      </c>
      <c r="S209" s="273"/>
      <c r="T209" s="274" t="str">
        <f>IF(ISNA(VLOOKUP(D209,'One year follow-up_inperson'!$C:$C,1,FALSE)),"No","Yes")</f>
        <v>No</v>
      </c>
      <c r="U209" s="592" t="s">
        <v>679</v>
      </c>
    </row>
    <row r="210" spans="1:21" ht="57">
      <c r="A210" s="368">
        <v>209</v>
      </c>
      <c r="B210" s="182" t="s">
        <v>493</v>
      </c>
      <c r="C210" s="182" t="str">
        <f t="shared" si="59"/>
        <v>291</v>
      </c>
      <c r="D210" s="559">
        <v>291</v>
      </c>
      <c r="E210" s="182" t="s">
        <v>556</v>
      </c>
      <c r="F210" s="183" t="s">
        <v>2</v>
      </c>
      <c r="G210" s="182">
        <v>22</v>
      </c>
      <c r="H210" s="182" t="s">
        <v>5</v>
      </c>
      <c r="I210" s="561" t="s">
        <v>625</v>
      </c>
      <c r="J210" s="275">
        <f t="shared" si="54"/>
        <v>0</v>
      </c>
      <c r="K210" s="275">
        <f t="shared" si="50"/>
        <v>1</v>
      </c>
      <c r="L210" s="275">
        <f t="shared" si="51"/>
        <v>0</v>
      </c>
      <c r="M210" s="275">
        <f t="shared" si="55"/>
        <v>1</v>
      </c>
      <c r="N210" s="276">
        <f t="shared" si="56"/>
        <v>1</v>
      </c>
      <c r="O210" s="276">
        <f t="shared" si="57"/>
        <v>0</v>
      </c>
      <c r="P210" s="276">
        <f t="shared" si="52"/>
        <v>0</v>
      </c>
      <c r="Q210" s="276">
        <f t="shared" si="53"/>
        <v>0</v>
      </c>
      <c r="R210" s="329">
        <f t="shared" si="58"/>
        <v>1</v>
      </c>
      <c r="S210" s="273"/>
      <c r="T210" s="274" t="str">
        <f>IF(ISNA(VLOOKUP(D210,'One year follow-up_inperson'!$C:$C,1,FALSE)),"No","Yes")</f>
        <v>No</v>
      </c>
      <c r="U210" s="592" t="s">
        <v>679</v>
      </c>
    </row>
    <row r="211" spans="1:21" ht="313.5">
      <c r="A211" s="368">
        <v>210</v>
      </c>
      <c r="B211" s="182" t="s">
        <v>493</v>
      </c>
      <c r="C211" s="182" t="str">
        <f t="shared" si="59"/>
        <v>291</v>
      </c>
      <c r="D211" s="559">
        <v>291</v>
      </c>
      <c r="E211" s="182" t="s">
        <v>557</v>
      </c>
      <c r="F211" s="183" t="s">
        <v>2</v>
      </c>
      <c r="G211" s="182">
        <v>26</v>
      </c>
      <c r="H211" s="182" t="s">
        <v>3</v>
      </c>
      <c r="I211" s="560" t="s">
        <v>601</v>
      </c>
      <c r="J211" s="275">
        <f t="shared" si="54"/>
        <v>1</v>
      </c>
      <c r="K211" s="275">
        <f t="shared" si="50"/>
        <v>0</v>
      </c>
      <c r="L211" s="275">
        <f t="shared" si="51"/>
        <v>1</v>
      </c>
      <c r="M211" s="275">
        <f t="shared" si="55"/>
        <v>1</v>
      </c>
      <c r="N211" s="276">
        <f t="shared" si="56"/>
        <v>0</v>
      </c>
      <c r="O211" s="276">
        <f t="shared" si="57"/>
        <v>0</v>
      </c>
      <c r="P211" s="276">
        <f t="shared" si="52"/>
        <v>0</v>
      </c>
      <c r="Q211" s="276">
        <f t="shared" si="53"/>
        <v>0</v>
      </c>
      <c r="R211" s="329">
        <f t="shared" si="58"/>
        <v>1</v>
      </c>
      <c r="S211" s="273"/>
      <c r="T211" s="274" t="str">
        <f>IF(ISNA(VLOOKUP(D211,'One year follow-up_inperson'!$C:$C,1,FALSE)),"No","Yes")</f>
        <v>No</v>
      </c>
      <c r="U211" s="592" t="s">
        <v>679</v>
      </c>
    </row>
    <row r="212" spans="1:21" ht="171">
      <c r="A212" s="368">
        <v>211</v>
      </c>
      <c r="B212" s="182" t="s">
        <v>493</v>
      </c>
      <c r="C212" s="182" t="str">
        <f t="shared" si="59"/>
        <v>291</v>
      </c>
      <c r="D212" s="559">
        <v>291</v>
      </c>
      <c r="E212" s="182" t="s">
        <v>558</v>
      </c>
      <c r="F212" s="183" t="s">
        <v>2</v>
      </c>
      <c r="G212" s="182">
        <v>20</v>
      </c>
      <c r="H212" s="182" t="s">
        <v>3</v>
      </c>
      <c r="I212" s="561" t="s">
        <v>626</v>
      </c>
      <c r="J212" s="275">
        <f t="shared" si="54"/>
        <v>1</v>
      </c>
      <c r="K212" s="275">
        <f t="shared" si="50"/>
        <v>0</v>
      </c>
      <c r="L212" s="275">
        <f t="shared" si="51"/>
        <v>0</v>
      </c>
      <c r="M212" s="275">
        <f t="shared" si="55"/>
        <v>1</v>
      </c>
      <c r="N212" s="276">
        <f t="shared" si="56"/>
        <v>0</v>
      </c>
      <c r="O212" s="276">
        <f t="shared" si="57"/>
        <v>0</v>
      </c>
      <c r="P212" s="276">
        <f t="shared" si="52"/>
        <v>0</v>
      </c>
      <c r="Q212" s="276">
        <f t="shared" si="53"/>
        <v>0</v>
      </c>
      <c r="R212" s="329">
        <f t="shared" si="58"/>
        <v>1</v>
      </c>
      <c r="S212" s="273"/>
      <c r="T212" s="274" t="str">
        <f>IF(ISNA(VLOOKUP(D212,'One year follow-up_inperson'!$C:$C,1,FALSE)),"No","Yes")</f>
        <v>No</v>
      </c>
      <c r="U212" s="592" t="s">
        <v>679</v>
      </c>
    </row>
    <row r="213" spans="1:21" ht="57">
      <c r="A213" s="368">
        <v>212</v>
      </c>
      <c r="B213" s="182" t="s">
        <v>493</v>
      </c>
      <c r="C213" s="182" t="str">
        <f t="shared" si="59"/>
        <v>291</v>
      </c>
      <c r="D213" s="559">
        <v>291</v>
      </c>
      <c r="E213" s="182" t="s">
        <v>559</v>
      </c>
      <c r="F213" s="183" t="s">
        <v>2</v>
      </c>
      <c r="G213" s="182">
        <v>28</v>
      </c>
      <c r="H213" s="182" t="s">
        <v>5</v>
      </c>
      <c r="I213" s="561" t="s">
        <v>625</v>
      </c>
      <c r="J213" s="275">
        <f t="shared" si="54"/>
        <v>0</v>
      </c>
      <c r="K213" s="275">
        <f t="shared" si="50"/>
        <v>1</v>
      </c>
      <c r="L213" s="275">
        <f t="shared" si="51"/>
        <v>0</v>
      </c>
      <c r="M213" s="275">
        <f t="shared" si="55"/>
        <v>1</v>
      </c>
      <c r="N213" s="276">
        <f t="shared" si="56"/>
        <v>1</v>
      </c>
      <c r="O213" s="276">
        <f t="shared" si="57"/>
        <v>0</v>
      </c>
      <c r="P213" s="276">
        <f t="shared" si="52"/>
        <v>0</v>
      </c>
      <c r="Q213" s="276">
        <f t="shared" si="53"/>
        <v>0</v>
      </c>
      <c r="R213" s="329">
        <f t="shared" si="58"/>
        <v>1</v>
      </c>
      <c r="S213" s="273"/>
      <c r="T213" s="274" t="str">
        <f>IF(ISNA(VLOOKUP(D213,'One year follow-up_inperson'!$C:$C,1,FALSE)),"No","Yes")</f>
        <v>No</v>
      </c>
      <c r="U213" s="592" t="s">
        <v>679</v>
      </c>
    </row>
    <row r="214" spans="1:21" ht="85.5">
      <c r="A214" s="368">
        <v>213</v>
      </c>
      <c r="B214" s="182" t="s">
        <v>493</v>
      </c>
      <c r="C214" s="182" t="str">
        <f t="shared" si="59"/>
        <v>291</v>
      </c>
      <c r="D214" s="559">
        <v>291</v>
      </c>
      <c r="E214" s="182" t="s">
        <v>560</v>
      </c>
      <c r="F214" s="183" t="s">
        <v>2</v>
      </c>
      <c r="G214" s="182">
        <v>23</v>
      </c>
      <c r="H214" s="182" t="s">
        <v>3</v>
      </c>
      <c r="I214" s="561" t="s">
        <v>602</v>
      </c>
      <c r="J214" s="275">
        <f t="shared" si="54"/>
        <v>1</v>
      </c>
      <c r="K214" s="275">
        <f t="shared" si="50"/>
        <v>0</v>
      </c>
      <c r="L214" s="275">
        <f t="shared" si="51"/>
        <v>0</v>
      </c>
      <c r="M214" s="275">
        <f t="shared" si="55"/>
        <v>1</v>
      </c>
      <c r="N214" s="276">
        <f t="shared" si="56"/>
        <v>0</v>
      </c>
      <c r="O214" s="276">
        <f t="shared" si="57"/>
        <v>0</v>
      </c>
      <c r="P214" s="276">
        <f t="shared" si="52"/>
        <v>0</v>
      </c>
      <c r="Q214" s="276">
        <f t="shared" si="53"/>
        <v>0</v>
      </c>
      <c r="R214" s="329">
        <f t="shared" si="58"/>
        <v>1</v>
      </c>
      <c r="S214" s="273"/>
      <c r="T214" s="274" t="str">
        <f>IF(ISNA(VLOOKUP(D214,'One year follow-up_inperson'!$C:$C,1,FALSE)),"No","Yes")</f>
        <v>No</v>
      </c>
      <c r="U214" s="592" t="s">
        <v>679</v>
      </c>
    </row>
    <row r="215" spans="1:21" ht="185.25">
      <c r="A215" s="368">
        <v>214</v>
      </c>
      <c r="B215" s="182" t="s">
        <v>493</v>
      </c>
      <c r="C215" s="182" t="str">
        <f t="shared" si="59"/>
        <v>291</v>
      </c>
      <c r="D215" s="559">
        <v>291</v>
      </c>
      <c r="E215" s="182" t="s">
        <v>561</v>
      </c>
      <c r="F215" s="183" t="s">
        <v>2</v>
      </c>
      <c r="G215" s="182">
        <v>22</v>
      </c>
      <c r="H215" s="182" t="s">
        <v>3</v>
      </c>
      <c r="I215" s="577" t="s">
        <v>603</v>
      </c>
      <c r="J215" s="275">
        <f t="shared" si="54"/>
        <v>1</v>
      </c>
      <c r="K215" s="275">
        <f t="shared" si="50"/>
        <v>0</v>
      </c>
      <c r="L215" s="275">
        <f t="shared" si="51"/>
        <v>0</v>
      </c>
      <c r="M215" s="275">
        <f t="shared" si="55"/>
        <v>1</v>
      </c>
      <c r="N215" s="276">
        <f t="shared" si="56"/>
        <v>0</v>
      </c>
      <c r="O215" s="276">
        <f t="shared" si="57"/>
        <v>0</v>
      </c>
      <c r="P215" s="276">
        <f t="shared" si="52"/>
        <v>0</v>
      </c>
      <c r="Q215" s="276">
        <f t="shared" si="53"/>
        <v>0</v>
      </c>
      <c r="R215" s="329">
        <f t="shared" si="58"/>
        <v>1</v>
      </c>
      <c r="S215" s="273"/>
      <c r="T215" s="274" t="str">
        <f>IF(ISNA(VLOOKUP(D215,'One year follow-up_inperson'!$C:$C,1,FALSE)),"No","Yes")</f>
        <v>No</v>
      </c>
      <c r="U215" s="592" t="s">
        <v>679</v>
      </c>
    </row>
    <row r="216" spans="1:21" ht="114">
      <c r="A216" s="368">
        <v>215</v>
      </c>
      <c r="B216" s="182" t="s">
        <v>493</v>
      </c>
      <c r="C216" s="182" t="str">
        <f t="shared" si="59"/>
        <v>291</v>
      </c>
      <c r="D216" s="559">
        <v>291</v>
      </c>
      <c r="E216" s="182" t="s">
        <v>562</v>
      </c>
      <c r="F216" s="183" t="s">
        <v>2</v>
      </c>
      <c r="G216" s="182">
        <v>20</v>
      </c>
      <c r="H216" s="182" t="s">
        <v>3</v>
      </c>
      <c r="I216" s="561" t="s">
        <v>624</v>
      </c>
      <c r="J216" s="275">
        <f t="shared" si="54"/>
        <v>0</v>
      </c>
      <c r="K216" s="275">
        <f t="shared" si="50"/>
        <v>0</v>
      </c>
      <c r="L216" s="275">
        <f t="shared" si="51"/>
        <v>0</v>
      </c>
      <c r="M216" s="275">
        <f t="shared" si="55"/>
        <v>0</v>
      </c>
      <c r="N216" s="276">
        <f t="shared" si="56"/>
        <v>0</v>
      </c>
      <c r="O216" s="276">
        <f t="shared" si="57"/>
        <v>1</v>
      </c>
      <c r="P216" s="276">
        <f t="shared" si="52"/>
        <v>0</v>
      </c>
      <c r="Q216" s="276">
        <f t="shared" si="53"/>
        <v>0</v>
      </c>
      <c r="R216" s="329">
        <f t="shared" si="58"/>
        <v>1</v>
      </c>
      <c r="S216" s="273"/>
      <c r="T216" s="274" t="str">
        <f>IF(ISNA(VLOOKUP(D216,'One year follow-up_inperson'!$C:$C,1,FALSE)),"No","Yes")</f>
        <v>No</v>
      </c>
      <c r="U216" s="592" t="s">
        <v>679</v>
      </c>
    </row>
    <row r="217" spans="1:21" ht="71.25">
      <c r="A217" s="368">
        <v>216</v>
      </c>
      <c r="B217" s="182" t="s">
        <v>493</v>
      </c>
      <c r="C217" s="182" t="str">
        <f t="shared" si="59"/>
        <v>291</v>
      </c>
      <c r="D217" s="559">
        <v>291</v>
      </c>
      <c r="E217" s="182" t="s">
        <v>563</v>
      </c>
      <c r="F217" s="183" t="s">
        <v>2</v>
      </c>
      <c r="G217" s="182">
        <v>21</v>
      </c>
      <c r="H217" s="182" t="s">
        <v>5</v>
      </c>
      <c r="I217" s="561" t="s">
        <v>645</v>
      </c>
      <c r="J217" s="275">
        <f t="shared" si="54"/>
        <v>0</v>
      </c>
      <c r="K217" s="275">
        <f t="shared" si="50"/>
        <v>0</v>
      </c>
      <c r="L217" s="275">
        <f t="shared" si="51"/>
        <v>0</v>
      </c>
      <c r="M217" s="275">
        <f t="shared" si="55"/>
        <v>0</v>
      </c>
      <c r="N217" s="276">
        <f t="shared" si="56"/>
        <v>0</v>
      </c>
      <c r="O217" s="276">
        <f t="shared" si="57"/>
        <v>1</v>
      </c>
      <c r="P217" s="276">
        <f t="shared" si="52"/>
        <v>0</v>
      </c>
      <c r="Q217" s="276">
        <f t="shared" si="53"/>
        <v>0</v>
      </c>
      <c r="R217" s="329">
        <f t="shared" si="58"/>
        <v>1</v>
      </c>
      <c r="S217" s="273"/>
      <c r="T217" s="274" t="str">
        <f>IF(ISNA(VLOOKUP(D217,'One year follow-up_inperson'!$C:$C,1,FALSE)),"No","Yes")</f>
        <v>No</v>
      </c>
      <c r="U217" s="592" t="s">
        <v>679</v>
      </c>
    </row>
    <row r="218" spans="1:21" ht="71.25">
      <c r="A218" s="368">
        <v>217</v>
      </c>
      <c r="B218" s="182" t="s">
        <v>493</v>
      </c>
      <c r="C218" s="182" t="str">
        <f t="shared" si="59"/>
        <v>291</v>
      </c>
      <c r="D218" s="559">
        <v>291</v>
      </c>
      <c r="E218" s="182" t="s">
        <v>564</v>
      </c>
      <c r="F218" s="183" t="s">
        <v>2</v>
      </c>
      <c r="G218" s="182">
        <v>23</v>
      </c>
      <c r="H218" s="182" t="s">
        <v>3</v>
      </c>
      <c r="I218" s="561" t="s">
        <v>604</v>
      </c>
      <c r="J218" s="275">
        <f t="shared" si="54"/>
        <v>1</v>
      </c>
      <c r="K218" s="275">
        <f t="shared" si="50"/>
        <v>0</v>
      </c>
      <c r="L218" s="275">
        <f t="shared" si="51"/>
        <v>0</v>
      </c>
      <c r="M218" s="275">
        <f t="shared" si="55"/>
        <v>1</v>
      </c>
      <c r="N218" s="276">
        <f t="shared" si="56"/>
        <v>0</v>
      </c>
      <c r="O218" s="276">
        <f t="shared" si="57"/>
        <v>0</v>
      </c>
      <c r="P218" s="276">
        <f t="shared" si="52"/>
        <v>0</v>
      </c>
      <c r="Q218" s="276">
        <f t="shared" si="53"/>
        <v>0</v>
      </c>
      <c r="R218" s="329">
        <f t="shared" si="58"/>
        <v>1</v>
      </c>
      <c r="S218" s="273"/>
      <c r="T218" s="274" t="str">
        <f>IF(ISNA(VLOOKUP(D218,'One year follow-up_inperson'!$C:$C,1,FALSE)),"No","Yes")</f>
        <v>No</v>
      </c>
      <c r="U218" s="592" t="s">
        <v>679</v>
      </c>
    </row>
    <row r="219" spans="1:21" ht="99.75">
      <c r="A219" s="368">
        <v>218</v>
      </c>
      <c r="B219" s="182" t="s">
        <v>493</v>
      </c>
      <c r="C219" s="182" t="str">
        <f t="shared" si="59"/>
        <v>291</v>
      </c>
      <c r="D219" s="559">
        <v>291</v>
      </c>
      <c r="E219" s="182" t="s">
        <v>565</v>
      </c>
      <c r="F219" s="183" t="s">
        <v>2</v>
      </c>
      <c r="G219" s="182">
        <v>21</v>
      </c>
      <c r="H219" s="182" t="s">
        <v>3</v>
      </c>
      <c r="I219" s="560" t="s">
        <v>623</v>
      </c>
      <c r="J219" s="275">
        <f t="shared" si="54"/>
        <v>1</v>
      </c>
      <c r="K219" s="275">
        <f t="shared" si="50"/>
        <v>0</v>
      </c>
      <c r="L219" s="275">
        <f t="shared" si="51"/>
        <v>0</v>
      </c>
      <c r="M219" s="275">
        <f t="shared" si="55"/>
        <v>1</v>
      </c>
      <c r="N219" s="276">
        <f t="shared" si="56"/>
        <v>0</v>
      </c>
      <c r="O219" s="276">
        <f t="shared" si="57"/>
        <v>0</v>
      </c>
      <c r="P219" s="276">
        <f t="shared" si="52"/>
        <v>0</v>
      </c>
      <c r="Q219" s="276">
        <f t="shared" si="53"/>
        <v>0</v>
      </c>
      <c r="R219" s="329">
        <f t="shared" si="58"/>
        <v>1</v>
      </c>
      <c r="S219" s="273"/>
      <c r="T219" s="274" t="str">
        <f>IF(ISNA(VLOOKUP(D219,'One year follow-up_inperson'!$C:$C,1,FALSE)),"No","Yes")</f>
        <v>No</v>
      </c>
      <c r="U219" s="592" t="s">
        <v>679</v>
      </c>
    </row>
    <row r="220" spans="1:21" ht="42.75">
      <c r="A220" s="368">
        <v>219</v>
      </c>
      <c r="B220" s="182" t="s">
        <v>493</v>
      </c>
      <c r="C220" s="182" t="str">
        <f t="shared" si="59"/>
        <v>291</v>
      </c>
      <c r="D220" s="559">
        <v>291</v>
      </c>
      <c r="E220" s="182" t="s">
        <v>566</v>
      </c>
      <c r="F220" s="183" t="s">
        <v>2</v>
      </c>
      <c r="G220" s="182">
        <v>21</v>
      </c>
      <c r="H220" s="182" t="s">
        <v>3</v>
      </c>
      <c r="I220" s="561" t="s">
        <v>605</v>
      </c>
      <c r="J220" s="275">
        <f t="shared" si="54"/>
        <v>0</v>
      </c>
      <c r="K220" s="275">
        <f t="shared" si="50"/>
        <v>1</v>
      </c>
      <c r="L220" s="275">
        <f t="shared" si="51"/>
        <v>0</v>
      </c>
      <c r="M220" s="275">
        <f t="shared" si="55"/>
        <v>1</v>
      </c>
      <c r="N220" s="276">
        <f t="shared" si="56"/>
        <v>0</v>
      </c>
      <c r="O220" s="276">
        <f t="shared" si="57"/>
        <v>0</v>
      </c>
      <c r="P220" s="276">
        <f t="shared" si="52"/>
        <v>0</v>
      </c>
      <c r="Q220" s="276">
        <f t="shared" si="53"/>
        <v>0</v>
      </c>
      <c r="R220" s="329">
        <f t="shared" si="58"/>
        <v>1</v>
      </c>
      <c r="S220" s="273"/>
      <c r="T220" s="274" t="str">
        <f>IF(ISNA(VLOOKUP(D220,'One year follow-up_inperson'!$C:$C,1,FALSE)),"No","Yes")</f>
        <v>No</v>
      </c>
      <c r="U220" s="592" t="s">
        <v>679</v>
      </c>
    </row>
    <row r="221" spans="1:21" ht="156.75">
      <c r="A221" s="368">
        <v>220</v>
      </c>
      <c r="B221" s="182" t="s">
        <v>493</v>
      </c>
      <c r="C221" s="182" t="str">
        <f t="shared" si="59"/>
        <v>291</v>
      </c>
      <c r="D221" s="559">
        <v>291</v>
      </c>
      <c r="E221" s="182" t="s">
        <v>567</v>
      </c>
      <c r="F221" s="183" t="s">
        <v>2</v>
      </c>
      <c r="G221" s="182">
        <v>26</v>
      </c>
      <c r="H221" s="182" t="s">
        <v>3</v>
      </c>
      <c r="I221" s="561" t="s">
        <v>622</v>
      </c>
      <c r="J221" s="275">
        <f t="shared" si="54"/>
        <v>0</v>
      </c>
      <c r="K221" s="275">
        <f t="shared" si="50"/>
        <v>1</v>
      </c>
      <c r="L221" s="275">
        <f t="shared" si="51"/>
        <v>0</v>
      </c>
      <c r="M221" s="275">
        <f t="shared" si="55"/>
        <v>1</v>
      </c>
      <c r="N221" s="276">
        <f t="shared" si="56"/>
        <v>1</v>
      </c>
      <c r="O221" s="276">
        <f t="shared" si="57"/>
        <v>0</v>
      </c>
      <c r="P221" s="276">
        <f t="shared" si="52"/>
        <v>0</v>
      </c>
      <c r="Q221" s="276">
        <f t="shared" si="53"/>
        <v>0</v>
      </c>
      <c r="R221" s="329">
        <f t="shared" si="58"/>
        <v>1</v>
      </c>
      <c r="S221" s="273"/>
      <c r="T221" s="274" t="str">
        <f>IF(ISNA(VLOOKUP(D221,'One year follow-up_inperson'!$C:$C,1,FALSE)),"No","Yes")</f>
        <v>No</v>
      </c>
      <c r="U221" s="592" t="s">
        <v>679</v>
      </c>
    </row>
    <row r="222" spans="1:21" ht="15">
      <c r="A222" s="368">
        <v>221</v>
      </c>
      <c r="B222" s="182" t="s">
        <v>493</v>
      </c>
      <c r="C222" s="182" t="str">
        <f t="shared" si="59"/>
        <v>291</v>
      </c>
      <c r="D222" s="559">
        <v>291</v>
      </c>
      <c r="E222" s="182" t="s">
        <v>568</v>
      </c>
      <c r="F222" s="183" t="s">
        <v>2</v>
      </c>
      <c r="G222" s="182">
        <v>26</v>
      </c>
      <c r="H222" s="182" t="s">
        <v>5</v>
      </c>
      <c r="I222" s="560" t="s">
        <v>144</v>
      </c>
      <c r="J222" s="275">
        <f t="shared" si="54"/>
        <v>0</v>
      </c>
      <c r="K222" s="275">
        <f t="shared" si="50"/>
        <v>0</v>
      </c>
      <c r="L222" s="275">
        <f t="shared" si="51"/>
        <v>0</v>
      </c>
      <c r="M222" s="275">
        <f t="shared" si="55"/>
        <v>0</v>
      </c>
      <c r="N222" s="276">
        <f t="shared" si="56"/>
        <v>0</v>
      </c>
      <c r="O222" s="276">
        <f t="shared" si="57"/>
        <v>0</v>
      </c>
      <c r="P222" s="276">
        <f t="shared" si="52"/>
        <v>0</v>
      </c>
      <c r="Q222" s="276">
        <f t="shared" si="53"/>
        <v>0</v>
      </c>
      <c r="R222" s="329">
        <f t="shared" si="58"/>
        <v>0</v>
      </c>
      <c r="S222" s="273"/>
      <c r="T222" s="274" t="str">
        <f>IF(ISNA(VLOOKUP(D222,'One year follow-up_inperson'!$C:$C,1,FALSE)),"No","Yes")</f>
        <v>No</v>
      </c>
      <c r="U222" s="592" t="s">
        <v>679</v>
      </c>
    </row>
    <row r="223" spans="1:21" ht="57">
      <c r="A223" s="368">
        <v>222</v>
      </c>
      <c r="B223" s="182" t="s">
        <v>493</v>
      </c>
      <c r="C223" s="182" t="str">
        <f t="shared" si="59"/>
        <v>291</v>
      </c>
      <c r="D223" s="559">
        <v>291</v>
      </c>
      <c r="E223" s="182" t="s">
        <v>569</v>
      </c>
      <c r="F223" s="183" t="s">
        <v>2</v>
      </c>
      <c r="G223" s="182">
        <v>23</v>
      </c>
      <c r="H223" s="182" t="s">
        <v>3</v>
      </c>
      <c r="I223" s="560" t="s">
        <v>606</v>
      </c>
      <c r="J223" s="275">
        <f t="shared" si="54"/>
        <v>0</v>
      </c>
      <c r="K223" s="275">
        <f t="shared" si="50"/>
        <v>0</v>
      </c>
      <c r="L223" s="275">
        <f t="shared" si="51"/>
        <v>0</v>
      </c>
      <c r="M223" s="275">
        <f t="shared" si="55"/>
        <v>0</v>
      </c>
      <c r="N223" s="276">
        <f t="shared" si="56"/>
        <v>0</v>
      </c>
      <c r="O223" s="276">
        <f t="shared" si="57"/>
        <v>0</v>
      </c>
      <c r="P223" s="276">
        <f t="shared" si="52"/>
        <v>0</v>
      </c>
      <c r="Q223" s="276">
        <f t="shared" si="53"/>
        <v>0</v>
      </c>
      <c r="R223" s="329">
        <f t="shared" si="58"/>
        <v>0</v>
      </c>
      <c r="S223" s="273"/>
      <c r="T223" s="274" t="str">
        <f>IF(ISNA(VLOOKUP(D223,'One year follow-up_inperson'!$C:$C,1,FALSE)),"No","Yes")</f>
        <v>No</v>
      </c>
      <c r="U223" s="592" t="s">
        <v>679</v>
      </c>
    </row>
    <row r="224" spans="1:21" ht="114">
      <c r="A224" s="368">
        <v>223</v>
      </c>
      <c r="B224" s="182" t="s">
        <v>493</v>
      </c>
      <c r="C224" s="182" t="str">
        <f t="shared" si="59"/>
        <v>291</v>
      </c>
      <c r="D224" s="559">
        <v>291</v>
      </c>
      <c r="E224" s="182" t="s">
        <v>570</v>
      </c>
      <c r="F224" s="183" t="s">
        <v>2</v>
      </c>
      <c r="G224" s="182">
        <v>28</v>
      </c>
      <c r="H224" s="182" t="s">
        <v>3</v>
      </c>
      <c r="I224" s="560" t="s">
        <v>621</v>
      </c>
      <c r="J224" s="275">
        <f t="shared" si="54"/>
        <v>1</v>
      </c>
      <c r="K224" s="275">
        <f t="shared" si="50"/>
        <v>0</v>
      </c>
      <c r="L224" s="275">
        <f t="shared" si="51"/>
        <v>0</v>
      </c>
      <c r="M224" s="275">
        <f t="shared" si="55"/>
        <v>1</v>
      </c>
      <c r="N224" s="276">
        <f t="shared" si="56"/>
        <v>0</v>
      </c>
      <c r="O224" s="276">
        <f t="shared" si="57"/>
        <v>0</v>
      </c>
      <c r="P224" s="276">
        <f t="shared" si="52"/>
        <v>0</v>
      </c>
      <c r="Q224" s="276">
        <f t="shared" si="53"/>
        <v>0</v>
      </c>
      <c r="R224" s="329">
        <f t="shared" si="58"/>
        <v>1</v>
      </c>
      <c r="S224" s="273"/>
      <c r="T224" s="274" t="str">
        <f>IF(ISNA(VLOOKUP(D224,'One year follow-up_inperson'!$C:$C,1,FALSE)),"No","Yes")</f>
        <v>No</v>
      </c>
      <c r="U224" s="592" t="s">
        <v>679</v>
      </c>
    </row>
    <row r="225" spans="1:21" ht="85.5">
      <c r="A225" s="368">
        <v>224</v>
      </c>
      <c r="B225" s="182" t="s">
        <v>493</v>
      </c>
      <c r="C225" s="182" t="str">
        <f t="shared" si="59"/>
        <v>291</v>
      </c>
      <c r="D225" s="559">
        <v>291</v>
      </c>
      <c r="E225" s="182" t="s">
        <v>571</v>
      </c>
      <c r="F225" s="183" t="s">
        <v>2</v>
      </c>
      <c r="G225" s="182">
        <v>30</v>
      </c>
      <c r="H225" s="182" t="s">
        <v>3</v>
      </c>
      <c r="I225" s="561" t="s">
        <v>607</v>
      </c>
      <c r="J225" s="275">
        <f t="shared" si="54"/>
        <v>1</v>
      </c>
      <c r="K225" s="275">
        <f t="shared" ref="K225:K242" si="60">IF(OR(ISNUMBER(SEARCH("decision",I225))=TRUE,ISNUMBER(SEARCH("save",I225))=TRUE,ISNUMBER(SEARCH("saving",I225))=TRUE,ISNUMBER(SEARCH("started",I225))=TRUE,ISNUMBER(SEARCH("buy",I225))=TRUE,ISNUMBER(SEARCH("bought",I225))=TRUE),1,0)</f>
        <v>0</v>
      </c>
      <c r="L225" s="275">
        <f t="shared" ref="L225:L242" si="61">IF(OR(ISNUMBER(SEARCH("active",I225))=TRUE,ISNUMBER(SEARCH("proactive",I225))=TRUE,ISNUMBER(SEARCH("face challenge",I225))=TRUE),1,0)</f>
        <v>0</v>
      </c>
      <c r="M225" s="275">
        <f t="shared" si="55"/>
        <v>1</v>
      </c>
      <c r="N225" s="276">
        <f t="shared" si="56"/>
        <v>0</v>
      </c>
      <c r="O225" s="276">
        <f t="shared" si="57"/>
        <v>0</v>
      </c>
      <c r="P225" s="276">
        <f t="shared" ref="P225:P242" si="62">IF(OR(ISNUMBER(SEARCH("school admission",I225))=TRUE,ISNUMBER(SEARCH("perfomance in class",I225))=TRUE,ISNUMBER(SEARCH("scholarship",I225))=TRUE,ISNUMBER(SEARCH("pursue higher education",I225))=TRUE),1,0)</f>
        <v>0</v>
      </c>
      <c r="Q225" s="276">
        <f t="shared" ref="Q225:Q242" si="63">IF(OR(ISNUMBER(SEARCH("leadership role",I225))=TRUE),1,0)</f>
        <v>0</v>
      </c>
      <c r="R225" s="329">
        <f t="shared" si="58"/>
        <v>1</v>
      </c>
      <c r="S225" s="273"/>
      <c r="T225" s="274" t="str">
        <f>IF(ISNA(VLOOKUP(D225,'One year follow-up_inperson'!$C:$C,1,FALSE)),"No","Yes")</f>
        <v>No</v>
      </c>
      <c r="U225" s="592" t="s">
        <v>679</v>
      </c>
    </row>
    <row r="226" spans="1:21" ht="15">
      <c r="A226" s="368">
        <v>225</v>
      </c>
      <c r="B226" s="182" t="s">
        <v>493</v>
      </c>
      <c r="C226" s="182" t="str">
        <f t="shared" si="59"/>
        <v>291</v>
      </c>
      <c r="D226" s="559">
        <v>291</v>
      </c>
      <c r="E226" s="182" t="s">
        <v>572</v>
      </c>
      <c r="F226" s="183" t="s">
        <v>2</v>
      </c>
      <c r="G226" s="182">
        <v>20</v>
      </c>
      <c r="H226" s="182" t="s">
        <v>5</v>
      </c>
      <c r="I226" s="560" t="s">
        <v>144</v>
      </c>
      <c r="J226" s="275">
        <f t="shared" si="54"/>
        <v>0</v>
      </c>
      <c r="K226" s="275">
        <f t="shared" si="60"/>
        <v>0</v>
      </c>
      <c r="L226" s="275">
        <f t="shared" si="61"/>
        <v>0</v>
      </c>
      <c r="M226" s="275">
        <f t="shared" si="55"/>
        <v>0</v>
      </c>
      <c r="N226" s="276">
        <f t="shared" si="56"/>
        <v>0</v>
      </c>
      <c r="O226" s="276">
        <f t="shared" si="57"/>
        <v>0</v>
      </c>
      <c r="P226" s="276">
        <f t="shared" si="62"/>
        <v>0</v>
      </c>
      <c r="Q226" s="276">
        <f t="shared" si="63"/>
        <v>0</v>
      </c>
      <c r="R226" s="329">
        <f t="shared" si="58"/>
        <v>0</v>
      </c>
      <c r="S226" s="273"/>
      <c r="T226" s="274" t="str">
        <f>IF(ISNA(VLOOKUP(D226,'One year follow-up_inperson'!$C:$C,1,FALSE)),"No","Yes")</f>
        <v>No</v>
      </c>
      <c r="U226" s="592" t="s">
        <v>679</v>
      </c>
    </row>
    <row r="227" spans="1:21" ht="99.75">
      <c r="A227" s="368">
        <v>226</v>
      </c>
      <c r="B227" s="182" t="s">
        <v>493</v>
      </c>
      <c r="C227" s="182" t="str">
        <f t="shared" si="59"/>
        <v>291</v>
      </c>
      <c r="D227" s="559">
        <v>291</v>
      </c>
      <c r="E227" s="182" t="s">
        <v>573</v>
      </c>
      <c r="F227" s="183" t="s">
        <v>2</v>
      </c>
      <c r="G227" s="182">
        <v>28</v>
      </c>
      <c r="H227" s="182" t="s">
        <v>3</v>
      </c>
      <c r="I227" s="561" t="s">
        <v>620</v>
      </c>
      <c r="J227" s="275">
        <f t="shared" si="54"/>
        <v>0</v>
      </c>
      <c r="K227" s="275">
        <f t="shared" si="60"/>
        <v>1</v>
      </c>
      <c r="L227" s="275">
        <f t="shared" si="61"/>
        <v>0</v>
      </c>
      <c r="M227" s="275">
        <f t="shared" si="55"/>
        <v>1</v>
      </c>
      <c r="N227" s="276">
        <f t="shared" si="56"/>
        <v>1</v>
      </c>
      <c r="O227" s="276">
        <f t="shared" si="57"/>
        <v>0</v>
      </c>
      <c r="P227" s="276">
        <f t="shared" si="62"/>
        <v>0</v>
      </c>
      <c r="Q227" s="276">
        <f t="shared" si="63"/>
        <v>0</v>
      </c>
      <c r="R227" s="329">
        <f t="shared" si="58"/>
        <v>1</v>
      </c>
      <c r="S227" s="273"/>
      <c r="T227" s="274" t="str">
        <f>IF(ISNA(VLOOKUP(D227,'One year follow-up_inperson'!$C:$C,1,FALSE)),"No","Yes")</f>
        <v>No</v>
      </c>
      <c r="U227" s="592" t="s">
        <v>679</v>
      </c>
    </row>
    <row r="228" spans="1:21" ht="28.5">
      <c r="A228" s="368">
        <v>227</v>
      </c>
      <c r="B228" s="182" t="s">
        <v>493</v>
      </c>
      <c r="C228" s="182" t="str">
        <f t="shared" si="59"/>
        <v>291</v>
      </c>
      <c r="D228" s="559">
        <v>291</v>
      </c>
      <c r="E228" s="182" t="s">
        <v>574</v>
      </c>
      <c r="F228" s="183" t="s">
        <v>2</v>
      </c>
      <c r="G228" s="182">
        <v>31</v>
      </c>
      <c r="H228" s="182" t="s">
        <v>3</v>
      </c>
      <c r="I228" s="561" t="s">
        <v>608</v>
      </c>
      <c r="J228" s="275">
        <f t="shared" si="54"/>
        <v>0</v>
      </c>
      <c r="K228" s="275">
        <f t="shared" si="60"/>
        <v>1</v>
      </c>
      <c r="L228" s="275">
        <f t="shared" si="61"/>
        <v>0</v>
      </c>
      <c r="M228" s="275">
        <f t="shared" si="55"/>
        <v>1</v>
      </c>
      <c r="N228" s="276">
        <f t="shared" si="56"/>
        <v>0</v>
      </c>
      <c r="O228" s="276">
        <f t="shared" si="57"/>
        <v>0</v>
      </c>
      <c r="P228" s="276">
        <f t="shared" si="62"/>
        <v>0</v>
      </c>
      <c r="Q228" s="276">
        <f t="shared" si="63"/>
        <v>0</v>
      </c>
      <c r="R228" s="329">
        <f t="shared" si="58"/>
        <v>1</v>
      </c>
      <c r="S228" s="273"/>
      <c r="T228" s="274" t="str">
        <f>IF(ISNA(VLOOKUP(D228,'One year follow-up_inperson'!$C:$C,1,FALSE)),"No","Yes")</f>
        <v>No</v>
      </c>
      <c r="U228" s="592" t="s">
        <v>679</v>
      </c>
    </row>
    <row r="229" spans="1:21" ht="28.5">
      <c r="A229" s="368">
        <v>228</v>
      </c>
      <c r="B229" s="182" t="s">
        <v>493</v>
      </c>
      <c r="C229" s="182" t="str">
        <f t="shared" si="59"/>
        <v>291</v>
      </c>
      <c r="D229" s="559">
        <v>291</v>
      </c>
      <c r="E229" s="182" t="s">
        <v>575</v>
      </c>
      <c r="F229" s="183" t="s">
        <v>2</v>
      </c>
      <c r="G229" s="182">
        <v>22</v>
      </c>
      <c r="H229" s="182" t="s">
        <v>3</v>
      </c>
      <c r="I229" s="561" t="s">
        <v>609</v>
      </c>
      <c r="J229" s="275">
        <f t="shared" si="54"/>
        <v>0</v>
      </c>
      <c r="K229" s="275">
        <f t="shared" si="60"/>
        <v>0</v>
      </c>
      <c r="L229" s="275">
        <f t="shared" si="61"/>
        <v>0</v>
      </c>
      <c r="M229" s="275">
        <f t="shared" si="55"/>
        <v>0</v>
      </c>
      <c r="N229" s="276">
        <f t="shared" si="56"/>
        <v>0</v>
      </c>
      <c r="O229" s="276">
        <f t="shared" si="57"/>
        <v>1</v>
      </c>
      <c r="P229" s="276">
        <f t="shared" si="62"/>
        <v>0</v>
      </c>
      <c r="Q229" s="276">
        <f t="shared" si="63"/>
        <v>0</v>
      </c>
      <c r="R229" s="329">
        <f t="shared" si="58"/>
        <v>1</v>
      </c>
      <c r="S229" s="273"/>
      <c r="T229" s="274" t="str">
        <f>IF(ISNA(VLOOKUP(D229,'One year follow-up_inperson'!$C:$C,1,FALSE)),"No","Yes")</f>
        <v>No</v>
      </c>
      <c r="U229" s="592" t="s">
        <v>679</v>
      </c>
    </row>
    <row r="230" spans="1:21" ht="142.5">
      <c r="A230" s="368">
        <v>229</v>
      </c>
      <c r="B230" s="182" t="s">
        <v>493</v>
      </c>
      <c r="C230" s="182" t="str">
        <f t="shared" si="59"/>
        <v>291</v>
      </c>
      <c r="D230" s="559">
        <v>291</v>
      </c>
      <c r="E230" s="182" t="s">
        <v>576</v>
      </c>
      <c r="F230" s="183" t="s">
        <v>2</v>
      </c>
      <c r="G230" s="182">
        <v>24</v>
      </c>
      <c r="H230" s="182" t="s">
        <v>3</v>
      </c>
      <c r="I230" s="561" t="s">
        <v>619</v>
      </c>
      <c r="J230" s="275">
        <f t="shared" si="54"/>
        <v>0</v>
      </c>
      <c r="K230" s="275">
        <f t="shared" si="60"/>
        <v>1</v>
      </c>
      <c r="L230" s="275">
        <f t="shared" si="61"/>
        <v>0</v>
      </c>
      <c r="M230" s="275">
        <f t="shared" si="55"/>
        <v>1</v>
      </c>
      <c r="N230" s="276">
        <f t="shared" si="56"/>
        <v>1</v>
      </c>
      <c r="O230" s="276">
        <f t="shared" si="57"/>
        <v>0</v>
      </c>
      <c r="P230" s="276">
        <f t="shared" si="62"/>
        <v>0</v>
      </c>
      <c r="Q230" s="276">
        <f t="shared" si="63"/>
        <v>0</v>
      </c>
      <c r="R230" s="329">
        <f t="shared" si="58"/>
        <v>1</v>
      </c>
      <c r="S230" s="273"/>
      <c r="T230" s="274" t="str">
        <f>IF(ISNA(VLOOKUP(D230,'One year follow-up_inperson'!$C:$C,1,FALSE)),"No","Yes")</f>
        <v>No</v>
      </c>
      <c r="U230" s="592" t="s">
        <v>679</v>
      </c>
    </row>
    <row r="231" spans="1:21" ht="15">
      <c r="A231" s="368">
        <v>230</v>
      </c>
      <c r="B231" s="182" t="s">
        <v>493</v>
      </c>
      <c r="C231" s="182" t="str">
        <f t="shared" si="59"/>
        <v>291</v>
      </c>
      <c r="D231" s="559">
        <v>291</v>
      </c>
      <c r="E231" s="182" t="s">
        <v>577</v>
      </c>
      <c r="F231" s="183" t="s">
        <v>2</v>
      </c>
      <c r="G231" s="182">
        <v>18</v>
      </c>
      <c r="H231" s="182" t="s">
        <v>5</v>
      </c>
      <c r="I231" s="560" t="s">
        <v>144</v>
      </c>
      <c r="J231" s="275">
        <f t="shared" si="54"/>
        <v>0</v>
      </c>
      <c r="K231" s="275">
        <f t="shared" si="60"/>
        <v>0</v>
      </c>
      <c r="L231" s="275">
        <f t="shared" si="61"/>
        <v>0</v>
      </c>
      <c r="M231" s="275">
        <f t="shared" si="55"/>
        <v>0</v>
      </c>
      <c r="N231" s="276">
        <f t="shared" si="56"/>
        <v>0</v>
      </c>
      <c r="O231" s="276">
        <f t="shared" si="57"/>
        <v>0</v>
      </c>
      <c r="P231" s="276">
        <f t="shared" si="62"/>
        <v>0</v>
      </c>
      <c r="Q231" s="276">
        <f t="shared" si="63"/>
        <v>0</v>
      </c>
      <c r="R231" s="329">
        <f t="shared" si="58"/>
        <v>0</v>
      </c>
      <c r="S231" s="273"/>
      <c r="T231" s="274" t="str">
        <f>IF(ISNA(VLOOKUP(D231,'One year follow-up_inperson'!$C:$C,1,FALSE)),"No","Yes")</f>
        <v>No</v>
      </c>
      <c r="U231" s="592" t="s">
        <v>679</v>
      </c>
    </row>
    <row r="232" spans="1:21" ht="15">
      <c r="A232" s="368">
        <v>231</v>
      </c>
      <c r="B232" s="182" t="s">
        <v>493</v>
      </c>
      <c r="C232" s="182" t="str">
        <f t="shared" si="59"/>
        <v>291</v>
      </c>
      <c r="D232" s="559">
        <v>291</v>
      </c>
      <c r="E232" s="182" t="s">
        <v>578</v>
      </c>
      <c r="F232" s="183" t="s">
        <v>2</v>
      </c>
      <c r="G232" s="182">
        <v>24</v>
      </c>
      <c r="H232" s="182" t="s">
        <v>5</v>
      </c>
      <c r="I232" s="560" t="s">
        <v>144</v>
      </c>
      <c r="J232" s="275">
        <f t="shared" si="54"/>
        <v>0</v>
      </c>
      <c r="K232" s="275">
        <f t="shared" si="60"/>
        <v>0</v>
      </c>
      <c r="L232" s="275">
        <f t="shared" si="61"/>
        <v>0</v>
      </c>
      <c r="M232" s="275">
        <f t="shared" si="55"/>
        <v>0</v>
      </c>
      <c r="N232" s="276">
        <f t="shared" si="56"/>
        <v>0</v>
      </c>
      <c r="O232" s="276">
        <f t="shared" si="57"/>
        <v>0</v>
      </c>
      <c r="P232" s="276">
        <f t="shared" si="62"/>
        <v>0</v>
      </c>
      <c r="Q232" s="276">
        <f t="shared" si="63"/>
        <v>0</v>
      </c>
      <c r="R232" s="329">
        <f t="shared" si="58"/>
        <v>0</v>
      </c>
      <c r="S232" s="273"/>
      <c r="T232" s="274" t="str">
        <f>IF(ISNA(VLOOKUP(D232,'One year follow-up_inperson'!$C:$C,1,FALSE)),"No","Yes")</f>
        <v>No</v>
      </c>
      <c r="U232" s="592" t="s">
        <v>679</v>
      </c>
    </row>
    <row r="233" spans="1:21" ht="99.75">
      <c r="A233" s="368">
        <v>232</v>
      </c>
      <c r="B233" s="182" t="s">
        <v>493</v>
      </c>
      <c r="C233" s="182" t="str">
        <f t="shared" si="59"/>
        <v>291</v>
      </c>
      <c r="D233" s="559">
        <v>291</v>
      </c>
      <c r="E233" s="182" t="s">
        <v>579</v>
      </c>
      <c r="F233" s="183" t="s">
        <v>2</v>
      </c>
      <c r="G233" s="182">
        <v>23</v>
      </c>
      <c r="H233" s="182" t="s">
        <v>3</v>
      </c>
      <c r="I233" s="561" t="s">
        <v>618</v>
      </c>
      <c r="J233" s="275">
        <f t="shared" si="54"/>
        <v>0</v>
      </c>
      <c r="K233" s="275">
        <f t="shared" si="60"/>
        <v>1</v>
      </c>
      <c r="L233" s="275">
        <f t="shared" si="61"/>
        <v>0</v>
      </c>
      <c r="M233" s="275">
        <f t="shared" si="55"/>
        <v>1</v>
      </c>
      <c r="N233" s="276">
        <f t="shared" si="56"/>
        <v>0</v>
      </c>
      <c r="O233" s="276">
        <f t="shared" si="57"/>
        <v>0</v>
      </c>
      <c r="P233" s="276">
        <f t="shared" si="62"/>
        <v>0</v>
      </c>
      <c r="Q233" s="276">
        <f t="shared" si="63"/>
        <v>0</v>
      </c>
      <c r="R233" s="329">
        <f t="shared" si="58"/>
        <v>1</v>
      </c>
      <c r="S233" s="273"/>
      <c r="T233" s="274" t="str">
        <f>IF(ISNA(VLOOKUP(D233,'One year follow-up_inperson'!$C:$C,1,FALSE)),"No","Yes")</f>
        <v>No</v>
      </c>
      <c r="U233" s="592" t="s">
        <v>679</v>
      </c>
    </row>
    <row r="234" spans="1:21" ht="171">
      <c r="A234" s="368">
        <v>233</v>
      </c>
      <c r="B234" s="182" t="s">
        <v>493</v>
      </c>
      <c r="C234" s="182" t="str">
        <f t="shared" si="59"/>
        <v>291</v>
      </c>
      <c r="D234" s="559">
        <v>291</v>
      </c>
      <c r="E234" s="182" t="s">
        <v>580</v>
      </c>
      <c r="F234" s="183" t="s">
        <v>2</v>
      </c>
      <c r="G234" s="182">
        <v>17</v>
      </c>
      <c r="H234" s="182" t="s">
        <v>3</v>
      </c>
      <c r="I234" s="561" t="s">
        <v>617</v>
      </c>
      <c r="J234" s="275">
        <f t="shared" ref="J234:J242" si="64">IF(OR(ISNUMBER(SEARCH("confidence",I234))=TRUE,ISNUMBER(SEARCH("hope for the future",I234))=TRUE,ISNUMBER(SEARCH("communicate",I234))=TRUE,ISNUMBER(SEARCH("worthy",I234))=TRUE,ISNUMBER(SEARCH("thought",I234))=TRUE,ISNUMBER(SEARCH("open",I234))=TRUE,ISNUMBER(SEARCH("believe",I234))=TRUE,ISNUMBER(SEARCH("confident",I234))=TRUE,ISNUMBER(SEARCH("empower",I234))=TRUE),1,0)</f>
        <v>1</v>
      </c>
      <c r="K234" s="275">
        <f t="shared" si="60"/>
        <v>1</v>
      </c>
      <c r="L234" s="275">
        <f t="shared" si="61"/>
        <v>0</v>
      </c>
      <c r="M234" s="275">
        <f t="shared" si="55"/>
        <v>1</v>
      </c>
      <c r="N234" s="276">
        <f t="shared" si="56"/>
        <v>0</v>
      </c>
      <c r="O234" s="276">
        <f t="shared" si="57"/>
        <v>0</v>
      </c>
      <c r="P234" s="276">
        <f t="shared" si="62"/>
        <v>0</v>
      </c>
      <c r="Q234" s="276">
        <f t="shared" si="63"/>
        <v>0</v>
      </c>
      <c r="R234" s="329">
        <f t="shared" si="58"/>
        <v>1</v>
      </c>
      <c r="S234" s="273"/>
      <c r="T234" s="274" t="str">
        <f>IF(ISNA(VLOOKUP(D234,'One year follow-up_inperson'!$C:$C,1,FALSE)),"No","Yes")</f>
        <v>No</v>
      </c>
      <c r="U234" s="592" t="s">
        <v>679</v>
      </c>
    </row>
    <row r="235" spans="1:21" ht="15">
      <c r="A235" s="368">
        <v>234</v>
      </c>
      <c r="B235" s="182" t="s">
        <v>493</v>
      </c>
      <c r="C235" s="182" t="str">
        <f t="shared" si="59"/>
        <v>291</v>
      </c>
      <c r="D235" s="559">
        <v>291</v>
      </c>
      <c r="E235" s="182" t="s">
        <v>581</v>
      </c>
      <c r="F235" s="183" t="s">
        <v>2</v>
      </c>
      <c r="G235" s="182">
        <v>19</v>
      </c>
      <c r="H235" s="182" t="s">
        <v>5</v>
      </c>
      <c r="I235" s="560" t="s">
        <v>144</v>
      </c>
      <c r="J235" s="275">
        <f t="shared" si="64"/>
        <v>0</v>
      </c>
      <c r="K235" s="275">
        <f t="shared" si="60"/>
        <v>0</v>
      </c>
      <c r="L235" s="275">
        <f t="shared" si="61"/>
        <v>0</v>
      </c>
      <c r="M235" s="275">
        <f t="shared" ref="M235:M242" si="65">IF(OR(J235=1,K235=1,L235=1),1,0)</f>
        <v>0</v>
      </c>
      <c r="N235" s="276">
        <f t="shared" ref="N235:N242" si="66">IF(OR(ISNUMBER(SEARCH("started a business",I235))=TRUE,ISNUMBER(SEARCH("started an income generating activity",I235))=TRUE,ISNUMBER(SEARCH("a business",I235))=TRUE),1,0)</f>
        <v>0</v>
      </c>
      <c r="O235" s="276">
        <f t="shared" ref="O235:O242" si="67">IF(OR(ISNUMBER(SEARCH("got a job",I235))=TRUE,ISNUMBER(SEARCH("got an internship",I235))=TRUE,ISNUMBER(SEARCH("got a promotion",I235))=TRUE),1,0)</f>
        <v>0</v>
      </c>
      <c r="P235" s="276">
        <f t="shared" si="62"/>
        <v>0</v>
      </c>
      <c r="Q235" s="276">
        <f t="shared" si="63"/>
        <v>0</v>
      </c>
      <c r="R235" s="329">
        <f t="shared" ref="R235:R242" si="68">IF(OR(M235=1,N235=1,O235=1,P235=1,Q235=1),1,0)</f>
        <v>0</v>
      </c>
      <c r="S235" s="273"/>
      <c r="T235" s="274" t="str">
        <f>IF(ISNA(VLOOKUP(D235,'One year follow-up_inperson'!$C:$C,1,FALSE)),"No","Yes")</f>
        <v>No</v>
      </c>
      <c r="U235" s="592" t="s">
        <v>679</v>
      </c>
    </row>
    <row r="236" spans="1:21" ht="128.25">
      <c r="A236" s="368">
        <v>235</v>
      </c>
      <c r="B236" s="182" t="s">
        <v>493</v>
      </c>
      <c r="C236" s="182" t="str">
        <f t="shared" si="59"/>
        <v>291</v>
      </c>
      <c r="D236" s="559">
        <v>291</v>
      </c>
      <c r="E236" s="182" t="s">
        <v>582</v>
      </c>
      <c r="F236" s="183" t="s">
        <v>2</v>
      </c>
      <c r="G236" s="182">
        <v>23</v>
      </c>
      <c r="H236" s="182" t="s">
        <v>3</v>
      </c>
      <c r="I236" s="561" t="s">
        <v>610</v>
      </c>
      <c r="J236" s="275">
        <f t="shared" si="64"/>
        <v>1</v>
      </c>
      <c r="K236" s="275">
        <f t="shared" si="60"/>
        <v>0</v>
      </c>
      <c r="L236" s="275">
        <f t="shared" si="61"/>
        <v>0</v>
      </c>
      <c r="M236" s="275">
        <f t="shared" si="65"/>
        <v>1</v>
      </c>
      <c r="N236" s="276">
        <f t="shared" si="66"/>
        <v>0</v>
      </c>
      <c r="O236" s="276">
        <f t="shared" si="67"/>
        <v>0</v>
      </c>
      <c r="P236" s="276">
        <f t="shared" si="62"/>
        <v>0</v>
      </c>
      <c r="Q236" s="276">
        <f t="shared" si="63"/>
        <v>0</v>
      </c>
      <c r="R236" s="329">
        <f t="shared" si="68"/>
        <v>1</v>
      </c>
      <c r="S236" s="273"/>
      <c r="T236" s="274" t="str">
        <f>IF(ISNA(VLOOKUP(D236,'One year follow-up_inperson'!$C:$C,1,FALSE)),"No","Yes")</f>
        <v>No</v>
      </c>
      <c r="U236" s="592" t="s">
        <v>679</v>
      </c>
    </row>
    <row r="237" spans="1:21" ht="156.75">
      <c r="A237" s="368">
        <v>236</v>
      </c>
      <c r="B237" s="182" t="s">
        <v>493</v>
      </c>
      <c r="C237" s="182" t="str">
        <f t="shared" si="59"/>
        <v>291</v>
      </c>
      <c r="D237" s="559">
        <v>291</v>
      </c>
      <c r="E237" s="182" t="s">
        <v>583</v>
      </c>
      <c r="F237" s="183" t="s">
        <v>2</v>
      </c>
      <c r="G237" s="182">
        <v>24</v>
      </c>
      <c r="H237" s="182" t="s">
        <v>3</v>
      </c>
      <c r="I237" s="561" t="s">
        <v>611</v>
      </c>
      <c r="J237" s="275">
        <f t="shared" si="64"/>
        <v>1</v>
      </c>
      <c r="K237" s="275">
        <f t="shared" si="60"/>
        <v>0</v>
      </c>
      <c r="L237" s="275">
        <f t="shared" si="61"/>
        <v>0</v>
      </c>
      <c r="M237" s="275">
        <f t="shared" si="65"/>
        <v>1</v>
      </c>
      <c r="N237" s="276">
        <f t="shared" si="66"/>
        <v>0</v>
      </c>
      <c r="O237" s="276">
        <f t="shared" si="67"/>
        <v>0</v>
      </c>
      <c r="P237" s="276">
        <f t="shared" si="62"/>
        <v>0</v>
      </c>
      <c r="Q237" s="276">
        <f t="shared" si="63"/>
        <v>0</v>
      </c>
      <c r="R237" s="329">
        <f t="shared" si="68"/>
        <v>1</v>
      </c>
      <c r="S237" s="273"/>
      <c r="T237" s="274" t="str">
        <f>IF(ISNA(VLOOKUP(D237,'One year follow-up_inperson'!$C:$C,1,FALSE)),"No","Yes")</f>
        <v>No</v>
      </c>
      <c r="U237" s="592" t="s">
        <v>679</v>
      </c>
    </row>
    <row r="238" spans="1:21" ht="384.75">
      <c r="A238" s="368">
        <v>237</v>
      </c>
      <c r="B238" s="182" t="s">
        <v>371</v>
      </c>
      <c r="C238" s="182" t="str">
        <f t="shared" si="59"/>
        <v>291</v>
      </c>
      <c r="D238" s="559">
        <v>291</v>
      </c>
      <c r="E238" s="182" t="s">
        <v>584</v>
      </c>
      <c r="F238" s="183" t="s">
        <v>2</v>
      </c>
      <c r="G238" s="182">
        <v>23</v>
      </c>
      <c r="H238" s="182" t="s">
        <v>3</v>
      </c>
      <c r="I238" s="561" t="s">
        <v>612</v>
      </c>
      <c r="J238" s="275">
        <f t="shared" si="64"/>
        <v>1</v>
      </c>
      <c r="K238" s="275">
        <f t="shared" si="60"/>
        <v>0</v>
      </c>
      <c r="L238" s="275">
        <f t="shared" si="61"/>
        <v>0</v>
      </c>
      <c r="M238" s="275">
        <f t="shared" si="65"/>
        <v>1</v>
      </c>
      <c r="N238" s="276">
        <f t="shared" si="66"/>
        <v>0</v>
      </c>
      <c r="O238" s="276">
        <f t="shared" si="67"/>
        <v>0</v>
      </c>
      <c r="P238" s="276">
        <f t="shared" si="62"/>
        <v>0</v>
      </c>
      <c r="Q238" s="276">
        <f t="shared" si="63"/>
        <v>0</v>
      </c>
      <c r="R238" s="329">
        <f t="shared" si="68"/>
        <v>1</v>
      </c>
      <c r="S238" s="273"/>
      <c r="T238" s="274" t="str">
        <f>IF(ISNA(VLOOKUP(D238,'One year follow-up_inperson'!$C:$C,1,FALSE)),"No","Yes")</f>
        <v>No</v>
      </c>
      <c r="U238" s="592" t="s">
        <v>679</v>
      </c>
    </row>
    <row r="239" spans="1:21" ht="409.5">
      <c r="A239" s="368">
        <v>238</v>
      </c>
      <c r="B239" s="182" t="s">
        <v>371</v>
      </c>
      <c r="C239" s="182" t="str">
        <f t="shared" si="59"/>
        <v>291</v>
      </c>
      <c r="D239" s="559">
        <v>291</v>
      </c>
      <c r="E239" s="182" t="s">
        <v>585</v>
      </c>
      <c r="F239" s="183" t="s">
        <v>2</v>
      </c>
      <c r="G239" s="182">
        <v>23</v>
      </c>
      <c r="H239" s="182" t="s">
        <v>3</v>
      </c>
      <c r="I239" s="561" t="s">
        <v>613</v>
      </c>
      <c r="J239" s="275">
        <f t="shared" si="64"/>
        <v>0</v>
      </c>
      <c r="K239" s="275">
        <f t="shared" si="60"/>
        <v>1</v>
      </c>
      <c r="L239" s="275">
        <f t="shared" si="61"/>
        <v>0</v>
      </c>
      <c r="M239" s="275">
        <f t="shared" si="65"/>
        <v>1</v>
      </c>
      <c r="N239" s="276">
        <f t="shared" si="66"/>
        <v>0</v>
      </c>
      <c r="O239" s="276">
        <f t="shared" si="67"/>
        <v>0</v>
      </c>
      <c r="P239" s="276">
        <f t="shared" si="62"/>
        <v>0</v>
      </c>
      <c r="Q239" s="276">
        <f t="shared" si="63"/>
        <v>0</v>
      </c>
      <c r="R239" s="329">
        <f t="shared" si="68"/>
        <v>1</v>
      </c>
      <c r="S239" s="273"/>
      <c r="T239" s="274" t="str">
        <f>IF(ISNA(VLOOKUP(D239,'One year follow-up_inperson'!$C:$C,1,FALSE)),"No","Yes")</f>
        <v>No</v>
      </c>
      <c r="U239" s="592" t="s">
        <v>679</v>
      </c>
    </row>
    <row r="240" spans="1:21" ht="409.5">
      <c r="A240" s="368">
        <v>239</v>
      </c>
      <c r="B240" s="182" t="s">
        <v>371</v>
      </c>
      <c r="C240" s="182" t="str">
        <f t="shared" si="59"/>
        <v>291</v>
      </c>
      <c r="D240" s="559">
        <v>291</v>
      </c>
      <c r="E240" s="182" t="s">
        <v>586</v>
      </c>
      <c r="F240" s="183" t="s">
        <v>2</v>
      </c>
      <c r="G240" s="182">
        <v>20</v>
      </c>
      <c r="H240" s="182" t="s">
        <v>3</v>
      </c>
      <c r="I240" s="560" t="s">
        <v>614</v>
      </c>
      <c r="J240" s="275">
        <f t="shared" si="64"/>
        <v>1</v>
      </c>
      <c r="K240" s="275">
        <f t="shared" si="60"/>
        <v>0</v>
      </c>
      <c r="L240" s="275">
        <f t="shared" si="61"/>
        <v>1</v>
      </c>
      <c r="M240" s="275">
        <f t="shared" si="65"/>
        <v>1</v>
      </c>
      <c r="N240" s="276">
        <f t="shared" si="66"/>
        <v>0</v>
      </c>
      <c r="O240" s="276">
        <f t="shared" si="67"/>
        <v>0</v>
      </c>
      <c r="P240" s="276">
        <f t="shared" si="62"/>
        <v>0</v>
      </c>
      <c r="Q240" s="276">
        <f t="shared" si="63"/>
        <v>0</v>
      </c>
      <c r="R240" s="329">
        <f t="shared" si="68"/>
        <v>1</v>
      </c>
      <c r="S240" s="273"/>
      <c r="T240" s="274" t="str">
        <f>IF(ISNA(VLOOKUP(D240,'One year follow-up_inperson'!$C:$C,1,FALSE)),"No","Yes")</f>
        <v>No</v>
      </c>
      <c r="U240" s="592" t="s">
        <v>679</v>
      </c>
    </row>
    <row r="241" spans="1:21" ht="409.5">
      <c r="A241" s="368">
        <v>240</v>
      </c>
      <c r="B241" s="182" t="s">
        <v>371</v>
      </c>
      <c r="C241" s="182" t="str">
        <f t="shared" si="59"/>
        <v>291</v>
      </c>
      <c r="D241" s="559">
        <v>291</v>
      </c>
      <c r="E241" s="182" t="s">
        <v>587</v>
      </c>
      <c r="F241" s="183" t="s">
        <v>2</v>
      </c>
      <c r="G241" s="182">
        <v>24</v>
      </c>
      <c r="H241" s="182" t="s">
        <v>3</v>
      </c>
      <c r="I241" s="576" t="s">
        <v>616</v>
      </c>
      <c r="J241" s="275">
        <f t="shared" si="64"/>
        <v>1</v>
      </c>
      <c r="K241" s="275">
        <f t="shared" si="60"/>
        <v>1</v>
      </c>
      <c r="L241" s="275">
        <f t="shared" si="61"/>
        <v>0</v>
      </c>
      <c r="M241" s="275">
        <f t="shared" si="65"/>
        <v>1</v>
      </c>
      <c r="N241" s="276">
        <f t="shared" si="66"/>
        <v>1</v>
      </c>
      <c r="O241" s="276">
        <f t="shared" si="67"/>
        <v>0</v>
      </c>
      <c r="P241" s="276">
        <f t="shared" si="62"/>
        <v>0</v>
      </c>
      <c r="Q241" s="276">
        <f t="shared" si="63"/>
        <v>0</v>
      </c>
      <c r="R241" s="329">
        <f t="shared" si="68"/>
        <v>1</v>
      </c>
      <c r="S241" s="273"/>
      <c r="T241" s="274" t="str">
        <f>IF(ISNA(VLOOKUP(D241,'One year follow-up_inperson'!$C:$C,1,FALSE)),"No","Yes")</f>
        <v>No</v>
      </c>
      <c r="U241" s="592" t="s">
        <v>679</v>
      </c>
    </row>
    <row r="242" spans="1:21" ht="409.5">
      <c r="A242" s="368">
        <v>241</v>
      </c>
      <c r="B242" s="182" t="s">
        <v>371</v>
      </c>
      <c r="C242" s="182" t="str">
        <f t="shared" si="59"/>
        <v>291</v>
      </c>
      <c r="D242" s="559">
        <v>291</v>
      </c>
      <c r="E242" s="182" t="s">
        <v>588</v>
      </c>
      <c r="F242" s="183" t="s">
        <v>2</v>
      </c>
      <c r="G242" s="182">
        <v>24</v>
      </c>
      <c r="H242" s="182" t="s">
        <v>3</v>
      </c>
      <c r="I242" s="561" t="s">
        <v>615</v>
      </c>
      <c r="J242" s="275">
        <f t="shared" si="64"/>
        <v>1</v>
      </c>
      <c r="K242" s="275">
        <f t="shared" si="60"/>
        <v>1</v>
      </c>
      <c r="L242" s="275">
        <f t="shared" si="61"/>
        <v>0</v>
      </c>
      <c r="M242" s="275">
        <f t="shared" si="65"/>
        <v>1</v>
      </c>
      <c r="N242" s="276">
        <f t="shared" si="66"/>
        <v>0</v>
      </c>
      <c r="O242" s="276">
        <f t="shared" si="67"/>
        <v>0</v>
      </c>
      <c r="P242" s="276">
        <f t="shared" si="62"/>
        <v>0</v>
      </c>
      <c r="Q242" s="276">
        <f t="shared" si="63"/>
        <v>0</v>
      </c>
      <c r="R242" s="329">
        <f t="shared" si="68"/>
        <v>1</v>
      </c>
      <c r="S242" s="273"/>
      <c r="T242" s="274" t="str">
        <f>IF(ISNA(VLOOKUP(D242,'One year follow-up_inperson'!$C:$C,1,FALSE)),"No","Yes")</f>
        <v>No</v>
      </c>
      <c r="U242" s="592" t="s">
        <v>679</v>
      </c>
    </row>
  </sheetData>
  <conditionalFormatting sqref="D1:E1">
    <cfRule type="containsText" dxfId="9" priority="11" operator="containsText" text="185">
      <formula>NOT(ISERROR(SEARCH("185",D1)))</formula>
    </cfRule>
  </conditionalFormatting>
  <conditionalFormatting sqref="E2:E161 D2:D175 D176:E242">
    <cfRule type="containsText" dxfId="8" priority="4" operator="containsText" text="185">
      <formula>NOT(ISERROR(SEARCH("185",D2)))</formula>
    </cfRule>
  </conditionalFormatting>
  <conditionalFormatting sqref="E106:E149">
    <cfRule type="duplicateValues" dxfId="7" priority="7"/>
  </conditionalFormatting>
  <conditionalFormatting sqref="F2:F18">
    <cfRule type="containsText" dxfId="6" priority="3" operator="containsText" text="185">
      <formula>NOT(ISERROR(SEARCH("185",F2)))</formula>
    </cfRule>
  </conditionalFormatting>
  <conditionalFormatting sqref="F93:F105">
    <cfRule type="containsText" dxfId="5" priority="2" operator="containsText" text="185">
      <formula>NOT(ISERROR(SEARCH("185",F93)))</formula>
    </cfRule>
  </conditionalFormatting>
  <conditionalFormatting sqref="H56:H92 H106:H120">
    <cfRule type="containsText" priority="6" operator="containsText" text="No">
      <formula>NOT(ISERROR(SEARCH("No",H56)))</formula>
    </cfRule>
  </conditionalFormatting>
  <conditionalFormatting sqref="H93:I105">
    <cfRule type="containsText" dxfId="4" priority="1" operator="containsText" text="185">
      <formula>NOT(ISERROR(SEARCH("185",H93)))</formula>
    </cfRule>
  </conditionalFormatting>
  <conditionalFormatting sqref="R2:R242">
    <cfRule type="cellIs" dxfId="3" priority="5"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503"/>
  <sheetViews>
    <sheetView topLeftCell="A21" zoomScale="69" workbookViewId="0">
      <selection activeCell="G26" sqref="G26"/>
    </sheetView>
  </sheetViews>
  <sheetFormatPr defaultColWidth="11" defaultRowHeight="13.5"/>
  <cols>
    <col min="2" max="2" width="17.3125" customWidth="1"/>
    <col min="3" max="3" width="28.4375" style="181" customWidth="1"/>
    <col min="4" max="4" width="21.4375" style="179" customWidth="1"/>
    <col min="5" max="5" width="16.125" customWidth="1"/>
    <col min="6" max="6" width="18.4375" style="179" customWidth="1"/>
    <col min="7" max="7" width="46.875" customWidth="1"/>
    <col min="17" max="17" width="28.3125" customWidth="1"/>
    <col min="18" max="18" width="15.125" style="62" customWidth="1"/>
    <col min="19" max="19" width="29.4375" style="62" customWidth="1"/>
    <col min="20" max="20" width="2.6875" style="62" customWidth="1"/>
    <col min="21" max="21" width="26.125" style="62" customWidth="1"/>
    <col min="22" max="23" width="11" style="62"/>
    <col min="24" max="24" width="24.5625" style="62" customWidth="1"/>
    <col min="25" max="26" width="11" style="62"/>
    <col min="27" max="27" width="23.3125" style="62" customWidth="1"/>
    <col min="28" max="16384" width="11" style="62"/>
  </cols>
  <sheetData>
    <row r="1" spans="1:27" ht="40.5">
      <c r="A1" s="186" t="s">
        <v>102</v>
      </c>
      <c r="B1" s="183" t="s">
        <v>77</v>
      </c>
      <c r="C1" s="690" t="s">
        <v>72</v>
      </c>
      <c r="D1" s="691"/>
      <c r="E1" s="182" t="s">
        <v>58</v>
      </c>
      <c r="F1" s="193" t="s">
        <v>98</v>
      </c>
      <c r="G1" s="193" t="s">
        <v>100</v>
      </c>
      <c r="H1" s="193" t="s">
        <v>101</v>
      </c>
      <c r="I1" s="693" t="s">
        <v>99</v>
      </c>
      <c r="J1" s="693"/>
      <c r="K1" s="693"/>
      <c r="L1" s="693"/>
      <c r="M1" s="693"/>
      <c r="P1" s="64"/>
      <c r="Q1" s="419" t="s">
        <v>0</v>
      </c>
      <c r="R1" s="410"/>
    </row>
    <row r="2" spans="1:27" ht="15.4">
      <c r="A2" s="187">
        <v>0.6</v>
      </c>
      <c r="B2" s="182">
        <v>1</v>
      </c>
      <c r="C2" s="687"/>
      <c r="D2" s="688"/>
      <c r="E2" s="394"/>
      <c r="F2" s="394"/>
      <c r="G2" s="394"/>
      <c r="H2" s="271"/>
      <c r="I2" s="692"/>
      <c r="J2" s="692"/>
      <c r="K2" s="692"/>
      <c r="L2" s="692"/>
      <c r="M2" s="692"/>
      <c r="P2" s="64"/>
      <c r="Q2" s="436" t="s">
        <v>2</v>
      </c>
      <c r="R2" s="461" t="e">
        <f>COUNTIF(#REF!, "Female")</f>
        <v>#REF!</v>
      </c>
      <c r="U2" s="412"/>
      <c r="X2" s="412"/>
      <c r="AA2" s="412"/>
    </row>
    <row r="3" spans="1:27" ht="15.4">
      <c r="B3" s="182">
        <v>2</v>
      </c>
      <c r="C3" s="687"/>
      <c r="D3" s="688"/>
      <c r="E3" s="394"/>
      <c r="F3" s="394"/>
      <c r="G3" s="394"/>
      <c r="H3" s="366"/>
      <c r="I3" s="692"/>
      <c r="J3" s="692"/>
      <c r="K3" s="692"/>
      <c r="L3" s="692"/>
      <c r="M3" s="692"/>
      <c r="P3" s="64"/>
      <c r="Q3" s="436" t="s">
        <v>4</v>
      </c>
      <c r="R3" s="461" t="e">
        <f>COUNTIF(#REF!, "Male")</f>
        <v>#REF!</v>
      </c>
      <c r="U3" s="412"/>
    </row>
    <row r="4" spans="1:27" ht="15.4">
      <c r="B4" s="182">
        <v>3</v>
      </c>
      <c r="C4" s="687"/>
      <c r="D4" s="688"/>
      <c r="E4" s="394"/>
      <c r="F4" s="394"/>
      <c r="G4" s="394"/>
      <c r="H4" s="366"/>
      <c r="I4" s="692"/>
      <c r="J4" s="692"/>
      <c r="K4" s="692"/>
      <c r="L4" s="692"/>
      <c r="M4" s="692"/>
      <c r="P4" s="64"/>
      <c r="Q4" s="459" t="s">
        <v>89</v>
      </c>
      <c r="R4" s="461" t="e">
        <f>SUM(R2:R3)</f>
        <v>#REF!</v>
      </c>
      <c r="S4" s="460" t="e">
        <f>H19=R4</f>
        <v>#REF!</v>
      </c>
      <c r="U4" s="412"/>
    </row>
    <row r="5" spans="1:27" ht="15.4">
      <c r="B5" s="182">
        <v>4</v>
      </c>
      <c r="C5" s="687"/>
      <c r="D5" s="688"/>
      <c r="E5" s="394"/>
      <c r="F5" s="394"/>
      <c r="G5" s="392"/>
      <c r="H5" s="366"/>
      <c r="I5" s="692"/>
      <c r="J5" s="692"/>
      <c r="K5" s="692"/>
      <c r="L5" s="692"/>
      <c r="M5" s="692"/>
      <c r="P5" s="64"/>
      <c r="R5" s="462"/>
      <c r="U5" s="412"/>
    </row>
    <row r="6" spans="1:27" ht="15.4">
      <c r="B6" s="182">
        <v>5</v>
      </c>
      <c r="C6" s="687"/>
      <c r="D6" s="688"/>
      <c r="E6" s="396"/>
      <c r="F6" s="394"/>
      <c r="G6" s="394"/>
      <c r="H6" s="366"/>
      <c r="I6" s="692"/>
      <c r="J6" s="692"/>
      <c r="K6" s="692"/>
      <c r="L6" s="692"/>
      <c r="M6" s="692"/>
      <c r="P6" s="64"/>
      <c r="R6" s="462"/>
      <c r="U6" s="412"/>
    </row>
    <row r="7" spans="1:27" ht="15.4">
      <c r="B7" s="182">
        <v>6</v>
      </c>
      <c r="C7" s="689"/>
      <c r="D7" s="689"/>
      <c r="E7" s="396"/>
      <c r="F7" s="394"/>
      <c r="G7" s="394"/>
      <c r="H7" s="271"/>
      <c r="I7" s="692"/>
      <c r="J7" s="692"/>
      <c r="K7" s="692"/>
      <c r="L7" s="692"/>
      <c r="M7" s="692"/>
      <c r="P7" s="64"/>
      <c r="R7" s="462"/>
      <c r="U7" s="412"/>
    </row>
    <row r="8" spans="1:27" ht="15.4">
      <c r="B8" s="182">
        <v>7</v>
      </c>
      <c r="C8" s="689"/>
      <c r="D8" s="689"/>
      <c r="E8" s="396"/>
      <c r="F8" s="396"/>
      <c r="G8" s="396"/>
      <c r="H8" s="367"/>
      <c r="I8" s="692"/>
      <c r="J8" s="692"/>
      <c r="K8" s="692"/>
      <c r="L8" s="692"/>
      <c r="M8" s="692"/>
      <c r="P8" s="64"/>
      <c r="R8" s="462"/>
      <c r="U8" s="412"/>
    </row>
    <row r="9" spans="1:27" ht="15.4">
      <c r="B9" s="182">
        <v>8</v>
      </c>
      <c r="C9" s="687"/>
      <c r="D9" s="688"/>
      <c r="E9" s="396"/>
      <c r="F9" s="396"/>
      <c r="G9" s="394"/>
      <c r="H9" s="367"/>
      <c r="I9" s="692"/>
      <c r="J9" s="692"/>
      <c r="K9" s="692"/>
      <c r="L9" s="692"/>
      <c r="M9" s="692"/>
      <c r="P9" s="64"/>
      <c r="R9" s="462"/>
      <c r="U9" s="412"/>
      <c r="V9" s="413"/>
      <c r="X9" s="412"/>
      <c r="Y9" s="413"/>
    </row>
    <row r="10" spans="1:27" ht="15.4">
      <c r="B10" s="182">
        <v>9</v>
      </c>
      <c r="C10" s="687"/>
      <c r="D10" s="688"/>
      <c r="E10" s="396"/>
      <c r="F10" s="396"/>
      <c r="G10" s="394"/>
      <c r="H10" s="367"/>
      <c r="I10" s="271"/>
      <c r="J10" s="271"/>
      <c r="K10" s="271"/>
      <c r="L10" s="271"/>
      <c r="M10" s="271"/>
      <c r="P10" s="64"/>
      <c r="R10" s="462"/>
      <c r="U10" s="412"/>
      <c r="V10" s="413"/>
      <c r="X10" s="412"/>
      <c r="Y10" s="413"/>
    </row>
    <row r="11" spans="1:27" ht="15.4">
      <c r="B11" s="182">
        <v>10</v>
      </c>
      <c r="C11" s="687"/>
      <c r="D11" s="688"/>
      <c r="E11" s="396"/>
      <c r="F11" s="396"/>
      <c r="G11" s="394"/>
      <c r="H11" s="367"/>
      <c r="I11" s="271"/>
      <c r="J11" s="271"/>
      <c r="K11" s="271"/>
      <c r="L11" s="271"/>
      <c r="M11" s="271"/>
      <c r="P11" s="64"/>
      <c r="R11" s="462"/>
      <c r="U11" s="412"/>
      <c r="V11" s="413"/>
      <c r="X11" s="412"/>
      <c r="Y11" s="413"/>
    </row>
    <row r="12" spans="1:27" ht="15.4">
      <c r="B12" s="182">
        <v>11</v>
      </c>
      <c r="C12" s="687"/>
      <c r="D12" s="688"/>
      <c r="E12" s="396"/>
      <c r="F12" s="396"/>
      <c r="G12" s="392"/>
      <c r="H12" s="367"/>
      <c r="I12" s="271"/>
      <c r="J12" s="271"/>
      <c r="K12" s="271"/>
      <c r="L12" s="271"/>
      <c r="M12" s="271"/>
      <c r="P12" s="64"/>
      <c r="R12" s="462"/>
      <c r="U12" s="412"/>
      <c r="V12" s="413"/>
      <c r="X12" s="412"/>
      <c r="Y12" s="413"/>
    </row>
    <row r="13" spans="1:27" ht="15.4">
      <c r="B13" s="189"/>
      <c r="C13" s="421"/>
      <c r="D13" s="421"/>
      <c r="E13" s="422"/>
      <c r="F13" s="422"/>
      <c r="G13" s="423"/>
      <c r="H13" s="424"/>
      <c r="I13" s="425"/>
      <c r="J13" s="425"/>
      <c r="K13" s="425"/>
      <c r="L13" s="425"/>
      <c r="M13" s="425"/>
      <c r="P13" s="64"/>
      <c r="R13" s="410"/>
      <c r="U13" s="412"/>
      <c r="V13" s="413"/>
      <c r="X13" s="412"/>
      <c r="Y13" s="413"/>
    </row>
    <row r="14" spans="1:27" ht="15.4">
      <c r="B14" s="189"/>
      <c r="C14" s="421"/>
      <c r="D14" s="421"/>
      <c r="E14" s="422"/>
      <c r="F14" s="422"/>
      <c r="G14" s="423"/>
      <c r="H14" s="424"/>
      <c r="I14" s="425"/>
      <c r="J14" s="425"/>
      <c r="K14" s="425"/>
      <c r="L14" s="425"/>
      <c r="M14" s="425"/>
      <c r="P14" s="64"/>
      <c r="R14" s="410"/>
      <c r="U14" s="412"/>
      <c r="V14" s="413"/>
      <c r="X14" s="412"/>
      <c r="Y14" s="413"/>
    </row>
    <row r="15" spans="1:27" ht="15.4">
      <c r="B15" s="189"/>
      <c r="C15" s="421"/>
      <c r="D15" s="421"/>
      <c r="E15" s="422"/>
      <c r="F15" s="422"/>
      <c r="G15" s="423"/>
      <c r="H15" s="424"/>
      <c r="I15" s="425"/>
      <c r="J15" s="425"/>
      <c r="K15" s="425"/>
      <c r="L15" s="425"/>
      <c r="M15" s="425"/>
      <c r="P15" s="64"/>
      <c r="R15" s="410"/>
      <c r="U15" s="412"/>
      <c r="V15" s="413"/>
      <c r="X15" s="412"/>
      <c r="Y15" s="413"/>
    </row>
    <row r="16" spans="1:27" ht="15.4">
      <c r="B16" s="189"/>
      <c r="C16" s="421"/>
      <c r="D16" s="421"/>
      <c r="E16" s="422"/>
      <c r="F16" s="422"/>
      <c r="G16" s="423"/>
      <c r="H16" s="424"/>
      <c r="I16" s="425"/>
      <c r="J16" s="425"/>
      <c r="K16" s="425"/>
      <c r="L16" s="425"/>
      <c r="M16" s="425"/>
      <c r="P16" s="64"/>
      <c r="R16" s="410"/>
      <c r="U16" s="412"/>
      <c r="V16" s="413"/>
      <c r="X16" s="412"/>
      <c r="Y16" s="413"/>
    </row>
    <row r="17" spans="1:26" ht="14.25">
      <c r="A17" s="22"/>
      <c r="B17" s="67"/>
      <c r="C17" s="180"/>
      <c r="D17" s="80"/>
      <c r="E17" s="68"/>
      <c r="F17" s="60"/>
      <c r="G17" s="162"/>
      <c r="H17" s="163"/>
      <c r="I17" s="163"/>
      <c r="J17" s="163"/>
      <c r="K17" s="163"/>
      <c r="L17" s="164"/>
      <c r="M17" s="22"/>
      <c r="N17" s="22"/>
      <c r="O17" s="22"/>
      <c r="P17" s="67"/>
      <c r="Q17" s="22"/>
      <c r="R17" s="411"/>
      <c r="S17" s="68"/>
      <c r="T17" s="68"/>
      <c r="U17" s="68"/>
      <c r="V17" s="68"/>
      <c r="W17" s="68"/>
      <c r="X17" s="68"/>
      <c r="Y17" s="68"/>
      <c r="Z17" s="68"/>
    </row>
    <row r="18" spans="1:26" ht="14.25">
      <c r="A18" s="22"/>
      <c r="B18" s="67"/>
      <c r="C18" s="180"/>
      <c r="D18" s="80"/>
      <c r="E18" s="68"/>
      <c r="F18" s="60"/>
      <c r="G18" s="70" t="s">
        <v>33</v>
      </c>
      <c r="H18" s="70"/>
      <c r="I18" s="70"/>
      <c r="J18" s="70"/>
      <c r="K18" s="70"/>
      <c r="L18" s="71"/>
      <c r="M18" s="22"/>
      <c r="N18" s="22"/>
      <c r="O18" s="22"/>
      <c r="P18" s="67"/>
      <c r="Q18" s="22"/>
      <c r="R18" s="411"/>
      <c r="S18" s="68"/>
      <c r="T18" s="68"/>
      <c r="U18" s="68"/>
      <c r="V18" s="68"/>
      <c r="W18" s="68"/>
      <c r="X18" s="68"/>
      <c r="Y18" s="68"/>
      <c r="Z18" s="68"/>
    </row>
    <row r="19" spans="1:26" ht="14.25">
      <c r="A19" s="22"/>
      <c r="B19" s="67"/>
      <c r="C19" s="180"/>
      <c r="D19" s="80"/>
      <c r="E19" s="68"/>
      <c r="F19" s="60"/>
      <c r="G19" s="72" t="s">
        <v>22</v>
      </c>
      <c r="H19" s="218">
        <f>SUM(G2:G15)</f>
        <v>0</v>
      </c>
      <c r="I19" s="192" t="e">
        <f>H19=#REF!</f>
        <v>#REF!</v>
      </c>
      <c r="J19" s="73"/>
      <c r="K19" s="73"/>
      <c r="L19" s="74"/>
      <c r="M19" s="22"/>
      <c r="N19" s="22"/>
      <c r="O19" s="22"/>
      <c r="P19" s="67"/>
      <c r="Q19" s="22"/>
      <c r="R19" s="411"/>
      <c r="S19" s="68"/>
      <c r="T19" s="68"/>
      <c r="U19" s="68"/>
      <c r="V19" s="68"/>
      <c r="W19" s="68"/>
      <c r="X19" s="68"/>
      <c r="Y19" s="68"/>
      <c r="Z19" s="68"/>
    </row>
    <row r="20" spans="1:26" ht="14.25">
      <c r="A20" s="22"/>
      <c r="B20" s="66"/>
      <c r="C20" s="180"/>
      <c r="D20" s="80"/>
      <c r="E20" s="68"/>
      <c r="F20" s="188"/>
      <c r="G20" s="75"/>
      <c r="H20" s="76"/>
      <c r="I20" s="76"/>
      <c r="J20" s="76"/>
      <c r="K20" s="76"/>
      <c r="L20" s="69"/>
      <c r="M20" s="22"/>
      <c r="N20" s="22"/>
      <c r="O20" s="22"/>
      <c r="P20" s="67"/>
      <c r="Q20" s="22"/>
      <c r="R20" s="411"/>
      <c r="S20" s="68"/>
      <c r="T20" s="68"/>
      <c r="U20" s="68"/>
      <c r="V20" s="68"/>
      <c r="W20" s="68"/>
      <c r="X20" s="68"/>
      <c r="Y20" s="68"/>
      <c r="Z20" s="68"/>
    </row>
    <row r="21" spans="1:26" s="414" customFormat="1" ht="240" customHeight="1">
      <c r="A21" s="696" t="s">
        <v>23</v>
      </c>
      <c r="B21" s="697" t="s">
        <v>24</v>
      </c>
      <c r="C21" s="694" t="s">
        <v>25</v>
      </c>
      <c r="D21" s="694" t="s">
        <v>0</v>
      </c>
      <c r="E21" s="694" t="s">
        <v>88</v>
      </c>
      <c r="F21" s="694" t="s">
        <v>26</v>
      </c>
      <c r="G21" s="406" t="s">
        <v>27</v>
      </c>
      <c r="H21" s="695" t="s">
        <v>74</v>
      </c>
      <c r="I21" s="695"/>
      <c r="J21" s="695"/>
      <c r="K21" s="695" t="s">
        <v>28</v>
      </c>
      <c r="L21" s="695"/>
      <c r="M21" s="695"/>
      <c r="N21" s="695"/>
      <c r="O21" s="695"/>
      <c r="P21" s="695" t="s">
        <v>31</v>
      </c>
      <c r="Q21" s="407" t="s">
        <v>34</v>
      </c>
      <c r="R21" s="695" t="s">
        <v>35</v>
      </c>
    </row>
    <row r="22" spans="1:26" s="414" customFormat="1" ht="81" customHeight="1">
      <c r="A22" s="696"/>
      <c r="B22" s="697"/>
      <c r="C22" s="694"/>
      <c r="D22" s="694"/>
      <c r="E22" s="694"/>
      <c r="F22" s="694"/>
      <c r="G22" s="406"/>
      <c r="H22" s="408" t="str">
        <f>'six months follow-up_in person'!J32</f>
        <v>Increase in self-awareness and confidence</v>
      </c>
      <c r="I22" s="408" t="str">
        <f>'six months follow-up_in person'!K32</f>
        <v xml:space="preserve">Increase in decision making power </v>
      </c>
      <c r="J22" s="408" t="str">
        <f>'six months follow-up_in person'!L32</f>
        <v xml:space="preserve">Increase in resilience </v>
      </c>
      <c r="K22" s="408" t="s">
        <v>87</v>
      </c>
      <c r="L22" s="408" t="str">
        <f>'six months follow-up_in person'!N32</f>
        <v>Started a Business</v>
      </c>
      <c r="M22" s="409" t="str">
        <f>'six months follow-up_in person'!O32</f>
        <v>Got a Job/Promotion</v>
      </c>
      <c r="N22" s="409" t="str">
        <f>'six months follow-up_in person'!P32</f>
        <v>Got an Academic Opportunity</v>
      </c>
      <c r="O22" s="409" t="str">
        <f>'six months follow-up_in person'!Q32</f>
        <v>Got a Leadership role</v>
      </c>
      <c r="P22" s="695"/>
      <c r="Q22" s="407"/>
      <c r="R22" s="695"/>
      <c r="S22" s="446" t="s">
        <v>141</v>
      </c>
    </row>
    <row r="23" spans="1:26" ht="14.25">
      <c r="B23" s="66"/>
      <c r="G23" s="56"/>
      <c r="H23" s="56"/>
      <c r="I23" s="56"/>
      <c r="J23" s="56"/>
      <c r="K23" s="56"/>
      <c r="Q23" s="22"/>
      <c r="R23" s="191"/>
    </row>
    <row r="24" spans="1:26" ht="14.25">
      <c r="B24" s="66"/>
      <c r="G24" s="56"/>
      <c r="H24" s="56"/>
      <c r="I24" s="56"/>
      <c r="J24" s="56"/>
      <c r="K24" s="56"/>
      <c r="Q24" s="22"/>
      <c r="R24" s="191"/>
    </row>
    <row r="25" spans="1:26" ht="14.25">
      <c r="B25" s="66"/>
      <c r="G25" s="56"/>
      <c r="H25" s="56"/>
      <c r="I25" s="56"/>
      <c r="J25" s="56"/>
      <c r="K25" s="56"/>
      <c r="Q25" s="22"/>
      <c r="R25" s="191"/>
    </row>
    <row r="26" spans="1:26" ht="14.25">
      <c r="B26" s="66"/>
      <c r="G26" s="56"/>
      <c r="H26" s="56"/>
      <c r="I26" s="56"/>
      <c r="J26" s="56"/>
      <c r="K26" s="56"/>
      <c r="Q26" s="22"/>
      <c r="R26" s="191"/>
    </row>
    <row r="27" spans="1:26" ht="14.25">
      <c r="B27" s="66"/>
      <c r="G27" s="56"/>
      <c r="H27" s="56"/>
      <c r="I27" s="56"/>
      <c r="J27" s="56"/>
      <c r="K27" s="56"/>
      <c r="Q27" s="22"/>
      <c r="R27" s="191"/>
    </row>
    <row r="28" spans="1:26" ht="14.25">
      <c r="B28" s="66"/>
      <c r="G28" s="56"/>
      <c r="H28" s="56"/>
      <c r="I28" s="56"/>
      <c r="J28" s="56"/>
      <c r="K28" s="56"/>
      <c r="Q28" s="22"/>
      <c r="R28" s="191"/>
    </row>
    <row r="29" spans="1:26" ht="14.25">
      <c r="B29" s="66"/>
      <c r="G29" s="56"/>
      <c r="H29" s="56"/>
      <c r="I29" s="56"/>
      <c r="J29" s="56"/>
      <c r="K29" s="56"/>
      <c r="Q29" s="22"/>
      <c r="R29" s="191"/>
    </row>
    <row r="30" spans="1:26" ht="14.25">
      <c r="B30" s="66"/>
      <c r="G30" s="56"/>
      <c r="H30" s="56"/>
      <c r="I30" s="56"/>
      <c r="J30" s="56"/>
      <c r="K30" s="56"/>
      <c r="Q30" s="22"/>
      <c r="R30" s="191"/>
    </row>
    <row r="31" spans="1:26" ht="14.25">
      <c r="B31" s="66"/>
      <c r="G31" s="56"/>
      <c r="H31" s="56"/>
      <c r="I31" s="56"/>
      <c r="J31" s="56"/>
      <c r="K31" s="56"/>
      <c r="Q31" s="22"/>
      <c r="R31" s="191"/>
    </row>
    <row r="32" spans="1:26" ht="14.25">
      <c r="B32" s="66"/>
      <c r="G32" s="56"/>
      <c r="H32" s="56"/>
      <c r="I32" s="56"/>
      <c r="J32" s="56"/>
      <c r="K32" s="56"/>
      <c r="Q32" s="22"/>
      <c r="R32" s="191"/>
    </row>
    <row r="33" spans="2:18" ht="14.25">
      <c r="B33" s="66"/>
      <c r="G33" s="56"/>
      <c r="H33" s="56"/>
      <c r="I33" s="56"/>
      <c r="J33" s="56"/>
      <c r="K33" s="56"/>
      <c r="Q33" s="22"/>
      <c r="R33" s="191"/>
    </row>
    <row r="34" spans="2:18" ht="14.25">
      <c r="B34" s="66"/>
      <c r="G34" s="56"/>
      <c r="H34" s="56"/>
      <c r="I34" s="56"/>
      <c r="J34" s="56"/>
      <c r="K34" s="56"/>
      <c r="Q34" s="22"/>
      <c r="R34" s="191"/>
    </row>
    <row r="35" spans="2:18" ht="14.25">
      <c r="B35" s="66"/>
      <c r="G35" s="56"/>
      <c r="H35" s="56"/>
      <c r="I35" s="56"/>
      <c r="J35" s="56"/>
      <c r="K35" s="56"/>
      <c r="Q35" s="22"/>
      <c r="R35" s="191"/>
    </row>
    <row r="36" spans="2:18" ht="14.25">
      <c r="B36" s="66"/>
      <c r="G36" s="56"/>
      <c r="H36" s="56"/>
      <c r="I36" s="56"/>
      <c r="J36" s="56"/>
      <c r="K36" s="56"/>
      <c r="Q36" s="22"/>
      <c r="R36" s="191"/>
    </row>
    <row r="37" spans="2:18" ht="14.25">
      <c r="B37" s="66"/>
      <c r="G37" s="56"/>
      <c r="H37" s="56"/>
      <c r="I37" s="56"/>
      <c r="J37" s="56"/>
      <c r="K37" s="56"/>
      <c r="Q37" s="22"/>
      <c r="R37" s="191"/>
    </row>
    <row r="38" spans="2:18" ht="14.25">
      <c r="B38" s="66"/>
      <c r="G38" s="56"/>
      <c r="H38" s="56"/>
      <c r="I38" s="56"/>
      <c r="J38" s="56"/>
      <c r="K38" s="56"/>
      <c r="Q38" s="22"/>
      <c r="R38" s="191"/>
    </row>
    <row r="39" spans="2:18" ht="14.25">
      <c r="B39" s="66"/>
      <c r="G39" s="56"/>
      <c r="H39" s="56"/>
      <c r="I39" s="56"/>
      <c r="J39" s="56"/>
      <c r="K39" s="56"/>
      <c r="Q39" s="22"/>
      <c r="R39" s="191"/>
    </row>
    <row r="40" spans="2:18" ht="14.25">
      <c r="B40" s="66"/>
      <c r="G40" s="56"/>
      <c r="H40" s="56"/>
      <c r="I40" s="56"/>
      <c r="J40" s="56"/>
      <c r="K40" s="56"/>
      <c r="Q40" s="22"/>
      <c r="R40" s="191"/>
    </row>
    <row r="41" spans="2:18" ht="14.25">
      <c r="B41" s="66"/>
      <c r="G41" s="56"/>
      <c r="H41" s="56"/>
      <c r="I41" s="56"/>
      <c r="J41" s="56"/>
      <c r="K41" s="56"/>
      <c r="Q41" s="22"/>
      <c r="R41" s="191"/>
    </row>
    <row r="42" spans="2:18" ht="14.25">
      <c r="B42" s="66"/>
      <c r="G42" s="56"/>
      <c r="H42" s="56"/>
      <c r="I42" s="56"/>
      <c r="J42" s="56"/>
      <c r="K42" s="56"/>
      <c r="Q42" s="22"/>
      <c r="R42" s="191"/>
    </row>
    <row r="43" spans="2:18" ht="14.25">
      <c r="B43" s="66"/>
      <c r="G43" s="56"/>
      <c r="H43" s="56"/>
      <c r="I43" s="56"/>
      <c r="J43" s="56"/>
      <c r="K43" s="56"/>
      <c r="Q43" s="22"/>
      <c r="R43" s="191"/>
    </row>
    <row r="44" spans="2:18" ht="14.25">
      <c r="B44" s="66"/>
      <c r="G44" s="56"/>
      <c r="H44" s="56"/>
      <c r="I44" s="56"/>
      <c r="J44" s="56"/>
      <c r="K44" s="56"/>
      <c r="Q44" s="22"/>
      <c r="R44" s="191"/>
    </row>
    <row r="45" spans="2:18" ht="14.25">
      <c r="B45" s="66"/>
      <c r="G45" s="56"/>
      <c r="H45" s="56"/>
      <c r="I45" s="56"/>
      <c r="J45" s="56"/>
      <c r="K45" s="56"/>
      <c r="Q45" s="22"/>
      <c r="R45" s="191"/>
    </row>
    <row r="46" spans="2:18" ht="14.25">
      <c r="B46" s="66"/>
      <c r="G46" s="56"/>
      <c r="H46" s="56"/>
      <c r="I46" s="56"/>
      <c r="J46" s="56"/>
      <c r="K46" s="56"/>
      <c r="Q46" s="22"/>
      <c r="R46" s="191"/>
    </row>
    <row r="47" spans="2:18" ht="14.25">
      <c r="B47" s="66"/>
      <c r="G47" s="56"/>
      <c r="H47" s="56"/>
      <c r="I47" s="56"/>
      <c r="J47" s="56"/>
      <c r="K47" s="56"/>
      <c r="Q47" s="22"/>
      <c r="R47" s="191"/>
    </row>
    <row r="48" spans="2:18" ht="14.25">
      <c r="B48" s="66"/>
      <c r="G48" s="56"/>
      <c r="H48" s="56"/>
      <c r="I48" s="56"/>
      <c r="J48" s="56"/>
      <c r="K48" s="56"/>
      <c r="Q48" s="22"/>
      <c r="R48" s="191"/>
    </row>
    <row r="49" spans="2:18" ht="14.25">
      <c r="B49" s="66"/>
      <c r="G49" s="56"/>
      <c r="H49" s="56"/>
      <c r="I49" s="56"/>
      <c r="J49" s="56"/>
      <c r="K49" s="56"/>
      <c r="Q49" s="22"/>
      <c r="R49" s="191"/>
    </row>
    <row r="50" spans="2:18" ht="14.25">
      <c r="B50" s="66"/>
      <c r="G50" s="56"/>
      <c r="H50" s="56"/>
      <c r="I50" s="56"/>
      <c r="J50" s="56"/>
      <c r="K50" s="56"/>
      <c r="Q50" s="22"/>
      <c r="R50" s="191"/>
    </row>
    <row r="51" spans="2:18" ht="14.25">
      <c r="B51" s="66"/>
      <c r="G51" s="56"/>
      <c r="H51" s="56"/>
      <c r="I51" s="56"/>
      <c r="J51" s="56"/>
      <c r="K51" s="56"/>
      <c r="Q51" s="22"/>
      <c r="R51" s="191"/>
    </row>
    <row r="52" spans="2:18" ht="14.25">
      <c r="B52" s="66"/>
      <c r="G52" s="56"/>
      <c r="H52" s="56"/>
      <c r="I52" s="56"/>
      <c r="J52" s="56"/>
      <c r="K52" s="56"/>
      <c r="Q52" s="22"/>
      <c r="R52" s="191"/>
    </row>
    <row r="53" spans="2:18" ht="14.25">
      <c r="B53" s="66"/>
      <c r="G53" s="56"/>
      <c r="H53" s="56"/>
      <c r="I53" s="56"/>
      <c r="J53" s="56"/>
      <c r="K53" s="56"/>
      <c r="Q53" s="22"/>
      <c r="R53" s="191"/>
    </row>
    <row r="54" spans="2:18" ht="14.25">
      <c r="B54" s="66"/>
      <c r="G54" s="56"/>
      <c r="H54" s="56"/>
      <c r="I54" s="56"/>
      <c r="J54" s="56"/>
      <c r="K54" s="56"/>
      <c r="Q54" s="22"/>
      <c r="R54" s="191"/>
    </row>
    <row r="55" spans="2:18" ht="14.25">
      <c r="B55" s="66"/>
      <c r="G55" s="56"/>
      <c r="H55" s="56"/>
      <c r="I55" s="56"/>
      <c r="J55" s="56"/>
      <c r="K55" s="56"/>
      <c r="Q55" s="22"/>
      <c r="R55" s="191"/>
    </row>
    <row r="56" spans="2:18" ht="14.25">
      <c r="B56" s="66"/>
      <c r="G56" s="56"/>
      <c r="H56" s="56"/>
      <c r="I56" s="56"/>
      <c r="J56" s="56"/>
      <c r="K56" s="56"/>
      <c r="Q56" s="22"/>
      <c r="R56" s="191"/>
    </row>
    <row r="57" spans="2:18" ht="14.25">
      <c r="B57" s="66"/>
      <c r="G57" s="56"/>
      <c r="H57" s="56"/>
      <c r="I57" s="56"/>
      <c r="J57" s="56"/>
      <c r="K57" s="56"/>
      <c r="Q57" s="22"/>
      <c r="R57" s="191"/>
    </row>
    <row r="58" spans="2:18" ht="14.25">
      <c r="B58" s="66"/>
      <c r="G58" s="56"/>
      <c r="H58" s="56"/>
      <c r="I58" s="56"/>
      <c r="J58" s="56"/>
      <c r="K58" s="56"/>
      <c r="Q58" s="22"/>
      <c r="R58" s="191"/>
    </row>
    <row r="59" spans="2:18" ht="14.25">
      <c r="B59" s="66"/>
      <c r="G59" s="56"/>
      <c r="H59" s="56"/>
      <c r="I59" s="56"/>
      <c r="J59" s="56"/>
      <c r="K59" s="56"/>
      <c r="Q59" s="22"/>
      <c r="R59" s="191"/>
    </row>
    <row r="60" spans="2:18" ht="14.25">
      <c r="B60" s="66"/>
      <c r="G60" s="56"/>
      <c r="H60" s="56"/>
      <c r="I60" s="56"/>
      <c r="J60" s="56"/>
      <c r="K60" s="56"/>
      <c r="Q60" s="22"/>
      <c r="R60" s="191"/>
    </row>
    <row r="61" spans="2:18" ht="14.25">
      <c r="B61" s="66"/>
      <c r="G61" s="56"/>
      <c r="H61" s="56"/>
      <c r="I61" s="56"/>
      <c r="J61" s="56"/>
      <c r="K61" s="56"/>
      <c r="Q61" s="22"/>
      <c r="R61" s="191"/>
    </row>
    <row r="62" spans="2:18" ht="14.25">
      <c r="B62" s="66"/>
      <c r="G62" s="56"/>
      <c r="H62" s="56"/>
      <c r="I62" s="56"/>
      <c r="J62" s="56"/>
      <c r="K62" s="56"/>
      <c r="Q62" s="22"/>
      <c r="R62" s="191"/>
    </row>
    <row r="63" spans="2:18" ht="14.25">
      <c r="B63" s="66"/>
      <c r="G63" s="56"/>
      <c r="H63" s="56"/>
      <c r="I63" s="56"/>
      <c r="J63" s="56"/>
      <c r="K63" s="56"/>
      <c r="Q63" s="22"/>
      <c r="R63" s="191"/>
    </row>
    <row r="64" spans="2:18" ht="14.25">
      <c r="B64" s="66"/>
      <c r="G64" s="56"/>
      <c r="H64" s="56"/>
      <c r="I64" s="56"/>
      <c r="J64" s="56"/>
      <c r="K64" s="56"/>
      <c r="Q64" s="22"/>
      <c r="R64" s="191"/>
    </row>
    <row r="65" spans="2:18" ht="14.25">
      <c r="B65" s="66"/>
      <c r="G65" s="56"/>
      <c r="H65" s="56"/>
      <c r="I65" s="56"/>
      <c r="J65" s="56"/>
      <c r="K65" s="56"/>
      <c r="Q65" s="22"/>
      <c r="R65" s="191"/>
    </row>
    <row r="66" spans="2:18" ht="14.25">
      <c r="B66" s="66"/>
      <c r="G66" s="56"/>
      <c r="H66" s="56"/>
      <c r="I66" s="56"/>
      <c r="J66" s="56"/>
      <c r="K66" s="56"/>
      <c r="Q66" s="22"/>
      <c r="R66" s="191"/>
    </row>
    <row r="67" spans="2:18" ht="14.25">
      <c r="B67" s="66"/>
      <c r="G67" s="56"/>
      <c r="H67" s="56"/>
      <c r="I67" s="56"/>
      <c r="J67" s="56"/>
      <c r="K67" s="56"/>
      <c r="Q67" s="22"/>
      <c r="R67" s="191"/>
    </row>
    <row r="68" spans="2:18" ht="14.25">
      <c r="B68" s="66"/>
      <c r="G68" s="56"/>
      <c r="H68" s="56"/>
      <c r="I68" s="56"/>
      <c r="J68" s="56"/>
      <c r="K68" s="56"/>
      <c r="Q68" s="22"/>
      <c r="R68" s="191"/>
    </row>
    <row r="69" spans="2:18" ht="14.25">
      <c r="B69" s="66"/>
      <c r="G69" s="56"/>
      <c r="H69" s="56"/>
      <c r="I69" s="56"/>
      <c r="J69" s="56"/>
      <c r="K69" s="56"/>
      <c r="Q69" s="22"/>
      <c r="R69" s="191"/>
    </row>
    <row r="70" spans="2:18" ht="14.25">
      <c r="B70" s="66"/>
      <c r="G70" s="56"/>
      <c r="H70" s="56"/>
      <c r="I70" s="56"/>
      <c r="J70" s="56"/>
      <c r="K70" s="56"/>
      <c r="Q70" s="22"/>
      <c r="R70" s="191"/>
    </row>
    <row r="71" spans="2:18" ht="14.25">
      <c r="B71" s="66"/>
      <c r="G71" s="56"/>
      <c r="H71" s="56"/>
      <c r="I71" s="56"/>
      <c r="J71" s="56"/>
      <c r="K71" s="56"/>
      <c r="Q71" s="22"/>
      <c r="R71" s="191"/>
    </row>
    <row r="72" spans="2:18" ht="14.25">
      <c r="B72" s="66"/>
      <c r="G72" s="56"/>
      <c r="H72" s="56"/>
      <c r="I72" s="56"/>
      <c r="J72" s="56"/>
      <c r="K72" s="56"/>
      <c r="Q72" s="22"/>
      <c r="R72" s="191"/>
    </row>
    <row r="73" spans="2:18" ht="14.25">
      <c r="B73" s="66"/>
      <c r="G73" s="56"/>
      <c r="H73" s="56"/>
      <c r="I73" s="56"/>
      <c r="J73" s="56"/>
      <c r="K73" s="56"/>
      <c r="Q73" s="22"/>
      <c r="R73" s="191"/>
    </row>
    <row r="74" spans="2:18" ht="14.25">
      <c r="B74" s="66"/>
      <c r="G74" s="56"/>
      <c r="H74" s="56"/>
      <c r="I74" s="56"/>
      <c r="J74" s="56"/>
      <c r="K74" s="56"/>
      <c r="Q74" s="22"/>
      <c r="R74" s="191"/>
    </row>
    <row r="75" spans="2:18" ht="14.25">
      <c r="B75" s="66"/>
      <c r="G75" s="56"/>
      <c r="H75" s="56"/>
      <c r="I75" s="56"/>
      <c r="J75" s="56"/>
      <c r="K75" s="56"/>
      <c r="Q75" s="22"/>
      <c r="R75" s="191"/>
    </row>
    <row r="76" spans="2:18" ht="14.25">
      <c r="B76" s="66"/>
      <c r="G76" s="56"/>
      <c r="H76" s="56"/>
      <c r="I76" s="56"/>
      <c r="J76" s="56"/>
      <c r="K76" s="56"/>
      <c r="Q76" s="22"/>
      <c r="R76" s="191"/>
    </row>
    <row r="77" spans="2:18" ht="14.25">
      <c r="B77" s="66"/>
      <c r="G77" s="56"/>
      <c r="H77" s="56"/>
      <c r="I77" s="56"/>
      <c r="J77" s="56"/>
      <c r="K77" s="56"/>
      <c r="Q77" s="22"/>
      <c r="R77" s="191"/>
    </row>
    <row r="78" spans="2:18" ht="14.25">
      <c r="B78" s="66"/>
      <c r="G78" s="56"/>
      <c r="H78" s="56"/>
      <c r="I78" s="56"/>
      <c r="J78" s="56"/>
      <c r="K78" s="56"/>
      <c r="Q78" s="22"/>
      <c r="R78" s="191"/>
    </row>
    <row r="79" spans="2:18" ht="14.25">
      <c r="B79" s="66"/>
      <c r="G79" s="56"/>
      <c r="H79" s="56"/>
      <c r="I79" s="56"/>
      <c r="J79" s="56"/>
      <c r="K79" s="56"/>
      <c r="Q79" s="22"/>
      <c r="R79" s="191"/>
    </row>
    <row r="80" spans="2:18" ht="14.25">
      <c r="B80" s="66"/>
      <c r="G80" s="56"/>
      <c r="H80" s="56"/>
      <c r="I80" s="56"/>
      <c r="J80" s="56"/>
      <c r="K80" s="56"/>
      <c r="Q80" s="22"/>
      <c r="R80" s="191"/>
    </row>
    <row r="81" spans="2:18" ht="14.25">
      <c r="B81" s="66"/>
      <c r="G81" s="56"/>
      <c r="H81" s="56"/>
      <c r="I81" s="56"/>
      <c r="J81" s="56"/>
      <c r="K81" s="56"/>
      <c r="Q81" s="22"/>
      <c r="R81" s="191"/>
    </row>
    <row r="82" spans="2:18" ht="14.25">
      <c r="B82" s="66"/>
      <c r="G82" s="56"/>
      <c r="H82" s="56"/>
      <c r="I82" s="56"/>
      <c r="J82" s="56"/>
      <c r="K82" s="56"/>
      <c r="Q82" s="22"/>
      <c r="R82" s="191"/>
    </row>
    <row r="83" spans="2:18" ht="14.25">
      <c r="B83" s="66"/>
      <c r="G83" s="56"/>
      <c r="H83" s="56"/>
      <c r="I83" s="56"/>
      <c r="J83" s="56"/>
      <c r="K83" s="56"/>
      <c r="Q83" s="22"/>
      <c r="R83" s="191"/>
    </row>
    <row r="84" spans="2:18" ht="14.25">
      <c r="B84" s="66"/>
      <c r="G84" s="56"/>
      <c r="H84" s="56"/>
      <c r="I84" s="56"/>
      <c r="J84" s="56"/>
      <c r="K84" s="56"/>
      <c r="Q84" s="22"/>
      <c r="R84" s="191"/>
    </row>
    <row r="85" spans="2:18" ht="14.25">
      <c r="B85" s="66"/>
      <c r="G85" s="56"/>
      <c r="H85" s="56"/>
      <c r="I85" s="56"/>
      <c r="J85" s="56"/>
      <c r="K85" s="56"/>
      <c r="Q85" s="22"/>
      <c r="R85" s="191"/>
    </row>
    <row r="86" spans="2:18" ht="14.25">
      <c r="B86" s="66"/>
      <c r="G86" s="56"/>
      <c r="H86" s="56"/>
      <c r="I86" s="56"/>
      <c r="J86" s="56"/>
      <c r="K86" s="56"/>
      <c r="Q86" s="22"/>
      <c r="R86" s="191"/>
    </row>
    <row r="87" spans="2:18" ht="14.25">
      <c r="B87" s="66"/>
      <c r="G87" s="56"/>
      <c r="H87" s="56"/>
      <c r="I87" s="56"/>
      <c r="J87" s="56"/>
      <c r="K87" s="56"/>
      <c r="Q87" s="22"/>
      <c r="R87" s="191"/>
    </row>
    <row r="88" spans="2:18" ht="14.25">
      <c r="B88" s="66"/>
      <c r="G88" s="56"/>
      <c r="H88" s="56"/>
      <c r="I88" s="56"/>
      <c r="J88" s="56"/>
      <c r="K88" s="56"/>
      <c r="Q88" s="22"/>
      <c r="R88" s="191"/>
    </row>
    <row r="89" spans="2:18" ht="14.25">
      <c r="B89" s="66"/>
      <c r="G89" s="56"/>
      <c r="H89" s="56"/>
      <c r="I89" s="56"/>
      <c r="J89" s="56"/>
      <c r="K89" s="56"/>
      <c r="Q89" s="22"/>
      <c r="R89" s="191"/>
    </row>
    <row r="90" spans="2:18" ht="14.25">
      <c r="B90" s="66"/>
      <c r="G90" s="56"/>
      <c r="H90" s="56"/>
      <c r="I90" s="56"/>
      <c r="J90" s="56"/>
      <c r="K90" s="56"/>
      <c r="Q90" s="22"/>
      <c r="R90" s="191"/>
    </row>
    <row r="91" spans="2:18" ht="14.25">
      <c r="B91" s="66"/>
      <c r="G91" s="56"/>
      <c r="H91" s="56"/>
      <c r="I91" s="56"/>
      <c r="J91" s="56"/>
      <c r="K91" s="56"/>
      <c r="Q91" s="22"/>
      <c r="R91" s="191"/>
    </row>
    <row r="92" spans="2:18" ht="14.25">
      <c r="B92" s="66"/>
      <c r="G92" s="56"/>
      <c r="H92" s="56"/>
      <c r="I92" s="56"/>
      <c r="J92" s="56"/>
      <c r="K92" s="56"/>
      <c r="Q92" s="22"/>
      <c r="R92" s="191"/>
    </row>
    <row r="93" spans="2:18" ht="14.25">
      <c r="B93" s="66"/>
      <c r="G93" s="56"/>
      <c r="H93" s="56"/>
      <c r="I93" s="56"/>
      <c r="J93" s="56"/>
      <c r="K93" s="56"/>
      <c r="Q93" s="22"/>
      <c r="R93" s="191"/>
    </row>
    <row r="94" spans="2:18" ht="14.25">
      <c r="B94" s="66"/>
      <c r="G94" s="56"/>
      <c r="H94" s="56"/>
      <c r="I94" s="56"/>
      <c r="J94" s="56"/>
      <c r="K94" s="56"/>
      <c r="Q94" s="22"/>
      <c r="R94" s="191"/>
    </row>
    <row r="95" spans="2:18" ht="14.25">
      <c r="B95" s="66"/>
      <c r="G95" s="56"/>
      <c r="H95" s="56"/>
      <c r="I95" s="56"/>
      <c r="J95" s="56"/>
      <c r="K95" s="56"/>
      <c r="Q95" s="22"/>
      <c r="R95" s="191"/>
    </row>
    <row r="96" spans="2:18" ht="14.25">
      <c r="B96" s="66"/>
      <c r="G96" s="56"/>
      <c r="H96" s="56"/>
      <c r="I96" s="56"/>
      <c r="J96" s="56"/>
      <c r="K96" s="56"/>
      <c r="Q96" s="22"/>
      <c r="R96" s="191"/>
    </row>
    <row r="97" spans="2:18" ht="14.25">
      <c r="B97" s="66"/>
      <c r="G97" s="56"/>
      <c r="H97" s="56"/>
      <c r="I97" s="56"/>
      <c r="J97" s="56"/>
      <c r="K97" s="56"/>
      <c r="Q97" s="22"/>
      <c r="R97" s="191"/>
    </row>
    <row r="98" spans="2:18" ht="14.25">
      <c r="B98" s="66"/>
      <c r="G98" s="56"/>
      <c r="H98" s="56"/>
      <c r="I98" s="56"/>
      <c r="J98" s="56"/>
      <c r="K98" s="56"/>
      <c r="Q98" s="22"/>
      <c r="R98" s="191"/>
    </row>
    <row r="99" spans="2:18" ht="14.25">
      <c r="B99" s="66"/>
      <c r="G99" s="56"/>
      <c r="H99" s="56"/>
      <c r="I99" s="56"/>
      <c r="J99" s="56"/>
      <c r="K99" s="56"/>
      <c r="Q99" s="22"/>
      <c r="R99" s="191"/>
    </row>
    <row r="100" spans="2:18" ht="14.25">
      <c r="B100" s="66"/>
      <c r="G100" s="56"/>
      <c r="H100" s="56"/>
      <c r="I100" s="56"/>
      <c r="J100" s="56"/>
      <c r="K100" s="56"/>
      <c r="Q100" s="22"/>
      <c r="R100" s="191"/>
    </row>
    <row r="101" spans="2:18" ht="14.25">
      <c r="B101" s="66"/>
      <c r="G101" s="56"/>
      <c r="H101" s="56"/>
      <c r="I101" s="56"/>
      <c r="J101" s="56"/>
      <c r="K101" s="56"/>
      <c r="Q101" s="22"/>
      <c r="R101" s="191"/>
    </row>
    <row r="102" spans="2:18" ht="14.25">
      <c r="B102" s="66"/>
      <c r="G102" s="56"/>
      <c r="H102" s="56"/>
      <c r="I102" s="56"/>
      <c r="J102" s="56"/>
      <c r="K102" s="56"/>
      <c r="Q102" s="22"/>
      <c r="R102" s="191"/>
    </row>
    <row r="103" spans="2:18" ht="14.25">
      <c r="B103" s="66"/>
      <c r="G103" s="56"/>
      <c r="H103" s="56"/>
      <c r="I103" s="56"/>
      <c r="J103" s="56"/>
      <c r="K103" s="56"/>
      <c r="Q103" s="22"/>
      <c r="R103" s="191"/>
    </row>
    <row r="104" spans="2:18" ht="14.25">
      <c r="B104" s="66"/>
      <c r="G104" s="56"/>
      <c r="H104" s="56"/>
      <c r="I104" s="56"/>
      <c r="J104" s="56"/>
      <c r="K104" s="56"/>
      <c r="Q104" s="22"/>
      <c r="R104" s="191"/>
    </row>
    <row r="105" spans="2:18" ht="14.25">
      <c r="B105" s="66"/>
      <c r="G105" s="56"/>
      <c r="H105" s="56"/>
      <c r="I105" s="56"/>
      <c r="J105" s="56"/>
      <c r="K105" s="56"/>
      <c r="Q105" s="22"/>
      <c r="R105" s="191"/>
    </row>
    <row r="106" spans="2:18" ht="14.25">
      <c r="B106" s="66"/>
      <c r="G106" s="56"/>
      <c r="H106" s="56"/>
      <c r="I106" s="56"/>
      <c r="J106" s="56"/>
      <c r="K106" s="56"/>
      <c r="Q106" s="22"/>
      <c r="R106" s="191"/>
    </row>
    <row r="107" spans="2:18" ht="14.25">
      <c r="B107" s="66"/>
      <c r="G107" s="56"/>
      <c r="H107" s="56"/>
      <c r="I107" s="56"/>
      <c r="J107" s="56"/>
      <c r="K107" s="56"/>
      <c r="Q107" s="22"/>
      <c r="R107" s="191"/>
    </row>
    <row r="108" spans="2:18" ht="14.25">
      <c r="B108" s="66"/>
      <c r="G108" s="56"/>
      <c r="H108" s="56"/>
      <c r="I108" s="56"/>
      <c r="J108" s="56"/>
      <c r="K108" s="56"/>
      <c r="Q108" s="22"/>
      <c r="R108" s="191"/>
    </row>
    <row r="109" spans="2:18" ht="14.25">
      <c r="B109" s="66"/>
      <c r="G109" s="56"/>
      <c r="H109" s="56"/>
      <c r="I109" s="56"/>
      <c r="J109" s="56"/>
      <c r="K109" s="56"/>
      <c r="Q109" s="22"/>
      <c r="R109" s="191"/>
    </row>
    <row r="110" spans="2:18" ht="14.25">
      <c r="B110" s="66"/>
      <c r="G110" s="56"/>
      <c r="H110" s="56"/>
      <c r="I110" s="56"/>
      <c r="J110" s="56"/>
      <c r="K110" s="56"/>
      <c r="Q110" s="22"/>
      <c r="R110" s="191"/>
    </row>
    <row r="111" spans="2:18" ht="14.25">
      <c r="B111" s="66"/>
      <c r="G111" s="56"/>
      <c r="H111" s="56"/>
      <c r="I111" s="56"/>
      <c r="J111" s="56"/>
      <c r="K111" s="56"/>
      <c r="Q111" s="22"/>
      <c r="R111" s="191"/>
    </row>
    <row r="112" spans="2:18" ht="14.25">
      <c r="B112" s="66"/>
      <c r="G112" s="56"/>
      <c r="H112" s="56"/>
      <c r="I112" s="56"/>
      <c r="J112" s="56"/>
      <c r="K112" s="56"/>
      <c r="Q112" s="22"/>
      <c r="R112" s="191"/>
    </row>
    <row r="113" spans="2:18" ht="14.25">
      <c r="B113" s="66"/>
      <c r="G113" s="56"/>
      <c r="H113" s="56"/>
      <c r="I113" s="56"/>
      <c r="J113" s="56"/>
      <c r="K113" s="56"/>
      <c r="Q113" s="22"/>
      <c r="R113" s="191"/>
    </row>
    <row r="114" spans="2:18" ht="14.25">
      <c r="B114" s="66"/>
      <c r="G114" s="56"/>
      <c r="H114" s="56"/>
      <c r="I114" s="56"/>
      <c r="J114" s="56"/>
      <c r="K114" s="56"/>
      <c r="Q114" s="22"/>
      <c r="R114" s="191"/>
    </row>
    <row r="115" spans="2:18" ht="14.25">
      <c r="B115" s="66"/>
      <c r="G115" s="56"/>
      <c r="H115" s="56"/>
      <c r="I115" s="56"/>
      <c r="J115" s="56"/>
      <c r="K115" s="56"/>
      <c r="Q115" s="22"/>
      <c r="R115" s="191"/>
    </row>
    <row r="116" spans="2:18" ht="14.25">
      <c r="B116" s="66"/>
      <c r="G116" s="56"/>
      <c r="H116" s="56"/>
      <c r="I116" s="56"/>
      <c r="J116" s="56"/>
      <c r="K116" s="56"/>
      <c r="Q116" s="22"/>
      <c r="R116" s="191"/>
    </row>
    <row r="117" spans="2:18" ht="14.25">
      <c r="B117" s="66"/>
      <c r="G117" s="56"/>
      <c r="H117" s="56"/>
      <c r="I117" s="56"/>
      <c r="J117" s="56"/>
      <c r="K117" s="56"/>
      <c r="Q117" s="22"/>
      <c r="R117" s="191"/>
    </row>
    <row r="118" spans="2:18" ht="14.25">
      <c r="B118" s="66"/>
      <c r="G118" s="56"/>
      <c r="H118" s="56"/>
      <c r="I118" s="56"/>
      <c r="J118" s="56"/>
      <c r="K118" s="56"/>
      <c r="Q118" s="22"/>
      <c r="R118" s="191"/>
    </row>
    <row r="119" spans="2:18" ht="14.25">
      <c r="B119" s="66"/>
      <c r="G119" s="56"/>
      <c r="H119" s="56"/>
      <c r="I119" s="56"/>
      <c r="J119" s="56"/>
      <c r="K119" s="56"/>
      <c r="Q119" s="22"/>
      <c r="R119" s="191"/>
    </row>
    <row r="120" spans="2:18" ht="14.25">
      <c r="B120" s="66"/>
      <c r="G120" s="56"/>
      <c r="H120" s="56"/>
      <c r="I120" s="56"/>
      <c r="J120" s="56"/>
      <c r="K120" s="56"/>
      <c r="Q120" s="22"/>
      <c r="R120" s="191"/>
    </row>
    <row r="121" spans="2:18" ht="14.25">
      <c r="B121" s="66"/>
      <c r="G121" s="56"/>
      <c r="H121" s="56"/>
      <c r="I121" s="56"/>
      <c r="J121" s="56"/>
      <c r="K121" s="56"/>
      <c r="Q121" s="22"/>
      <c r="R121" s="191"/>
    </row>
    <row r="122" spans="2:18" ht="14.25">
      <c r="B122" s="66"/>
      <c r="G122" s="56"/>
      <c r="H122" s="56"/>
      <c r="I122" s="56"/>
      <c r="J122" s="56"/>
      <c r="K122" s="56"/>
      <c r="Q122" s="22"/>
      <c r="R122" s="191"/>
    </row>
    <row r="123" spans="2:18" ht="14.25">
      <c r="B123" s="66"/>
      <c r="G123" s="56"/>
      <c r="H123" s="56"/>
      <c r="I123" s="56"/>
      <c r="J123" s="56"/>
      <c r="K123" s="56"/>
      <c r="Q123" s="22"/>
      <c r="R123" s="191"/>
    </row>
    <row r="124" spans="2:18" ht="14.25">
      <c r="B124" s="66"/>
      <c r="G124" s="56"/>
      <c r="H124" s="56"/>
      <c r="I124" s="56"/>
      <c r="J124" s="56"/>
      <c r="K124" s="56"/>
      <c r="Q124" s="22"/>
      <c r="R124" s="191"/>
    </row>
    <row r="125" spans="2:18" ht="14.25">
      <c r="B125" s="66"/>
      <c r="G125" s="56"/>
      <c r="H125" s="56"/>
      <c r="I125" s="56"/>
      <c r="J125" s="56"/>
      <c r="K125" s="56"/>
      <c r="Q125" s="22"/>
      <c r="R125" s="191"/>
    </row>
    <row r="126" spans="2:18" ht="14.25">
      <c r="B126" s="66"/>
      <c r="G126" s="56"/>
      <c r="H126" s="56"/>
      <c r="I126" s="56"/>
      <c r="J126" s="56"/>
      <c r="K126" s="56"/>
      <c r="Q126" s="22"/>
      <c r="R126" s="191"/>
    </row>
    <row r="127" spans="2:18" ht="14.25">
      <c r="B127" s="66"/>
      <c r="G127" s="56"/>
      <c r="H127" s="56"/>
      <c r="I127" s="56"/>
      <c r="J127" s="56"/>
      <c r="K127" s="56"/>
      <c r="Q127" s="22"/>
      <c r="R127" s="191"/>
    </row>
    <row r="128" spans="2:18" ht="14.25">
      <c r="B128" s="66"/>
      <c r="G128" s="56"/>
      <c r="H128" s="56"/>
      <c r="I128" s="56"/>
      <c r="J128" s="56"/>
      <c r="K128" s="56"/>
      <c r="Q128" s="22"/>
      <c r="R128" s="191"/>
    </row>
    <row r="129" spans="2:18" ht="14.25">
      <c r="B129" s="66"/>
      <c r="G129" s="56"/>
      <c r="H129" s="56"/>
      <c r="I129" s="56"/>
      <c r="J129" s="56"/>
      <c r="K129" s="56"/>
      <c r="Q129" s="22"/>
      <c r="R129" s="191"/>
    </row>
    <row r="130" spans="2:18" ht="14.25">
      <c r="B130" s="66"/>
      <c r="G130" s="56"/>
      <c r="H130" s="56"/>
      <c r="I130" s="56"/>
      <c r="J130" s="56"/>
      <c r="K130" s="56"/>
      <c r="Q130" s="22"/>
      <c r="R130" s="191"/>
    </row>
    <row r="131" spans="2:18" ht="14.25">
      <c r="B131" s="66"/>
      <c r="G131" s="56"/>
      <c r="H131" s="56"/>
      <c r="I131" s="56"/>
      <c r="J131" s="56"/>
      <c r="K131" s="56"/>
      <c r="Q131" s="22"/>
      <c r="R131" s="191"/>
    </row>
    <row r="132" spans="2:18" ht="14.25">
      <c r="B132" s="66"/>
      <c r="G132" s="56"/>
      <c r="H132" s="56"/>
      <c r="I132" s="56"/>
      <c r="J132" s="56"/>
      <c r="K132" s="56"/>
      <c r="Q132" s="22"/>
      <c r="R132" s="191"/>
    </row>
    <row r="133" spans="2:18" ht="14.25">
      <c r="B133" s="66"/>
      <c r="G133" s="56"/>
      <c r="H133" s="56"/>
      <c r="I133" s="56"/>
      <c r="J133" s="56"/>
      <c r="K133" s="56"/>
      <c r="Q133" s="22"/>
      <c r="R133" s="191"/>
    </row>
    <row r="134" spans="2:18" ht="14.25">
      <c r="B134" s="66"/>
      <c r="G134" s="56"/>
      <c r="H134" s="56"/>
      <c r="I134" s="56"/>
      <c r="J134" s="56"/>
      <c r="K134" s="56"/>
      <c r="Q134" s="22"/>
      <c r="R134" s="191"/>
    </row>
    <row r="135" spans="2:18" ht="14.25">
      <c r="B135" s="66"/>
      <c r="G135" s="56"/>
      <c r="H135" s="56"/>
      <c r="I135" s="56"/>
      <c r="J135" s="56"/>
      <c r="K135" s="56"/>
      <c r="Q135" s="22"/>
      <c r="R135" s="191"/>
    </row>
    <row r="136" spans="2:18" ht="14.25">
      <c r="B136" s="66"/>
      <c r="G136" s="56"/>
      <c r="H136" s="56"/>
      <c r="I136" s="56"/>
      <c r="J136" s="56"/>
      <c r="K136" s="56"/>
      <c r="Q136" s="22"/>
      <c r="R136" s="191"/>
    </row>
    <row r="137" spans="2:18" ht="14.25">
      <c r="B137" s="66"/>
      <c r="G137" s="56"/>
      <c r="H137" s="56"/>
      <c r="I137" s="56"/>
      <c r="J137" s="56"/>
      <c r="K137" s="56"/>
      <c r="Q137" s="22"/>
      <c r="R137" s="191"/>
    </row>
    <row r="138" spans="2:18" ht="14.25">
      <c r="B138" s="66"/>
      <c r="G138" s="56"/>
      <c r="H138" s="56"/>
      <c r="I138" s="56"/>
      <c r="J138" s="56"/>
      <c r="K138" s="56"/>
      <c r="Q138" s="22"/>
      <c r="R138" s="191"/>
    </row>
    <row r="139" spans="2:18" ht="14.25">
      <c r="B139" s="66"/>
      <c r="G139" s="56"/>
      <c r="H139" s="56"/>
      <c r="I139" s="56"/>
      <c r="J139" s="56"/>
      <c r="K139" s="56"/>
      <c r="Q139" s="22"/>
      <c r="R139" s="191"/>
    </row>
    <row r="140" spans="2:18" ht="14.25">
      <c r="B140" s="66"/>
      <c r="G140" s="56"/>
      <c r="H140" s="56"/>
      <c r="I140" s="56"/>
      <c r="J140" s="56"/>
      <c r="K140" s="56"/>
      <c r="Q140" s="22"/>
      <c r="R140" s="191"/>
    </row>
    <row r="141" spans="2:18" ht="14.25">
      <c r="B141" s="66"/>
      <c r="G141" s="56"/>
      <c r="H141" s="56"/>
      <c r="I141" s="56"/>
      <c r="J141" s="56"/>
      <c r="K141" s="56"/>
      <c r="Q141" s="22"/>
      <c r="R141" s="191"/>
    </row>
    <row r="142" spans="2:18" ht="14.25">
      <c r="B142" s="66"/>
      <c r="G142" s="56"/>
      <c r="H142" s="56"/>
      <c r="I142" s="56"/>
      <c r="J142" s="56"/>
      <c r="K142" s="56"/>
      <c r="Q142" s="22"/>
      <c r="R142" s="191"/>
    </row>
    <row r="143" spans="2:18" ht="14.25">
      <c r="B143" s="66"/>
      <c r="G143" s="56"/>
      <c r="H143" s="56"/>
      <c r="I143" s="56"/>
      <c r="J143" s="56"/>
      <c r="K143" s="56"/>
      <c r="Q143" s="22"/>
      <c r="R143" s="191"/>
    </row>
    <row r="144" spans="2:18" ht="14.25">
      <c r="B144" s="66"/>
      <c r="G144" s="56"/>
      <c r="H144" s="56"/>
      <c r="I144" s="56"/>
      <c r="J144" s="56"/>
      <c r="K144" s="56"/>
      <c r="Q144" s="22"/>
      <c r="R144" s="191"/>
    </row>
    <row r="145" spans="2:18" ht="14.25">
      <c r="B145" s="66"/>
      <c r="G145" s="56"/>
      <c r="H145" s="56"/>
      <c r="I145" s="56"/>
      <c r="J145" s="56"/>
      <c r="K145" s="56"/>
      <c r="Q145" s="22"/>
      <c r="R145" s="191"/>
    </row>
    <row r="146" spans="2:18" ht="14.25">
      <c r="B146" s="66"/>
      <c r="G146" s="56"/>
      <c r="H146" s="56"/>
      <c r="I146" s="56"/>
      <c r="J146" s="56"/>
      <c r="K146" s="56"/>
      <c r="Q146" s="22"/>
      <c r="R146" s="191"/>
    </row>
    <row r="147" spans="2:18" ht="14.25">
      <c r="B147" s="66"/>
      <c r="G147" s="56"/>
      <c r="H147" s="56"/>
      <c r="I147" s="56"/>
      <c r="J147" s="56"/>
      <c r="K147" s="56"/>
      <c r="Q147" s="22"/>
      <c r="R147" s="191"/>
    </row>
    <row r="148" spans="2:18" ht="14.25">
      <c r="B148" s="66"/>
      <c r="G148" s="56"/>
      <c r="H148" s="56"/>
      <c r="I148" s="56"/>
      <c r="J148" s="56"/>
      <c r="K148" s="56"/>
      <c r="Q148" s="22"/>
      <c r="R148" s="191"/>
    </row>
    <row r="149" spans="2:18" ht="14.25">
      <c r="B149" s="66"/>
      <c r="G149" s="56"/>
      <c r="H149" s="56"/>
      <c r="I149" s="56"/>
      <c r="J149" s="56"/>
      <c r="K149" s="56"/>
      <c r="Q149" s="22"/>
      <c r="R149" s="191"/>
    </row>
    <row r="150" spans="2:18" ht="14.25">
      <c r="B150" s="66"/>
      <c r="G150" s="56"/>
      <c r="H150" s="56"/>
      <c r="I150" s="56"/>
      <c r="J150" s="56"/>
      <c r="K150" s="56"/>
      <c r="Q150" s="22"/>
      <c r="R150" s="191"/>
    </row>
    <row r="151" spans="2:18" ht="14.25">
      <c r="B151" s="66"/>
      <c r="G151" s="56"/>
      <c r="H151" s="56"/>
      <c r="I151" s="56"/>
      <c r="J151" s="56"/>
      <c r="K151" s="56"/>
      <c r="Q151" s="22"/>
      <c r="R151" s="191"/>
    </row>
    <row r="152" spans="2:18" ht="14.25">
      <c r="B152" s="66"/>
      <c r="G152" s="56"/>
      <c r="H152" s="56"/>
      <c r="I152" s="56"/>
      <c r="J152" s="56"/>
      <c r="K152" s="56"/>
      <c r="Q152" s="22"/>
      <c r="R152" s="191"/>
    </row>
    <row r="153" spans="2:18" ht="14.25">
      <c r="B153" s="66"/>
      <c r="G153" s="56"/>
      <c r="H153" s="56"/>
      <c r="I153" s="56"/>
      <c r="J153" s="56"/>
      <c r="K153" s="56"/>
      <c r="Q153" s="22"/>
      <c r="R153" s="191"/>
    </row>
    <row r="154" spans="2:18" ht="14.25">
      <c r="B154" s="66"/>
      <c r="G154" s="56"/>
      <c r="H154" s="56"/>
      <c r="I154" s="56"/>
      <c r="J154" s="56"/>
      <c r="K154" s="56"/>
      <c r="Q154" s="22"/>
      <c r="R154" s="191"/>
    </row>
    <row r="155" spans="2:18" ht="14.25">
      <c r="B155" s="66"/>
      <c r="G155" s="56"/>
      <c r="H155" s="56"/>
      <c r="I155" s="56"/>
      <c r="J155" s="56"/>
      <c r="K155" s="56"/>
      <c r="Q155" s="22"/>
      <c r="R155" s="191"/>
    </row>
    <row r="156" spans="2:18" ht="14.25">
      <c r="B156" s="66"/>
      <c r="G156" s="56"/>
      <c r="H156" s="56"/>
      <c r="I156" s="56"/>
      <c r="J156" s="56"/>
      <c r="K156" s="56"/>
      <c r="Q156" s="22"/>
      <c r="R156" s="191"/>
    </row>
    <row r="157" spans="2:18" ht="14.25">
      <c r="B157" s="66"/>
      <c r="G157" s="56"/>
      <c r="H157" s="56"/>
      <c r="I157" s="56"/>
      <c r="J157" s="56"/>
      <c r="K157" s="56"/>
      <c r="Q157" s="22"/>
      <c r="R157" s="191"/>
    </row>
    <row r="158" spans="2:18" ht="14.25">
      <c r="B158" s="66"/>
      <c r="G158" s="56"/>
      <c r="H158" s="56"/>
      <c r="I158" s="56"/>
      <c r="J158" s="56"/>
      <c r="K158" s="56"/>
      <c r="Q158" s="22"/>
      <c r="R158" s="191"/>
    </row>
    <row r="159" spans="2:18" ht="14.25">
      <c r="B159" s="66"/>
      <c r="G159" s="56"/>
      <c r="H159" s="56"/>
      <c r="I159" s="56"/>
      <c r="J159" s="56"/>
      <c r="K159" s="56"/>
      <c r="Q159" s="22"/>
      <c r="R159" s="191"/>
    </row>
    <row r="160" spans="2:18" ht="14.25">
      <c r="B160" s="66"/>
      <c r="G160" s="56"/>
      <c r="H160" s="56"/>
      <c r="I160" s="56"/>
      <c r="J160" s="56"/>
      <c r="K160" s="56"/>
      <c r="Q160" s="22"/>
      <c r="R160" s="191"/>
    </row>
    <row r="161" spans="2:18" ht="14.25">
      <c r="B161" s="66"/>
      <c r="G161" s="56"/>
      <c r="H161" s="56"/>
      <c r="I161" s="56"/>
      <c r="J161" s="56"/>
      <c r="K161" s="56"/>
      <c r="Q161" s="22"/>
      <c r="R161" s="191"/>
    </row>
    <row r="162" spans="2:18" ht="14.25">
      <c r="B162" s="66"/>
      <c r="G162" s="56"/>
      <c r="H162" s="56"/>
      <c r="I162" s="56"/>
      <c r="J162" s="56"/>
      <c r="K162" s="56"/>
      <c r="Q162" s="22"/>
      <c r="R162" s="191"/>
    </row>
    <row r="163" spans="2:18" ht="14.25">
      <c r="B163" s="66"/>
      <c r="G163" s="56"/>
      <c r="H163" s="56"/>
      <c r="I163" s="56"/>
      <c r="J163" s="56"/>
      <c r="K163" s="56"/>
      <c r="Q163" s="22"/>
      <c r="R163" s="191"/>
    </row>
    <row r="164" spans="2:18" ht="14.25">
      <c r="B164" s="66"/>
      <c r="G164" s="56"/>
      <c r="H164" s="56"/>
      <c r="I164" s="56"/>
      <c r="J164" s="56"/>
      <c r="K164" s="56"/>
      <c r="Q164" s="22"/>
      <c r="R164" s="191"/>
    </row>
    <row r="165" spans="2:18" ht="14.25">
      <c r="B165" s="66"/>
      <c r="G165" s="56"/>
      <c r="H165" s="56"/>
      <c r="I165" s="56"/>
      <c r="J165" s="56"/>
      <c r="K165" s="56"/>
      <c r="Q165" s="22"/>
      <c r="R165" s="191"/>
    </row>
    <row r="166" spans="2:18" ht="14.25">
      <c r="B166" s="66"/>
      <c r="G166" s="56"/>
      <c r="H166" s="56"/>
      <c r="I166" s="56"/>
      <c r="J166" s="56"/>
      <c r="K166" s="56"/>
      <c r="Q166" s="22"/>
      <c r="R166" s="191"/>
    </row>
    <row r="167" spans="2:18" ht="14.25">
      <c r="B167" s="66"/>
      <c r="G167" s="56"/>
      <c r="H167" s="56"/>
      <c r="I167" s="56"/>
      <c r="J167" s="56"/>
      <c r="K167" s="56"/>
      <c r="Q167" s="22"/>
      <c r="R167" s="191"/>
    </row>
    <row r="168" spans="2:18" ht="14.25">
      <c r="B168" s="66"/>
      <c r="G168" s="56"/>
      <c r="H168" s="56"/>
      <c r="I168" s="56"/>
      <c r="J168" s="56"/>
      <c r="K168" s="56"/>
      <c r="Q168" s="22"/>
      <c r="R168" s="191"/>
    </row>
    <row r="169" spans="2:18" ht="14.25">
      <c r="B169" s="66"/>
      <c r="G169" s="56"/>
      <c r="H169" s="56"/>
      <c r="I169" s="56"/>
      <c r="J169" s="56"/>
      <c r="K169" s="56"/>
      <c r="Q169" s="22"/>
      <c r="R169" s="191"/>
    </row>
    <row r="170" spans="2:18" ht="14.25">
      <c r="B170" s="66"/>
      <c r="G170" s="56"/>
      <c r="H170" s="56"/>
      <c r="I170" s="56"/>
      <c r="J170" s="56"/>
      <c r="K170" s="56"/>
      <c r="Q170" s="22"/>
      <c r="R170" s="191"/>
    </row>
    <row r="171" spans="2:18" ht="14.25">
      <c r="B171" s="66"/>
      <c r="G171" s="56"/>
      <c r="H171" s="56"/>
      <c r="I171" s="56"/>
      <c r="J171" s="56"/>
      <c r="K171" s="56"/>
      <c r="Q171" s="22"/>
      <c r="R171" s="191"/>
    </row>
    <row r="172" spans="2:18" ht="14.25">
      <c r="B172" s="66"/>
      <c r="G172" s="56"/>
      <c r="H172" s="56"/>
      <c r="I172" s="56"/>
      <c r="J172" s="56"/>
      <c r="K172" s="56"/>
      <c r="Q172" s="22"/>
      <c r="R172" s="191"/>
    </row>
    <row r="173" spans="2:18" ht="14.25">
      <c r="B173" s="66"/>
      <c r="G173" s="56"/>
      <c r="H173" s="56"/>
      <c r="I173" s="56"/>
      <c r="J173" s="56"/>
      <c r="K173" s="56"/>
      <c r="Q173" s="22"/>
      <c r="R173" s="191"/>
    </row>
    <row r="174" spans="2:18" ht="14.25">
      <c r="B174" s="66"/>
      <c r="G174" s="56"/>
      <c r="H174" s="56"/>
      <c r="I174" s="56"/>
      <c r="J174" s="56"/>
      <c r="K174" s="56"/>
      <c r="Q174" s="22"/>
      <c r="R174" s="191"/>
    </row>
    <row r="175" spans="2:18" ht="14.25">
      <c r="B175" s="66"/>
      <c r="G175" s="56"/>
      <c r="H175" s="56"/>
      <c r="I175" s="56"/>
      <c r="J175" s="56"/>
      <c r="K175" s="56"/>
      <c r="Q175" s="22"/>
      <c r="R175" s="191"/>
    </row>
    <row r="176" spans="2:18" ht="14.25">
      <c r="B176" s="66"/>
      <c r="G176" s="56"/>
      <c r="H176" s="56"/>
      <c r="I176" s="56"/>
      <c r="J176" s="56"/>
      <c r="K176" s="56"/>
      <c r="Q176" s="22"/>
      <c r="R176" s="191"/>
    </row>
    <row r="177" spans="2:18" ht="14.25">
      <c r="B177" s="66"/>
      <c r="G177" s="56"/>
      <c r="H177" s="56"/>
      <c r="I177" s="56"/>
      <c r="J177" s="56"/>
      <c r="K177" s="56"/>
      <c r="Q177" s="22"/>
      <c r="R177" s="191"/>
    </row>
    <row r="178" spans="2:18" ht="14.25">
      <c r="B178" s="66"/>
      <c r="G178" s="56"/>
      <c r="H178" s="56"/>
      <c r="I178" s="56"/>
      <c r="J178" s="56"/>
      <c r="K178" s="56"/>
      <c r="Q178" s="22"/>
      <c r="R178" s="191"/>
    </row>
    <row r="179" spans="2:18" ht="14.25">
      <c r="B179" s="66"/>
      <c r="G179" s="56"/>
      <c r="H179" s="56"/>
      <c r="I179" s="56"/>
      <c r="J179" s="56"/>
      <c r="K179" s="56"/>
      <c r="Q179" s="22"/>
      <c r="R179" s="191"/>
    </row>
    <row r="180" spans="2:18" ht="14.25">
      <c r="B180" s="66"/>
      <c r="G180" s="56"/>
      <c r="H180" s="56"/>
      <c r="I180" s="56"/>
      <c r="J180" s="56"/>
      <c r="K180" s="56"/>
      <c r="Q180" s="22"/>
      <c r="R180" s="191"/>
    </row>
    <row r="181" spans="2:18" ht="14.25">
      <c r="B181" s="66"/>
      <c r="G181" s="56"/>
      <c r="H181" s="56"/>
      <c r="I181" s="56"/>
      <c r="J181" s="56"/>
      <c r="K181" s="56"/>
      <c r="Q181" s="22"/>
      <c r="R181" s="191"/>
    </row>
    <row r="182" spans="2:18" ht="14.25">
      <c r="B182" s="66"/>
      <c r="G182" s="56"/>
      <c r="H182" s="56"/>
      <c r="I182" s="56"/>
      <c r="J182" s="56"/>
      <c r="K182" s="56"/>
      <c r="Q182" s="22"/>
      <c r="R182" s="191"/>
    </row>
    <row r="183" spans="2:18" ht="14.25">
      <c r="B183" s="66"/>
      <c r="G183" s="56"/>
      <c r="H183" s="56"/>
      <c r="I183" s="56"/>
      <c r="J183" s="56"/>
      <c r="K183" s="56"/>
      <c r="Q183" s="22"/>
      <c r="R183" s="191"/>
    </row>
    <row r="184" spans="2:18" ht="14.25">
      <c r="B184" s="66"/>
      <c r="G184" s="56"/>
      <c r="H184" s="56"/>
      <c r="I184" s="56"/>
      <c r="J184" s="56"/>
      <c r="K184" s="56"/>
      <c r="Q184" s="22"/>
      <c r="R184" s="191"/>
    </row>
    <row r="185" spans="2:18" ht="14.25">
      <c r="B185" s="66"/>
      <c r="G185" s="56"/>
      <c r="H185" s="56"/>
      <c r="I185" s="56"/>
      <c r="J185" s="56"/>
      <c r="K185" s="56"/>
      <c r="Q185" s="22"/>
      <c r="R185" s="191"/>
    </row>
    <row r="186" spans="2:18" ht="14.25">
      <c r="B186" s="66"/>
      <c r="G186" s="56"/>
      <c r="H186" s="56"/>
      <c r="I186" s="56"/>
      <c r="J186" s="56"/>
      <c r="K186" s="56"/>
      <c r="Q186" s="22"/>
      <c r="R186" s="191"/>
    </row>
    <row r="187" spans="2:18" ht="14.25">
      <c r="B187" s="66"/>
      <c r="G187" s="56"/>
      <c r="H187" s="56"/>
      <c r="I187" s="56"/>
      <c r="J187" s="56"/>
      <c r="K187" s="56"/>
      <c r="Q187" s="22"/>
      <c r="R187" s="191"/>
    </row>
    <row r="188" spans="2:18" ht="14.25">
      <c r="B188" s="66"/>
      <c r="G188" s="56"/>
      <c r="H188" s="56"/>
      <c r="I188" s="56"/>
      <c r="J188" s="56"/>
      <c r="K188" s="56"/>
      <c r="Q188" s="22"/>
      <c r="R188" s="191"/>
    </row>
    <row r="189" spans="2:18" ht="14.25">
      <c r="B189" s="66"/>
      <c r="G189" s="56"/>
      <c r="H189" s="56"/>
      <c r="I189" s="56"/>
      <c r="J189" s="56"/>
      <c r="K189" s="56"/>
      <c r="Q189" s="22"/>
      <c r="R189" s="191"/>
    </row>
    <row r="190" spans="2:18" ht="14.25">
      <c r="B190" s="66"/>
      <c r="G190" s="56"/>
      <c r="H190" s="56"/>
      <c r="I190" s="56"/>
      <c r="J190" s="56"/>
      <c r="K190" s="56"/>
      <c r="Q190" s="22"/>
      <c r="R190" s="191"/>
    </row>
    <row r="191" spans="2:18" ht="14.25">
      <c r="B191" s="66"/>
      <c r="G191" s="56"/>
      <c r="H191" s="56"/>
      <c r="I191" s="56"/>
      <c r="J191" s="56"/>
      <c r="K191" s="56"/>
      <c r="Q191" s="22"/>
      <c r="R191" s="191"/>
    </row>
    <row r="192" spans="2:18" ht="14.25">
      <c r="B192" s="66"/>
      <c r="G192" s="56"/>
      <c r="H192" s="56"/>
      <c r="I192" s="56"/>
      <c r="J192" s="56"/>
      <c r="K192" s="56"/>
      <c r="Q192" s="22"/>
      <c r="R192" s="191"/>
    </row>
    <row r="193" spans="2:18" ht="14.25">
      <c r="B193" s="66"/>
      <c r="G193" s="56"/>
      <c r="H193" s="56"/>
      <c r="I193" s="56"/>
      <c r="J193" s="56"/>
      <c r="K193" s="56"/>
      <c r="Q193" s="22"/>
      <c r="R193" s="191"/>
    </row>
    <row r="194" spans="2:18" ht="14.25">
      <c r="B194" s="66"/>
      <c r="G194" s="56"/>
      <c r="H194" s="56"/>
      <c r="I194" s="56"/>
      <c r="J194" s="56"/>
      <c r="K194" s="56"/>
      <c r="Q194" s="22"/>
      <c r="R194" s="191"/>
    </row>
    <row r="195" spans="2:18" ht="14.25">
      <c r="B195" s="66"/>
      <c r="G195" s="56"/>
      <c r="H195" s="56"/>
      <c r="I195" s="56"/>
      <c r="J195" s="56"/>
      <c r="K195" s="56"/>
      <c r="Q195" s="22"/>
      <c r="R195" s="191"/>
    </row>
    <row r="196" spans="2:18" ht="14.25">
      <c r="B196" s="66"/>
      <c r="G196" s="56"/>
      <c r="H196" s="56"/>
      <c r="I196" s="56"/>
      <c r="J196" s="56"/>
      <c r="K196" s="56"/>
      <c r="Q196" s="22"/>
      <c r="R196" s="191"/>
    </row>
    <row r="197" spans="2:18" ht="14.25">
      <c r="B197" s="66"/>
      <c r="G197" s="56"/>
      <c r="H197" s="56"/>
      <c r="I197" s="56"/>
      <c r="J197" s="56"/>
      <c r="K197" s="56"/>
      <c r="Q197" s="22"/>
      <c r="R197" s="191"/>
    </row>
    <row r="198" spans="2:18" ht="14.25">
      <c r="B198" s="66"/>
      <c r="G198" s="56"/>
      <c r="H198" s="56"/>
      <c r="I198" s="56"/>
      <c r="J198" s="56"/>
      <c r="K198" s="56"/>
      <c r="Q198" s="22"/>
      <c r="R198" s="191"/>
    </row>
    <row r="199" spans="2:18" ht="14.25">
      <c r="B199" s="66"/>
      <c r="G199" s="56"/>
      <c r="H199" s="56"/>
      <c r="I199" s="56"/>
      <c r="J199" s="56"/>
      <c r="K199" s="56"/>
      <c r="Q199" s="22"/>
      <c r="R199" s="191"/>
    </row>
    <row r="200" spans="2:18" ht="14.25">
      <c r="B200" s="66"/>
      <c r="G200" s="56"/>
      <c r="H200" s="56"/>
      <c r="I200" s="56"/>
      <c r="J200" s="56"/>
      <c r="K200" s="56"/>
      <c r="Q200" s="22"/>
      <c r="R200" s="191"/>
    </row>
    <row r="201" spans="2:18" ht="14.25">
      <c r="B201" s="66"/>
      <c r="G201" s="56"/>
      <c r="H201" s="56"/>
      <c r="I201" s="56"/>
      <c r="J201" s="56"/>
      <c r="K201" s="56"/>
      <c r="Q201" s="22"/>
      <c r="R201" s="191"/>
    </row>
    <row r="202" spans="2:18" ht="14.25">
      <c r="B202" s="66"/>
      <c r="G202" s="56"/>
      <c r="H202" s="56"/>
      <c r="I202" s="56"/>
      <c r="J202" s="56"/>
      <c r="K202" s="56"/>
      <c r="Q202" s="22"/>
      <c r="R202" s="191"/>
    </row>
    <row r="203" spans="2:18" ht="14.25">
      <c r="B203" s="66"/>
      <c r="G203" s="56"/>
      <c r="H203" s="56"/>
      <c r="I203" s="56"/>
      <c r="J203" s="56"/>
      <c r="K203" s="56"/>
      <c r="Q203" s="22"/>
      <c r="R203" s="191"/>
    </row>
    <row r="204" spans="2:18" ht="14.25">
      <c r="B204" s="66"/>
      <c r="G204" s="56"/>
      <c r="H204" s="56"/>
      <c r="I204" s="56"/>
      <c r="J204" s="56"/>
      <c r="K204" s="56"/>
      <c r="Q204" s="22"/>
      <c r="R204" s="191"/>
    </row>
    <row r="205" spans="2:18" ht="14.25">
      <c r="B205" s="66"/>
      <c r="G205" s="56"/>
      <c r="H205" s="56"/>
      <c r="I205" s="56"/>
      <c r="J205" s="56"/>
      <c r="K205" s="56"/>
      <c r="Q205" s="22"/>
      <c r="R205" s="191"/>
    </row>
    <row r="206" spans="2:18" ht="14.25">
      <c r="B206" s="66"/>
      <c r="G206" s="56"/>
      <c r="H206" s="56"/>
      <c r="I206" s="56"/>
      <c r="J206" s="56"/>
      <c r="K206" s="56"/>
      <c r="Q206" s="22"/>
      <c r="R206" s="191"/>
    </row>
    <row r="207" spans="2:18" ht="14.25">
      <c r="B207" s="66"/>
      <c r="G207" s="56"/>
      <c r="H207" s="56"/>
      <c r="I207" s="56"/>
      <c r="J207" s="56"/>
      <c r="K207" s="56"/>
      <c r="Q207" s="22"/>
      <c r="R207" s="191"/>
    </row>
    <row r="208" spans="2:18" ht="14.25">
      <c r="B208" s="66"/>
      <c r="G208" s="56"/>
      <c r="H208" s="56"/>
      <c r="I208" s="56"/>
      <c r="J208" s="56"/>
      <c r="K208" s="56"/>
      <c r="Q208" s="22"/>
      <c r="R208" s="191"/>
    </row>
    <row r="209" spans="2:18" ht="14.25">
      <c r="B209" s="66"/>
      <c r="G209" s="56"/>
      <c r="H209" s="56"/>
      <c r="I209" s="56"/>
      <c r="J209" s="56"/>
      <c r="K209" s="56"/>
      <c r="Q209" s="22"/>
      <c r="R209" s="191"/>
    </row>
    <row r="210" spans="2:18" ht="14.25">
      <c r="B210" s="66"/>
      <c r="G210" s="56"/>
      <c r="H210" s="56"/>
      <c r="I210" s="56"/>
      <c r="J210" s="56"/>
      <c r="K210" s="56"/>
      <c r="Q210" s="22"/>
      <c r="R210" s="191"/>
    </row>
    <row r="211" spans="2:18" ht="14.25">
      <c r="B211" s="66"/>
      <c r="G211" s="56"/>
      <c r="H211" s="56"/>
      <c r="I211" s="56"/>
      <c r="J211" s="56"/>
      <c r="K211" s="56"/>
      <c r="Q211" s="22"/>
      <c r="R211" s="191"/>
    </row>
    <row r="212" spans="2:18" ht="14.25">
      <c r="B212" s="66"/>
      <c r="G212" s="56"/>
      <c r="H212" s="56"/>
      <c r="I212" s="56"/>
      <c r="J212" s="56"/>
      <c r="K212" s="56"/>
      <c r="Q212" s="22"/>
      <c r="R212" s="191"/>
    </row>
    <row r="213" spans="2:18" ht="14.25">
      <c r="B213" s="66"/>
      <c r="G213" s="56"/>
      <c r="H213" s="56"/>
      <c r="I213" s="56"/>
      <c r="J213" s="56"/>
      <c r="K213" s="56"/>
      <c r="Q213" s="22"/>
      <c r="R213" s="191"/>
    </row>
    <row r="214" spans="2:18" ht="14.25">
      <c r="B214" s="66"/>
      <c r="G214" s="56"/>
      <c r="H214" s="56"/>
      <c r="I214" s="56"/>
      <c r="J214" s="56"/>
      <c r="K214" s="56"/>
      <c r="Q214" s="22"/>
      <c r="R214" s="191"/>
    </row>
    <row r="215" spans="2:18" ht="14.25">
      <c r="B215" s="66"/>
      <c r="G215" s="56"/>
      <c r="H215" s="56"/>
      <c r="I215" s="56"/>
      <c r="J215" s="56"/>
      <c r="K215" s="56"/>
      <c r="Q215" s="22"/>
      <c r="R215" s="191"/>
    </row>
    <row r="216" spans="2:18" ht="14.25">
      <c r="B216" s="66"/>
      <c r="G216" s="56"/>
      <c r="H216" s="56"/>
      <c r="I216" s="56"/>
      <c r="J216" s="56"/>
      <c r="K216" s="56"/>
      <c r="Q216" s="22"/>
      <c r="R216" s="191"/>
    </row>
    <row r="217" spans="2:18" ht="14.25">
      <c r="B217" s="66"/>
      <c r="G217" s="56"/>
      <c r="H217" s="56"/>
      <c r="I217" s="56"/>
      <c r="J217" s="56"/>
      <c r="K217" s="56"/>
      <c r="Q217" s="22"/>
      <c r="R217" s="191"/>
    </row>
    <row r="218" spans="2:18" ht="14.25">
      <c r="B218" s="66"/>
      <c r="G218" s="56"/>
      <c r="H218" s="56"/>
      <c r="I218" s="56"/>
      <c r="J218" s="56"/>
      <c r="K218" s="56"/>
      <c r="Q218" s="22"/>
      <c r="R218" s="191"/>
    </row>
    <row r="219" spans="2:18" ht="14.25">
      <c r="B219" s="66"/>
      <c r="G219" s="56"/>
      <c r="H219" s="56"/>
      <c r="I219" s="56"/>
      <c r="J219" s="56"/>
      <c r="K219" s="56"/>
      <c r="Q219" s="22"/>
      <c r="R219" s="191"/>
    </row>
    <row r="220" spans="2:18" ht="14.25">
      <c r="B220" s="66"/>
      <c r="G220" s="56"/>
      <c r="H220" s="56"/>
      <c r="I220" s="56"/>
      <c r="J220" s="56"/>
      <c r="K220" s="56"/>
      <c r="Q220" s="22"/>
      <c r="R220" s="191"/>
    </row>
    <row r="221" spans="2:18" ht="14.25">
      <c r="B221" s="66"/>
      <c r="G221" s="56"/>
      <c r="H221" s="56"/>
      <c r="I221" s="56"/>
      <c r="J221" s="56"/>
      <c r="K221" s="56"/>
      <c r="Q221" s="22"/>
      <c r="R221" s="191"/>
    </row>
    <row r="222" spans="2:18" ht="14.25">
      <c r="B222" s="66"/>
      <c r="G222" s="56"/>
      <c r="H222" s="56"/>
      <c r="I222" s="56"/>
      <c r="J222" s="56"/>
      <c r="K222" s="56"/>
      <c r="Q222" s="22"/>
      <c r="R222" s="191"/>
    </row>
    <row r="223" spans="2:18" ht="14.25">
      <c r="B223" s="66"/>
      <c r="G223" s="56"/>
      <c r="H223" s="56"/>
      <c r="I223" s="56"/>
      <c r="J223" s="56"/>
      <c r="K223" s="56"/>
      <c r="Q223" s="22"/>
      <c r="R223" s="191"/>
    </row>
    <row r="224" spans="2:18" ht="14.25">
      <c r="B224" s="66"/>
      <c r="G224" s="56"/>
      <c r="H224" s="56"/>
      <c r="I224" s="56"/>
      <c r="J224" s="56"/>
      <c r="K224" s="56"/>
      <c r="Q224" s="22"/>
      <c r="R224" s="191"/>
    </row>
    <row r="225" spans="2:18" ht="14.25">
      <c r="B225" s="66"/>
      <c r="G225" s="56"/>
      <c r="H225" s="56"/>
      <c r="I225" s="56"/>
      <c r="J225" s="56"/>
      <c r="K225" s="56"/>
      <c r="Q225" s="22"/>
      <c r="R225" s="191"/>
    </row>
    <row r="226" spans="2:18" ht="14.25">
      <c r="B226" s="66"/>
      <c r="G226" s="56"/>
      <c r="H226" s="56"/>
      <c r="I226" s="56"/>
      <c r="J226" s="56"/>
      <c r="K226" s="56"/>
      <c r="Q226" s="22"/>
      <c r="R226" s="191"/>
    </row>
    <row r="227" spans="2:18" ht="14.25">
      <c r="B227" s="66"/>
      <c r="G227" s="56"/>
      <c r="H227" s="56"/>
      <c r="I227" s="56"/>
      <c r="J227" s="56"/>
      <c r="K227" s="56"/>
      <c r="Q227" s="22"/>
      <c r="R227" s="191"/>
    </row>
    <row r="228" spans="2:18" ht="14.25">
      <c r="B228" s="66"/>
      <c r="G228" s="56"/>
      <c r="H228" s="56"/>
      <c r="I228" s="56"/>
      <c r="J228" s="56"/>
      <c r="K228" s="56"/>
      <c r="Q228" s="22"/>
      <c r="R228" s="191"/>
    </row>
    <row r="229" spans="2:18" ht="14.25">
      <c r="B229" s="66"/>
      <c r="G229" s="56"/>
      <c r="H229" s="56"/>
      <c r="I229" s="56"/>
      <c r="J229" s="56"/>
      <c r="K229" s="56"/>
      <c r="Q229" s="22"/>
      <c r="R229" s="191"/>
    </row>
    <row r="230" spans="2:18" ht="14.25">
      <c r="B230" s="66"/>
      <c r="G230" s="56"/>
      <c r="H230" s="56"/>
      <c r="I230" s="56"/>
      <c r="J230" s="56"/>
      <c r="K230" s="56"/>
      <c r="Q230" s="22"/>
      <c r="R230" s="191"/>
    </row>
    <row r="231" spans="2:18" ht="14.25">
      <c r="B231" s="66"/>
      <c r="G231" s="56"/>
      <c r="H231" s="56"/>
      <c r="I231" s="56"/>
      <c r="J231" s="56"/>
      <c r="K231" s="56"/>
      <c r="Q231" s="22"/>
      <c r="R231" s="191"/>
    </row>
    <row r="232" spans="2:18" ht="14.25">
      <c r="B232" s="66"/>
      <c r="G232" s="56"/>
      <c r="H232" s="56"/>
      <c r="I232" s="56"/>
      <c r="J232" s="56"/>
      <c r="K232" s="56"/>
      <c r="Q232" s="22"/>
      <c r="R232" s="191"/>
    </row>
    <row r="233" spans="2:18" ht="14.25">
      <c r="B233" s="66"/>
      <c r="G233" s="56"/>
      <c r="H233" s="56"/>
      <c r="I233" s="56"/>
      <c r="J233" s="56"/>
      <c r="K233" s="56"/>
      <c r="Q233" s="22"/>
      <c r="R233" s="191"/>
    </row>
    <row r="234" spans="2:18" ht="14.25">
      <c r="B234" s="66"/>
      <c r="G234" s="56"/>
      <c r="H234" s="56"/>
      <c r="I234" s="56"/>
      <c r="J234" s="56"/>
      <c r="K234" s="56"/>
      <c r="Q234" s="22"/>
      <c r="R234" s="191"/>
    </row>
    <row r="235" spans="2:18" ht="14.25">
      <c r="B235" s="66"/>
      <c r="G235" s="56"/>
      <c r="H235" s="56"/>
      <c r="I235" s="56"/>
      <c r="J235" s="56"/>
      <c r="K235" s="56"/>
      <c r="Q235" s="22"/>
      <c r="R235" s="191"/>
    </row>
    <row r="236" spans="2:18" ht="14.25">
      <c r="B236" s="66"/>
      <c r="G236" s="56"/>
      <c r="H236" s="56"/>
      <c r="I236" s="56"/>
      <c r="J236" s="56"/>
      <c r="K236" s="56"/>
      <c r="Q236" s="22"/>
      <c r="R236" s="191"/>
    </row>
    <row r="237" spans="2:18" ht="14.25">
      <c r="B237" s="66"/>
      <c r="G237" s="56"/>
      <c r="H237" s="56"/>
      <c r="I237" s="56"/>
      <c r="J237" s="56"/>
      <c r="K237" s="56"/>
      <c r="Q237" s="22"/>
      <c r="R237" s="191"/>
    </row>
    <row r="238" spans="2:18" ht="14.25">
      <c r="B238" s="66"/>
      <c r="G238" s="56"/>
      <c r="H238" s="56"/>
      <c r="I238" s="56"/>
      <c r="J238" s="56"/>
      <c r="K238" s="56"/>
      <c r="Q238" s="22"/>
      <c r="R238" s="191"/>
    </row>
    <row r="239" spans="2:18" ht="14.25">
      <c r="B239" s="66"/>
      <c r="G239" s="56"/>
      <c r="H239" s="56"/>
      <c r="I239" s="56"/>
      <c r="J239" s="56"/>
      <c r="K239" s="56"/>
      <c r="Q239" s="22"/>
      <c r="R239" s="191"/>
    </row>
    <row r="240" spans="2:18" ht="14.25">
      <c r="B240" s="66"/>
      <c r="G240" s="56"/>
      <c r="H240" s="56"/>
      <c r="I240" s="56"/>
      <c r="J240" s="56"/>
      <c r="K240" s="56"/>
      <c r="Q240" s="22"/>
      <c r="R240" s="191"/>
    </row>
    <row r="241" spans="2:18" ht="14.25">
      <c r="B241" s="66"/>
      <c r="G241" s="56"/>
      <c r="H241" s="56"/>
      <c r="I241" s="56"/>
      <c r="J241" s="56"/>
      <c r="K241" s="56"/>
      <c r="Q241" s="22"/>
      <c r="R241" s="191"/>
    </row>
    <row r="242" spans="2:18" ht="14.25">
      <c r="B242" s="66"/>
      <c r="G242" s="56"/>
      <c r="H242" s="56"/>
      <c r="I242" s="56"/>
      <c r="J242" s="56"/>
      <c r="K242" s="56"/>
      <c r="Q242" s="22"/>
      <c r="R242" s="191"/>
    </row>
    <row r="243" spans="2:18" ht="14.25">
      <c r="B243" s="66"/>
      <c r="G243" s="56"/>
      <c r="H243" s="56"/>
      <c r="I243" s="56"/>
      <c r="J243" s="56"/>
      <c r="K243" s="56"/>
      <c r="Q243" s="22"/>
      <c r="R243" s="191"/>
    </row>
    <row r="244" spans="2:18" ht="14.25">
      <c r="B244" s="66"/>
      <c r="G244" s="56"/>
      <c r="H244" s="56"/>
      <c r="I244" s="56"/>
      <c r="J244" s="56"/>
      <c r="K244" s="56"/>
      <c r="Q244" s="22"/>
      <c r="R244" s="191"/>
    </row>
    <row r="245" spans="2:18" ht="14.25">
      <c r="B245" s="66"/>
      <c r="G245" s="56"/>
      <c r="H245" s="56"/>
      <c r="I245" s="56"/>
      <c r="J245" s="56"/>
      <c r="K245" s="56"/>
      <c r="Q245" s="22"/>
      <c r="R245" s="191"/>
    </row>
    <row r="246" spans="2:18" ht="14.25">
      <c r="B246" s="66"/>
      <c r="G246" s="56"/>
      <c r="H246" s="56"/>
      <c r="I246" s="56"/>
      <c r="J246" s="56"/>
      <c r="K246" s="56"/>
      <c r="Q246" s="22"/>
      <c r="R246" s="191"/>
    </row>
    <row r="247" spans="2:18" ht="14.25">
      <c r="B247" s="66"/>
      <c r="G247" s="56"/>
      <c r="H247" s="56"/>
      <c r="I247" s="56"/>
      <c r="J247" s="56"/>
      <c r="K247" s="56"/>
      <c r="Q247" s="22"/>
      <c r="R247" s="191"/>
    </row>
    <row r="248" spans="2:18" ht="14.25">
      <c r="B248" s="66"/>
      <c r="G248" s="56"/>
      <c r="H248" s="56"/>
      <c r="I248" s="56"/>
      <c r="J248" s="56"/>
      <c r="K248" s="56"/>
      <c r="Q248" s="22"/>
      <c r="R248" s="191"/>
    </row>
    <row r="249" spans="2:18" ht="14.25">
      <c r="B249" s="66"/>
      <c r="G249" s="56"/>
      <c r="H249" s="56"/>
      <c r="I249" s="56"/>
      <c r="J249" s="56"/>
      <c r="K249" s="56"/>
      <c r="Q249" s="22"/>
      <c r="R249" s="191"/>
    </row>
    <row r="250" spans="2:18" ht="14.25">
      <c r="B250" s="66"/>
      <c r="G250" s="56"/>
      <c r="H250" s="56"/>
      <c r="I250" s="56"/>
      <c r="J250" s="56"/>
      <c r="K250" s="56"/>
      <c r="Q250" s="22"/>
      <c r="R250" s="191"/>
    </row>
    <row r="251" spans="2:18" ht="14.25">
      <c r="B251" s="66"/>
      <c r="G251" s="56"/>
      <c r="H251" s="56"/>
      <c r="I251" s="56"/>
      <c r="J251" s="56"/>
      <c r="K251" s="56"/>
      <c r="Q251" s="22"/>
      <c r="R251" s="191"/>
    </row>
    <row r="252" spans="2:18" ht="14.25">
      <c r="B252" s="66"/>
      <c r="G252" s="56"/>
      <c r="H252" s="56"/>
      <c r="I252" s="56"/>
      <c r="J252" s="56"/>
      <c r="K252" s="56"/>
      <c r="Q252" s="22"/>
      <c r="R252" s="191"/>
    </row>
    <row r="253" spans="2:18" ht="14.25">
      <c r="B253" s="66"/>
      <c r="G253" s="56"/>
      <c r="H253" s="56"/>
      <c r="I253" s="56"/>
      <c r="J253" s="56"/>
      <c r="K253" s="56"/>
      <c r="Q253" s="22"/>
      <c r="R253" s="191"/>
    </row>
    <row r="254" spans="2:18" ht="14.25">
      <c r="B254" s="66"/>
      <c r="G254" s="56"/>
      <c r="H254" s="56"/>
      <c r="I254" s="56"/>
      <c r="J254" s="56"/>
      <c r="K254" s="56"/>
      <c r="Q254" s="22"/>
      <c r="R254" s="191"/>
    </row>
    <row r="255" spans="2:18" ht="14.25">
      <c r="B255" s="66"/>
      <c r="G255" s="56"/>
      <c r="H255" s="56"/>
      <c r="I255" s="56"/>
      <c r="J255" s="56"/>
      <c r="K255" s="56"/>
      <c r="Q255" s="22"/>
      <c r="R255" s="191"/>
    </row>
    <row r="256" spans="2:18" ht="14.25">
      <c r="B256" s="66"/>
      <c r="G256" s="56"/>
      <c r="H256" s="56"/>
      <c r="I256" s="56"/>
      <c r="J256" s="56"/>
      <c r="K256" s="56"/>
      <c r="Q256" s="22"/>
      <c r="R256" s="191"/>
    </row>
    <row r="257" spans="2:18" ht="14.25">
      <c r="B257" s="66"/>
      <c r="G257" s="56"/>
      <c r="H257" s="56"/>
      <c r="I257" s="56"/>
      <c r="J257" s="56"/>
      <c r="K257" s="56"/>
      <c r="Q257" s="22"/>
      <c r="R257" s="191"/>
    </row>
    <row r="258" spans="2:18" ht="14.25">
      <c r="B258" s="66"/>
      <c r="G258" s="56"/>
      <c r="H258" s="56"/>
      <c r="I258" s="56"/>
      <c r="J258" s="56"/>
      <c r="K258" s="56"/>
      <c r="Q258" s="22"/>
      <c r="R258" s="191"/>
    </row>
    <row r="259" spans="2:18" ht="14.25">
      <c r="B259" s="66"/>
      <c r="G259" s="56"/>
      <c r="H259" s="56"/>
      <c r="I259" s="56"/>
      <c r="J259" s="56"/>
      <c r="K259" s="56"/>
      <c r="Q259" s="22"/>
      <c r="R259" s="191"/>
    </row>
    <row r="260" spans="2:18" ht="14.25">
      <c r="B260" s="66"/>
      <c r="G260" s="56"/>
      <c r="H260" s="56"/>
      <c r="I260" s="56"/>
      <c r="J260" s="56"/>
      <c r="K260" s="56"/>
      <c r="Q260" s="22"/>
      <c r="R260" s="191"/>
    </row>
    <row r="261" spans="2:18" ht="14.25">
      <c r="B261" s="66"/>
      <c r="G261" s="56"/>
      <c r="H261" s="56"/>
      <c r="I261" s="56"/>
      <c r="J261" s="56"/>
      <c r="K261" s="56"/>
      <c r="Q261" s="22"/>
      <c r="R261" s="191"/>
    </row>
    <row r="262" spans="2:18" ht="14.25">
      <c r="B262" s="66"/>
      <c r="G262" s="56"/>
      <c r="H262" s="56"/>
      <c r="I262" s="56"/>
      <c r="J262" s="56"/>
      <c r="K262" s="56"/>
      <c r="Q262" s="22"/>
      <c r="R262" s="191"/>
    </row>
    <row r="263" spans="2:18" ht="14.25">
      <c r="B263" s="66"/>
      <c r="G263" s="56"/>
      <c r="H263" s="56"/>
      <c r="I263" s="56"/>
      <c r="J263" s="56"/>
      <c r="K263" s="56"/>
      <c r="Q263" s="22"/>
      <c r="R263" s="191"/>
    </row>
    <row r="264" spans="2:18" ht="14.25">
      <c r="B264" s="66"/>
      <c r="G264" s="56"/>
      <c r="H264" s="56"/>
      <c r="I264" s="56"/>
      <c r="J264" s="56"/>
      <c r="K264" s="56"/>
      <c r="Q264" s="22"/>
      <c r="R264" s="191"/>
    </row>
    <row r="265" spans="2:18" ht="14.25">
      <c r="B265" s="66"/>
      <c r="G265" s="56"/>
      <c r="H265" s="56"/>
      <c r="I265" s="56"/>
      <c r="J265" s="56"/>
      <c r="K265" s="56"/>
      <c r="Q265" s="22"/>
      <c r="R265" s="191"/>
    </row>
    <row r="266" spans="2:18" ht="14.25">
      <c r="B266" s="66"/>
      <c r="G266" s="56"/>
      <c r="H266" s="56"/>
      <c r="I266" s="56"/>
      <c r="J266" s="56"/>
      <c r="K266" s="56"/>
      <c r="Q266" s="22"/>
      <c r="R266" s="191"/>
    </row>
    <row r="267" spans="2:18" ht="14.25">
      <c r="B267" s="66"/>
      <c r="G267" s="56"/>
      <c r="H267" s="56"/>
      <c r="I267" s="56"/>
      <c r="J267" s="56"/>
      <c r="K267" s="56"/>
      <c r="Q267" s="22"/>
      <c r="R267" s="191"/>
    </row>
    <row r="268" spans="2:18" ht="14.25">
      <c r="B268" s="66"/>
      <c r="G268" s="56"/>
      <c r="H268" s="56"/>
      <c r="I268" s="56"/>
      <c r="J268" s="56"/>
      <c r="K268" s="56"/>
      <c r="Q268" s="22"/>
      <c r="R268" s="191"/>
    </row>
    <row r="269" spans="2:18" ht="14.25">
      <c r="B269" s="66"/>
      <c r="G269" s="56"/>
      <c r="H269" s="56"/>
      <c r="I269" s="56"/>
      <c r="J269" s="56"/>
      <c r="K269" s="56"/>
      <c r="Q269" s="22"/>
      <c r="R269" s="191"/>
    </row>
    <row r="270" spans="2:18" ht="14.25">
      <c r="B270" s="66"/>
      <c r="G270" s="56"/>
      <c r="H270" s="56"/>
      <c r="I270" s="56"/>
      <c r="J270" s="56"/>
      <c r="K270" s="56"/>
      <c r="Q270" s="22"/>
      <c r="R270" s="191"/>
    </row>
    <row r="271" spans="2:18" ht="14.25">
      <c r="B271" s="66"/>
      <c r="G271" s="56"/>
      <c r="H271" s="56"/>
      <c r="I271" s="56"/>
      <c r="J271" s="56"/>
      <c r="K271" s="56"/>
      <c r="Q271" s="22"/>
      <c r="R271" s="191"/>
    </row>
    <row r="272" spans="2:18" ht="14.25">
      <c r="B272" s="66"/>
      <c r="G272" s="56"/>
      <c r="H272" s="56"/>
      <c r="I272" s="56"/>
      <c r="J272" s="56"/>
      <c r="K272" s="56"/>
      <c r="Q272" s="22"/>
      <c r="R272" s="191"/>
    </row>
    <row r="273" spans="2:18" ht="14.25">
      <c r="B273" s="66"/>
      <c r="G273" s="56"/>
      <c r="H273" s="56"/>
      <c r="I273" s="56"/>
      <c r="J273" s="56"/>
      <c r="K273" s="56"/>
      <c r="Q273" s="22"/>
      <c r="R273" s="191"/>
    </row>
    <row r="274" spans="2:18" ht="14.25">
      <c r="B274" s="66"/>
      <c r="G274" s="56"/>
      <c r="H274" s="56"/>
      <c r="I274" s="56"/>
      <c r="J274" s="56"/>
      <c r="K274" s="56"/>
      <c r="Q274" s="22"/>
      <c r="R274" s="191"/>
    </row>
    <row r="275" spans="2:18" ht="14.25">
      <c r="B275" s="66"/>
      <c r="G275" s="56"/>
      <c r="H275" s="56"/>
      <c r="I275" s="56"/>
      <c r="J275" s="56"/>
      <c r="K275" s="56"/>
      <c r="Q275" s="22"/>
      <c r="R275" s="191"/>
    </row>
    <row r="276" spans="2:18" ht="14.25">
      <c r="B276" s="66"/>
      <c r="G276" s="56"/>
      <c r="H276" s="56"/>
      <c r="I276" s="56"/>
      <c r="J276" s="56"/>
      <c r="K276" s="56"/>
      <c r="Q276" s="22"/>
      <c r="R276" s="191"/>
    </row>
    <row r="277" spans="2:18" ht="14.25">
      <c r="B277" s="66"/>
      <c r="G277" s="56"/>
      <c r="H277" s="56"/>
      <c r="I277" s="56"/>
      <c r="J277" s="56"/>
      <c r="K277" s="56"/>
      <c r="Q277" s="22"/>
      <c r="R277" s="191"/>
    </row>
    <row r="278" spans="2:18" ht="14.25">
      <c r="B278" s="66"/>
      <c r="G278" s="56"/>
      <c r="H278" s="56"/>
      <c r="I278" s="56"/>
      <c r="J278" s="56"/>
      <c r="K278" s="56"/>
      <c r="Q278" s="22"/>
      <c r="R278" s="191"/>
    </row>
    <row r="279" spans="2:18" ht="14.25">
      <c r="B279" s="66"/>
      <c r="G279" s="56"/>
      <c r="H279" s="56"/>
      <c r="I279" s="56"/>
      <c r="J279" s="56"/>
      <c r="K279" s="56"/>
      <c r="Q279" s="22"/>
      <c r="R279" s="191"/>
    </row>
    <row r="280" spans="2:18" ht="14.25">
      <c r="B280" s="66"/>
      <c r="G280" s="56"/>
      <c r="H280" s="56"/>
      <c r="I280" s="56"/>
      <c r="J280" s="56"/>
      <c r="K280" s="56"/>
      <c r="Q280" s="22"/>
      <c r="R280" s="191"/>
    </row>
    <row r="281" spans="2:18" ht="14.25">
      <c r="B281" s="66"/>
      <c r="G281" s="56"/>
      <c r="H281" s="56"/>
      <c r="I281" s="56"/>
      <c r="J281" s="56"/>
      <c r="K281" s="56"/>
      <c r="Q281" s="22"/>
      <c r="R281" s="191"/>
    </row>
    <row r="282" spans="2:18" ht="14.25">
      <c r="B282" s="66"/>
      <c r="G282" s="56"/>
      <c r="H282" s="56"/>
      <c r="I282" s="56"/>
      <c r="J282" s="56"/>
      <c r="K282" s="56"/>
      <c r="Q282" s="22"/>
      <c r="R282" s="191"/>
    </row>
    <row r="283" spans="2:18" ht="14.25">
      <c r="B283" s="66"/>
      <c r="G283" s="56"/>
      <c r="H283" s="56"/>
      <c r="I283" s="56"/>
      <c r="J283" s="56"/>
      <c r="K283" s="56"/>
      <c r="Q283" s="22"/>
      <c r="R283" s="191"/>
    </row>
    <row r="284" spans="2:18" ht="14.25">
      <c r="B284" s="66"/>
      <c r="G284" s="56"/>
      <c r="H284" s="56"/>
      <c r="I284" s="56"/>
      <c r="J284" s="56"/>
      <c r="K284" s="56"/>
      <c r="Q284" s="22"/>
      <c r="R284" s="191"/>
    </row>
    <row r="285" spans="2:18" ht="14.25">
      <c r="B285" s="66"/>
      <c r="G285" s="56"/>
      <c r="H285" s="56"/>
      <c r="I285" s="56"/>
      <c r="J285" s="56"/>
      <c r="K285" s="56"/>
      <c r="Q285" s="22"/>
      <c r="R285" s="191"/>
    </row>
    <row r="286" spans="2:18" ht="14.25">
      <c r="B286" s="66"/>
      <c r="G286" s="56"/>
      <c r="H286" s="56"/>
      <c r="I286" s="56"/>
      <c r="J286" s="56"/>
      <c r="K286" s="56"/>
      <c r="Q286" s="22"/>
      <c r="R286" s="191"/>
    </row>
    <row r="287" spans="2:18" ht="14.25">
      <c r="B287" s="66"/>
      <c r="G287" s="56"/>
      <c r="H287" s="56"/>
      <c r="I287" s="56"/>
      <c r="J287" s="56"/>
      <c r="K287" s="56"/>
      <c r="Q287" s="22"/>
      <c r="R287" s="191"/>
    </row>
    <row r="288" spans="2:18" ht="14.25">
      <c r="B288" s="66"/>
      <c r="G288" s="56"/>
      <c r="H288" s="56"/>
      <c r="I288" s="56"/>
      <c r="J288" s="56"/>
      <c r="K288" s="56"/>
      <c r="Q288" s="22"/>
      <c r="R288" s="191"/>
    </row>
    <row r="289" spans="2:18" ht="14.25">
      <c r="B289" s="66"/>
      <c r="G289" s="56"/>
      <c r="H289" s="56"/>
      <c r="I289" s="56"/>
      <c r="J289" s="56"/>
      <c r="K289" s="56"/>
      <c r="Q289" s="22"/>
      <c r="R289" s="191"/>
    </row>
    <row r="290" spans="2:18" ht="14.25">
      <c r="B290" s="66"/>
      <c r="G290" s="56"/>
      <c r="H290" s="56"/>
      <c r="I290" s="56"/>
      <c r="J290" s="56"/>
      <c r="K290" s="56"/>
      <c r="Q290" s="22"/>
      <c r="R290" s="191"/>
    </row>
    <row r="291" spans="2:18" ht="14.25">
      <c r="B291" s="66"/>
      <c r="G291" s="56"/>
      <c r="H291" s="56"/>
      <c r="I291" s="56"/>
      <c r="J291" s="56"/>
      <c r="K291" s="56"/>
      <c r="Q291" s="22"/>
      <c r="R291" s="191"/>
    </row>
    <row r="292" spans="2:18" ht="14.25">
      <c r="B292" s="66"/>
      <c r="G292" s="56"/>
      <c r="H292" s="56"/>
      <c r="I292" s="56"/>
      <c r="J292" s="56"/>
      <c r="K292" s="56"/>
      <c r="Q292" s="22"/>
      <c r="R292" s="191"/>
    </row>
    <row r="293" spans="2:18" ht="14.25">
      <c r="B293" s="66"/>
      <c r="G293" s="56"/>
      <c r="H293" s="56"/>
      <c r="I293" s="56"/>
      <c r="J293" s="56"/>
      <c r="K293" s="56"/>
      <c r="Q293" s="22"/>
      <c r="R293" s="191"/>
    </row>
    <row r="294" spans="2:18" ht="14.25">
      <c r="B294" s="66"/>
      <c r="G294" s="56"/>
      <c r="H294" s="56"/>
      <c r="I294" s="56"/>
      <c r="J294" s="56"/>
      <c r="K294" s="56"/>
      <c r="Q294" s="22"/>
      <c r="R294" s="191"/>
    </row>
    <row r="295" spans="2:18" ht="14.25">
      <c r="B295" s="66"/>
      <c r="G295" s="56"/>
      <c r="H295" s="56"/>
      <c r="I295" s="56"/>
      <c r="J295" s="56"/>
      <c r="K295" s="56"/>
      <c r="Q295" s="22"/>
      <c r="R295" s="191"/>
    </row>
    <row r="296" spans="2:18" ht="14.25">
      <c r="B296" s="66"/>
      <c r="G296" s="56"/>
      <c r="H296" s="56"/>
      <c r="I296" s="56"/>
      <c r="J296" s="56"/>
      <c r="K296" s="56"/>
      <c r="Q296" s="22"/>
      <c r="R296" s="191"/>
    </row>
    <row r="297" spans="2:18" ht="14.25">
      <c r="B297" s="66"/>
      <c r="G297" s="56"/>
      <c r="H297" s="56"/>
      <c r="I297" s="56"/>
      <c r="J297" s="56"/>
      <c r="K297" s="56"/>
      <c r="Q297" s="22"/>
      <c r="R297" s="191"/>
    </row>
    <row r="298" spans="2:18" ht="14.25">
      <c r="B298" s="66"/>
      <c r="G298" s="56"/>
      <c r="H298" s="56"/>
      <c r="I298" s="56"/>
      <c r="J298" s="56"/>
      <c r="K298" s="56"/>
      <c r="Q298" s="22"/>
      <c r="R298" s="191"/>
    </row>
    <row r="299" spans="2:18" ht="14.25">
      <c r="B299" s="66"/>
      <c r="G299" s="56"/>
      <c r="H299" s="56"/>
      <c r="I299" s="56"/>
      <c r="J299" s="56"/>
      <c r="K299" s="56"/>
      <c r="Q299" s="22"/>
      <c r="R299" s="191"/>
    </row>
    <row r="300" spans="2:18" ht="14.25">
      <c r="B300" s="66"/>
      <c r="G300" s="56"/>
      <c r="H300" s="56"/>
      <c r="I300" s="56"/>
      <c r="J300" s="56"/>
      <c r="K300" s="56"/>
      <c r="Q300" s="22"/>
      <c r="R300" s="191"/>
    </row>
    <row r="301" spans="2:18" ht="14.25">
      <c r="B301" s="66"/>
      <c r="G301" s="56"/>
      <c r="H301" s="56"/>
      <c r="I301" s="56"/>
      <c r="J301" s="56"/>
      <c r="K301" s="56"/>
      <c r="Q301" s="22"/>
      <c r="R301" s="191"/>
    </row>
    <row r="302" spans="2:18" ht="14.25">
      <c r="B302" s="66"/>
      <c r="G302" s="56"/>
      <c r="H302" s="56"/>
      <c r="I302" s="56"/>
      <c r="J302" s="56"/>
      <c r="K302" s="56"/>
      <c r="Q302" s="22"/>
      <c r="R302" s="191"/>
    </row>
    <row r="303" spans="2:18" ht="14.25">
      <c r="B303" s="66"/>
      <c r="G303" s="56"/>
      <c r="H303" s="56"/>
      <c r="I303" s="56"/>
      <c r="J303" s="56"/>
      <c r="K303" s="56"/>
      <c r="Q303" s="22"/>
      <c r="R303" s="191"/>
    </row>
    <row r="304" spans="2:18" ht="14.25">
      <c r="B304" s="66"/>
      <c r="G304" s="56"/>
      <c r="H304" s="56"/>
      <c r="I304" s="56"/>
      <c r="J304" s="56"/>
      <c r="K304" s="56"/>
      <c r="Q304" s="22"/>
      <c r="R304" s="191"/>
    </row>
    <row r="305" spans="2:18" ht="14.25">
      <c r="B305" s="66"/>
      <c r="G305" s="56"/>
      <c r="H305" s="56"/>
      <c r="I305" s="56"/>
      <c r="J305" s="56"/>
      <c r="K305" s="56"/>
      <c r="Q305" s="22"/>
      <c r="R305" s="191"/>
    </row>
    <row r="306" spans="2:18" ht="14.25">
      <c r="B306" s="66"/>
      <c r="G306" s="56"/>
      <c r="H306" s="56"/>
      <c r="I306" s="56"/>
      <c r="J306" s="56"/>
      <c r="K306" s="56"/>
      <c r="Q306" s="22"/>
      <c r="R306" s="191"/>
    </row>
    <row r="307" spans="2:18" ht="14.25">
      <c r="B307" s="66"/>
      <c r="G307" s="56"/>
      <c r="H307" s="56"/>
      <c r="I307" s="56"/>
      <c r="J307" s="56"/>
      <c r="K307" s="56"/>
      <c r="Q307" s="22"/>
      <c r="R307" s="191"/>
    </row>
    <row r="308" spans="2:18" ht="14.25">
      <c r="B308" s="66"/>
      <c r="G308" s="56"/>
      <c r="H308" s="56"/>
      <c r="I308" s="56"/>
      <c r="J308" s="56"/>
      <c r="K308" s="56"/>
      <c r="Q308" s="22"/>
      <c r="R308" s="191"/>
    </row>
    <row r="309" spans="2:18" ht="14.25">
      <c r="B309" s="66"/>
      <c r="G309" s="56"/>
      <c r="H309" s="56"/>
      <c r="I309" s="56"/>
      <c r="J309" s="56"/>
      <c r="K309" s="56"/>
      <c r="Q309" s="22"/>
      <c r="R309" s="191"/>
    </row>
    <row r="310" spans="2:18" ht="14.25">
      <c r="B310" s="66"/>
      <c r="G310" s="56"/>
      <c r="H310" s="56"/>
      <c r="I310" s="56"/>
      <c r="J310" s="56"/>
      <c r="K310" s="56"/>
      <c r="Q310" s="22"/>
      <c r="R310" s="191"/>
    </row>
    <row r="311" spans="2:18" ht="14.25">
      <c r="B311" s="66"/>
      <c r="G311" s="56"/>
      <c r="H311" s="56"/>
      <c r="I311" s="56"/>
      <c r="J311" s="56"/>
      <c r="K311" s="56"/>
      <c r="Q311" s="22"/>
      <c r="R311" s="191"/>
    </row>
    <row r="312" spans="2:18" ht="14.25">
      <c r="B312" s="66"/>
      <c r="G312" s="56"/>
      <c r="H312" s="56"/>
      <c r="I312" s="56"/>
      <c r="J312" s="56"/>
      <c r="K312" s="56"/>
      <c r="Q312" s="22"/>
      <c r="R312" s="191"/>
    </row>
    <row r="313" spans="2:18" ht="14.25">
      <c r="B313" s="66"/>
      <c r="G313" s="56"/>
      <c r="H313" s="56"/>
      <c r="I313" s="56"/>
      <c r="J313" s="56"/>
      <c r="K313" s="56"/>
      <c r="Q313" s="22"/>
      <c r="R313" s="191"/>
    </row>
    <row r="314" spans="2:18" ht="14.25">
      <c r="B314" s="66"/>
      <c r="G314" s="56"/>
      <c r="H314" s="56"/>
      <c r="I314" s="56"/>
      <c r="J314" s="56"/>
      <c r="K314" s="56"/>
      <c r="Q314" s="22"/>
      <c r="R314" s="191"/>
    </row>
    <row r="315" spans="2:18" ht="14.25">
      <c r="B315" s="66"/>
      <c r="G315" s="56"/>
      <c r="H315" s="56"/>
      <c r="I315" s="56"/>
      <c r="J315" s="56"/>
      <c r="K315" s="56"/>
      <c r="Q315" s="22"/>
      <c r="R315" s="191"/>
    </row>
    <row r="316" spans="2:18" ht="14.25">
      <c r="B316" s="66"/>
      <c r="G316" s="56"/>
      <c r="H316" s="56"/>
      <c r="I316" s="56"/>
      <c r="J316" s="56"/>
      <c r="K316" s="56"/>
      <c r="Q316" s="22"/>
      <c r="R316" s="191"/>
    </row>
    <row r="317" spans="2:18" ht="14.25">
      <c r="B317" s="66"/>
      <c r="G317" s="56"/>
      <c r="H317" s="56"/>
      <c r="I317" s="56"/>
      <c r="J317" s="56"/>
      <c r="K317" s="56"/>
      <c r="Q317" s="22"/>
      <c r="R317" s="191"/>
    </row>
    <row r="318" spans="2:18" ht="14.25">
      <c r="B318" s="66"/>
      <c r="G318" s="56"/>
      <c r="H318" s="56"/>
      <c r="I318" s="56"/>
      <c r="J318" s="56"/>
      <c r="K318" s="56"/>
      <c r="Q318" s="22"/>
      <c r="R318" s="191"/>
    </row>
    <row r="319" spans="2:18" ht="14.25">
      <c r="B319" s="66"/>
      <c r="G319" s="56"/>
      <c r="H319" s="56"/>
      <c r="I319" s="56"/>
      <c r="J319" s="56"/>
      <c r="K319" s="56"/>
      <c r="Q319" s="22"/>
      <c r="R319" s="191"/>
    </row>
    <row r="320" spans="2:18" ht="14.25">
      <c r="B320" s="66"/>
      <c r="G320" s="56"/>
      <c r="H320" s="56"/>
      <c r="I320" s="56"/>
      <c r="J320" s="56"/>
      <c r="K320" s="56"/>
      <c r="Q320" s="22"/>
      <c r="R320" s="191"/>
    </row>
    <row r="321" spans="2:18" ht="14.25">
      <c r="B321" s="66"/>
      <c r="G321" s="56"/>
      <c r="H321" s="56"/>
      <c r="I321" s="56"/>
      <c r="J321" s="56"/>
      <c r="K321" s="56"/>
      <c r="Q321" s="22"/>
      <c r="R321" s="191"/>
    </row>
    <row r="322" spans="2:18" ht="14.25">
      <c r="B322" s="66"/>
      <c r="G322" s="56"/>
      <c r="H322" s="56"/>
      <c r="I322" s="56"/>
      <c r="J322" s="56"/>
      <c r="K322" s="56"/>
      <c r="Q322" s="22"/>
      <c r="R322" s="191"/>
    </row>
    <row r="323" spans="2:18" ht="14.25">
      <c r="B323" s="66"/>
      <c r="G323" s="56"/>
      <c r="H323" s="56"/>
      <c r="I323" s="56"/>
      <c r="J323" s="56"/>
      <c r="K323" s="56"/>
      <c r="Q323" s="22"/>
      <c r="R323" s="191"/>
    </row>
    <row r="324" spans="2:18" ht="14.25">
      <c r="B324" s="66"/>
      <c r="G324" s="56"/>
      <c r="H324" s="56"/>
      <c r="I324" s="56"/>
      <c r="J324" s="56"/>
      <c r="K324" s="56"/>
      <c r="Q324" s="22"/>
      <c r="R324" s="191"/>
    </row>
    <row r="325" spans="2:18" ht="14.25">
      <c r="B325" s="66"/>
      <c r="G325" s="56"/>
      <c r="H325" s="56"/>
      <c r="I325" s="56"/>
      <c r="J325" s="56"/>
      <c r="K325" s="56"/>
      <c r="Q325" s="22"/>
      <c r="R325" s="191"/>
    </row>
    <row r="326" spans="2:18" ht="14.25">
      <c r="B326" s="66"/>
      <c r="G326" s="56"/>
      <c r="H326" s="56"/>
      <c r="I326" s="56"/>
      <c r="J326" s="56"/>
      <c r="K326" s="56"/>
      <c r="Q326" s="22"/>
      <c r="R326" s="191"/>
    </row>
    <row r="327" spans="2:18" ht="14.25">
      <c r="B327" s="66"/>
      <c r="G327" s="56"/>
      <c r="H327" s="56"/>
      <c r="I327" s="56"/>
      <c r="J327" s="56"/>
      <c r="K327" s="56"/>
      <c r="Q327" s="22"/>
      <c r="R327" s="191"/>
    </row>
    <row r="328" spans="2:18" ht="14.25">
      <c r="B328" s="66"/>
      <c r="G328" s="56"/>
      <c r="H328" s="56"/>
      <c r="I328" s="56"/>
      <c r="J328" s="56"/>
      <c r="K328" s="56"/>
      <c r="Q328" s="22"/>
      <c r="R328" s="191"/>
    </row>
    <row r="329" spans="2:18" ht="14.25">
      <c r="B329" s="66"/>
      <c r="G329" s="56"/>
      <c r="H329" s="56"/>
      <c r="I329" s="56"/>
      <c r="J329" s="56"/>
      <c r="K329" s="56"/>
      <c r="Q329" s="22"/>
      <c r="R329" s="191"/>
    </row>
    <row r="330" spans="2:18" ht="14.25">
      <c r="B330" s="66"/>
      <c r="G330" s="56"/>
      <c r="H330" s="56"/>
      <c r="I330" s="56"/>
      <c r="J330" s="56"/>
      <c r="K330" s="56"/>
      <c r="Q330" s="22"/>
      <c r="R330" s="191"/>
    </row>
    <row r="331" spans="2:18" ht="14.25">
      <c r="B331" s="66"/>
      <c r="G331" s="56"/>
      <c r="H331" s="56"/>
      <c r="I331" s="56"/>
      <c r="J331" s="56"/>
      <c r="K331" s="56"/>
      <c r="Q331" s="22"/>
      <c r="R331" s="191"/>
    </row>
    <row r="332" spans="2:18" ht="14.25">
      <c r="B332" s="66"/>
      <c r="G332" s="56"/>
      <c r="H332" s="56"/>
      <c r="I332" s="56"/>
      <c r="J332" s="56"/>
      <c r="K332" s="56"/>
      <c r="Q332" s="22"/>
      <c r="R332" s="191"/>
    </row>
    <row r="333" spans="2:18" ht="14.25">
      <c r="B333" s="66"/>
      <c r="G333" s="56"/>
      <c r="H333" s="56"/>
      <c r="I333" s="56"/>
      <c r="J333" s="56"/>
      <c r="K333" s="56"/>
      <c r="Q333" s="22"/>
      <c r="R333" s="191"/>
    </row>
    <row r="334" spans="2:18" ht="14.25">
      <c r="B334" s="66"/>
      <c r="G334" s="56"/>
      <c r="H334" s="56"/>
      <c r="I334" s="56"/>
      <c r="J334" s="56"/>
      <c r="K334" s="56"/>
      <c r="Q334" s="22"/>
      <c r="R334" s="191"/>
    </row>
    <row r="335" spans="2:18" ht="14.25">
      <c r="B335" s="66"/>
      <c r="G335" s="56"/>
      <c r="H335" s="56"/>
      <c r="I335" s="56"/>
      <c r="J335" s="56"/>
      <c r="K335" s="56"/>
      <c r="Q335" s="22"/>
      <c r="R335" s="191"/>
    </row>
    <row r="336" spans="2:18" ht="14.25">
      <c r="B336" s="66"/>
      <c r="G336" s="56"/>
      <c r="H336" s="56"/>
      <c r="I336" s="56"/>
      <c r="J336" s="56"/>
      <c r="K336" s="56"/>
      <c r="Q336" s="22"/>
      <c r="R336" s="191"/>
    </row>
    <row r="337" spans="2:18" ht="14.25">
      <c r="B337" s="66"/>
      <c r="G337" s="56"/>
      <c r="H337" s="56"/>
      <c r="I337" s="56"/>
      <c r="J337" s="56"/>
      <c r="K337" s="56"/>
      <c r="Q337" s="22"/>
      <c r="R337" s="191"/>
    </row>
    <row r="338" spans="2:18" ht="14.25">
      <c r="B338" s="66"/>
      <c r="G338" s="56"/>
      <c r="H338" s="56"/>
      <c r="I338" s="56"/>
      <c r="J338" s="56"/>
      <c r="K338" s="56"/>
      <c r="Q338" s="22"/>
      <c r="R338" s="191"/>
    </row>
    <row r="339" spans="2:18" ht="14.25">
      <c r="B339" s="66"/>
      <c r="G339" s="56"/>
      <c r="H339" s="56"/>
      <c r="I339" s="56"/>
      <c r="J339" s="56"/>
      <c r="K339" s="56"/>
      <c r="Q339" s="22"/>
      <c r="R339" s="191"/>
    </row>
    <row r="340" spans="2:18" ht="14.25">
      <c r="B340" s="66"/>
      <c r="G340" s="56"/>
      <c r="H340" s="56"/>
      <c r="I340" s="56"/>
      <c r="J340" s="56"/>
      <c r="K340" s="56"/>
      <c r="Q340" s="22"/>
      <c r="R340" s="191"/>
    </row>
    <row r="341" spans="2:18" ht="14.25">
      <c r="B341" s="66"/>
      <c r="G341" s="56"/>
      <c r="H341" s="56"/>
      <c r="I341" s="56"/>
      <c r="J341" s="56"/>
      <c r="K341" s="56"/>
      <c r="Q341" s="22"/>
      <c r="R341" s="191"/>
    </row>
    <row r="342" spans="2:18" ht="14.25">
      <c r="B342" s="66"/>
      <c r="G342" s="56"/>
      <c r="H342" s="56"/>
      <c r="I342" s="56"/>
      <c r="J342" s="56"/>
      <c r="K342" s="56"/>
      <c r="Q342" s="22"/>
      <c r="R342" s="191"/>
    </row>
    <row r="343" spans="2:18" ht="14.25">
      <c r="B343" s="66"/>
      <c r="G343" s="56"/>
      <c r="H343" s="56"/>
      <c r="I343" s="56"/>
      <c r="J343" s="56"/>
      <c r="K343" s="56"/>
      <c r="Q343" s="22"/>
      <c r="R343" s="191"/>
    </row>
    <row r="344" spans="2:18" ht="14.25">
      <c r="B344" s="66"/>
      <c r="G344" s="56"/>
      <c r="H344" s="56"/>
      <c r="I344" s="56"/>
      <c r="J344" s="56"/>
      <c r="K344" s="56"/>
      <c r="Q344" s="22"/>
      <c r="R344" s="191"/>
    </row>
    <row r="345" spans="2:18" ht="14.25">
      <c r="B345" s="66"/>
      <c r="G345" s="56"/>
      <c r="H345" s="56"/>
      <c r="I345" s="56"/>
      <c r="J345" s="56"/>
      <c r="K345" s="56"/>
      <c r="Q345" s="22"/>
      <c r="R345" s="191"/>
    </row>
    <row r="346" spans="2:18" ht="14.25">
      <c r="B346" s="66"/>
      <c r="G346" s="56"/>
      <c r="H346" s="56"/>
      <c r="I346" s="56"/>
      <c r="J346" s="56"/>
      <c r="K346" s="56"/>
      <c r="Q346" s="22"/>
      <c r="R346" s="191"/>
    </row>
    <row r="347" spans="2:18" ht="14.25">
      <c r="B347" s="66"/>
      <c r="G347" s="56"/>
      <c r="H347" s="56"/>
      <c r="I347" s="56"/>
      <c r="J347" s="56"/>
      <c r="K347" s="56"/>
      <c r="Q347" s="22"/>
      <c r="R347" s="191"/>
    </row>
    <row r="348" spans="2:18" ht="14.25">
      <c r="B348" s="66"/>
      <c r="G348" s="56"/>
      <c r="H348" s="56"/>
      <c r="I348" s="56"/>
      <c r="J348" s="56"/>
      <c r="K348" s="56"/>
      <c r="Q348" s="22"/>
      <c r="R348" s="191"/>
    </row>
    <row r="349" spans="2:18" ht="14.25">
      <c r="B349" s="66"/>
      <c r="G349" s="56"/>
      <c r="H349" s="56"/>
      <c r="I349" s="56"/>
      <c r="J349" s="56"/>
      <c r="K349" s="56"/>
      <c r="Q349" s="22"/>
      <c r="R349" s="191"/>
    </row>
    <row r="350" spans="2:18" ht="14.25">
      <c r="B350" s="66"/>
      <c r="G350" s="56"/>
      <c r="H350" s="56"/>
      <c r="I350" s="56"/>
      <c r="J350" s="56"/>
      <c r="K350" s="56"/>
      <c r="Q350" s="22"/>
      <c r="R350" s="191"/>
    </row>
    <row r="351" spans="2:18" ht="14.25">
      <c r="B351" s="66"/>
      <c r="G351" s="56"/>
      <c r="H351" s="56"/>
      <c r="I351" s="56"/>
      <c r="J351" s="56"/>
      <c r="K351" s="56"/>
      <c r="Q351" s="22"/>
      <c r="R351" s="191"/>
    </row>
    <row r="352" spans="2:18" ht="14.25">
      <c r="B352" s="66"/>
      <c r="G352" s="56"/>
      <c r="H352" s="56"/>
      <c r="I352" s="56"/>
      <c r="J352" s="56"/>
      <c r="K352" s="56"/>
      <c r="Q352" s="22"/>
      <c r="R352" s="191"/>
    </row>
    <row r="353" spans="2:18" ht="14.25">
      <c r="B353" s="66"/>
      <c r="G353" s="56"/>
      <c r="H353" s="56"/>
      <c r="I353" s="56"/>
      <c r="J353" s="56"/>
      <c r="K353" s="56"/>
      <c r="Q353" s="22"/>
      <c r="R353" s="191"/>
    </row>
    <row r="354" spans="2:18" ht="14.25">
      <c r="B354" s="66"/>
      <c r="G354" s="56"/>
      <c r="H354" s="56"/>
      <c r="I354" s="56"/>
      <c r="J354" s="56"/>
      <c r="K354" s="56"/>
      <c r="Q354" s="22"/>
      <c r="R354" s="191"/>
    </row>
    <row r="355" spans="2:18" ht="14.25">
      <c r="B355" s="66"/>
      <c r="G355" s="56"/>
      <c r="H355" s="56"/>
      <c r="I355" s="56"/>
      <c r="J355" s="56"/>
      <c r="K355" s="56"/>
      <c r="Q355" s="22"/>
      <c r="R355" s="191"/>
    </row>
    <row r="356" spans="2:18" ht="14.25">
      <c r="B356" s="66"/>
      <c r="G356" s="56"/>
      <c r="H356" s="56"/>
      <c r="I356" s="56"/>
      <c r="J356" s="56"/>
      <c r="K356" s="56"/>
      <c r="Q356" s="22"/>
      <c r="R356" s="191"/>
    </row>
    <row r="357" spans="2:18" ht="14.25">
      <c r="B357" s="66"/>
      <c r="G357" s="56"/>
      <c r="H357" s="56"/>
      <c r="I357" s="56"/>
      <c r="J357" s="56"/>
      <c r="K357" s="56"/>
      <c r="Q357" s="22"/>
      <c r="R357" s="191"/>
    </row>
    <row r="358" spans="2:18" ht="14.25">
      <c r="B358" s="66"/>
      <c r="G358" s="56"/>
      <c r="H358" s="56"/>
      <c r="I358" s="56"/>
      <c r="J358" s="56"/>
      <c r="K358" s="56"/>
      <c r="Q358" s="22"/>
      <c r="R358" s="191"/>
    </row>
    <row r="359" spans="2:18" ht="14.25">
      <c r="B359" s="66"/>
      <c r="G359" s="56"/>
      <c r="H359" s="56"/>
      <c r="I359" s="56"/>
      <c r="J359" s="56"/>
      <c r="K359" s="56"/>
      <c r="Q359" s="22"/>
      <c r="R359" s="191"/>
    </row>
    <row r="360" spans="2:18" ht="14.25">
      <c r="B360" s="66"/>
      <c r="G360" s="56"/>
      <c r="H360" s="56"/>
      <c r="I360" s="56"/>
      <c r="J360" s="56"/>
      <c r="K360" s="56"/>
      <c r="Q360" s="22"/>
      <c r="R360" s="191"/>
    </row>
    <row r="361" spans="2:18" ht="14.25">
      <c r="B361" s="66"/>
      <c r="G361" s="56"/>
      <c r="H361" s="56"/>
      <c r="I361" s="56"/>
      <c r="J361" s="56"/>
      <c r="K361" s="56"/>
      <c r="Q361" s="22"/>
      <c r="R361" s="191"/>
    </row>
    <row r="362" spans="2:18" ht="14.25">
      <c r="B362" s="66"/>
      <c r="G362" s="56"/>
      <c r="H362" s="56"/>
      <c r="I362" s="56"/>
      <c r="J362" s="56"/>
      <c r="K362" s="56"/>
      <c r="Q362" s="22"/>
      <c r="R362" s="191"/>
    </row>
    <row r="363" spans="2:18" ht="14.25">
      <c r="B363" s="66"/>
      <c r="G363" s="56"/>
      <c r="H363" s="56"/>
      <c r="I363" s="56"/>
      <c r="J363" s="56"/>
      <c r="K363" s="56"/>
      <c r="Q363" s="22"/>
      <c r="R363" s="191"/>
    </row>
    <row r="364" spans="2:18" ht="14.25">
      <c r="B364" s="66"/>
      <c r="G364" s="56"/>
      <c r="H364" s="56"/>
      <c r="I364" s="56"/>
      <c r="J364" s="56"/>
      <c r="K364" s="56"/>
      <c r="Q364" s="22"/>
      <c r="R364" s="191"/>
    </row>
    <row r="365" spans="2:18" ht="14.25">
      <c r="B365" s="66"/>
      <c r="G365" s="56"/>
      <c r="H365" s="56"/>
      <c r="I365" s="56"/>
      <c r="J365" s="56"/>
      <c r="K365" s="56"/>
      <c r="Q365" s="22"/>
      <c r="R365" s="191"/>
    </row>
    <row r="366" spans="2:18" ht="14.25">
      <c r="B366" s="66"/>
      <c r="G366" s="56"/>
      <c r="H366" s="56"/>
      <c r="I366" s="56"/>
      <c r="J366" s="56"/>
      <c r="K366" s="56"/>
      <c r="Q366" s="22"/>
      <c r="R366" s="191"/>
    </row>
    <row r="367" spans="2:18" ht="14.25">
      <c r="B367" s="66"/>
      <c r="G367" s="56"/>
      <c r="H367" s="56"/>
      <c r="I367" s="56"/>
      <c r="J367" s="56"/>
      <c r="K367" s="56"/>
      <c r="Q367" s="22"/>
      <c r="R367" s="191"/>
    </row>
    <row r="368" spans="2:18" ht="14.25">
      <c r="B368" s="66"/>
      <c r="G368" s="56"/>
      <c r="H368" s="56"/>
      <c r="I368" s="56"/>
      <c r="J368" s="56"/>
      <c r="K368" s="56"/>
      <c r="Q368" s="22"/>
      <c r="R368" s="191"/>
    </row>
    <row r="369" spans="2:18" ht="14.25">
      <c r="B369" s="66"/>
      <c r="G369" s="56"/>
      <c r="H369" s="56"/>
      <c r="I369" s="56"/>
      <c r="J369" s="56"/>
      <c r="K369" s="56"/>
      <c r="Q369" s="22"/>
      <c r="R369" s="191"/>
    </row>
    <row r="370" spans="2:18" ht="14.25">
      <c r="B370" s="66"/>
      <c r="G370" s="56"/>
      <c r="H370" s="56"/>
      <c r="I370" s="56"/>
      <c r="J370" s="56"/>
      <c r="K370" s="56"/>
      <c r="Q370" s="22"/>
      <c r="R370" s="191"/>
    </row>
    <row r="371" spans="2:18" ht="14.25">
      <c r="B371" s="66"/>
      <c r="G371" s="56"/>
      <c r="H371" s="56"/>
      <c r="I371" s="56"/>
      <c r="J371" s="56"/>
      <c r="K371" s="56"/>
      <c r="Q371" s="22"/>
      <c r="R371" s="191"/>
    </row>
    <row r="372" spans="2:18" ht="14.25">
      <c r="B372" s="66"/>
      <c r="G372" s="56"/>
      <c r="H372" s="56"/>
      <c r="I372" s="56"/>
      <c r="J372" s="56"/>
      <c r="K372" s="56"/>
      <c r="Q372" s="22"/>
      <c r="R372" s="191"/>
    </row>
    <row r="373" spans="2:18" ht="14.25">
      <c r="B373" s="66"/>
      <c r="G373" s="56"/>
      <c r="H373" s="56"/>
      <c r="I373" s="56"/>
      <c r="J373" s="56"/>
      <c r="K373" s="56"/>
      <c r="Q373" s="22"/>
      <c r="R373" s="191"/>
    </row>
    <row r="374" spans="2:18" ht="14.25">
      <c r="B374" s="66"/>
      <c r="G374" s="56"/>
      <c r="H374" s="56"/>
      <c r="I374" s="56"/>
      <c r="J374" s="56"/>
      <c r="K374" s="56"/>
      <c r="Q374" s="22"/>
      <c r="R374" s="191"/>
    </row>
    <row r="375" spans="2:18" ht="14.25">
      <c r="B375" s="66"/>
      <c r="G375" s="56"/>
      <c r="H375" s="56"/>
      <c r="I375" s="56"/>
      <c r="J375" s="56"/>
      <c r="K375" s="56"/>
      <c r="Q375" s="22"/>
      <c r="R375" s="191"/>
    </row>
    <row r="376" spans="2:18" ht="14.25">
      <c r="B376" s="66"/>
      <c r="G376" s="56"/>
      <c r="H376" s="56"/>
      <c r="I376" s="56"/>
      <c r="J376" s="56"/>
      <c r="K376" s="56"/>
      <c r="Q376" s="22"/>
      <c r="R376" s="191"/>
    </row>
    <row r="377" spans="2:18" ht="14.25">
      <c r="B377" s="66"/>
      <c r="G377" s="56"/>
      <c r="H377" s="56"/>
      <c r="I377" s="56"/>
      <c r="J377" s="56"/>
      <c r="K377" s="56"/>
      <c r="Q377" s="22"/>
      <c r="R377" s="191"/>
    </row>
    <row r="378" spans="2:18" ht="14.25">
      <c r="B378" s="66"/>
      <c r="G378" s="56"/>
      <c r="H378" s="56"/>
      <c r="I378" s="56"/>
      <c r="J378" s="56"/>
      <c r="K378" s="56"/>
      <c r="Q378" s="22"/>
      <c r="R378" s="191"/>
    </row>
    <row r="379" spans="2:18" ht="14.25">
      <c r="B379" s="66"/>
      <c r="G379" s="56"/>
      <c r="H379" s="56"/>
      <c r="I379" s="56"/>
      <c r="J379" s="56"/>
      <c r="K379" s="56"/>
      <c r="Q379" s="22"/>
      <c r="R379" s="191"/>
    </row>
    <row r="380" spans="2:18" ht="14.25">
      <c r="B380" s="66"/>
      <c r="G380" s="56"/>
      <c r="H380" s="56"/>
      <c r="I380" s="56"/>
      <c r="J380" s="56"/>
      <c r="K380" s="56"/>
      <c r="Q380" s="22"/>
      <c r="R380" s="191"/>
    </row>
    <row r="381" spans="2:18" ht="14.25">
      <c r="B381" s="66"/>
      <c r="G381" s="56"/>
      <c r="H381" s="56"/>
      <c r="I381" s="56"/>
      <c r="J381" s="56"/>
      <c r="K381" s="56"/>
      <c r="Q381" s="22"/>
      <c r="R381" s="191"/>
    </row>
    <row r="382" spans="2:18" ht="14.25">
      <c r="B382" s="66"/>
      <c r="G382" s="56"/>
      <c r="H382" s="56"/>
      <c r="I382" s="56"/>
      <c r="J382" s="56"/>
      <c r="K382" s="56"/>
      <c r="Q382" s="22"/>
      <c r="R382" s="191"/>
    </row>
    <row r="383" spans="2:18" ht="14.25">
      <c r="B383" s="66"/>
      <c r="G383" s="56"/>
      <c r="H383" s="56"/>
      <c r="I383" s="56"/>
      <c r="J383" s="56"/>
      <c r="K383" s="56"/>
      <c r="Q383" s="22"/>
      <c r="R383" s="191"/>
    </row>
    <row r="384" spans="2:18" ht="14.25">
      <c r="B384" s="66"/>
      <c r="G384" s="56"/>
      <c r="H384" s="56"/>
      <c r="I384" s="56"/>
      <c r="J384" s="56"/>
      <c r="K384" s="56"/>
      <c r="Q384" s="22"/>
      <c r="R384" s="191"/>
    </row>
    <row r="385" spans="2:18" ht="14.25">
      <c r="B385" s="66"/>
      <c r="G385" s="56"/>
      <c r="H385" s="56"/>
      <c r="I385" s="56"/>
      <c r="J385" s="56"/>
      <c r="K385" s="56"/>
      <c r="Q385" s="22"/>
      <c r="R385" s="191"/>
    </row>
    <row r="386" spans="2:18" ht="14.25">
      <c r="B386" s="66"/>
      <c r="G386" s="56"/>
      <c r="H386" s="56"/>
      <c r="I386" s="56"/>
      <c r="J386" s="56"/>
      <c r="K386" s="56"/>
      <c r="Q386" s="22"/>
      <c r="R386" s="191"/>
    </row>
    <row r="387" spans="2:18" ht="14.25">
      <c r="B387" s="66"/>
      <c r="G387" s="56"/>
      <c r="H387" s="56"/>
      <c r="I387" s="56"/>
      <c r="J387" s="56"/>
      <c r="K387" s="56"/>
      <c r="Q387" s="22"/>
      <c r="R387" s="191"/>
    </row>
    <row r="388" spans="2:18" ht="14.25">
      <c r="B388" s="66"/>
      <c r="G388" s="56"/>
      <c r="H388" s="56"/>
      <c r="I388" s="56"/>
      <c r="J388" s="56"/>
      <c r="K388" s="56"/>
      <c r="Q388" s="22"/>
      <c r="R388" s="191"/>
    </row>
    <row r="389" spans="2:18" ht="14.25">
      <c r="B389" s="66"/>
      <c r="G389" s="56"/>
      <c r="H389" s="56"/>
      <c r="I389" s="56"/>
      <c r="J389" s="56"/>
      <c r="K389" s="56"/>
      <c r="Q389" s="22"/>
      <c r="R389" s="191"/>
    </row>
    <row r="390" spans="2:18" ht="14.25">
      <c r="B390" s="66"/>
      <c r="G390" s="56"/>
      <c r="H390" s="56"/>
      <c r="I390" s="56"/>
      <c r="J390" s="56"/>
      <c r="K390" s="56"/>
      <c r="Q390" s="22"/>
      <c r="R390" s="191"/>
    </row>
    <row r="391" spans="2:18" ht="14.25">
      <c r="B391" s="66"/>
      <c r="G391" s="56"/>
      <c r="H391" s="56"/>
      <c r="I391" s="56"/>
      <c r="J391" s="56"/>
      <c r="K391" s="56"/>
      <c r="Q391" s="22"/>
      <c r="R391" s="191"/>
    </row>
    <row r="392" spans="2:18" ht="14.25">
      <c r="B392" s="66"/>
      <c r="G392" s="56"/>
      <c r="H392" s="56"/>
      <c r="I392" s="56"/>
      <c r="J392" s="56"/>
      <c r="K392" s="56"/>
      <c r="Q392" s="22"/>
      <c r="R392" s="191"/>
    </row>
    <row r="393" spans="2:18" ht="14.25">
      <c r="B393" s="66"/>
      <c r="G393" s="56"/>
      <c r="H393" s="56"/>
      <c r="I393" s="56"/>
      <c r="J393" s="56"/>
      <c r="K393" s="56"/>
      <c r="Q393" s="22"/>
      <c r="R393" s="191"/>
    </row>
    <row r="394" spans="2:18" ht="14.25">
      <c r="B394" s="66"/>
      <c r="G394" s="56"/>
      <c r="H394" s="56"/>
      <c r="I394" s="56"/>
      <c r="J394" s="56"/>
      <c r="K394" s="56"/>
      <c r="Q394" s="22"/>
      <c r="R394" s="191"/>
    </row>
    <row r="395" spans="2:18" ht="14.25">
      <c r="B395" s="66"/>
      <c r="G395" s="56"/>
      <c r="H395" s="56"/>
      <c r="I395" s="56"/>
      <c r="J395" s="56"/>
      <c r="K395" s="56"/>
      <c r="Q395" s="22"/>
      <c r="R395" s="191"/>
    </row>
    <row r="396" spans="2:18" ht="14.25">
      <c r="B396" s="66"/>
      <c r="G396" s="56"/>
      <c r="H396" s="56"/>
      <c r="I396" s="56"/>
      <c r="J396" s="56"/>
      <c r="K396" s="56"/>
      <c r="Q396" s="22"/>
      <c r="R396" s="191"/>
    </row>
    <row r="397" spans="2:18" ht="14.25">
      <c r="B397" s="66"/>
      <c r="G397" s="56"/>
      <c r="H397" s="56"/>
      <c r="I397" s="56"/>
      <c r="J397" s="56"/>
      <c r="K397" s="56"/>
      <c r="Q397" s="22"/>
      <c r="R397" s="191"/>
    </row>
    <row r="398" spans="2:18" ht="14.25">
      <c r="B398" s="66"/>
      <c r="G398" s="56"/>
      <c r="H398" s="56"/>
      <c r="I398" s="56"/>
      <c r="J398" s="56"/>
      <c r="K398" s="56"/>
      <c r="Q398" s="22"/>
      <c r="R398" s="191"/>
    </row>
    <row r="399" spans="2:18" ht="14.25">
      <c r="B399" s="66"/>
      <c r="G399" s="56"/>
      <c r="H399" s="56"/>
      <c r="I399" s="56"/>
      <c r="J399" s="56"/>
      <c r="K399" s="56"/>
      <c r="Q399" s="22"/>
      <c r="R399" s="191"/>
    </row>
    <row r="400" spans="2:18" ht="14.25">
      <c r="B400" s="66"/>
      <c r="G400" s="56"/>
      <c r="H400" s="56"/>
      <c r="I400" s="56"/>
      <c r="J400" s="56"/>
      <c r="K400" s="56"/>
      <c r="Q400" s="22"/>
      <c r="R400" s="191"/>
    </row>
    <row r="401" spans="2:18" ht="14.25">
      <c r="B401" s="66"/>
      <c r="G401" s="56"/>
      <c r="H401" s="56"/>
      <c r="I401" s="56"/>
      <c r="J401" s="56"/>
      <c r="K401" s="56"/>
      <c r="Q401" s="22"/>
      <c r="R401" s="191"/>
    </row>
    <row r="402" spans="2:18" ht="14.25">
      <c r="B402" s="66"/>
      <c r="G402" s="56"/>
      <c r="H402" s="56"/>
      <c r="I402" s="56"/>
      <c r="J402" s="56"/>
      <c r="K402" s="56"/>
      <c r="Q402" s="22"/>
      <c r="R402" s="191"/>
    </row>
    <row r="403" spans="2:18" ht="14.25">
      <c r="B403" s="66"/>
      <c r="G403" s="56"/>
      <c r="H403" s="56"/>
      <c r="I403" s="56"/>
      <c r="J403" s="56"/>
      <c r="K403" s="56"/>
      <c r="Q403" s="22"/>
      <c r="R403" s="191"/>
    </row>
    <row r="404" spans="2:18" ht="14.25">
      <c r="B404" s="66"/>
      <c r="G404" s="56"/>
      <c r="H404" s="56"/>
      <c r="I404" s="56"/>
      <c r="J404" s="56"/>
      <c r="K404" s="56"/>
      <c r="Q404" s="22"/>
      <c r="R404" s="191"/>
    </row>
    <row r="405" spans="2:18" ht="14.25">
      <c r="B405" s="66"/>
      <c r="G405" s="56"/>
      <c r="H405" s="56"/>
      <c r="I405" s="56"/>
      <c r="J405" s="56"/>
      <c r="K405" s="56"/>
      <c r="Q405" s="22"/>
      <c r="R405" s="191"/>
    </row>
    <row r="406" spans="2:18" ht="14.25">
      <c r="B406" s="66"/>
      <c r="G406" s="56"/>
      <c r="H406" s="56"/>
      <c r="I406" s="56"/>
      <c r="J406" s="56"/>
      <c r="K406" s="56"/>
      <c r="Q406" s="22"/>
      <c r="R406" s="191"/>
    </row>
    <row r="407" spans="2:18" ht="14.25">
      <c r="B407" s="66"/>
      <c r="G407" s="56"/>
      <c r="H407" s="56"/>
      <c r="I407" s="56"/>
      <c r="J407" s="56"/>
      <c r="K407" s="56"/>
      <c r="Q407" s="22"/>
      <c r="R407" s="191"/>
    </row>
    <row r="408" spans="2:18" ht="14.25">
      <c r="B408" s="66"/>
      <c r="G408" s="56"/>
      <c r="H408" s="56"/>
      <c r="I408" s="56"/>
      <c r="J408" s="56"/>
      <c r="K408" s="56"/>
      <c r="Q408" s="22"/>
      <c r="R408" s="191"/>
    </row>
    <row r="409" spans="2:18" ht="14.25">
      <c r="B409" s="66"/>
      <c r="G409" s="56"/>
      <c r="H409" s="56"/>
      <c r="I409" s="56"/>
      <c r="J409" s="56"/>
      <c r="K409" s="56"/>
      <c r="Q409" s="22"/>
      <c r="R409" s="191"/>
    </row>
    <row r="410" spans="2:18" ht="14.25">
      <c r="B410" s="66"/>
      <c r="G410" s="56"/>
      <c r="H410" s="56"/>
      <c r="I410" s="56"/>
      <c r="J410" s="56"/>
      <c r="K410" s="56"/>
      <c r="Q410" s="22"/>
      <c r="R410" s="191"/>
    </row>
    <row r="411" spans="2:18" ht="14.25">
      <c r="B411" s="66"/>
      <c r="G411" s="56"/>
      <c r="H411" s="56"/>
      <c r="I411" s="56"/>
      <c r="J411" s="56"/>
      <c r="K411" s="56"/>
      <c r="Q411" s="22"/>
      <c r="R411" s="191"/>
    </row>
    <row r="412" spans="2:18" ht="14.25">
      <c r="B412" s="66"/>
      <c r="G412" s="56"/>
      <c r="H412" s="56"/>
      <c r="I412" s="56"/>
      <c r="J412" s="56"/>
      <c r="K412" s="56"/>
      <c r="Q412" s="22"/>
      <c r="R412" s="191"/>
    </row>
    <row r="413" spans="2:18" ht="14.25">
      <c r="B413" s="66"/>
      <c r="G413" s="56"/>
      <c r="H413" s="56"/>
      <c r="I413" s="56"/>
      <c r="J413" s="56"/>
      <c r="K413" s="56"/>
      <c r="Q413" s="22"/>
      <c r="R413" s="191"/>
    </row>
    <row r="414" spans="2:18" ht="14.25">
      <c r="B414" s="66"/>
      <c r="G414" s="56"/>
      <c r="H414" s="56"/>
      <c r="I414" s="56"/>
      <c r="J414" s="56"/>
      <c r="K414" s="56"/>
      <c r="Q414" s="22"/>
      <c r="R414" s="191"/>
    </row>
    <row r="415" spans="2:18" ht="14.25">
      <c r="B415" s="66"/>
      <c r="G415" s="56"/>
      <c r="H415" s="56"/>
      <c r="I415" s="56"/>
      <c r="J415" s="56"/>
      <c r="K415" s="56"/>
      <c r="Q415" s="22"/>
      <c r="R415" s="191"/>
    </row>
    <row r="416" spans="2:18" ht="14.25">
      <c r="B416" s="66"/>
      <c r="G416" s="56"/>
      <c r="H416" s="56"/>
      <c r="I416" s="56"/>
      <c r="J416" s="56"/>
      <c r="K416" s="56"/>
      <c r="Q416" s="22"/>
      <c r="R416" s="191"/>
    </row>
    <row r="417" spans="2:18" ht="14.25">
      <c r="B417" s="66"/>
      <c r="G417" s="56"/>
      <c r="H417" s="56"/>
      <c r="I417" s="56"/>
      <c r="J417" s="56"/>
      <c r="K417" s="56"/>
      <c r="Q417" s="22"/>
      <c r="R417" s="191"/>
    </row>
    <row r="418" spans="2:18" ht="14.25">
      <c r="B418" s="66"/>
      <c r="G418" s="56"/>
      <c r="H418" s="56"/>
      <c r="I418" s="56"/>
      <c r="J418" s="56"/>
      <c r="K418" s="56"/>
      <c r="Q418" s="22"/>
      <c r="R418" s="191"/>
    </row>
    <row r="419" spans="2:18" ht="14.25">
      <c r="B419" s="66"/>
      <c r="G419" s="56"/>
      <c r="H419" s="56"/>
      <c r="I419" s="56"/>
      <c r="J419" s="56"/>
      <c r="K419" s="56"/>
      <c r="Q419" s="22"/>
      <c r="R419" s="191"/>
    </row>
    <row r="420" spans="2:18" ht="14.25">
      <c r="B420" s="66"/>
      <c r="G420" s="56"/>
      <c r="H420" s="56"/>
      <c r="I420" s="56"/>
      <c r="J420" s="56"/>
      <c r="K420" s="56"/>
      <c r="Q420" s="22"/>
      <c r="R420" s="191"/>
    </row>
    <row r="421" spans="2:18" ht="14.25">
      <c r="B421" s="66"/>
      <c r="G421" s="56"/>
      <c r="H421" s="56"/>
      <c r="I421" s="56"/>
      <c r="J421" s="56"/>
      <c r="K421" s="56"/>
      <c r="Q421" s="22"/>
      <c r="R421" s="191"/>
    </row>
    <row r="422" spans="2:18" ht="14.25">
      <c r="B422" s="66"/>
      <c r="G422" s="56"/>
      <c r="H422" s="56"/>
      <c r="I422" s="56"/>
      <c r="J422" s="56"/>
      <c r="K422" s="56"/>
      <c r="Q422" s="22"/>
      <c r="R422" s="191"/>
    </row>
    <row r="423" spans="2:18" ht="14.25">
      <c r="B423" s="66"/>
      <c r="G423" s="56"/>
      <c r="H423" s="56"/>
      <c r="I423" s="56"/>
      <c r="J423" s="56"/>
      <c r="K423" s="56"/>
      <c r="Q423" s="22"/>
      <c r="R423" s="191"/>
    </row>
    <row r="424" spans="2:18" ht="14.25">
      <c r="B424" s="66"/>
      <c r="G424" s="56"/>
      <c r="H424" s="56"/>
      <c r="I424" s="56"/>
      <c r="J424" s="56"/>
      <c r="K424" s="56"/>
      <c r="Q424" s="22"/>
      <c r="R424" s="191"/>
    </row>
    <row r="425" spans="2:18" ht="14.25">
      <c r="B425" s="66"/>
      <c r="G425" s="56"/>
      <c r="H425" s="56"/>
      <c r="I425" s="56"/>
      <c r="J425" s="56"/>
      <c r="K425" s="56"/>
      <c r="Q425" s="22"/>
      <c r="R425" s="191"/>
    </row>
    <row r="426" spans="2:18" ht="14.25">
      <c r="B426" s="66"/>
      <c r="G426" s="56"/>
      <c r="H426" s="56"/>
      <c r="I426" s="56"/>
      <c r="J426" s="56"/>
      <c r="K426" s="56"/>
      <c r="Q426" s="22"/>
      <c r="R426" s="191"/>
    </row>
    <row r="427" spans="2:18" ht="14.25">
      <c r="B427" s="66"/>
      <c r="G427" s="56"/>
      <c r="H427" s="56"/>
      <c r="I427" s="56"/>
      <c r="J427" s="56"/>
      <c r="K427" s="56"/>
      <c r="Q427" s="22"/>
      <c r="R427" s="191"/>
    </row>
    <row r="428" spans="2:18" ht="14.25">
      <c r="B428" s="66"/>
      <c r="G428" s="56"/>
      <c r="H428" s="56"/>
      <c r="I428" s="56"/>
      <c r="J428" s="56"/>
      <c r="K428" s="56"/>
      <c r="Q428" s="22"/>
      <c r="R428" s="191"/>
    </row>
    <row r="429" spans="2:18" ht="14.25">
      <c r="B429" s="66"/>
      <c r="G429" s="56"/>
      <c r="H429" s="56"/>
      <c r="I429" s="56"/>
      <c r="J429" s="56"/>
      <c r="K429" s="56"/>
      <c r="Q429" s="22"/>
      <c r="R429" s="191"/>
    </row>
    <row r="430" spans="2:18" ht="14.25">
      <c r="B430" s="66"/>
      <c r="G430" s="56"/>
      <c r="H430" s="56"/>
      <c r="I430" s="56"/>
      <c r="J430" s="56"/>
      <c r="K430" s="56"/>
      <c r="Q430" s="22"/>
      <c r="R430" s="191"/>
    </row>
    <row r="431" spans="2:18" ht="14.25">
      <c r="B431" s="66"/>
      <c r="G431" s="56"/>
      <c r="H431" s="56"/>
      <c r="I431" s="56"/>
      <c r="J431" s="56"/>
      <c r="K431" s="56"/>
      <c r="Q431" s="22"/>
      <c r="R431" s="191"/>
    </row>
    <row r="432" spans="2:18" ht="14.25">
      <c r="B432" s="66"/>
      <c r="G432" s="56"/>
      <c r="H432" s="56"/>
      <c r="I432" s="56"/>
      <c r="J432" s="56"/>
      <c r="K432" s="56"/>
      <c r="Q432" s="22"/>
      <c r="R432" s="191"/>
    </row>
    <row r="433" spans="2:18" ht="14.25">
      <c r="B433" s="66"/>
      <c r="G433" s="56"/>
      <c r="H433" s="56"/>
      <c r="I433" s="56"/>
      <c r="J433" s="56"/>
      <c r="K433" s="56"/>
      <c r="Q433" s="22"/>
      <c r="R433" s="191"/>
    </row>
    <row r="434" spans="2:18" ht="14.25">
      <c r="B434" s="66"/>
      <c r="G434" s="56"/>
      <c r="H434" s="56"/>
      <c r="I434" s="56"/>
      <c r="J434" s="56"/>
      <c r="K434" s="56"/>
      <c r="Q434" s="22"/>
      <c r="R434" s="191"/>
    </row>
    <row r="435" spans="2:18" ht="14.25">
      <c r="B435" s="66"/>
      <c r="G435" s="56"/>
      <c r="H435" s="56"/>
      <c r="I435" s="56"/>
      <c r="J435" s="56"/>
      <c r="K435" s="56"/>
      <c r="Q435" s="22"/>
      <c r="R435" s="191"/>
    </row>
    <row r="436" spans="2:18" ht="14.25">
      <c r="B436" s="66"/>
      <c r="G436" s="56"/>
      <c r="H436" s="56"/>
      <c r="I436" s="56"/>
      <c r="J436" s="56"/>
      <c r="K436" s="56"/>
      <c r="Q436" s="22"/>
      <c r="R436" s="191"/>
    </row>
    <row r="437" spans="2:18" ht="14.25">
      <c r="B437" s="66"/>
      <c r="G437" s="56"/>
      <c r="H437" s="56"/>
      <c r="I437" s="56"/>
      <c r="J437" s="56"/>
      <c r="K437" s="56"/>
      <c r="Q437" s="22"/>
      <c r="R437" s="191"/>
    </row>
    <row r="438" spans="2:18" ht="14.25">
      <c r="B438" s="66"/>
      <c r="G438" s="56"/>
      <c r="H438" s="56"/>
      <c r="I438" s="56"/>
      <c r="J438" s="56"/>
      <c r="K438" s="56"/>
      <c r="Q438" s="22"/>
      <c r="R438" s="191"/>
    </row>
    <row r="439" spans="2:18" ht="14.25">
      <c r="B439" s="66"/>
      <c r="G439" s="56"/>
      <c r="H439" s="56"/>
      <c r="I439" s="56"/>
      <c r="J439" s="56"/>
      <c r="K439" s="56"/>
      <c r="Q439" s="22"/>
      <c r="R439" s="191"/>
    </row>
    <row r="440" spans="2:18" ht="14.25">
      <c r="B440" s="66"/>
      <c r="G440" s="56"/>
      <c r="H440" s="56"/>
      <c r="I440" s="56"/>
      <c r="J440" s="56"/>
      <c r="K440" s="56"/>
      <c r="Q440" s="22"/>
      <c r="R440" s="191"/>
    </row>
    <row r="441" spans="2:18" ht="14.25">
      <c r="B441" s="66"/>
      <c r="G441" s="56"/>
      <c r="H441" s="56"/>
      <c r="I441" s="56"/>
      <c r="J441" s="56"/>
      <c r="K441" s="56"/>
      <c r="Q441" s="22"/>
      <c r="R441" s="191"/>
    </row>
    <row r="442" spans="2:18" ht="14.25">
      <c r="B442" s="66"/>
      <c r="G442" s="56"/>
      <c r="H442" s="56"/>
      <c r="I442" s="56"/>
      <c r="J442" s="56"/>
      <c r="K442" s="56"/>
      <c r="Q442" s="22"/>
      <c r="R442" s="191"/>
    </row>
    <row r="443" spans="2:18" ht="14.25">
      <c r="B443" s="66"/>
      <c r="G443" s="56"/>
      <c r="H443" s="56"/>
      <c r="I443" s="56"/>
      <c r="J443" s="56"/>
      <c r="K443" s="56"/>
      <c r="Q443" s="22"/>
      <c r="R443" s="191"/>
    </row>
    <row r="444" spans="2:18" ht="14.25">
      <c r="B444" s="66"/>
      <c r="G444" s="56"/>
      <c r="H444" s="56"/>
      <c r="I444" s="56"/>
      <c r="J444" s="56"/>
      <c r="K444" s="56"/>
      <c r="Q444" s="22"/>
      <c r="R444" s="191"/>
    </row>
    <row r="445" spans="2:18" ht="14.25">
      <c r="B445" s="66"/>
      <c r="G445" s="56"/>
      <c r="H445" s="56"/>
      <c r="I445" s="56"/>
      <c r="J445" s="56"/>
      <c r="K445" s="56"/>
      <c r="Q445" s="22"/>
      <c r="R445" s="191"/>
    </row>
    <row r="446" spans="2:18" ht="14.25">
      <c r="B446" s="66"/>
      <c r="G446" s="56"/>
      <c r="H446" s="56"/>
      <c r="I446" s="56"/>
      <c r="J446" s="56"/>
      <c r="K446" s="56"/>
      <c r="Q446" s="22"/>
      <c r="R446" s="191"/>
    </row>
    <row r="447" spans="2:18" ht="14.25">
      <c r="B447" s="66"/>
      <c r="G447" s="56"/>
      <c r="H447" s="56"/>
      <c r="I447" s="56"/>
      <c r="J447" s="56"/>
      <c r="K447" s="56"/>
      <c r="Q447" s="22"/>
      <c r="R447" s="191"/>
    </row>
    <row r="448" spans="2:18" ht="14.25">
      <c r="B448" s="66"/>
      <c r="G448" s="56"/>
      <c r="H448" s="56"/>
      <c r="I448" s="56"/>
      <c r="J448" s="56"/>
      <c r="K448" s="56"/>
      <c r="Q448" s="22"/>
      <c r="R448" s="191"/>
    </row>
    <row r="449" spans="2:18" ht="14.25">
      <c r="B449" s="66"/>
      <c r="G449" s="56"/>
      <c r="H449" s="56"/>
      <c r="I449" s="56"/>
      <c r="J449" s="56"/>
      <c r="K449" s="56"/>
      <c r="Q449" s="22"/>
      <c r="R449" s="191"/>
    </row>
    <row r="450" spans="2:18" ht="14.25">
      <c r="B450" s="66"/>
      <c r="G450" s="56"/>
      <c r="H450" s="56"/>
      <c r="I450" s="56"/>
      <c r="J450" s="56"/>
      <c r="K450" s="56"/>
      <c r="Q450" s="22"/>
      <c r="R450" s="191"/>
    </row>
    <row r="451" spans="2:18" ht="14.25">
      <c r="B451" s="66"/>
      <c r="G451" s="56"/>
      <c r="H451" s="56"/>
      <c r="I451" s="56"/>
      <c r="J451" s="56"/>
      <c r="K451" s="56"/>
      <c r="Q451" s="22"/>
      <c r="R451" s="191"/>
    </row>
    <row r="452" spans="2:18" ht="14.25">
      <c r="B452" s="66"/>
      <c r="G452" s="56"/>
      <c r="H452" s="56"/>
      <c r="I452" s="56"/>
      <c r="J452" s="56"/>
      <c r="K452" s="56"/>
      <c r="Q452" s="22"/>
      <c r="R452" s="191"/>
    </row>
    <row r="453" spans="2:18" ht="14.25">
      <c r="B453" s="66"/>
      <c r="G453" s="56"/>
      <c r="H453" s="56"/>
      <c r="I453" s="56"/>
      <c r="J453" s="56"/>
      <c r="K453" s="56"/>
      <c r="Q453" s="22"/>
      <c r="R453" s="191"/>
    </row>
    <row r="454" spans="2:18" ht="14.25">
      <c r="B454" s="66"/>
      <c r="G454" s="56"/>
      <c r="H454" s="56"/>
      <c r="I454" s="56"/>
      <c r="J454" s="56"/>
      <c r="K454" s="56"/>
      <c r="Q454" s="22"/>
      <c r="R454" s="191"/>
    </row>
    <row r="455" spans="2:18" ht="14.25">
      <c r="B455" s="66"/>
      <c r="G455" s="56"/>
      <c r="H455" s="56"/>
      <c r="I455" s="56"/>
      <c r="J455" s="56"/>
      <c r="K455" s="56"/>
      <c r="Q455" s="22"/>
      <c r="R455" s="191"/>
    </row>
    <row r="456" spans="2:18" ht="14.25">
      <c r="B456" s="66"/>
      <c r="G456" s="56"/>
      <c r="H456" s="56"/>
      <c r="I456" s="56"/>
      <c r="J456" s="56"/>
      <c r="K456" s="56"/>
      <c r="Q456" s="22"/>
      <c r="R456" s="191"/>
    </row>
    <row r="457" spans="2:18" ht="14.25">
      <c r="B457" s="66"/>
      <c r="G457" s="56"/>
      <c r="H457" s="56"/>
      <c r="I457" s="56"/>
      <c r="J457" s="56"/>
      <c r="K457" s="56"/>
      <c r="Q457" s="22"/>
      <c r="R457" s="191"/>
    </row>
    <row r="458" spans="2:18" ht="14.25">
      <c r="B458" s="66"/>
      <c r="G458" s="56"/>
      <c r="H458" s="56"/>
      <c r="I458" s="56"/>
      <c r="J458" s="56"/>
      <c r="K458" s="56"/>
      <c r="Q458" s="22"/>
      <c r="R458" s="191"/>
    </row>
    <row r="459" spans="2:18" ht="14.25">
      <c r="B459" s="66"/>
      <c r="G459" s="56"/>
      <c r="H459" s="56"/>
      <c r="I459" s="56"/>
      <c r="J459" s="56"/>
      <c r="K459" s="56"/>
      <c r="Q459" s="22"/>
      <c r="R459" s="191"/>
    </row>
    <row r="460" spans="2:18" ht="14.25">
      <c r="B460" s="66"/>
      <c r="G460" s="56"/>
      <c r="H460" s="56"/>
      <c r="I460" s="56"/>
      <c r="J460" s="56"/>
      <c r="K460" s="56"/>
      <c r="Q460" s="22"/>
      <c r="R460" s="191"/>
    </row>
    <row r="461" spans="2:18" ht="14.25">
      <c r="B461" s="66"/>
      <c r="G461" s="56"/>
      <c r="H461" s="56"/>
      <c r="I461" s="56"/>
      <c r="J461" s="56"/>
      <c r="K461" s="56"/>
      <c r="Q461" s="22"/>
      <c r="R461" s="191"/>
    </row>
    <row r="462" spans="2:18" ht="14.25">
      <c r="B462" s="66"/>
      <c r="G462" s="56"/>
      <c r="H462" s="56"/>
      <c r="I462" s="56"/>
      <c r="J462" s="56"/>
      <c r="K462" s="56"/>
      <c r="Q462" s="22"/>
      <c r="R462" s="191"/>
    </row>
    <row r="463" spans="2:18" ht="14.25">
      <c r="B463" s="66"/>
      <c r="G463" s="56"/>
      <c r="H463" s="56"/>
      <c r="I463" s="56"/>
      <c r="J463" s="56"/>
      <c r="K463" s="56"/>
      <c r="Q463" s="22"/>
      <c r="R463" s="191"/>
    </row>
    <row r="464" spans="2:18" ht="14.25">
      <c r="B464" s="66"/>
      <c r="G464" s="56"/>
      <c r="H464" s="56"/>
      <c r="I464" s="56"/>
      <c r="J464" s="56"/>
      <c r="K464" s="56"/>
      <c r="Q464" s="22"/>
      <c r="R464" s="191"/>
    </row>
    <row r="465" spans="2:18" ht="14.25">
      <c r="B465" s="66"/>
      <c r="G465" s="56"/>
      <c r="H465" s="56"/>
      <c r="I465" s="56"/>
      <c r="J465" s="56"/>
      <c r="K465" s="56"/>
      <c r="Q465" s="22"/>
      <c r="R465" s="191"/>
    </row>
    <row r="466" spans="2:18" ht="14.25">
      <c r="B466" s="66"/>
      <c r="G466" s="56"/>
      <c r="H466" s="56"/>
      <c r="I466" s="56"/>
      <c r="J466" s="56"/>
      <c r="K466" s="56"/>
      <c r="Q466" s="22"/>
      <c r="R466" s="191"/>
    </row>
    <row r="467" spans="2:18" ht="14.25">
      <c r="B467" s="66"/>
      <c r="G467" s="56"/>
      <c r="H467" s="56"/>
      <c r="I467" s="56"/>
      <c r="J467" s="56"/>
      <c r="K467" s="56"/>
      <c r="Q467" s="22"/>
      <c r="R467" s="191"/>
    </row>
    <row r="468" spans="2:18" ht="14.25">
      <c r="B468" s="66"/>
      <c r="G468" s="56"/>
      <c r="H468" s="56"/>
      <c r="I468" s="56"/>
      <c r="J468" s="56"/>
      <c r="K468" s="56"/>
      <c r="Q468" s="22"/>
      <c r="R468" s="191"/>
    </row>
    <row r="469" spans="2:18" ht="14.25">
      <c r="B469" s="66"/>
      <c r="G469" s="56"/>
      <c r="H469" s="56"/>
      <c r="I469" s="56"/>
      <c r="J469" s="56"/>
      <c r="K469" s="56"/>
      <c r="Q469" s="22"/>
      <c r="R469" s="191"/>
    </row>
    <row r="470" spans="2:18" ht="14.25">
      <c r="B470" s="66"/>
      <c r="G470" s="56"/>
      <c r="H470" s="56"/>
      <c r="I470" s="56"/>
      <c r="J470" s="56"/>
      <c r="K470" s="56"/>
      <c r="Q470" s="22"/>
      <c r="R470" s="191"/>
    </row>
    <row r="471" spans="2:18" ht="14.25">
      <c r="B471" s="66"/>
      <c r="G471" s="56"/>
      <c r="H471" s="56"/>
      <c r="I471" s="56"/>
      <c r="J471" s="56"/>
      <c r="K471" s="56"/>
      <c r="Q471" s="22"/>
      <c r="R471" s="191"/>
    </row>
    <row r="472" spans="2:18" ht="14.25">
      <c r="B472" s="66"/>
      <c r="G472" s="56"/>
      <c r="H472" s="56"/>
      <c r="I472" s="56"/>
      <c r="J472" s="56"/>
      <c r="K472" s="56"/>
      <c r="Q472" s="22"/>
      <c r="R472" s="191"/>
    </row>
    <row r="473" spans="2:18" ht="14.25">
      <c r="B473" s="66"/>
      <c r="G473" s="56"/>
      <c r="H473" s="56"/>
      <c r="I473" s="56"/>
      <c r="J473" s="56"/>
      <c r="K473" s="56"/>
      <c r="Q473" s="22"/>
      <c r="R473" s="191"/>
    </row>
    <row r="474" spans="2:18" ht="14.25">
      <c r="B474" s="66"/>
      <c r="G474" s="56"/>
      <c r="H474" s="56"/>
      <c r="I474" s="56"/>
      <c r="J474" s="56"/>
      <c r="K474" s="56"/>
      <c r="Q474" s="22"/>
      <c r="R474" s="191"/>
    </row>
    <row r="475" spans="2:18" ht="14.25">
      <c r="B475" s="66"/>
      <c r="G475" s="56"/>
      <c r="H475" s="56"/>
      <c r="I475" s="56"/>
      <c r="J475" s="56"/>
      <c r="K475" s="56"/>
      <c r="Q475" s="22"/>
      <c r="R475" s="191"/>
    </row>
    <row r="476" spans="2:18" ht="14.25">
      <c r="B476" s="66"/>
      <c r="G476" s="56"/>
      <c r="H476" s="56"/>
      <c r="I476" s="56"/>
      <c r="J476" s="56"/>
      <c r="K476" s="56"/>
      <c r="Q476" s="22"/>
      <c r="R476" s="191"/>
    </row>
    <row r="477" spans="2:18" ht="14.25">
      <c r="B477" s="66"/>
      <c r="G477" s="56"/>
      <c r="H477" s="56"/>
      <c r="I477" s="56"/>
      <c r="J477" s="56"/>
      <c r="K477" s="56"/>
      <c r="Q477" s="22"/>
      <c r="R477" s="191"/>
    </row>
    <row r="478" spans="2:18" ht="14.25">
      <c r="B478" s="66"/>
      <c r="G478" s="56"/>
      <c r="H478" s="56"/>
      <c r="I478" s="56"/>
      <c r="J478" s="56"/>
      <c r="K478" s="56"/>
      <c r="Q478" s="22"/>
      <c r="R478" s="191"/>
    </row>
    <row r="479" spans="2:18" ht="14.25">
      <c r="B479" s="66"/>
      <c r="G479" s="56"/>
      <c r="H479" s="56"/>
      <c r="I479" s="56"/>
      <c r="J479" s="56"/>
      <c r="K479" s="56"/>
      <c r="Q479" s="22"/>
      <c r="R479" s="191"/>
    </row>
    <row r="480" spans="2:18" ht="14.25">
      <c r="B480" s="66"/>
      <c r="G480" s="56"/>
      <c r="H480" s="56"/>
      <c r="I480" s="56"/>
      <c r="J480" s="56"/>
      <c r="K480" s="56"/>
      <c r="Q480" s="22"/>
      <c r="R480" s="191"/>
    </row>
    <row r="481" spans="2:18" ht="14.25">
      <c r="B481" s="66"/>
      <c r="G481" s="56"/>
      <c r="H481" s="56"/>
      <c r="I481" s="56"/>
      <c r="J481" s="56"/>
      <c r="K481" s="56"/>
      <c r="Q481" s="22"/>
      <c r="R481" s="191"/>
    </row>
    <row r="482" spans="2:18" ht="14.25">
      <c r="B482" s="66"/>
      <c r="G482" s="56"/>
      <c r="H482" s="56"/>
      <c r="I482" s="56"/>
      <c r="J482" s="56"/>
      <c r="K482" s="56"/>
      <c r="Q482" s="22"/>
      <c r="R482" s="191"/>
    </row>
    <row r="483" spans="2:18" ht="14.25">
      <c r="B483" s="66"/>
      <c r="G483" s="56"/>
      <c r="H483" s="56"/>
      <c r="I483" s="56"/>
      <c r="J483" s="56"/>
      <c r="K483" s="56"/>
      <c r="Q483" s="22"/>
      <c r="R483" s="191"/>
    </row>
    <row r="484" spans="2:18" ht="14.25">
      <c r="B484" s="66"/>
      <c r="G484" s="56"/>
      <c r="H484" s="56"/>
      <c r="I484" s="56"/>
      <c r="J484" s="56"/>
      <c r="K484" s="56"/>
      <c r="Q484" s="22"/>
      <c r="R484" s="191"/>
    </row>
    <row r="485" spans="2:18" ht="14.25">
      <c r="B485" s="66"/>
      <c r="G485" s="56"/>
      <c r="H485" s="56"/>
      <c r="I485" s="56"/>
      <c r="J485" s="56"/>
      <c r="K485" s="56"/>
      <c r="Q485" s="22"/>
      <c r="R485" s="191"/>
    </row>
    <row r="486" spans="2:18" ht="14.25">
      <c r="B486" s="66"/>
      <c r="G486" s="56"/>
      <c r="H486" s="56"/>
      <c r="I486" s="56"/>
      <c r="J486" s="56"/>
      <c r="K486" s="56"/>
      <c r="Q486" s="22"/>
      <c r="R486" s="191"/>
    </row>
    <row r="487" spans="2:18" ht="14.25">
      <c r="B487" s="66"/>
      <c r="G487" s="56"/>
      <c r="H487" s="56"/>
      <c r="I487" s="56"/>
      <c r="J487" s="56"/>
      <c r="K487" s="56"/>
      <c r="Q487" s="22"/>
      <c r="R487" s="191"/>
    </row>
    <row r="488" spans="2:18" ht="14.25">
      <c r="B488" s="66"/>
      <c r="G488" s="56"/>
      <c r="H488" s="56"/>
      <c r="I488" s="56"/>
      <c r="J488" s="56"/>
      <c r="K488" s="56"/>
      <c r="Q488" s="22"/>
      <c r="R488" s="191"/>
    </row>
    <row r="489" spans="2:18" ht="14.25">
      <c r="B489" s="66"/>
      <c r="G489" s="56"/>
      <c r="H489" s="56"/>
      <c r="I489" s="56"/>
      <c r="J489" s="56"/>
      <c r="K489" s="56"/>
      <c r="Q489" s="22"/>
      <c r="R489" s="191"/>
    </row>
    <row r="490" spans="2:18" ht="14.25">
      <c r="B490" s="66"/>
      <c r="G490" s="56"/>
      <c r="H490" s="56"/>
      <c r="I490" s="56"/>
      <c r="J490" s="56"/>
      <c r="K490" s="56"/>
      <c r="Q490" s="22"/>
      <c r="R490" s="191"/>
    </row>
    <row r="491" spans="2:18" ht="14.25">
      <c r="B491" s="66"/>
      <c r="G491" s="56"/>
      <c r="H491" s="56"/>
      <c r="I491" s="56"/>
      <c r="J491" s="56"/>
      <c r="K491" s="56"/>
      <c r="Q491" s="22"/>
      <c r="R491" s="191"/>
    </row>
    <row r="492" spans="2:18" ht="14.25">
      <c r="B492" s="66"/>
      <c r="G492" s="56"/>
      <c r="H492" s="56"/>
      <c r="I492" s="56"/>
      <c r="J492" s="56"/>
      <c r="K492" s="56"/>
      <c r="Q492" s="22"/>
      <c r="R492" s="191"/>
    </row>
    <row r="493" spans="2:18" ht="14.25">
      <c r="B493" s="66"/>
      <c r="G493" s="56"/>
      <c r="H493" s="56"/>
      <c r="I493" s="56"/>
      <c r="J493" s="56"/>
      <c r="K493" s="56"/>
      <c r="Q493" s="22"/>
      <c r="R493" s="191"/>
    </row>
    <row r="494" spans="2:18" ht="14.25">
      <c r="B494" s="66"/>
      <c r="G494" s="56"/>
      <c r="H494" s="56"/>
      <c r="I494" s="56"/>
      <c r="J494" s="56"/>
      <c r="K494" s="56"/>
      <c r="Q494" s="22"/>
      <c r="R494" s="191"/>
    </row>
    <row r="495" spans="2:18" ht="14.25">
      <c r="B495" s="66"/>
      <c r="G495" s="56"/>
      <c r="H495" s="56"/>
      <c r="I495" s="56"/>
      <c r="J495" s="56"/>
      <c r="K495" s="56"/>
      <c r="Q495" s="22"/>
      <c r="R495" s="191"/>
    </row>
    <row r="496" spans="2:18" ht="14.25">
      <c r="B496" s="66"/>
      <c r="G496" s="56"/>
      <c r="H496" s="56"/>
      <c r="I496" s="56"/>
      <c r="J496" s="56"/>
      <c r="K496" s="56"/>
      <c r="Q496" s="22"/>
      <c r="R496" s="191"/>
    </row>
    <row r="497" spans="2:18" ht="14.25">
      <c r="B497" s="66"/>
      <c r="G497" s="56"/>
      <c r="H497" s="56"/>
      <c r="I497" s="56"/>
      <c r="J497" s="56"/>
      <c r="K497" s="56"/>
      <c r="Q497" s="22"/>
      <c r="R497" s="191"/>
    </row>
    <row r="498" spans="2:18" ht="14.25">
      <c r="B498" s="66"/>
      <c r="G498" s="56"/>
      <c r="H498" s="56"/>
      <c r="I498" s="56"/>
      <c r="J498" s="56"/>
      <c r="K498" s="56"/>
      <c r="Q498" s="22"/>
      <c r="R498" s="191"/>
    </row>
    <row r="499" spans="2:18" ht="14.25">
      <c r="B499" s="66"/>
      <c r="G499" s="56"/>
      <c r="H499" s="56"/>
      <c r="I499" s="56"/>
      <c r="J499" s="56"/>
      <c r="K499" s="56"/>
      <c r="Q499" s="22"/>
      <c r="R499" s="191"/>
    </row>
    <row r="500" spans="2:18" ht="14.25">
      <c r="B500" s="66"/>
      <c r="G500" s="56"/>
      <c r="H500" s="56"/>
      <c r="I500" s="56"/>
      <c r="J500" s="56"/>
      <c r="K500" s="56"/>
      <c r="Q500" s="22"/>
      <c r="R500" s="191"/>
    </row>
    <row r="501" spans="2:18" ht="14.25">
      <c r="B501" s="66"/>
      <c r="G501" s="56"/>
      <c r="H501" s="56"/>
      <c r="I501" s="56"/>
      <c r="J501" s="56"/>
      <c r="K501" s="56"/>
      <c r="Q501" s="22"/>
      <c r="R501" s="191"/>
    </row>
    <row r="502" spans="2:18" ht="14.25">
      <c r="B502" s="66"/>
      <c r="G502" s="56"/>
      <c r="H502" s="56"/>
      <c r="I502" s="56"/>
      <c r="J502" s="56"/>
      <c r="K502" s="56"/>
      <c r="Q502" s="22"/>
      <c r="R502" s="191"/>
    </row>
    <row r="503" spans="2:18" ht="14.25">
      <c r="B503" s="66"/>
      <c r="G503" s="56"/>
      <c r="H503" s="56"/>
      <c r="I503" s="56"/>
      <c r="J503" s="56"/>
      <c r="K503" s="56"/>
      <c r="Q503" s="22"/>
      <c r="R503" s="191"/>
    </row>
  </sheetData>
  <mergeCells count="31">
    <mergeCell ref="A21:A22"/>
    <mergeCell ref="B21:B22"/>
    <mergeCell ref="C21:C22"/>
    <mergeCell ref="D21:D22"/>
    <mergeCell ref="E21:E22"/>
    <mergeCell ref="F21:F22"/>
    <mergeCell ref="H21:J21"/>
    <mergeCell ref="K21:O21"/>
    <mergeCell ref="P21:P22"/>
    <mergeCell ref="R21:R22"/>
    <mergeCell ref="I6:M6"/>
    <mergeCell ref="I7:M7"/>
    <mergeCell ref="I8:M8"/>
    <mergeCell ref="I9:M9"/>
    <mergeCell ref="I1:M1"/>
    <mergeCell ref="I2:M2"/>
    <mergeCell ref="I3:M3"/>
    <mergeCell ref="I4:M4"/>
    <mergeCell ref="I5:M5"/>
    <mergeCell ref="C1:D1"/>
    <mergeCell ref="C6:D6"/>
    <mergeCell ref="C3:D3"/>
    <mergeCell ref="C2:D2"/>
    <mergeCell ref="C5:D5"/>
    <mergeCell ref="C4:D4"/>
    <mergeCell ref="C12:D12"/>
    <mergeCell ref="C7:D7"/>
    <mergeCell ref="C8:D8"/>
    <mergeCell ref="C9:D9"/>
    <mergeCell ref="C10:D10"/>
    <mergeCell ref="C11:D11"/>
  </mergeCells>
  <conditionalFormatting sqref="B1:B1048576">
    <cfRule type="containsText" dxfId="2" priority="1" operator="containsText" text="191">
      <formula>NOT(ISERROR(SEARCH("191",B1)))</formula>
    </cfRule>
    <cfRule type="containsText" dxfId="1" priority="2" operator="containsText" text="185">
      <formula>NOT(ISERROR(SEARCH("185",B1)))</formula>
    </cfRule>
  </conditionalFormatting>
  <conditionalFormatting sqref="G21:G22">
    <cfRule type="duplicateValues" dxfId="0" priority="32"/>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2:H81"/>
  <sheetViews>
    <sheetView topLeftCell="A45" workbookViewId="0">
      <selection activeCell="O49" sqref="O49"/>
    </sheetView>
  </sheetViews>
  <sheetFormatPr defaultColWidth="8.6875" defaultRowHeight="13.5"/>
  <cols>
    <col min="4" max="4" width="28.5625" customWidth="1"/>
    <col min="8" max="8" width="12.125" customWidth="1"/>
  </cols>
  <sheetData>
    <row r="2" spans="4:8">
      <c r="D2" t="s">
        <v>371</v>
      </c>
      <c r="E2">
        <f>COUNTIF('six months follow-up_in person'!B33:B273, "Ange Munezero")</f>
        <v>18</v>
      </c>
    </row>
    <row r="3" spans="4:8">
      <c r="D3" t="s">
        <v>423</v>
      </c>
      <c r="E3">
        <f>COUNTIF('six months follow-up_in person'!B33:B273, "Diane Niwekirezi")</f>
        <v>41</v>
      </c>
    </row>
    <row r="4" spans="4:8">
      <c r="D4" t="s">
        <v>493</v>
      </c>
      <c r="E4">
        <f>COUNTIF('six months follow-up_in person'!B33:B273, "Teta Gisele")</f>
        <v>111</v>
      </c>
    </row>
    <row r="12" spans="4:8" ht="13.9" thickBot="1"/>
    <row r="13" spans="4:8" ht="14.25" thickBot="1">
      <c r="E13" s="582" t="s">
        <v>670</v>
      </c>
      <c r="F13" s="583" t="s">
        <v>671</v>
      </c>
      <c r="G13" s="588" t="s">
        <v>672</v>
      </c>
      <c r="H13" s="589" t="s">
        <v>675</v>
      </c>
    </row>
    <row r="14" spans="4:8" ht="13.9" thickBot="1">
      <c r="D14" s="584" t="s">
        <v>676</v>
      </c>
      <c r="E14" s="566">
        <v>0.45</v>
      </c>
      <c r="F14" s="569">
        <v>0.38</v>
      </c>
      <c r="G14" s="590">
        <f ca="1">' Analysis_Stats_in person'!X7</f>
        <v>0.25311203319502074</v>
      </c>
      <c r="H14" s="591">
        <v>0.33</v>
      </c>
    </row>
    <row r="15" spans="4:8" ht="13.9" thickBot="1">
      <c r="D15" s="586" t="s">
        <v>677</v>
      </c>
      <c r="E15" s="567">
        <v>0.42</v>
      </c>
      <c r="F15" s="570">
        <v>0.14000000000000001</v>
      </c>
      <c r="G15" s="590">
        <f ca="1">' Analysis_Stats_in person'!X8</f>
        <v>9.0163934426229511E-2</v>
      </c>
      <c r="H15" s="591">
        <v>0.38</v>
      </c>
    </row>
    <row r="16" spans="4:8" ht="13.9" thickBot="1">
      <c r="D16" s="586" t="s">
        <v>678</v>
      </c>
      <c r="E16" s="566">
        <v>0.22</v>
      </c>
      <c r="F16" s="570">
        <v>0.02</v>
      </c>
      <c r="G16" s="346">
        <f>' Analysis_Stats_in person'!X10</f>
        <v>2.4896265560165973E-2</v>
      </c>
      <c r="H16" s="591">
        <v>0.12</v>
      </c>
    </row>
    <row r="17" spans="4:8" ht="13.9" thickBot="1">
      <c r="D17" s="586" t="s">
        <v>636</v>
      </c>
      <c r="E17" s="566">
        <v>0.94</v>
      </c>
      <c r="F17" s="570">
        <v>0.82</v>
      </c>
      <c r="G17" s="590">
        <f>' Analysis_Stats_in person'!X11</f>
        <v>0.85477178423236511</v>
      </c>
      <c r="H17" s="591">
        <v>0.89</v>
      </c>
    </row>
    <row r="18" spans="4:8" ht="13.9" thickBot="1">
      <c r="D18" s="585" t="s">
        <v>632</v>
      </c>
      <c r="E18" s="568">
        <v>0.94</v>
      </c>
      <c r="F18" s="572">
        <v>0.84</v>
      </c>
      <c r="G18" s="590">
        <f>' Analysis_Stats_in person'!X12</f>
        <v>0.88381742738589208</v>
      </c>
      <c r="H18" s="591">
        <v>0.91</v>
      </c>
    </row>
    <row r="43" spans="4:5" ht="13.9" thickBot="1"/>
    <row r="44" spans="4:5" ht="13.9" thickBot="1">
      <c r="D44" s="563" t="s">
        <v>633</v>
      </c>
      <c r="E44" s="570">
        <f ca="1">G14</f>
        <v>0.25311203319502074</v>
      </c>
    </row>
    <row r="45" spans="4:5" ht="13.9" thickBot="1">
      <c r="D45" s="564" t="s">
        <v>634</v>
      </c>
      <c r="E45" s="570">
        <f ca="1">G15</f>
        <v>9.0163934426229511E-2</v>
      </c>
    </row>
    <row r="46" spans="4:5" ht="13.9" thickBot="1">
      <c r="D46" s="564" t="s">
        <v>635</v>
      </c>
      <c r="E46" s="570">
        <f>G16</f>
        <v>2.4896265560165973E-2</v>
      </c>
    </row>
    <row r="47" spans="4:5" ht="13.9" thickBot="1">
      <c r="D47" s="564" t="s">
        <v>636</v>
      </c>
      <c r="E47" s="570">
        <f>G17</f>
        <v>0.85477178423236511</v>
      </c>
    </row>
    <row r="48" spans="4:5" ht="13.9" thickBot="1">
      <c r="D48" s="565" t="s">
        <v>637</v>
      </c>
      <c r="E48" s="570">
        <f>G18</f>
        <v>0.88381742738589208</v>
      </c>
    </row>
    <row r="75" spans="4:7" ht="13.9" thickBot="1">
      <c r="E75" t="s">
        <v>90</v>
      </c>
      <c r="F75" t="s">
        <v>1</v>
      </c>
      <c r="G75" t="s">
        <v>91</v>
      </c>
    </row>
    <row r="76" spans="4:7" ht="13.9" thickBot="1">
      <c r="D76" s="563" t="s">
        <v>628</v>
      </c>
      <c r="E76" s="566">
        <v>0.45</v>
      </c>
      <c r="F76" s="569">
        <v>0.38</v>
      </c>
      <c r="G76" s="570">
        <v>0.21</v>
      </c>
    </row>
    <row r="77" spans="4:7" ht="13.9" thickBot="1">
      <c r="D77" s="564" t="s">
        <v>629</v>
      </c>
      <c r="E77" s="567">
        <v>0.35</v>
      </c>
      <c r="F77" s="570">
        <v>0.14000000000000001</v>
      </c>
      <c r="G77" s="573">
        <v>0.06</v>
      </c>
    </row>
    <row r="78" spans="4:7" ht="13.9" thickBot="1">
      <c r="D78" s="564" t="s">
        <v>630</v>
      </c>
      <c r="E78" s="566">
        <v>7.0000000000000007E-2</v>
      </c>
      <c r="F78" s="571">
        <v>0</v>
      </c>
      <c r="G78" s="570">
        <v>0</v>
      </c>
    </row>
    <row r="79" spans="4:7" ht="13.9" thickBot="1">
      <c r="D79" s="564" t="s">
        <v>631</v>
      </c>
      <c r="E79" s="567">
        <v>0.22</v>
      </c>
      <c r="F79" s="570">
        <v>0.02</v>
      </c>
      <c r="G79" s="574">
        <v>0.02</v>
      </c>
    </row>
    <row r="80" spans="4:7" ht="13.9" thickBot="1">
      <c r="D80" s="564" t="s">
        <v>87</v>
      </c>
      <c r="E80" s="566">
        <v>0.94</v>
      </c>
      <c r="F80" s="570">
        <v>0.82</v>
      </c>
      <c r="G80" s="570">
        <v>0.84</v>
      </c>
    </row>
    <row r="81" spans="4:7" ht="13.9" thickBot="1">
      <c r="D81" s="565" t="s">
        <v>632</v>
      </c>
      <c r="E81" s="568">
        <v>0.94</v>
      </c>
      <c r="F81" s="572">
        <v>0.84</v>
      </c>
      <c r="G81" s="570">
        <v>0.86</v>
      </c>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L12"/>
  <sheetViews>
    <sheetView workbookViewId="0">
      <selection activeCell="D7" sqref="D7"/>
    </sheetView>
  </sheetViews>
  <sheetFormatPr defaultColWidth="8.6875" defaultRowHeight="13.5"/>
  <cols>
    <col min="3" max="3" width="18.125" customWidth="1"/>
    <col min="4" max="4" width="13.875" customWidth="1"/>
    <col min="5" max="5" width="12.4375" customWidth="1"/>
    <col min="6" max="6" width="7.5625" customWidth="1"/>
    <col min="7" max="7" width="11.125" customWidth="1"/>
    <col min="8" max="8" width="11.4375" customWidth="1"/>
    <col min="9" max="9" width="10.4375" customWidth="1"/>
    <col min="10" max="10" width="14.125" customWidth="1"/>
    <col min="12" max="12" width="14.125" customWidth="1"/>
  </cols>
  <sheetData>
    <row r="4" spans="2:12" ht="13.9" thickBot="1"/>
    <row r="5" spans="2:12" ht="21.4" thickBot="1">
      <c r="B5" s="3"/>
      <c r="C5" s="3"/>
      <c r="D5" s="626" t="s">
        <v>142</v>
      </c>
      <c r="E5" s="627"/>
      <c r="F5" s="628"/>
      <c r="G5" s="643" t="s">
        <v>143</v>
      </c>
      <c r="H5" s="644"/>
      <c r="I5" s="645"/>
      <c r="J5" s="646" t="s">
        <v>108</v>
      </c>
      <c r="K5" s="647"/>
      <c r="L5" s="648"/>
    </row>
    <row r="6" spans="2:12" ht="31.9" thickBot="1">
      <c r="B6" s="599" t="s">
        <v>112</v>
      </c>
      <c r="C6" s="600"/>
      <c r="D6" s="280" t="s">
        <v>107</v>
      </c>
      <c r="E6" s="282" t="s">
        <v>109</v>
      </c>
      <c r="F6" s="280" t="s">
        <v>78</v>
      </c>
      <c r="G6" s="279" t="s">
        <v>107</v>
      </c>
      <c r="H6" s="280" t="s">
        <v>109</v>
      </c>
      <c r="I6" s="281" t="s">
        <v>78</v>
      </c>
      <c r="J6" s="279" t="s">
        <v>107</v>
      </c>
      <c r="K6" s="280" t="s">
        <v>109</v>
      </c>
      <c r="L6" s="281" t="s">
        <v>78</v>
      </c>
    </row>
    <row r="7" spans="2:12" ht="14.25">
      <c r="B7" s="601" t="s">
        <v>94</v>
      </c>
      <c r="C7" s="602"/>
      <c r="D7" s="283">
        <v>28</v>
      </c>
      <c r="E7" s="253">
        <v>166</v>
      </c>
      <c r="F7" s="447">
        <v>0.16867469879518071</v>
      </c>
      <c r="G7" s="448">
        <v>22</v>
      </c>
      <c r="H7" s="449">
        <v>92</v>
      </c>
      <c r="I7" s="450">
        <v>0.2391304347826087</v>
      </c>
      <c r="J7" s="451">
        <v>50</v>
      </c>
      <c r="K7" s="289">
        <v>258</v>
      </c>
      <c r="L7" s="450">
        <v>0.19379844961240311</v>
      </c>
    </row>
    <row r="8" spans="2:12" ht="14.25">
      <c r="B8" s="603" t="s">
        <v>95</v>
      </c>
      <c r="C8" s="604"/>
      <c r="D8" s="283">
        <v>12</v>
      </c>
      <c r="E8" s="253">
        <v>148</v>
      </c>
      <c r="F8" s="447">
        <v>8.1081081081081086E-2</v>
      </c>
      <c r="G8" s="448">
        <v>32</v>
      </c>
      <c r="H8" s="283">
        <v>116</v>
      </c>
      <c r="I8" s="450">
        <v>0.27586206896551724</v>
      </c>
      <c r="J8" s="451">
        <v>44</v>
      </c>
      <c r="K8" s="289">
        <v>264</v>
      </c>
      <c r="L8" s="450">
        <v>0.16666666666666666</v>
      </c>
    </row>
    <row r="9" spans="2:12" ht="14.25">
      <c r="B9" s="603" t="s">
        <v>96</v>
      </c>
      <c r="C9" s="604"/>
      <c r="D9" s="283">
        <v>4</v>
      </c>
      <c r="E9" s="253">
        <v>148</v>
      </c>
      <c r="F9" s="447">
        <v>2.7027027027027029E-2</v>
      </c>
      <c r="G9" s="448">
        <v>9</v>
      </c>
      <c r="H9" s="283">
        <v>97</v>
      </c>
      <c r="I9" s="450">
        <v>9.2783505154639179E-2</v>
      </c>
      <c r="J9" s="451">
        <v>13</v>
      </c>
      <c r="K9" s="289">
        <v>245</v>
      </c>
      <c r="L9" s="450">
        <v>5.3061224489795916E-2</v>
      </c>
    </row>
    <row r="10" spans="2:12" ht="14.25">
      <c r="B10" s="603" t="s">
        <v>111</v>
      </c>
      <c r="C10" s="604"/>
      <c r="D10" s="283">
        <v>26</v>
      </c>
      <c r="E10" s="253">
        <v>194</v>
      </c>
      <c r="F10" s="447">
        <v>0.13402061855670103</v>
      </c>
      <c r="G10" s="448">
        <v>31</v>
      </c>
      <c r="H10" s="283">
        <v>134</v>
      </c>
      <c r="I10" s="450">
        <v>0.23134328358208955</v>
      </c>
      <c r="J10" s="451">
        <v>57</v>
      </c>
      <c r="K10" s="289">
        <v>328</v>
      </c>
      <c r="L10" s="450">
        <v>0.17378048780487804</v>
      </c>
    </row>
    <row r="11" spans="2:12" ht="14.25">
      <c r="B11" s="603" t="s">
        <v>110</v>
      </c>
      <c r="C11" s="604"/>
      <c r="D11" s="283">
        <v>162</v>
      </c>
      <c r="E11" s="253">
        <v>194</v>
      </c>
      <c r="F11" s="447">
        <v>0.83505154639175261</v>
      </c>
      <c r="G11" s="448">
        <v>117</v>
      </c>
      <c r="H11" s="283">
        <v>134</v>
      </c>
      <c r="I11" s="450">
        <v>0.87313432835820892</v>
      </c>
      <c r="J11" s="451">
        <v>279</v>
      </c>
      <c r="K11" s="289">
        <v>328</v>
      </c>
      <c r="L11" s="450">
        <v>0.85060975609756095</v>
      </c>
    </row>
    <row r="12" spans="2:12" ht="14.65" thickBot="1">
      <c r="B12" s="613" t="s">
        <v>31</v>
      </c>
      <c r="C12" s="614"/>
      <c r="D12" s="290">
        <v>177</v>
      </c>
      <c r="E12" s="291">
        <v>194</v>
      </c>
      <c r="F12" s="452">
        <v>0.91237113402061853</v>
      </c>
      <c r="G12" s="453">
        <v>121</v>
      </c>
      <c r="H12" s="454">
        <v>134</v>
      </c>
      <c r="I12" s="455">
        <v>0.90298507462686572</v>
      </c>
      <c r="J12" s="456">
        <v>298</v>
      </c>
      <c r="K12" s="296">
        <v>328</v>
      </c>
      <c r="L12" s="455">
        <v>0.90853658536585369</v>
      </c>
    </row>
  </sheetData>
  <mergeCells count="10">
    <mergeCell ref="B9:C9"/>
    <mergeCell ref="B10:C10"/>
    <mergeCell ref="B11:C11"/>
    <mergeCell ref="B12:C12"/>
    <mergeCell ref="D5:F5"/>
    <mergeCell ref="G5:I5"/>
    <mergeCell ref="J5:L5"/>
    <mergeCell ref="B6:C6"/>
    <mergeCell ref="B7:C7"/>
    <mergeCell ref="B8:C8"/>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665"/>
  <sheetViews>
    <sheetView topLeftCell="A11" workbookViewId="0">
      <selection activeCell="B21" sqref="B21"/>
    </sheetView>
  </sheetViews>
  <sheetFormatPr defaultColWidth="11" defaultRowHeight="13.5"/>
  <cols>
    <col min="4" max="4" width="24.5625" customWidth="1"/>
    <col min="6" max="6" width="34.875" customWidth="1"/>
    <col min="16" max="16" width="17.875" customWidth="1"/>
  </cols>
  <sheetData>
    <row r="1" spans="1:26" ht="31.8" customHeight="1">
      <c r="B1" s="82"/>
      <c r="C1" s="183" t="s">
        <v>77</v>
      </c>
      <c r="D1" s="693" t="s">
        <v>116</v>
      </c>
      <c r="E1" s="698"/>
      <c r="F1" s="182" t="s">
        <v>58</v>
      </c>
      <c r="G1" s="193" t="s">
        <v>98</v>
      </c>
      <c r="H1" s="193" t="s">
        <v>100</v>
      </c>
      <c r="I1" s="193" t="s">
        <v>101</v>
      </c>
    </row>
    <row r="2" spans="1:26" ht="14.25">
      <c r="A2" s="353">
        <v>0.6</v>
      </c>
      <c r="B2" s="82">
        <v>1</v>
      </c>
      <c r="C2" s="182">
        <v>1</v>
      </c>
      <c r="D2" s="387"/>
      <c r="E2" s="387"/>
      <c r="F2" s="277"/>
      <c r="G2" s="277"/>
      <c r="H2" s="277"/>
      <c r="I2" s="370"/>
      <c r="K2" s="415" t="s">
        <v>0</v>
      </c>
    </row>
    <row r="3" spans="1:26" ht="14.25">
      <c r="B3" s="82">
        <v>2</v>
      </c>
      <c r="C3" s="182">
        <v>2</v>
      </c>
      <c r="D3" s="417"/>
      <c r="E3" s="386"/>
      <c r="F3" s="383"/>
      <c r="G3" s="383"/>
      <c r="H3" s="383"/>
      <c r="I3" s="384"/>
      <c r="K3" s="415" t="s">
        <v>2</v>
      </c>
      <c r="L3" t="e">
        <f>COUNTIF('One year follow-up_Virtual'!#REF!, "Female")</f>
        <v>#REF!</v>
      </c>
    </row>
    <row r="4" spans="1:26" ht="15.4">
      <c r="B4" s="82">
        <v>3</v>
      </c>
      <c r="C4" s="182">
        <v>3</v>
      </c>
      <c r="D4" s="399"/>
      <c r="E4" s="400"/>
      <c r="F4" s="401"/>
      <c r="G4" s="277"/>
      <c r="H4" s="277"/>
      <c r="I4" s="370"/>
      <c r="K4" s="415" t="s">
        <v>4</v>
      </c>
      <c r="L4" t="e">
        <f>COUNTIF('One year follow-up_Virtual'!#REF!, "Male")</f>
        <v>#REF!</v>
      </c>
    </row>
    <row r="5" spans="1:26" ht="15.4">
      <c r="B5" s="82">
        <v>4</v>
      </c>
      <c r="C5" s="182">
        <v>4</v>
      </c>
      <c r="D5" s="402"/>
      <c r="E5" s="403"/>
      <c r="F5" s="395"/>
      <c r="G5" s="364"/>
      <c r="H5" s="364"/>
      <c r="I5" s="365"/>
      <c r="K5" s="415" t="s">
        <v>89</v>
      </c>
      <c r="L5" t="e">
        <f>SUM(L3:L4)</f>
        <v>#REF!</v>
      </c>
    </row>
    <row r="6" spans="1:26" ht="15.4">
      <c r="B6" s="82">
        <v>5</v>
      </c>
      <c r="C6" s="182">
        <v>5</v>
      </c>
      <c r="D6" s="404"/>
      <c r="E6" s="404"/>
      <c r="F6" s="401"/>
      <c r="G6" s="364"/>
      <c r="H6" s="364"/>
      <c r="I6" s="365"/>
    </row>
    <row r="7" spans="1:26" ht="15.4">
      <c r="B7" s="82">
        <v>6</v>
      </c>
      <c r="C7" s="182">
        <v>6</v>
      </c>
      <c r="D7" s="405"/>
      <c r="E7" s="405"/>
      <c r="F7" s="393"/>
      <c r="G7" s="364"/>
      <c r="H7" s="364"/>
      <c r="I7" s="365"/>
    </row>
    <row r="8" spans="1:26" ht="14.25">
      <c r="A8" s="93"/>
      <c r="B8" s="94"/>
      <c r="C8" s="93"/>
      <c r="D8" s="93"/>
      <c r="E8" s="95"/>
      <c r="F8" s="97" t="s">
        <v>33</v>
      </c>
      <c r="G8" s="97"/>
      <c r="H8" s="97"/>
      <c r="I8" s="97"/>
      <c r="J8" s="97"/>
      <c r="K8" s="98"/>
      <c r="L8" s="93"/>
      <c r="M8" s="93"/>
      <c r="N8" s="93"/>
      <c r="O8" s="94"/>
      <c r="P8" s="93"/>
      <c r="Q8" s="96"/>
      <c r="R8" s="93"/>
      <c r="S8" s="93"/>
      <c r="T8" s="93"/>
      <c r="U8" s="93"/>
      <c r="V8" s="93"/>
      <c r="W8" s="93"/>
      <c r="X8" s="93"/>
      <c r="Y8" s="93"/>
      <c r="Z8" s="93"/>
    </row>
    <row r="9" spans="1:26" ht="14.25">
      <c r="A9" s="93"/>
      <c r="B9" s="94"/>
      <c r="C9" s="93"/>
      <c r="D9" s="93"/>
      <c r="E9" s="95"/>
      <c r="F9" s="99" t="s">
        <v>22</v>
      </c>
      <c r="G9" s="100">
        <f>SUM(H2:H7)</f>
        <v>0</v>
      </c>
      <c r="H9" s="101" t="e">
        <f>G9=#REF!</f>
        <v>#REF!</v>
      </c>
      <c r="I9" s="101"/>
      <c r="J9" s="101"/>
      <c r="K9" s="102"/>
      <c r="L9" s="93"/>
      <c r="M9" s="93"/>
      <c r="N9" s="93"/>
      <c r="O9" s="94"/>
      <c r="P9" s="93"/>
      <c r="Q9" s="96"/>
      <c r="R9" s="93"/>
      <c r="S9" s="93"/>
      <c r="T9" s="93"/>
      <c r="U9" s="93"/>
      <c r="V9" s="93"/>
      <c r="W9" s="93"/>
      <c r="X9" s="93"/>
      <c r="Y9" s="93"/>
      <c r="Z9" s="93"/>
    </row>
    <row r="10" spans="1:26" ht="14.65" thickBot="1">
      <c r="A10" s="93"/>
      <c r="B10" s="103"/>
      <c r="C10" s="93"/>
      <c r="D10" s="93"/>
      <c r="E10" s="104"/>
      <c r="F10" s="105"/>
      <c r="G10" s="105"/>
      <c r="H10" s="105"/>
      <c r="I10" s="105"/>
      <c r="J10" s="105"/>
      <c r="K10" s="95"/>
      <c r="L10" s="93"/>
      <c r="M10" s="93"/>
      <c r="N10" s="93"/>
      <c r="O10" s="94"/>
      <c r="P10" s="93"/>
      <c r="Q10" s="96"/>
      <c r="R10" s="93"/>
      <c r="S10" s="93"/>
      <c r="T10" s="93"/>
      <c r="U10" s="93"/>
      <c r="V10" s="93"/>
      <c r="W10" s="93"/>
      <c r="X10" s="93"/>
      <c r="Y10" s="93"/>
      <c r="Z10" s="93"/>
    </row>
    <row r="11" spans="1:26" ht="182" customHeight="1" thickBot="1">
      <c r="A11" s="705" t="s">
        <v>23</v>
      </c>
      <c r="B11" s="707" t="s">
        <v>24</v>
      </c>
      <c r="C11" s="709" t="s">
        <v>25</v>
      </c>
      <c r="D11" s="711" t="s">
        <v>0</v>
      </c>
      <c r="E11" s="709" t="s">
        <v>26</v>
      </c>
      <c r="F11" s="711" t="s">
        <v>27</v>
      </c>
      <c r="G11" s="699" t="s">
        <v>74</v>
      </c>
      <c r="H11" s="700"/>
      <c r="I11" s="701"/>
      <c r="J11" s="702" t="s">
        <v>28</v>
      </c>
      <c r="K11" s="703"/>
      <c r="L11" s="703"/>
      <c r="M11" s="703"/>
      <c r="N11" s="704"/>
      <c r="O11" s="167" t="s">
        <v>31</v>
      </c>
      <c r="P11" s="168" t="s">
        <v>34</v>
      </c>
      <c r="Q11" s="167" t="s">
        <v>35</v>
      </c>
    </row>
    <row r="12" spans="1:26" ht="71.650000000000006" thickBot="1">
      <c r="A12" s="706"/>
      <c r="B12" s="708"/>
      <c r="C12" s="710"/>
      <c r="D12" s="712"/>
      <c r="E12" s="710"/>
      <c r="F12" s="712"/>
      <c r="G12" s="301" t="str">
        <f>'Six months follow-up_Virtual'!I16</f>
        <v>Increase in self-awareness and confidence</v>
      </c>
      <c r="H12" s="302" t="str">
        <f>'Six months follow-up_Virtual'!J16</f>
        <v xml:space="preserve">Increase in decision making power </v>
      </c>
      <c r="I12" s="302" t="str">
        <f>'Six months follow-up_Virtual'!K16</f>
        <v xml:space="preserve">Increase in resilience </v>
      </c>
      <c r="J12" s="303" t="s">
        <v>87</v>
      </c>
      <c r="K12" s="297" t="str">
        <f>'Six months follow-up_Virtual'!M16</f>
        <v>Started a Business</v>
      </c>
      <c r="L12" s="298" t="str">
        <f>'Six months follow-up_Virtual'!N16</f>
        <v>Got a Job/Promotion</v>
      </c>
      <c r="M12" s="299" t="str">
        <f>'Six months follow-up_Virtual'!O16</f>
        <v>Got an Academic Opportunity</v>
      </c>
      <c r="N12" s="300" t="str">
        <f>'Six months follow-up_Virtual'!P16</f>
        <v>Got a Leadership role</v>
      </c>
      <c r="O12" s="170"/>
      <c r="P12" s="169"/>
      <c r="Q12" s="170"/>
    </row>
    <row r="13" spans="1:26" ht="14.25">
      <c r="B13" s="103"/>
      <c r="F13" s="107"/>
      <c r="G13" s="107"/>
      <c r="H13" s="107"/>
      <c r="I13" s="107"/>
      <c r="J13" s="107"/>
      <c r="P13" s="106"/>
      <c r="Q13" s="108"/>
    </row>
    <row r="14" spans="1:26" ht="14.25">
      <c r="B14" s="103"/>
      <c r="F14" s="107"/>
      <c r="G14" s="107"/>
      <c r="H14" s="107"/>
      <c r="I14" s="107"/>
      <c r="J14" s="107"/>
      <c r="P14" s="106"/>
      <c r="Q14" s="108"/>
    </row>
    <row r="15" spans="1:26" ht="14.25">
      <c r="B15" s="103"/>
      <c r="F15" s="107"/>
      <c r="G15" s="107"/>
      <c r="H15" s="107"/>
      <c r="I15" s="107"/>
      <c r="J15" s="107"/>
      <c r="P15" s="106"/>
      <c r="Q15" s="108"/>
    </row>
    <row r="16" spans="1:26" ht="14.25">
      <c r="B16" s="103"/>
      <c r="F16" s="107"/>
      <c r="G16" s="107"/>
      <c r="H16" s="107"/>
      <c r="I16" s="107"/>
      <c r="J16" s="107"/>
      <c r="P16" s="106"/>
      <c r="Q16" s="108"/>
    </row>
    <row r="17" spans="2:17" ht="14.25">
      <c r="B17" s="103"/>
      <c r="F17" s="107"/>
      <c r="G17" s="107"/>
      <c r="H17" s="107"/>
      <c r="I17" s="107"/>
      <c r="J17" s="107"/>
      <c r="P17" s="93"/>
      <c r="Q17" s="108"/>
    </row>
    <row r="18" spans="2:17" ht="14.25">
      <c r="B18" s="103"/>
      <c r="F18" s="107"/>
      <c r="G18" s="107"/>
      <c r="H18" s="107"/>
      <c r="I18" s="107"/>
      <c r="J18" s="107"/>
      <c r="P18" s="93"/>
      <c r="Q18" s="108"/>
    </row>
    <row r="19" spans="2:17" ht="14.25">
      <c r="B19" s="103"/>
      <c r="F19" s="107"/>
      <c r="G19" s="107"/>
      <c r="H19" s="107"/>
      <c r="I19" s="107"/>
      <c r="J19" s="107"/>
      <c r="P19" s="93"/>
      <c r="Q19" s="108"/>
    </row>
    <row r="20" spans="2:17" ht="14.25">
      <c r="B20" s="103"/>
      <c r="F20" s="107"/>
      <c r="G20" s="107"/>
      <c r="H20" s="107"/>
      <c r="I20" s="107"/>
      <c r="J20" s="107"/>
      <c r="P20" s="93"/>
      <c r="Q20" s="108"/>
    </row>
    <row r="21" spans="2:17" ht="14.25">
      <c r="B21" s="103"/>
      <c r="F21" s="107"/>
      <c r="G21" s="107"/>
      <c r="H21" s="107"/>
      <c r="I21" s="107"/>
      <c r="J21" s="107"/>
      <c r="P21" s="93"/>
      <c r="Q21" s="108"/>
    </row>
    <row r="22" spans="2:17" ht="14.25">
      <c r="B22" s="103"/>
      <c r="F22" s="107"/>
      <c r="G22" s="107"/>
      <c r="H22" s="107"/>
      <c r="I22" s="107"/>
      <c r="J22" s="107"/>
      <c r="P22" s="93"/>
      <c r="Q22" s="108"/>
    </row>
    <row r="23" spans="2:17" ht="14.25">
      <c r="B23" s="103"/>
      <c r="F23" s="107"/>
      <c r="G23" s="107"/>
      <c r="H23" s="107"/>
      <c r="I23" s="107"/>
      <c r="J23" s="107"/>
      <c r="P23" s="93"/>
      <c r="Q23" s="108"/>
    </row>
    <row r="24" spans="2:17" ht="14.25">
      <c r="B24" s="103"/>
      <c r="F24" s="107"/>
      <c r="G24" s="107"/>
      <c r="H24" s="107"/>
      <c r="I24" s="107"/>
      <c r="J24" s="107"/>
      <c r="P24" s="93"/>
      <c r="Q24" s="108"/>
    </row>
    <row r="25" spans="2:17" ht="14.25">
      <c r="B25" s="103"/>
      <c r="F25" s="107"/>
      <c r="G25" s="107"/>
      <c r="H25" s="107"/>
      <c r="I25" s="107"/>
      <c r="J25" s="107"/>
      <c r="P25" s="93"/>
      <c r="Q25" s="108"/>
    </row>
    <row r="26" spans="2:17" ht="14.25">
      <c r="B26" s="103"/>
      <c r="F26" s="107"/>
      <c r="G26" s="107"/>
      <c r="H26" s="107"/>
      <c r="I26" s="107"/>
      <c r="J26" s="107"/>
      <c r="P26" s="93"/>
      <c r="Q26" s="108"/>
    </row>
    <row r="27" spans="2:17" ht="14.25">
      <c r="B27" s="103"/>
      <c r="F27" s="107"/>
      <c r="G27" s="107"/>
      <c r="H27" s="107"/>
      <c r="I27" s="107"/>
      <c r="J27" s="107"/>
      <c r="P27" s="93"/>
      <c r="Q27" s="108"/>
    </row>
    <row r="28" spans="2:17" ht="14.25">
      <c r="B28" s="103"/>
      <c r="F28" s="107"/>
      <c r="G28" s="107"/>
      <c r="H28" s="107"/>
      <c r="I28" s="107"/>
      <c r="J28" s="107"/>
      <c r="P28" s="93"/>
      <c r="Q28" s="108"/>
    </row>
    <row r="29" spans="2:17" ht="14.25">
      <c r="B29" s="103"/>
      <c r="F29" s="107"/>
      <c r="G29" s="107"/>
      <c r="H29" s="107"/>
      <c r="I29" s="107"/>
      <c r="J29" s="107"/>
      <c r="P29" s="93"/>
      <c r="Q29" s="108"/>
    </row>
    <row r="30" spans="2:17" ht="14.25">
      <c r="B30" s="103"/>
      <c r="F30" s="107"/>
      <c r="G30" s="107"/>
      <c r="H30" s="107"/>
      <c r="I30" s="107"/>
      <c r="J30" s="107"/>
      <c r="P30" s="93"/>
      <c r="Q30" s="108"/>
    </row>
    <row r="31" spans="2:17" ht="14.25">
      <c r="B31" s="103"/>
      <c r="F31" s="107"/>
      <c r="G31" s="107"/>
      <c r="H31" s="107"/>
      <c r="I31" s="107"/>
      <c r="J31" s="107"/>
      <c r="P31" s="93"/>
      <c r="Q31" s="108"/>
    </row>
    <row r="32" spans="2:17" ht="14.25">
      <c r="B32" s="103"/>
      <c r="F32" s="107"/>
      <c r="G32" s="107"/>
      <c r="H32" s="107"/>
      <c r="I32" s="107"/>
      <c r="J32" s="107"/>
      <c r="P32" s="93"/>
      <c r="Q32" s="108"/>
    </row>
    <row r="33" spans="2:17" ht="14.25">
      <c r="B33" s="103"/>
      <c r="F33" s="107"/>
      <c r="G33" s="107"/>
      <c r="H33" s="107"/>
      <c r="I33" s="107"/>
      <c r="J33" s="107"/>
      <c r="P33" s="93"/>
      <c r="Q33" s="108"/>
    </row>
    <row r="34" spans="2:17" ht="14.25">
      <c r="B34" s="103"/>
      <c r="F34" s="107"/>
      <c r="G34" s="107"/>
      <c r="H34" s="107"/>
      <c r="I34" s="107"/>
      <c r="J34" s="107"/>
      <c r="P34" s="93"/>
      <c r="Q34" s="108"/>
    </row>
    <row r="35" spans="2:17" ht="14.25">
      <c r="B35" s="103"/>
      <c r="F35" s="107"/>
      <c r="G35" s="107"/>
      <c r="H35" s="107"/>
      <c r="I35" s="107"/>
      <c r="J35" s="107"/>
      <c r="P35" s="93"/>
      <c r="Q35" s="108"/>
    </row>
    <row r="36" spans="2:17" ht="14.25">
      <c r="B36" s="103"/>
      <c r="F36" s="107"/>
      <c r="G36" s="107"/>
      <c r="H36" s="107"/>
      <c r="I36" s="107"/>
      <c r="J36" s="107"/>
      <c r="P36" s="93"/>
      <c r="Q36" s="108"/>
    </row>
    <row r="37" spans="2:17" ht="14.25">
      <c r="B37" s="103"/>
      <c r="F37" s="107"/>
      <c r="G37" s="107"/>
      <c r="H37" s="107"/>
      <c r="I37" s="107"/>
      <c r="J37" s="107"/>
      <c r="P37" s="93"/>
      <c r="Q37" s="108"/>
    </row>
    <row r="38" spans="2:17" ht="14.25">
      <c r="B38" s="103"/>
      <c r="F38" s="107"/>
      <c r="G38" s="107"/>
      <c r="H38" s="107"/>
      <c r="I38" s="107"/>
      <c r="J38" s="107"/>
      <c r="P38" s="93"/>
      <c r="Q38" s="108"/>
    </row>
    <row r="39" spans="2:17" ht="14.25">
      <c r="B39" s="103"/>
      <c r="F39" s="107"/>
      <c r="G39" s="107"/>
      <c r="H39" s="107"/>
      <c r="I39" s="107"/>
      <c r="J39" s="107"/>
      <c r="P39" s="93"/>
      <c r="Q39" s="108"/>
    </row>
    <row r="40" spans="2:17" ht="14.25">
      <c r="B40" s="103"/>
      <c r="F40" s="107"/>
      <c r="G40" s="107"/>
      <c r="H40" s="107"/>
      <c r="I40" s="107"/>
      <c r="J40" s="107"/>
      <c r="P40" s="93"/>
      <c r="Q40" s="108"/>
    </row>
    <row r="41" spans="2:17" ht="14.25">
      <c r="B41" s="103"/>
      <c r="F41" s="107"/>
      <c r="G41" s="107"/>
      <c r="H41" s="107"/>
      <c r="I41" s="107"/>
      <c r="J41" s="107"/>
      <c r="P41" s="93"/>
      <c r="Q41" s="108"/>
    </row>
    <row r="42" spans="2:17" ht="14.25">
      <c r="B42" s="103"/>
      <c r="F42" s="107"/>
      <c r="G42" s="107"/>
      <c r="H42" s="107"/>
      <c r="I42" s="107"/>
      <c r="J42" s="107"/>
      <c r="P42" s="93"/>
      <c r="Q42" s="108"/>
    </row>
    <row r="43" spans="2:17" ht="14.25">
      <c r="B43" s="103"/>
      <c r="F43" s="107"/>
      <c r="G43" s="107"/>
      <c r="H43" s="107"/>
      <c r="I43" s="107"/>
      <c r="J43" s="107"/>
      <c r="P43" s="93"/>
      <c r="Q43" s="108"/>
    </row>
    <row r="44" spans="2:17" ht="14.25">
      <c r="B44" s="103"/>
      <c r="F44" s="107"/>
      <c r="G44" s="107"/>
      <c r="H44" s="107"/>
      <c r="I44" s="107"/>
      <c r="J44" s="107"/>
      <c r="P44" s="93"/>
      <c r="Q44" s="108"/>
    </row>
    <row r="45" spans="2:17" ht="14.25">
      <c r="B45" s="103"/>
      <c r="F45" s="107"/>
      <c r="G45" s="107"/>
      <c r="H45" s="107"/>
      <c r="I45" s="107"/>
      <c r="J45" s="107"/>
      <c r="P45" s="93"/>
      <c r="Q45" s="108"/>
    </row>
    <row r="46" spans="2:17" ht="14.25">
      <c r="B46" s="103"/>
      <c r="F46" s="107"/>
      <c r="G46" s="107"/>
      <c r="H46" s="107"/>
      <c r="I46" s="107"/>
      <c r="J46" s="107"/>
      <c r="P46" s="93"/>
      <c r="Q46" s="108"/>
    </row>
    <row r="47" spans="2:17" ht="14.25">
      <c r="B47" s="103"/>
      <c r="F47" s="107"/>
      <c r="G47" s="107"/>
      <c r="H47" s="107"/>
      <c r="I47" s="107"/>
      <c r="J47" s="107"/>
      <c r="P47" s="93"/>
      <c r="Q47" s="108"/>
    </row>
    <row r="48" spans="2:17" ht="14.25">
      <c r="B48" s="103"/>
      <c r="F48" s="107"/>
      <c r="G48" s="107"/>
      <c r="H48" s="107"/>
      <c r="I48" s="107"/>
      <c r="J48" s="107"/>
      <c r="P48" s="93"/>
      <c r="Q48" s="108"/>
    </row>
    <row r="49" spans="2:17" ht="14.25">
      <c r="B49" s="103"/>
      <c r="F49" s="107"/>
      <c r="G49" s="107"/>
      <c r="H49" s="107"/>
      <c r="I49" s="107"/>
      <c r="J49" s="107"/>
      <c r="P49" s="93"/>
      <c r="Q49" s="108"/>
    </row>
    <row r="50" spans="2:17" ht="14.25">
      <c r="B50" s="103"/>
      <c r="F50" s="107"/>
      <c r="G50" s="107"/>
      <c r="H50" s="107"/>
      <c r="I50" s="107"/>
      <c r="J50" s="107"/>
      <c r="P50" s="93"/>
      <c r="Q50" s="108"/>
    </row>
    <row r="51" spans="2:17" ht="14.25">
      <c r="B51" s="103"/>
      <c r="F51" s="107"/>
      <c r="G51" s="107"/>
      <c r="H51" s="107"/>
      <c r="I51" s="107"/>
      <c r="J51" s="107"/>
      <c r="P51" s="93"/>
      <c r="Q51" s="108"/>
    </row>
    <row r="52" spans="2:17" ht="14.25">
      <c r="B52" s="103"/>
      <c r="F52" s="107"/>
      <c r="G52" s="107"/>
      <c r="H52" s="107"/>
      <c r="I52" s="107"/>
      <c r="J52" s="107"/>
      <c r="P52" s="93"/>
      <c r="Q52" s="108"/>
    </row>
    <row r="53" spans="2:17" ht="14.25">
      <c r="B53" s="103"/>
      <c r="F53" s="107"/>
      <c r="G53" s="107"/>
      <c r="H53" s="107"/>
      <c r="I53" s="107"/>
      <c r="J53" s="107"/>
      <c r="P53" s="93"/>
      <c r="Q53" s="108"/>
    </row>
    <row r="54" spans="2:17" ht="14.25">
      <c r="B54" s="103"/>
      <c r="F54" s="107"/>
      <c r="G54" s="107"/>
      <c r="H54" s="107"/>
      <c r="I54" s="107"/>
      <c r="J54" s="107"/>
      <c r="P54" s="93"/>
      <c r="Q54" s="108"/>
    </row>
    <row r="55" spans="2:17" ht="14.25">
      <c r="B55" s="103"/>
      <c r="F55" s="107"/>
      <c r="G55" s="107"/>
      <c r="H55" s="107"/>
      <c r="I55" s="107"/>
      <c r="J55" s="107"/>
      <c r="P55" s="93"/>
      <c r="Q55" s="108"/>
    </row>
    <row r="56" spans="2:17" ht="14.25">
      <c r="B56" s="103"/>
      <c r="F56" s="107"/>
      <c r="G56" s="107"/>
      <c r="H56" s="107"/>
      <c r="I56" s="107"/>
      <c r="J56" s="107"/>
      <c r="P56" s="93"/>
      <c r="Q56" s="108"/>
    </row>
    <row r="57" spans="2:17" ht="14.25">
      <c r="B57" s="103"/>
      <c r="F57" s="107"/>
      <c r="G57" s="107"/>
      <c r="H57" s="107"/>
      <c r="I57" s="107"/>
      <c r="J57" s="107"/>
      <c r="P57" s="93"/>
      <c r="Q57" s="108"/>
    </row>
    <row r="58" spans="2:17" ht="14.25">
      <c r="B58" s="103"/>
      <c r="F58" s="107"/>
      <c r="G58" s="107"/>
      <c r="H58" s="107"/>
      <c r="I58" s="107"/>
      <c r="J58" s="107"/>
      <c r="P58" s="93"/>
      <c r="Q58" s="108"/>
    </row>
    <row r="59" spans="2:17" ht="14.25">
      <c r="B59" s="103"/>
      <c r="F59" s="107"/>
      <c r="G59" s="107"/>
      <c r="H59" s="107"/>
      <c r="I59" s="107"/>
      <c r="J59" s="107"/>
      <c r="P59" s="93"/>
      <c r="Q59" s="108"/>
    </row>
    <row r="60" spans="2:17" ht="14.25">
      <c r="B60" s="103"/>
      <c r="F60" s="107"/>
      <c r="G60" s="107"/>
      <c r="H60" s="107"/>
      <c r="I60" s="107"/>
      <c r="J60" s="107"/>
      <c r="P60" s="93"/>
      <c r="Q60" s="108"/>
    </row>
    <row r="61" spans="2:17" ht="14.25">
      <c r="B61" s="103"/>
      <c r="F61" s="107"/>
      <c r="G61" s="107"/>
      <c r="H61" s="107"/>
      <c r="I61" s="107"/>
      <c r="J61" s="107"/>
      <c r="P61" s="93"/>
      <c r="Q61" s="108"/>
    </row>
    <row r="62" spans="2:17" ht="14.25">
      <c r="B62" s="103"/>
      <c r="F62" s="107"/>
      <c r="G62" s="107"/>
      <c r="H62" s="107"/>
      <c r="I62" s="107"/>
      <c r="J62" s="107"/>
      <c r="P62" s="93"/>
      <c r="Q62" s="108"/>
    </row>
    <row r="63" spans="2:17" ht="14.25">
      <c r="B63" s="103"/>
      <c r="F63" s="107"/>
      <c r="G63" s="107"/>
      <c r="H63" s="107"/>
      <c r="I63" s="107"/>
      <c r="J63" s="107"/>
      <c r="P63" s="93"/>
      <c r="Q63" s="108"/>
    </row>
    <row r="64" spans="2:17" ht="14.25">
      <c r="B64" s="103"/>
      <c r="F64" s="107"/>
      <c r="G64" s="107"/>
      <c r="H64" s="107"/>
      <c r="I64" s="107"/>
      <c r="J64" s="107"/>
      <c r="P64" s="93"/>
      <c r="Q64" s="108"/>
    </row>
    <row r="65" spans="2:17" ht="14.25">
      <c r="B65" s="103"/>
      <c r="F65" s="107"/>
      <c r="G65" s="107"/>
      <c r="H65" s="107"/>
      <c r="I65" s="107"/>
      <c r="J65" s="107"/>
      <c r="P65" s="93"/>
      <c r="Q65" s="108"/>
    </row>
    <row r="66" spans="2:17" ht="14.25">
      <c r="B66" s="103"/>
      <c r="F66" s="107"/>
      <c r="G66" s="107"/>
      <c r="H66" s="107"/>
      <c r="I66" s="107"/>
      <c r="J66" s="107"/>
      <c r="P66" s="93"/>
      <c r="Q66" s="108"/>
    </row>
    <row r="67" spans="2:17" ht="14.25">
      <c r="B67" s="103"/>
      <c r="F67" s="107"/>
      <c r="G67" s="107"/>
      <c r="H67" s="107"/>
      <c r="I67" s="107"/>
      <c r="J67" s="107"/>
      <c r="P67" s="93"/>
      <c r="Q67" s="108"/>
    </row>
    <row r="68" spans="2:17" ht="14.25">
      <c r="B68" s="103"/>
      <c r="F68" s="107"/>
      <c r="G68" s="107"/>
      <c r="H68" s="107"/>
      <c r="I68" s="107"/>
      <c r="J68" s="107"/>
      <c r="P68" s="93"/>
      <c r="Q68" s="108"/>
    </row>
    <row r="69" spans="2:17" ht="14.25">
      <c r="B69" s="103"/>
      <c r="F69" s="107"/>
      <c r="G69" s="107"/>
      <c r="H69" s="107"/>
      <c r="I69" s="107"/>
      <c r="J69" s="107"/>
      <c r="P69" s="93"/>
      <c r="Q69" s="108"/>
    </row>
    <row r="70" spans="2:17" ht="14.25">
      <c r="B70" s="103"/>
      <c r="F70" s="107"/>
      <c r="G70" s="107"/>
      <c r="H70" s="107"/>
      <c r="I70" s="107"/>
      <c r="J70" s="107"/>
      <c r="P70" s="93"/>
      <c r="Q70" s="108"/>
    </row>
    <row r="71" spans="2:17" ht="14.25">
      <c r="B71" s="103"/>
      <c r="F71" s="107"/>
      <c r="G71" s="107"/>
      <c r="H71" s="107"/>
      <c r="I71" s="107"/>
      <c r="J71" s="107"/>
      <c r="P71" s="93"/>
      <c r="Q71" s="108"/>
    </row>
    <row r="72" spans="2:17" ht="14.25">
      <c r="B72" s="103"/>
      <c r="F72" s="107"/>
      <c r="G72" s="107"/>
      <c r="H72" s="107"/>
      <c r="I72" s="107"/>
      <c r="J72" s="107"/>
      <c r="P72" s="93"/>
      <c r="Q72" s="108"/>
    </row>
    <row r="73" spans="2:17" ht="14.25">
      <c r="B73" s="103"/>
      <c r="F73" s="107"/>
      <c r="G73" s="107"/>
      <c r="H73" s="107"/>
      <c r="I73" s="107"/>
      <c r="J73" s="107"/>
      <c r="P73" s="93"/>
      <c r="Q73" s="108"/>
    </row>
    <row r="74" spans="2:17" ht="14.25">
      <c r="B74" s="103"/>
      <c r="F74" s="107"/>
      <c r="G74" s="107"/>
      <c r="H74" s="107"/>
      <c r="I74" s="107"/>
      <c r="J74" s="107"/>
      <c r="P74" s="93"/>
      <c r="Q74" s="108"/>
    </row>
    <row r="75" spans="2:17" ht="14.25">
      <c r="B75" s="103"/>
      <c r="F75" s="107"/>
      <c r="G75" s="107"/>
      <c r="H75" s="107"/>
      <c r="I75" s="107"/>
      <c r="J75" s="107"/>
      <c r="P75" s="93"/>
      <c r="Q75" s="108"/>
    </row>
    <row r="76" spans="2:17" ht="14.25">
      <c r="B76" s="103"/>
      <c r="F76" s="107"/>
      <c r="G76" s="107"/>
      <c r="H76" s="107"/>
      <c r="I76" s="107"/>
      <c r="J76" s="107"/>
      <c r="P76" s="93"/>
      <c r="Q76" s="108"/>
    </row>
    <row r="77" spans="2:17" ht="14.25">
      <c r="B77" s="103"/>
      <c r="F77" s="107"/>
      <c r="G77" s="107"/>
      <c r="H77" s="107"/>
      <c r="I77" s="107"/>
      <c r="J77" s="107"/>
      <c r="P77" s="93"/>
      <c r="Q77" s="108"/>
    </row>
    <row r="78" spans="2:17" ht="14.25">
      <c r="B78" s="103"/>
      <c r="F78" s="107"/>
      <c r="G78" s="107"/>
      <c r="H78" s="107"/>
      <c r="I78" s="107"/>
      <c r="J78" s="107"/>
      <c r="P78" s="93"/>
      <c r="Q78" s="108"/>
    </row>
    <row r="79" spans="2:17" ht="14.25">
      <c r="B79" s="103"/>
      <c r="F79" s="107"/>
      <c r="G79" s="107"/>
      <c r="H79" s="107"/>
      <c r="I79" s="107"/>
      <c r="J79" s="107"/>
      <c r="P79" s="93"/>
      <c r="Q79" s="108"/>
    </row>
    <row r="80" spans="2:17" ht="14.25">
      <c r="B80" s="103"/>
      <c r="F80" s="107"/>
      <c r="G80" s="107"/>
      <c r="H80" s="107"/>
      <c r="I80" s="107"/>
      <c r="J80" s="107"/>
      <c r="P80" s="93"/>
      <c r="Q80" s="108"/>
    </row>
    <row r="81" spans="2:17" ht="14.25">
      <c r="B81" s="103"/>
      <c r="F81" s="107"/>
      <c r="G81" s="107"/>
      <c r="H81" s="107"/>
      <c r="I81" s="107"/>
      <c r="J81" s="107"/>
      <c r="P81" s="93"/>
      <c r="Q81" s="108"/>
    </row>
    <row r="82" spans="2:17" ht="14.25">
      <c r="B82" s="103"/>
      <c r="F82" s="107"/>
      <c r="G82" s="107"/>
      <c r="H82" s="107"/>
      <c r="I82" s="107"/>
      <c r="J82" s="107"/>
      <c r="P82" s="93"/>
      <c r="Q82" s="108"/>
    </row>
    <row r="83" spans="2:17" ht="14.25">
      <c r="B83" s="103"/>
      <c r="F83" s="107"/>
      <c r="G83" s="107"/>
      <c r="H83" s="107"/>
      <c r="I83" s="107"/>
      <c r="J83" s="107"/>
      <c r="P83" s="93"/>
      <c r="Q83" s="108"/>
    </row>
    <row r="84" spans="2:17" ht="14.25">
      <c r="B84" s="103"/>
      <c r="F84" s="107"/>
      <c r="G84" s="107"/>
      <c r="H84" s="107"/>
      <c r="I84" s="107"/>
      <c r="J84" s="107"/>
      <c r="P84" s="93"/>
      <c r="Q84" s="108"/>
    </row>
    <row r="85" spans="2:17" ht="14.25">
      <c r="B85" s="103"/>
      <c r="F85" s="107"/>
      <c r="G85" s="107"/>
      <c r="H85" s="107"/>
      <c r="I85" s="107"/>
      <c r="J85" s="107"/>
      <c r="P85" s="93"/>
      <c r="Q85" s="108"/>
    </row>
    <row r="86" spans="2:17" ht="14.25">
      <c r="B86" s="103"/>
      <c r="F86" s="107"/>
      <c r="G86" s="107"/>
      <c r="H86" s="107"/>
      <c r="I86" s="107"/>
      <c r="J86" s="107"/>
      <c r="P86" s="93"/>
      <c r="Q86" s="108"/>
    </row>
    <row r="87" spans="2:17" ht="14.25">
      <c r="B87" s="103"/>
      <c r="F87" s="107"/>
      <c r="G87" s="107"/>
      <c r="H87" s="107"/>
      <c r="I87" s="107"/>
      <c r="J87" s="107"/>
      <c r="P87" s="93"/>
      <c r="Q87" s="108"/>
    </row>
    <row r="88" spans="2:17" ht="14.25">
      <c r="B88" s="103"/>
      <c r="F88" s="107"/>
      <c r="G88" s="107"/>
      <c r="H88" s="107"/>
      <c r="I88" s="107"/>
      <c r="J88" s="107"/>
      <c r="P88" s="93"/>
      <c r="Q88" s="108"/>
    </row>
    <row r="89" spans="2:17" ht="14.25">
      <c r="B89" s="103"/>
      <c r="F89" s="107"/>
      <c r="G89" s="107"/>
      <c r="H89" s="107"/>
      <c r="I89" s="107"/>
      <c r="J89" s="107"/>
      <c r="P89" s="93"/>
      <c r="Q89" s="108"/>
    </row>
    <row r="90" spans="2:17" ht="14.25">
      <c r="B90" s="103"/>
      <c r="F90" s="107"/>
      <c r="G90" s="107"/>
      <c r="H90" s="107"/>
      <c r="I90" s="107"/>
      <c r="J90" s="107"/>
      <c r="P90" s="93"/>
      <c r="Q90" s="108"/>
    </row>
    <row r="91" spans="2:17" ht="14.25">
      <c r="B91" s="103"/>
      <c r="F91" s="107"/>
      <c r="G91" s="107"/>
      <c r="H91" s="107"/>
      <c r="I91" s="107"/>
      <c r="J91" s="107"/>
      <c r="P91" s="93"/>
      <c r="Q91" s="108"/>
    </row>
    <row r="92" spans="2:17" ht="14.25">
      <c r="B92" s="103"/>
      <c r="F92" s="107"/>
      <c r="G92" s="107"/>
      <c r="H92" s="107"/>
      <c r="I92" s="107"/>
      <c r="J92" s="107"/>
      <c r="P92" s="93"/>
      <c r="Q92" s="108"/>
    </row>
    <row r="93" spans="2:17" ht="14.25">
      <c r="B93" s="103"/>
      <c r="F93" s="107"/>
      <c r="G93" s="107"/>
      <c r="H93" s="107"/>
      <c r="I93" s="107"/>
      <c r="J93" s="107"/>
      <c r="P93" s="93"/>
      <c r="Q93" s="108"/>
    </row>
    <row r="94" spans="2:17" ht="14.25">
      <c r="B94" s="103"/>
      <c r="F94" s="107"/>
      <c r="G94" s="107"/>
      <c r="H94" s="107"/>
      <c r="I94" s="107"/>
      <c r="J94" s="107"/>
      <c r="P94" s="93"/>
      <c r="Q94" s="108"/>
    </row>
    <row r="95" spans="2:17" ht="14.25">
      <c r="B95" s="103"/>
      <c r="F95" s="107"/>
      <c r="G95" s="107"/>
      <c r="H95" s="107"/>
      <c r="I95" s="107"/>
      <c r="J95" s="107"/>
      <c r="P95" s="93"/>
      <c r="Q95" s="108"/>
    </row>
    <row r="96" spans="2:17" ht="14.25">
      <c r="B96" s="103"/>
      <c r="F96" s="107"/>
      <c r="G96" s="107"/>
      <c r="H96" s="107"/>
      <c r="I96" s="107"/>
      <c r="J96" s="107"/>
      <c r="P96" s="93"/>
      <c r="Q96" s="108"/>
    </row>
    <row r="97" spans="2:17" ht="14.25">
      <c r="B97" s="103"/>
      <c r="F97" s="107"/>
      <c r="G97" s="107"/>
      <c r="H97" s="107"/>
      <c r="I97" s="107"/>
      <c r="J97" s="107"/>
      <c r="P97" s="93"/>
      <c r="Q97" s="108"/>
    </row>
    <row r="98" spans="2:17" ht="14.25">
      <c r="B98" s="103"/>
      <c r="F98" s="107"/>
      <c r="G98" s="107"/>
      <c r="H98" s="107"/>
      <c r="I98" s="107"/>
      <c r="J98" s="107"/>
      <c r="P98" s="93"/>
      <c r="Q98" s="108"/>
    </row>
    <row r="99" spans="2:17" ht="14.25">
      <c r="B99" s="103"/>
      <c r="F99" s="107"/>
      <c r="G99" s="107"/>
      <c r="H99" s="107"/>
      <c r="I99" s="107"/>
      <c r="J99" s="107"/>
      <c r="P99" s="93"/>
      <c r="Q99" s="108"/>
    </row>
    <row r="100" spans="2:17" ht="14.25">
      <c r="B100" s="103"/>
      <c r="F100" s="107"/>
      <c r="G100" s="107"/>
      <c r="H100" s="107"/>
      <c r="I100" s="107"/>
      <c r="J100" s="107"/>
      <c r="P100" s="93"/>
      <c r="Q100" s="108"/>
    </row>
    <row r="101" spans="2:17" ht="14.25">
      <c r="B101" s="103"/>
      <c r="F101" s="107"/>
      <c r="G101" s="107"/>
      <c r="H101" s="107"/>
      <c r="I101" s="107"/>
      <c r="J101" s="107"/>
      <c r="P101" s="93"/>
      <c r="Q101" s="108"/>
    </row>
    <row r="102" spans="2:17" ht="14.25">
      <c r="B102" s="103"/>
      <c r="F102" s="107"/>
      <c r="G102" s="107"/>
      <c r="H102" s="107"/>
      <c r="I102" s="107"/>
      <c r="J102" s="107"/>
      <c r="P102" s="93"/>
      <c r="Q102" s="108"/>
    </row>
    <row r="103" spans="2:17" ht="14.25">
      <c r="B103" s="103"/>
      <c r="F103" s="107"/>
      <c r="G103" s="107"/>
      <c r="H103" s="107"/>
      <c r="I103" s="107"/>
      <c r="J103" s="107"/>
      <c r="P103" s="93"/>
      <c r="Q103" s="108"/>
    </row>
    <row r="104" spans="2:17" ht="14.25">
      <c r="B104" s="103"/>
      <c r="F104" s="107"/>
      <c r="G104" s="107"/>
      <c r="H104" s="107"/>
      <c r="I104" s="107"/>
      <c r="J104" s="107"/>
      <c r="P104" s="93"/>
      <c r="Q104" s="108"/>
    </row>
    <row r="105" spans="2:17" ht="14.25">
      <c r="B105" s="103"/>
      <c r="F105" s="107"/>
      <c r="G105" s="107"/>
      <c r="H105" s="107"/>
      <c r="I105" s="107"/>
      <c r="J105" s="107"/>
      <c r="P105" s="93"/>
      <c r="Q105" s="108"/>
    </row>
    <row r="106" spans="2:17" ht="14.25">
      <c r="B106" s="103"/>
      <c r="F106" s="107"/>
      <c r="G106" s="107"/>
      <c r="H106" s="107"/>
      <c r="I106" s="107"/>
      <c r="J106" s="107"/>
      <c r="P106" s="93"/>
      <c r="Q106" s="108"/>
    </row>
    <row r="107" spans="2:17" ht="14.25">
      <c r="B107" s="103"/>
      <c r="F107" s="107"/>
      <c r="G107" s="107"/>
      <c r="H107" s="107"/>
      <c r="I107" s="107"/>
      <c r="J107" s="107"/>
      <c r="P107" s="93"/>
      <c r="Q107" s="108"/>
    </row>
    <row r="108" spans="2:17" ht="14.25">
      <c r="B108" s="103"/>
      <c r="F108" s="107"/>
      <c r="G108" s="107"/>
      <c r="H108" s="107"/>
      <c r="I108" s="107"/>
      <c r="J108" s="107"/>
      <c r="P108" s="93"/>
      <c r="Q108" s="108"/>
    </row>
    <row r="109" spans="2:17" ht="14.25">
      <c r="B109" s="103"/>
      <c r="F109" s="107"/>
      <c r="G109" s="107"/>
      <c r="H109" s="107"/>
      <c r="I109" s="107"/>
      <c r="J109" s="107"/>
      <c r="P109" s="93"/>
      <c r="Q109" s="108"/>
    </row>
    <row r="110" spans="2:17" ht="14.25">
      <c r="B110" s="103"/>
      <c r="F110" s="107"/>
      <c r="G110" s="107"/>
      <c r="H110" s="107"/>
      <c r="I110" s="107"/>
      <c r="J110" s="107"/>
      <c r="P110" s="93"/>
      <c r="Q110" s="108"/>
    </row>
    <row r="111" spans="2:17" ht="14.25">
      <c r="B111" s="103"/>
      <c r="F111" s="107"/>
      <c r="G111" s="107"/>
      <c r="H111" s="107"/>
      <c r="I111" s="107"/>
      <c r="J111" s="107"/>
      <c r="P111" s="93"/>
      <c r="Q111" s="108"/>
    </row>
    <row r="112" spans="2:17" ht="14.25">
      <c r="B112" s="103"/>
      <c r="F112" s="107"/>
      <c r="G112" s="107"/>
      <c r="H112" s="107"/>
      <c r="I112" s="107"/>
      <c r="J112" s="107"/>
      <c r="P112" s="93"/>
      <c r="Q112" s="108"/>
    </row>
    <row r="113" spans="2:17" ht="14.25">
      <c r="B113" s="103"/>
      <c r="F113" s="107"/>
      <c r="G113" s="107"/>
      <c r="H113" s="107"/>
      <c r="I113" s="107"/>
      <c r="J113" s="107"/>
      <c r="P113" s="93"/>
      <c r="Q113" s="108"/>
    </row>
    <row r="114" spans="2:17" ht="14.25">
      <c r="B114" s="103"/>
      <c r="F114" s="107"/>
      <c r="G114" s="107"/>
      <c r="H114" s="107"/>
      <c r="I114" s="107"/>
      <c r="J114" s="107"/>
      <c r="P114" s="93"/>
      <c r="Q114" s="108"/>
    </row>
    <row r="115" spans="2:17" ht="14.25">
      <c r="B115" s="103"/>
      <c r="F115" s="107"/>
      <c r="G115" s="107"/>
      <c r="H115" s="107"/>
      <c r="I115" s="107"/>
      <c r="J115" s="107"/>
      <c r="P115" s="93"/>
      <c r="Q115" s="108"/>
    </row>
    <row r="116" spans="2:17" ht="14.25">
      <c r="B116" s="103"/>
      <c r="F116" s="107"/>
      <c r="G116" s="107"/>
      <c r="H116" s="107"/>
      <c r="I116" s="107"/>
      <c r="J116" s="107"/>
      <c r="P116" s="93"/>
      <c r="Q116" s="108"/>
    </row>
    <row r="117" spans="2:17" ht="14.25">
      <c r="B117" s="103"/>
      <c r="F117" s="107"/>
      <c r="G117" s="107"/>
      <c r="H117" s="107"/>
      <c r="I117" s="107"/>
      <c r="J117" s="107"/>
      <c r="P117" s="93"/>
      <c r="Q117" s="108"/>
    </row>
    <row r="118" spans="2:17" ht="14.25">
      <c r="B118" s="103"/>
      <c r="F118" s="107"/>
      <c r="G118" s="107"/>
      <c r="H118" s="107"/>
      <c r="I118" s="107"/>
      <c r="J118" s="107"/>
      <c r="P118" s="93"/>
      <c r="Q118" s="108"/>
    </row>
    <row r="119" spans="2:17" ht="14.25">
      <c r="B119" s="103"/>
      <c r="F119" s="107"/>
      <c r="G119" s="107"/>
      <c r="H119" s="107"/>
      <c r="I119" s="107"/>
      <c r="J119" s="107"/>
      <c r="P119" s="93"/>
      <c r="Q119" s="108"/>
    </row>
    <row r="120" spans="2:17" ht="14.25">
      <c r="B120" s="103"/>
      <c r="F120" s="107"/>
      <c r="G120" s="107"/>
      <c r="H120" s="107"/>
      <c r="I120" s="107"/>
      <c r="J120" s="107"/>
      <c r="P120" s="93"/>
      <c r="Q120" s="108"/>
    </row>
    <row r="121" spans="2:17" ht="14.25">
      <c r="B121" s="103"/>
      <c r="F121" s="107"/>
      <c r="G121" s="107"/>
      <c r="H121" s="107"/>
      <c r="I121" s="107"/>
      <c r="J121" s="107"/>
      <c r="P121" s="93"/>
      <c r="Q121" s="108"/>
    </row>
    <row r="122" spans="2:17" ht="14.25">
      <c r="B122" s="103"/>
      <c r="F122" s="107"/>
      <c r="G122" s="107"/>
      <c r="H122" s="107"/>
      <c r="I122" s="107"/>
      <c r="J122" s="107"/>
      <c r="P122" s="93"/>
      <c r="Q122" s="108"/>
    </row>
    <row r="123" spans="2:17" ht="14.25">
      <c r="B123" s="103"/>
      <c r="F123" s="107"/>
      <c r="G123" s="107"/>
      <c r="H123" s="107"/>
      <c r="I123" s="107"/>
      <c r="J123" s="107"/>
      <c r="P123" s="93"/>
      <c r="Q123" s="108"/>
    </row>
    <row r="124" spans="2:17" ht="14.25">
      <c r="B124" s="103"/>
      <c r="F124" s="107"/>
      <c r="G124" s="107"/>
      <c r="H124" s="107"/>
      <c r="I124" s="107"/>
      <c r="J124" s="107"/>
      <c r="P124" s="93"/>
      <c r="Q124" s="108"/>
    </row>
    <row r="125" spans="2:17" ht="14.25">
      <c r="B125" s="103"/>
      <c r="F125" s="107"/>
      <c r="G125" s="107"/>
      <c r="H125" s="107"/>
      <c r="I125" s="107"/>
      <c r="J125" s="107"/>
      <c r="P125" s="93"/>
      <c r="Q125" s="108"/>
    </row>
    <row r="126" spans="2:17" ht="14.25">
      <c r="B126" s="103"/>
      <c r="F126" s="107"/>
      <c r="G126" s="107"/>
      <c r="H126" s="107"/>
      <c r="I126" s="107"/>
      <c r="J126" s="107"/>
      <c r="P126" s="93"/>
      <c r="Q126" s="108"/>
    </row>
    <row r="127" spans="2:17" ht="14.25">
      <c r="B127" s="103"/>
      <c r="F127" s="107"/>
      <c r="G127" s="107"/>
      <c r="H127" s="107"/>
      <c r="I127" s="107"/>
      <c r="J127" s="107"/>
      <c r="P127" s="93"/>
      <c r="Q127" s="108"/>
    </row>
    <row r="128" spans="2:17" ht="14.25">
      <c r="B128" s="103"/>
      <c r="F128" s="107"/>
      <c r="G128" s="107"/>
      <c r="H128" s="107"/>
      <c r="I128" s="107"/>
      <c r="J128" s="107"/>
      <c r="P128" s="93"/>
      <c r="Q128" s="108"/>
    </row>
    <row r="129" spans="2:17" ht="14.25">
      <c r="B129" s="103"/>
      <c r="F129" s="107"/>
      <c r="G129" s="107"/>
      <c r="H129" s="107"/>
      <c r="I129" s="107"/>
      <c r="J129" s="107"/>
      <c r="P129" s="93"/>
      <c r="Q129" s="108"/>
    </row>
    <row r="130" spans="2:17" ht="14.25">
      <c r="B130" s="103"/>
      <c r="F130" s="107"/>
      <c r="G130" s="107"/>
      <c r="H130" s="107"/>
      <c r="I130" s="107"/>
      <c r="J130" s="107"/>
      <c r="P130" s="93"/>
      <c r="Q130" s="108"/>
    </row>
    <row r="131" spans="2:17" ht="14.25">
      <c r="B131" s="103"/>
      <c r="F131" s="107"/>
      <c r="G131" s="107"/>
      <c r="H131" s="107"/>
      <c r="I131" s="107"/>
      <c r="J131" s="107"/>
      <c r="P131" s="93"/>
      <c r="Q131" s="108"/>
    </row>
    <row r="132" spans="2:17" ht="14.25">
      <c r="B132" s="103"/>
      <c r="F132" s="107"/>
      <c r="G132" s="107"/>
      <c r="H132" s="107"/>
      <c r="I132" s="107"/>
      <c r="J132" s="107"/>
      <c r="P132" s="93"/>
      <c r="Q132" s="108"/>
    </row>
    <row r="133" spans="2:17" ht="14.25">
      <c r="B133" s="103"/>
      <c r="F133" s="107"/>
      <c r="G133" s="107"/>
      <c r="H133" s="107"/>
      <c r="I133" s="107"/>
      <c r="J133" s="107"/>
      <c r="P133" s="93"/>
      <c r="Q133" s="108"/>
    </row>
    <row r="134" spans="2:17" ht="14.25">
      <c r="B134" s="103"/>
      <c r="F134" s="107"/>
      <c r="G134" s="107"/>
      <c r="H134" s="107"/>
      <c r="I134" s="107"/>
      <c r="J134" s="107"/>
      <c r="P134" s="93"/>
      <c r="Q134" s="108"/>
    </row>
    <row r="135" spans="2:17" ht="14.25">
      <c r="B135" s="103"/>
      <c r="F135" s="107"/>
      <c r="G135" s="107"/>
      <c r="H135" s="107"/>
      <c r="I135" s="107"/>
      <c r="J135" s="107"/>
      <c r="P135" s="93"/>
      <c r="Q135" s="108"/>
    </row>
    <row r="136" spans="2:17" ht="14.25">
      <c r="B136" s="103"/>
      <c r="F136" s="107"/>
      <c r="G136" s="107"/>
      <c r="H136" s="107"/>
      <c r="I136" s="107"/>
      <c r="J136" s="107"/>
      <c r="P136" s="93"/>
      <c r="Q136" s="108"/>
    </row>
    <row r="137" spans="2:17" ht="14.25">
      <c r="B137" s="103"/>
      <c r="F137" s="107"/>
      <c r="G137" s="107"/>
      <c r="H137" s="107"/>
      <c r="I137" s="107"/>
      <c r="J137" s="107"/>
      <c r="P137" s="93"/>
      <c r="Q137" s="108"/>
    </row>
    <row r="138" spans="2:17" ht="14.25">
      <c r="B138" s="103"/>
      <c r="F138" s="107"/>
      <c r="G138" s="107"/>
      <c r="H138" s="107"/>
      <c r="I138" s="107"/>
      <c r="J138" s="107"/>
      <c r="P138" s="93"/>
      <c r="Q138" s="108"/>
    </row>
    <row r="139" spans="2:17" ht="14.25">
      <c r="B139" s="103"/>
      <c r="F139" s="107"/>
      <c r="G139" s="107"/>
      <c r="H139" s="107"/>
      <c r="I139" s="107"/>
      <c r="J139" s="107"/>
      <c r="P139" s="93"/>
      <c r="Q139" s="108"/>
    </row>
    <row r="140" spans="2:17" ht="14.25">
      <c r="B140" s="103"/>
      <c r="F140" s="107"/>
      <c r="G140" s="107"/>
      <c r="H140" s="107"/>
      <c r="I140" s="107"/>
      <c r="J140" s="107"/>
      <c r="P140" s="93"/>
      <c r="Q140" s="108"/>
    </row>
    <row r="141" spans="2:17" ht="14.25">
      <c r="B141" s="103"/>
      <c r="F141" s="107"/>
      <c r="G141" s="107"/>
      <c r="H141" s="107"/>
      <c r="I141" s="107"/>
      <c r="J141" s="107"/>
      <c r="P141" s="93"/>
      <c r="Q141" s="108"/>
    </row>
    <row r="142" spans="2:17" ht="14.25">
      <c r="B142" s="103"/>
      <c r="F142" s="107"/>
      <c r="G142" s="107"/>
      <c r="H142" s="107"/>
      <c r="I142" s="107"/>
      <c r="J142" s="107"/>
      <c r="P142" s="93"/>
      <c r="Q142" s="108"/>
    </row>
    <row r="143" spans="2:17" ht="14.25">
      <c r="B143" s="103"/>
      <c r="F143" s="107"/>
      <c r="G143" s="107"/>
      <c r="H143" s="107"/>
      <c r="I143" s="107"/>
      <c r="J143" s="107"/>
      <c r="P143" s="93"/>
      <c r="Q143" s="108"/>
    </row>
    <row r="144" spans="2:17" ht="14.25">
      <c r="B144" s="103"/>
      <c r="F144" s="107"/>
      <c r="G144" s="107"/>
      <c r="H144" s="107"/>
      <c r="I144" s="107"/>
      <c r="J144" s="107"/>
      <c r="P144" s="93"/>
      <c r="Q144" s="108"/>
    </row>
    <row r="145" spans="2:17" ht="14.25">
      <c r="B145" s="103"/>
      <c r="F145" s="107"/>
      <c r="G145" s="107"/>
      <c r="H145" s="107"/>
      <c r="I145" s="107"/>
      <c r="J145" s="107"/>
      <c r="P145" s="93"/>
      <c r="Q145" s="108"/>
    </row>
    <row r="146" spans="2:17" ht="14.25">
      <c r="B146" s="103"/>
      <c r="F146" s="107"/>
      <c r="G146" s="107"/>
      <c r="H146" s="107"/>
      <c r="I146" s="107"/>
      <c r="J146" s="107"/>
      <c r="P146" s="93"/>
      <c r="Q146" s="108"/>
    </row>
    <row r="147" spans="2:17" ht="14.25">
      <c r="B147" s="103"/>
      <c r="F147" s="107"/>
      <c r="G147" s="107"/>
      <c r="H147" s="107"/>
      <c r="I147" s="107"/>
      <c r="J147" s="107"/>
      <c r="P147" s="93"/>
      <c r="Q147" s="108"/>
    </row>
    <row r="148" spans="2:17" ht="14.25">
      <c r="B148" s="103"/>
      <c r="F148" s="107"/>
      <c r="G148" s="107"/>
      <c r="H148" s="107"/>
      <c r="I148" s="107"/>
      <c r="J148" s="107"/>
      <c r="P148" s="93"/>
      <c r="Q148" s="108"/>
    </row>
    <row r="149" spans="2:17" ht="14.25">
      <c r="B149" s="103"/>
      <c r="F149" s="107"/>
      <c r="G149" s="107"/>
      <c r="H149" s="107"/>
      <c r="I149" s="107"/>
      <c r="J149" s="107"/>
      <c r="P149" s="93"/>
      <c r="Q149" s="108"/>
    </row>
    <row r="150" spans="2:17" ht="14.25">
      <c r="B150" s="103"/>
      <c r="F150" s="107"/>
      <c r="G150" s="107"/>
      <c r="H150" s="107"/>
      <c r="I150" s="107"/>
      <c r="J150" s="107"/>
      <c r="P150" s="93"/>
      <c r="Q150" s="108"/>
    </row>
    <row r="151" spans="2:17" ht="14.25">
      <c r="B151" s="103"/>
      <c r="F151" s="107"/>
      <c r="G151" s="107"/>
      <c r="H151" s="107"/>
      <c r="I151" s="107"/>
      <c r="J151" s="107"/>
      <c r="P151" s="93"/>
      <c r="Q151" s="108"/>
    </row>
    <row r="152" spans="2:17" ht="14.25">
      <c r="B152" s="103"/>
      <c r="F152" s="107"/>
      <c r="G152" s="107"/>
      <c r="H152" s="107"/>
      <c r="I152" s="107"/>
      <c r="J152" s="107"/>
      <c r="P152" s="93"/>
      <c r="Q152" s="108"/>
    </row>
    <row r="153" spans="2:17" ht="14.25">
      <c r="B153" s="103"/>
      <c r="F153" s="107"/>
      <c r="G153" s="107"/>
      <c r="H153" s="107"/>
      <c r="I153" s="107"/>
      <c r="J153" s="107"/>
      <c r="P153" s="93"/>
      <c r="Q153" s="108"/>
    </row>
    <row r="154" spans="2:17" ht="14.25">
      <c r="B154" s="103"/>
      <c r="F154" s="107"/>
      <c r="G154" s="107"/>
      <c r="H154" s="107"/>
      <c r="I154" s="107"/>
      <c r="J154" s="107"/>
      <c r="P154" s="93"/>
      <c r="Q154" s="108"/>
    </row>
    <row r="155" spans="2:17" ht="14.25">
      <c r="B155" s="103"/>
      <c r="F155" s="107"/>
      <c r="G155" s="107"/>
      <c r="H155" s="107"/>
      <c r="I155" s="107"/>
      <c r="J155" s="107"/>
      <c r="P155" s="93"/>
      <c r="Q155" s="108"/>
    </row>
    <row r="156" spans="2:17" ht="14.25">
      <c r="B156" s="103"/>
      <c r="F156" s="107"/>
      <c r="G156" s="107"/>
      <c r="H156" s="107"/>
      <c r="I156" s="107"/>
      <c r="J156" s="107"/>
      <c r="P156" s="93"/>
      <c r="Q156" s="108"/>
    </row>
    <row r="157" spans="2:17" ht="14.25">
      <c r="B157" s="103"/>
      <c r="F157" s="107"/>
      <c r="G157" s="107"/>
      <c r="H157" s="107"/>
      <c r="I157" s="107"/>
      <c r="J157" s="107"/>
      <c r="P157" s="93"/>
      <c r="Q157" s="108"/>
    </row>
    <row r="158" spans="2:17" ht="14.25">
      <c r="B158" s="103"/>
      <c r="F158" s="107"/>
      <c r="G158" s="107"/>
      <c r="H158" s="107"/>
      <c r="I158" s="107"/>
      <c r="J158" s="107"/>
      <c r="P158" s="93"/>
      <c r="Q158" s="108"/>
    </row>
    <row r="159" spans="2:17" ht="14.25">
      <c r="B159" s="103"/>
      <c r="F159" s="107"/>
      <c r="G159" s="107"/>
      <c r="H159" s="107"/>
      <c r="I159" s="107"/>
      <c r="J159" s="107"/>
      <c r="P159" s="93"/>
      <c r="Q159" s="108"/>
    </row>
    <row r="160" spans="2:17" ht="14.25">
      <c r="B160" s="103"/>
      <c r="F160" s="107"/>
      <c r="G160" s="107"/>
      <c r="H160" s="107"/>
      <c r="I160" s="107"/>
      <c r="J160" s="107"/>
      <c r="P160" s="93"/>
      <c r="Q160" s="108"/>
    </row>
    <row r="161" spans="2:17" ht="14.25">
      <c r="B161" s="103"/>
      <c r="F161" s="107"/>
      <c r="G161" s="107"/>
      <c r="H161" s="107"/>
      <c r="I161" s="107"/>
      <c r="J161" s="107"/>
      <c r="P161" s="93"/>
      <c r="Q161" s="108"/>
    </row>
    <row r="162" spans="2:17" ht="14.25">
      <c r="B162" s="103"/>
      <c r="F162" s="107"/>
      <c r="G162" s="107"/>
      <c r="H162" s="107"/>
      <c r="I162" s="107"/>
      <c r="J162" s="107"/>
      <c r="P162" s="93"/>
      <c r="Q162" s="108"/>
    </row>
    <row r="163" spans="2:17" ht="14.25">
      <c r="B163" s="103"/>
      <c r="F163" s="107"/>
      <c r="G163" s="107"/>
      <c r="H163" s="107"/>
      <c r="I163" s="107"/>
      <c r="J163" s="107"/>
      <c r="P163" s="93"/>
      <c r="Q163" s="108"/>
    </row>
    <row r="164" spans="2:17" ht="14.25">
      <c r="B164" s="103"/>
      <c r="F164" s="107"/>
      <c r="G164" s="107"/>
      <c r="H164" s="107"/>
      <c r="I164" s="107"/>
      <c r="J164" s="107"/>
      <c r="P164" s="93"/>
      <c r="Q164" s="108"/>
    </row>
    <row r="165" spans="2:17" ht="14.25">
      <c r="B165" s="103"/>
      <c r="F165" s="107"/>
      <c r="G165" s="107"/>
      <c r="H165" s="107"/>
      <c r="I165" s="107"/>
      <c r="J165" s="107"/>
      <c r="P165" s="93"/>
      <c r="Q165" s="108"/>
    </row>
    <row r="166" spans="2:17" ht="14.25">
      <c r="B166" s="103"/>
      <c r="F166" s="107"/>
      <c r="G166" s="107"/>
      <c r="H166" s="107"/>
      <c r="I166" s="107"/>
      <c r="J166" s="107"/>
      <c r="P166" s="93"/>
      <c r="Q166" s="108"/>
    </row>
    <row r="167" spans="2:17" ht="14.25">
      <c r="B167" s="103"/>
      <c r="F167" s="107"/>
      <c r="G167" s="107"/>
      <c r="H167" s="107"/>
      <c r="I167" s="107"/>
      <c r="J167" s="107"/>
      <c r="P167" s="93"/>
      <c r="Q167" s="108"/>
    </row>
    <row r="168" spans="2:17" ht="14.25">
      <c r="B168" s="103"/>
      <c r="F168" s="107"/>
      <c r="G168" s="107"/>
      <c r="H168" s="107"/>
      <c r="I168" s="107"/>
      <c r="J168" s="107"/>
      <c r="P168" s="93"/>
      <c r="Q168" s="108"/>
    </row>
    <row r="169" spans="2:17" ht="14.25">
      <c r="B169" s="103"/>
      <c r="F169" s="107"/>
      <c r="G169" s="107"/>
      <c r="H169" s="107"/>
      <c r="I169" s="107"/>
      <c r="J169" s="107"/>
      <c r="P169" s="93"/>
      <c r="Q169" s="108"/>
    </row>
    <row r="170" spans="2:17" ht="14.25">
      <c r="B170" s="103"/>
      <c r="F170" s="107"/>
      <c r="G170" s="107"/>
      <c r="H170" s="107"/>
      <c r="I170" s="107"/>
      <c r="J170" s="107"/>
      <c r="P170" s="93"/>
      <c r="Q170" s="108"/>
    </row>
    <row r="171" spans="2:17" ht="14.25">
      <c r="B171" s="103"/>
      <c r="F171" s="107"/>
      <c r="G171" s="107"/>
      <c r="H171" s="107"/>
      <c r="I171" s="107"/>
      <c r="J171" s="107"/>
      <c r="P171" s="93"/>
      <c r="Q171" s="108"/>
    </row>
    <row r="172" spans="2:17" ht="14.25">
      <c r="B172" s="103"/>
      <c r="F172" s="107"/>
      <c r="G172" s="107"/>
      <c r="H172" s="107"/>
      <c r="I172" s="107"/>
      <c r="J172" s="107"/>
      <c r="P172" s="93"/>
      <c r="Q172" s="108"/>
    </row>
    <row r="173" spans="2:17" ht="14.25">
      <c r="B173" s="103"/>
      <c r="F173" s="107"/>
      <c r="G173" s="107"/>
      <c r="H173" s="107"/>
      <c r="I173" s="107"/>
      <c r="J173" s="107"/>
      <c r="P173" s="93"/>
      <c r="Q173" s="108"/>
    </row>
    <row r="174" spans="2:17" ht="14.25">
      <c r="B174" s="103"/>
      <c r="F174" s="107"/>
      <c r="G174" s="107"/>
      <c r="H174" s="107"/>
      <c r="I174" s="107"/>
      <c r="J174" s="107"/>
      <c r="P174" s="93"/>
      <c r="Q174" s="108"/>
    </row>
    <row r="175" spans="2:17" ht="14.25">
      <c r="B175" s="103"/>
      <c r="F175" s="107"/>
      <c r="G175" s="107"/>
      <c r="H175" s="107"/>
      <c r="I175" s="107"/>
      <c r="J175" s="107"/>
      <c r="P175" s="93"/>
      <c r="Q175" s="108"/>
    </row>
    <row r="176" spans="2:17" ht="14.25">
      <c r="B176" s="103"/>
      <c r="F176" s="107"/>
      <c r="G176" s="107"/>
      <c r="H176" s="107"/>
      <c r="I176" s="107"/>
      <c r="J176" s="107"/>
      <c r="P176" s="93"/>
      <c r="Q176" s="108"/>
    </row>
    <row r="177" spans="2:17" ht="14.25">
      <c r="B177" s="103"/>
      <c r="F177" s="107"/>
      <c r="G177" s="107"/>
      <c r="H177" s="107"/>
      <c r="I177" s="107"/>
      <c r="J177" s="107"/>
      <c r="P177" s="93"/>
      <c r="Q177" s="108"/>
    </row>
    <row r="178" spans="2:17" ht="14.25">
      <c r="B178" s="103"/>
      <c r="F178" s="107"/>
      <c r="G178" s="107"/>
      <c r="H178" s="107"/>
      <c r="I178" s="107"/>
      <c r="J178" s="107"/>
      <c r="P178" s="93"/>
      <c r="Q178" s="108"/>
    </row>
    <row r="179" spans="2:17" ht="14.25">
      <c r="B179" s="103"/>
      <c r="F179" s="107"/>
      <c r="G179" s="107"/>
      <c r="H179" s="107"/>
      <c r="I179" s="107"/>
      <c r="J179" s="107"/>
      <c r="P179" s="93"/>
      <c r="Q179" s="108"/>
    </row>
    <row r="180" spans="2:17" ht="14.25">
      <c r="B180" s="103"/>
      <c r="F180" s="107"/>
      <c r="G180" s="107"/>
      <c r="H180" s="107"/>
      <c r="I180" s="107"/>
      <c r="J180" s="107"/>
      <c r="P180" s="93"/>
      <c r="Q180" s="108"/>
    </row>
    <row r="181" spans="2:17" ht="14.25">
      <c r="B181" s="103"/>
      <c r="F181" s="107"/>
      <c r="G181" s="107"/>
      <c r="H181" s="107"/>
      <c r="I181" s="107"/>
      <c r="J181" s="107"/>
      <c r="P181" s="93"/>
      <c r="Q181" s="108"/>
    </row>
    <row r="182" spans="2:17" ht="14.25">
      <c r="B182" s="103"/>
      <c r="F182" s="107"/>
      <c r="G182" s="107"/>
      <c r="H182" s="107"/>
      <c r="I182" s="107"/>
      <c r="J182" s="107"/>
      <c r="P182" s="93"/>
      <c r="Q182" s="108"/>
    </row>
    <row r="183" spans="2:17" ht="14.25">
      <c r="B183" s="103"/>
      <c r="F183" s="107"/>
      <c r="G183" s="107"/>
      <c r="H183" s="107"/>
      <c r="I183" s="107"/>
      <c r="J183" s="107"/>
      <c r="P183" s="93"/>
      <c r="Q183" s="108"/>
    </row>
    <row r="184" spans="2:17" ht="14.25">
      <c r="B184" s="103"/>
      <c r="F184" s="107"/>
      <c r="G184" s="107"/>
      <c r="H184" s="107"/>
      <c r="I184" s="107"/>
      <c r="J184" s="107"/>
      <c r="P184" s="93"/>
      <c r="Q184" s="108"/>
    </row>
    <row r="185" spans="2:17" ht="14.25">
      <c r="B185" s="103"/>
      <c r="F185" s="107"/>
      <c r="G185" s="107"/>
      <c r="H185" s="107"/>
      <c r="I185" s="107"/>
      <c r="J185" s="107"/>
      <c r="P185" s="93"/>
      <c r="Q185" s="108"/>
    </row>
    <row r="186" spans="2:17" ht="14.25">
      <c r="B186" s="103"/>
      <c r="F186" s="107"/>
      <c r="G186" s="107"/>
      <c r="H186" s="107"/>
      <c r="I186" s="107"/>
      <c r="J186" s="107"/>
      <c r="P186" s="93"/>
      <c r="Q186" s="108"/>
    </row>
    <row r="187" spans="2:17" ht="14.25">
      <c r="B187" s="103"/>
      <c r="F187" s="107"/>
      <c r="G187" s="107"/>
      <c r="H187" s="107"/>
      <c r="I187" s="107"/>
      <c r="J187" s="107"/>
      <c r="P187" s="93"/>
      <c r="Q187" s="108"/>
    </row>
    <row r="188" spans="2:17" ht="14.25">
      <c r="B188" s="103"/>
      <c r="F188" s="107"/>
      <c r="G188" s="107"/>
      <c r="H188" s="107"/>
      <c r="I188" s="107"/>
      <c r="J188" s="107"/>
      <c r="P188" s="93"/>
      <c r="Q188" s="108"/>
    </row>
    <row r="189" spans="2:17" ht="14.25">
      <c r="B189" s="103"/>
      <c r="F189" s="107"/>
      <c r="G189" s="107"/>
      <c r="H189" s="107"/>
      <c r="I189" s="107"/>
      <c r="J189" s="107"/>
      <c r="P189" s="93"/>
      <c r="Q189" s="108"/>
    </row>
    <row r="190" spans="2:17" ht="14.25">
      <c r="B190" s="103"/>
      <c r="F190" s="107"/>
      <c r="G190" s="107"/>
      <c r="H190" s="107"/>
      <c r="I190" s="107"/>
      <c r="J190" s="107"/>
      <c r="P190" s="93"/>
      <c r="Q190" s="108"/>
    </row>
    <row r="191" spans="2:17" ht="14.25">
      <c r="B191" s="103"/>
      <c r="F191" s="107"/>
      <c r="G191" s="107"/>
      <c r="H191" s="107"/>
      <c r="I191" s="107"/>
      <c r="J191" s="107"/>
      <c r="P191" s="93"/>
      <c r="Q191" s="108"/>
    </row>
    <row r="192" spans="2:17" ht="14.25">
      <c r="B192" s="103"/>
      <c r="F192" s="107"/>
      <c r="G192" s="107"/>
      <c r="H192" s="107"/>
      <c r="I192" s="107"/>
      <c r="J192" s="107"/>
      <c r="P192" s="93"/>
      <c r="Q192" s="108"/>
    </row>
    <row r="193" spans="2:17" ht="14.25">
      <c r="B193" s="103"/>
      <c r="F193" s="107"/>
      <c r="G193" s="107"/>
      <c r="H193" s="107"/>
      <c r="I193" s="107"/>
      <c r="J193" s="107"/>
      <c r="P193" s="93"/>
      <c r="Q193" s="108"/>
    </row>
    <row r="194" spans="2:17" ht="14.25">
      <c r="B194" s="103"/>
      <c r="F194" s="107"/>
      <c r="G194" s="107"/>
      <c r="H194" s="107"/>
      <c r="I194" s="107"/>
      <c r="J194" s="107"/>
      <c r="P194" s="93"/>
      <c r="Q194" s="108"/>
    </row>
    <row r="195" spans="2:17" ht="14.25">
      <c r="B195" s="103"/>
      <c r="F195" s="107"/>
      <c r="G195" s="107"/>
      <c r="H195" s="107"/>
      <c r="I195" s="107"/>
      <c r="J195" s="107"/>
      <c r="P195" s="93"/>
      <c r="Q195" s="108"/>
    </row>
    <row r="196" spans="2:17" ht="14.25">
      <c r="B196" s="103"/>
      <c r="F196" s="107"/>
      <c r="G196" s="107"/>
      <c r="H196" s="107"/>
      <c r="I196" s="107"/>
      <c r="J196" s="107"/>
      <c r="P196" s="93"/>
      <c r="Q196" s="108"/>
    </row>
    <row r="197" spans="2:17" ht="14.25">
      <c r="B197" s="103"/>
      <c r="F197" s="107"/>
      <c r="G197" s="107"/>
      <c r="H197" s="107"/>
      <c r="I197" s="107"/>
      <c r="J197" s="107"/>
      <c r="P197" s="93"/>
      <c r="Q197" s="108"/>
    </row>
    <row r="198" spans="2:17" ht="14.25">
      <c r="B198" s="103"/>
      <c r="F198" s="107"/>
      <c r="G198" s="107"/>
      <c r="H198" s="107"/>
      <c r="I198" s="107"/>
      <c r="J198" s="107"/>
      <c r="P198" s="93"/>
      <c r="Q198" s="108"/>
    </row>
    <row r="199" spans="2:17" ht="14.25">
      <c r="B199" s="103"/>
      <c r="F199" s="107"/>
      <c r="G199" s="107"/>
      <c r="H199" s="107"/>
      <c r="I199" s="107"/>
      <c r="J199" s="107"/>
      <c r="P199" s="93"/>
      <c r="Q199" s="108"/>
    </row>
    <row r="200" spans="2:17" ht="14.25">
      <c r="B200" s="103"/>
      <c r="F200" s="107"/>
      <c r="G200" s="107"/>
      <c r="H200" s="107"/>
      <c r="I200" s="107"/>
      <c r="J200" s="107"/>
      <c r="P200" s="93"/>
      <c r="Q200" s="108"/>
    </row>
    <row r="201" spans="2:17" ht="14.25">
      <c r="B201" s="103"/>
      <c r="F201" s="107"/>
      <c r="G201" s="107"/>
      <c r="H201" s="107"/>
      <c r="I201" s="107"/>
      <c r="J201" s="107"/>
      <c r="P201" s="93"/>
      <c r="Q201" s="108"/>
    </row>
    <row r="202" spans="2:17" ht="14.25">
      <c r="B202" s="103"/>
      <c r="F202" s="107"/>
      <c r="G202" s="107"/>
      <c r="H202" s="107"/>
      <c r="I202" s="107"/>
      <c r="J202" s="107"/>
      <c r="P202" s="93"/>
      <c r="Q202" s="108"/>
    </row>
    <row r="203" spans="2:17" ht="14.25">
      <c r="B203" s="103"/>
      <c r="F203" s="107"/>
      <c r="G203" s="107"/>
      <c r="H203" s="107"/>
      <c r="I203" s="107"/>
      <c r="J203" s="107"/>
      <c r="P203" s="93"/>
      <c r="Q203" s="108"/>
    </row>
    <row r="204" spans="2:17" ht="14.25">
      <c r="B204" s="103"/>
      <c r="F204" s="107"/>
      <c r="G204" s="107"/>
      <c r="H204" s="107"/>
      <c r="I204" s="107"/>
      <c r="J204" s="107"/>
      <c r="P204" s="93"/>
      <c r="Q204" s="108"/>
    </row>
    <row r="205" spans="2:17" ht="14.25">
      <c r="B205" s="103"/>
      <c r="F205" s="107"/>
      <c r="G205" s="107"/>
      <c r="H205" s="107"/>
      <c r="I205" s="107"/>
      <c r="J205" s="107"/>
      <c r="P205" s="93"/>
      <c r="Q205" s="108"/>
    </row>
    <row r="206" spans="2:17" ht="14.25">
      <c r="B206" s="103"/>
      <c r="F206" s="107"/>
      <c r="G206" s="107"/>
      <c r="H206" s="107"/>
      <c r="I206" s="107"/>
      <c r="J206" s="107"/>
      <c r="P206" s="93"/>
      <c r="Q206" s="108"/>
    </row>
    <row r="207" spans="2:17" ht="14.25">
      <c r="B207" s="103"/>
      <c r="F207" s="107"/>
      <c r="G207" s="107"/>
      <c r="H207" s="107"/>
      <c r="I207" s="107"/>
      <c r="J207" s="107"/>
      <c r="P207" s="93"/>
      <c r="Q207" s="108"/>
    </row>
    <row r="208" spans="2:17" ht="14.25">
      <c r="B208" s="103"/>
      <c r="F208" s="107"/>
      <c r="G208" s="107"/>
      <c r="H208" s="107"/>
      <c r="I208" s="107"/>
      <c r="J208" s="107"/>
      <c r="P208" s="93"/>
      <c r="Q208" s="108"/>
    </row>
    <row r="209" spans="2:17" ht="14.25">
      <c r="B209" s="103"/>
      <c r="F209" s="107"/>
      <c r="G209" s="107"/>
      <c r="H209" s="107"/>
      <c r="I209" s="107"/>
      <c r="J209" s="107"/>
      <c r="P209" s="93"/>
      <c r="Q209" s="108"/>
    </row>
    <row r="210" spans="2:17" ht="14.25">
      <c r="B210" s="103"/>
      <c r="F210" s="107"/>
      <c r="G210" s="107"/>
      <c r="H210" s="107"/>
      <c r="I210" s="107"/>
      <c r="J210" s="107"/>
      <c r="P210" s="93"/>
      <c r="Q210" s="108"/>
    </row>
    <row r="211" spans="2:17" ht="14.25">
      <c r="B211" s="103"/>
      <c r="F211" s="107"/>
      <c r="G211" s="107"/>
      <c r="H211" s="107"/>
      <c r="I211" s="107"/>
      <c r="J211" s="107"/>
      <c r="P211" s="93"/>
      <c r="Q211" s="108"/>
    </row>
    <row r="212" spans="2:17" ht="14.25">
      <c r="B212" s="103"/>
      <c r="F212" s="107"/>
      <c r="G212" s="107"/>
      <c r="H212" s="107"/>
      <c r="I212" s="107"/>
      <c r="J212" s="107"/>
      <c r="P212" s="93"/>
      <c r="Q212" s="108"/>
    </row>
    <row r="213" spans="2:17" ht="14.25">
      <c r="B213" s="103"/>
      <c r="F213" s="107"/>
      <c r="G213" s="107"/>
      <c r="H213" s="107"/>
      <c r="I213" s="107"/>
      <c r="J213" s="107"/>
      <c r="P213" s="93"/>
      <c r="Q213" s="108"/>
    </row>
    <row r="214" spans="2:17" ht="14.25">
      <c r="B214" s="103"/>
      <c r="F214" s="107"/>
      <c r="G214" s="107"/>
      <c r="H214" s="107"/>
      <c r="I214" s="107"/>
      <c r="J214" s="107"/>
      <c r="P214" s="93"/>
      <c r="Q214" s="108"/>
    </row>
    <row r="215" spans="2:17" ht="14.25">
      <c r="B215" s="103"/>
      <c r="F215" s="107"/>
      <c r="G215" s="107"/>
      <c r="H215" s="107"/>
      <c r="I215" s="107"/>
      <c r="J215" s="107"/>
      <c r="P215" s="93"/>
      <c r="Q215" s="108"/>
    </row>
    <row r="216" spans="2:17" ht="14.25">
      <c r="B216" s="103"/>
      <c r="F216" s="107"/>
      <c r="G216" s="107"/>
      <c r="H216" s="107"/>
      <c r="I216" s="107"/>
      <c r="J216" s="107"/>
      <c r="P216" s="93"/>
      <c r="Q216" s="108"/>
    </row>
    <row r="217" spans="2:17" ht="14.25">
      <c r="B217" s="103"/>
      <c r="F217" s="107"/>
      <c r="G217" s="107"/>
      <c r="H217" s="107"/>
      <c r="I217" s="107"/>
      <c r="J217" s="107"/>
      <c r="P217" s="93"/>
      <c r="Q217" s="108"/>
    </row>
    <row r="218" spans="2:17" ht="14.25">
      <c r="B218" s="103"/>
      <c r="F218" s="107"/>
      <c r="G218" s="107"/>
      <c r="H218" s="107"/>
      <c r="I218" s="107"/>
      <c r="J218" s="107"/>
      <c r="P218" s="93"/>
      <c r="Q218" s="108"/>
    </row>
    <row r="219" spans="2:17" ht="14.25">
      <c r="B219" s="103"/>
      <c r="F219" s="107"/>
      <c r="G219" s="107"/>
      <c r="H219" s="107"/>
      <c r="I219" s="107"/>
      <c r="J219" s="107"/>
      <c r="P219" s="93"/>
      <c r="Q219" s="108"/>
    </row>
    <row r="220" spans="2:17" ht="14.25">
      <c r="B220" s="103"/>
      <c r="F220" s="107"/>
      <c r="G220" s="107"/>
      <c r="H220" s="107"/>
      <c r="I220" s="107"/>
      <c r="J220" s="107"/>
      <c r="P220" s="93"/>
      <c r="Q220" s="108"/>
    </row>
    <row r="221" spans="2:17" ht="14.25">
      <c r="B221" s="103"/>
      <c r="F221" s="107"/>
      <c r="G221" s="107"/>
      <c r="H221" s="107"/>
      <c r="I221" s="107"/>
      <c r="J221" s="107"/>
      <c r="P221" s="93"/>
      <c r="Q221" s="108"/>
    </row>
    <row r="222" spans="2:17" ht="14.25">
      <c r="B222" s="103"/>
      <c r="F222" s="107"/>
      <c r="G222" s="107"/>
      <c r="H222" s="107"/>
      <c r="I222" s="107"/>
      <c r="J222" s="107"/>
      <c r="P222" s="93"/>
      <c r="Q222" s="108"/>
    </row>
    <row r="223" spans="2:17" ht="14.25">
      <c r="B223" s="103"/>
      <c r="F223" s="107"/>
      <c r="G223" s="107"/>
      <c r="H223" s="107"/>
      <c r="I223" s="107"/>
      <c r="J223" s="107"/>
      <c r="P223" s="93"/>
      <c r="Q223" s="108"/>
    </row>
    <row r="224" spans="2:17" ht="14.25">
      <c r="B224" s="103"/>
      <c r="F224" s="107"/>
      <c r="G224" s="107"/>
      <c r="H224" s="107"/>
      <c r="I224" s="107"/>
      <c r="J224" s="107"/>
      <c r="P224" s="93"/>
      <c r="Q224" s="108"/>
    </row>
    <row r="225" spans="2:17" ht="14.25">
      <c r="B225" s="103"/>
      <c r="F225" s="107"/>
      <c r="G225" s="107"/>
      <c r="H225" s="107"/>
      <c r="I225" s="107"/>
      <c r="J225" s="107"/>
      <c r="P225" s="93"/>
      <c r="Q225" s="108"/>
    </row>
    <row r="226" spans="2:17" ht="14.25">
      <c r="B226" s="103"/>
      <c r="F226" s="107"/>
      <c r="G226" s="107"/>
      <c r="H226" s="107"/>
      <c r="I226" s="107"/>
      <c r="J226" s="107"/>
      <c r="P226" s="93"/>
      <c r="Q226" s="108"/>
    </row>
    <row r="227" spans="2:17" ht="14.25">
      <c r="B227" s="103"/>
      <c r="F227" s="107"/>
      <c r="G227" s="107"/>
      <c r="H227" s="107"/>
      <c r="I227" s="107"/>
      <c r="J227" s="107"/>
      <c r="P227" s="93"/>
      <c r="Q227" s="108"/>
    </row>
    <row r="228" spans="2:17" ht="14.25">
      <c r="B228" s="103"/>
      <c r="F228" s="107"/>
      <c r="G228" s="107"/>
      <c r="H228" s="107"/>
      <c r="I228" s="107"/>
      <c r="J228" s="107"/>
      <c r="P228" s="93"/>
      <c r="Q228" s="108"/>
    </row>
    <row r="229" spans="2:17" ht="14.25">
      <c r="B229" s="103"/>
      <c r="F229" s="107"/>
      <c r="G229" s="107"/>
      <c r="H229" s="107"/>
      <c r="I229" s="107"/>
      <c r="J229" s="107"/>
      <c r="P229" s="93"/>
      <c r="Q229" s="108"/>
    </row>
    <row r="230" spans="2:17" ht="14.25">
      <c r="B230" s="103"/>
      <c r="F230" s="107"/>
      <c r="G230" s="107"/>
      <c r="H230" s="107"/>
      <c r="I230" s="107"/>
      <c r="J230" s="107"/>
      <c r="P230" s="93"/>
      <c r="Q230" s="108"/>
    </row>
    <row r="231" spans="2:17" ht="14.25">
      <c r="B231" s="103"/>
      <c r="F231" s="107"/>
      <c r="G231" s="107"/>
      <c r="H231" s="107"/>
      <c r="I231" s="107"/>
      <c r="J231" s="107"/>
      <c r="P231" s="93"/>
      <c r="Q231" s="108"/>
    </row>
    <row r="232" spans="2:17" ht="14.25">
      <c r="B232" s="103"/>
      <c r="F232" s="107"/>
      <c r="G232" s="107"/>
      <c r="H232" s="107"/>
      <c r="I232" s="107"/>
      <c r="J232" s="107"/>
      <c r="P232" s="93"/>
      <c r="Q232" s="108"/>
    </row>
    <row r="233" spans="2:17" ht="14.25">
      <c r="B233" s="103"/>
      <c r="F233" s="107"/>
      <c r="G233" s="107"/>
      <c r="H233" s="107"/>
      <c r="I233" s="107"/>
      <c r="J233" s="107"/>
      <c r="P233" s="93"/>
      <c r="Q233" s="108"/>
    </row>
    <row r="234" spans="2:17" ht="14.25">
      <c r="B234" s="103"/>
      <c r="F234" s="107"/>
      <c r="G234" s="107"/>
      <c r="H234" s="107"/>
      <c r="I234" s="107"/>
      <c r="J234" s="107"/>
      <c r="P234" s="93"/>
      <c r="Q234" s="108"/>
    </row>
    <row r="235" spans="2:17" ht="14.25">
      <c r="B235" s="103"/>
      <c r="F235" s="107"/>
      <c r="G235" s="107"/>
      <c r="H235" s="107"/>
      <c r="I235" s="107"/>
      <c r="J235" s="107"/>
      <c r="P235" s="93"/>
      <c r="Q235" s="108"/>
    </row>
    <row r="236" spans="2:17" ht="14.25">
      <c r="B236" s="103"/>
      <c r="F236" s="107"/>
      <c r="G236" s="107"/>
      <c r="H236" s="107"/>
      <c r="I236" s="107"/>
      <c r="J236" s="107"/>
      <c r="P236" s="93"/>
      <c r="Q236" s="108"/>
    </row>
    <row r="237" spans="2:17" ht="14.25">
      <c r="B237" s="103"/>
      <c r="F237" s="107"/>
      <c r="G237" s="107"/>
      <c r="H237" s="107"/>
      <c r="I237" s="107"/>
      <c r="J237" s="107"/>
      <c r="P237" s="93"/>
      <c r="Q237" s="108"/>
    </row>
    <row r="238" spans="2:17" ht="14.25">
      <c r="B238" s="103"/>
      <c r="F238" s="107"/>
      <c r="G238" s="107"/>
      <c r="H238" s="107"/>
      <c r="I238" s="107"/>
      <c r="J238" s="107"/>
      <c r="P238" s="93"/>
      <c r="Q238" s="108"/>
    </row>
    <row r="239" spans="2:17" ht="14.25">
      <c r="B239" s="103"/>
      <c r="F239" s="107"/>
      <c r="G239" s="107"/>
      <c r="H239" s="107"/>
      <c r="I239" s="107"/>
      <c r="J239" s="107"/>
      <c r="P239" s="93"/>
      <c r="Q239" s="108"/>
    </row>
    <row r="240" spans="2:17" ht="14.25">
      <c r="B240" s="103"/>
      <c r="F240" s="107"/>
      <c r="G240" s="107"/>
      <c r="H240" s="107"/>
      <c r="I240" s="107"/>
      <c r="J240" s="107"/>
      <c r="P240" s="93"/>
      <c r="Q240" s="108"/>
    </row>
    <row r="241" spans="2:17" ht="14.25">
      <c r="B241" s="103"/>
      <c r="F241" s="107"/>
      <c r="G241" s="107"/>
      <c r="H241" s="107"/>
      <c r="I241" s="107"/>
      <c r="J241" s="107"/>
      <c r="P241" s="93"/>
      <c r="Q241" s="108"/>
    </row>
    <row r="242" spans="2:17" ht="14.25">
      <c r="B242" s="103"/>
      <c r="F242" s="107"/>
      <c r="G242" s="107"/>
      <c r="H242" s="107"/>
      <c r="I242" s="107"/>
      <c r="J242" s="107"/>
      <c r="P242" s="93"/>
      <c r="Q242" s="108"/>
    </row>
    <row r="243" spans="2:17" ht="14.25">
      <c r="B243" s="103"/>
      <c r="F243" s="107"/>
      <c r="G243" s="107"/>
      <c r="H243" s="107"/>
      <c r="I243" s="107"/>
      <c r="J243" s="107"/>
      <c r="P243" s="93"/>
      <c r="Q243" s="108"/>
    </row>
    <row r="244" spans="2:17" ht="14.25">
      <c r="B244" s="103"/>
      <c r="F244" s="107"/>
      <c r="G244" s="107"/>
      <c r="H244" s="107"/>
      <c r="I244" s="107"/>
      <c r="J244" s="107"/>
      <c r="P244" s="93"/>
      <c r="Q244" s="108"/>
    </row>
    <row r="245" spans="2:17" ht="14.25">
      <c r="B245" s="103"/>
      <c r="F245" s="107"/>
      <c r="G245" s="107"/>
      <c r="H245" s="107"/>
      <c r="I245" s="107"/>
      <c r="J245" s="107"/>
      <c r="P245" s="93"/>
      <c r="Q245" s="108"/>
    </row>
    <row r="246" spans="2:17" ht="14.25">
      <c r="B246" s="103"/>
      <c r="F246" s="107"/>
      <c r="G246" s="107"/>
      <c r="H246" s="107"/>
      <c r="I246" s="107"/>
      <c r="J246" s="107"/>
      <c r="P246" s="93"/>
      <c r="Q246" s="108"/>
    </row>
    <row r="247" spans="2:17" ht="14.25">
      <c r="B247" s="103"/>
      <c r="F247" s="107"/>
      <c r="G247" s="107"/>
      <c r="H247" s="107"/>
      <c r="I247" s="107"/>
      <c r="J247" s="107"/>
      <c r="P247" s="93"/>
      <c r="Q247" s="108"/>
    </row>
    <row r="248" spans="2:17" ht="14.25">
      <c r="B248" s="103"/>
      <c r="F248" s="107"/>
      <c r="G248" s="107"/>
      <c r="H248" s="107"/>
      <c r="I248" s="107"/>
      <c r="J248" s="107"/>
      <c r="P248" s="93"/>
      <c r="Q248" s="108"/>
    </row>
    <row r="249" spans="2:17" ht="14.25">
      <c r="B249" s="103"/>
      <c r="F249" s="107"/>
      <c r="G249" s="107"/>
      <c r="H249" s="107"/>
      <c r="I249" s="107"/>
      <c r="J249" s="107"/>
      <c r="P249" s="93"/>
      <c r="Q249" s="108"/>
    </row>
    <row r="250" spans="2:17" ht="14.25">
      <c r="B250" s="103"/>
      <c r="F250" s="107"/>
      <c r="G250" s="107"/>
      <c r="H250" s="107"/>
      <c r="I250" s="107"/>
      <c r="J250" s="107"/>
      <c r="P250" s="93"/>
      <c r="Q250" s="108"/>
    </row>
    <row r="251" spans="2:17" ht="14.25">
      <c r="B251" s="103"/>
      <c r="F251" s="107"/>
      <c r="G251" s="107"/>
      <c r="H251" s="107"/>
      <c r="I251" s="107"/>
      <c r="J251" s="107"/>
      <c r="P251" s="93"/>
      <c r="Q251" s="108"/>
    </row>
    <row r="252" spans="2:17" ht="14.25">
      <c r="B252" s="103"/>
      <c r="F252" s="107"/>
      <c r="G252" s="107"/>
      <c r="H252" s="107"/>
      <c r="I252" s="107"/>
      <c r="J252" s="107"/>
      <c r="P252" s="93"/>
      <c r="Q252" s="108"/>
    </row>
    <row r="253" spans="2:17" ht="14.25">
      <c r="B253" s="103"/>
      <c r="F253" s="107"/>
      <c r="G253" s="107"/>
      <c r="H253" s="107"/>
      <c r="I253" s="107"/>
      <c r="J253" s="107"/>
      <c r="P253" s="93"/>
      <c r="Q253" s="108"/>
    </row>
    <row r="254" spans="2:17" ht="14.25">
      <c r="B254" s="103"/>
      <c r="F254" s="107"/>
      <c r="G254" s="107"/>
      <c r="H254" s="107"/>
      <c r="I254" s="107"/>
      <c r="J254" s="107"/>
      <c r="P254" s="93"/>
      <c r="Q254" s="108"/>
    </row>
    <row r="255" spans="2:17" ht="14.25">
      <c r="B255" s="103"/>
      <c r="F255" s="107"/>
      <c r="G255" s="107"/>
      <c r="H255" s="107"/>
      <c r="I255" s="107"/>
      <c r="J255" s="107"/>
      <c r="P255" s="93"/>
      <c r="Q255" s="108"/>
    </row>
    <row r="256" spans="2:17" ht="14.25">
      <c r="B256" s="103"/>
      <c r="F256" s="107"/>
      <c r="G256" s="107"/>
      <c r="H256" s="107"/>
      <c r="I256" s="107"/>
      <c r="J256" s="107"/>
      <c r="P256" s="93"/>
      <c r="Q256" s="108"/>
    </row>
    <row r="257" spans="2:17" ht="14.25">
      <c r="B257" s="103"/>
      <c r="F257" s="107"/>
      <c r="G257" s="107"/>
      <c r="H257" s="107"/>
      <c r="I257" s="107"/>
      <c r="J257" s="107"/>
      <c r="P257" s="93"/>
      <c r="Q257" s="108"/>
    </row>
    <row r="258" spans="2:17" ht="14.25">
      <c r="B258" s="103"/>
      <c r="F258" s="107"/>
      <c r="G258" s="107"/>
      <c r="H258" s="107"/>
      <c r="I258" s="107"/>
      <c r="J258" s="107"/>
      <c r="P258" s="93"/>
      <c r="Q258" s="108"/>
    </row>
    <row r="259" spans="2:17" ht="14.25">
      <c r="B259" s="103"/>
      <c r="F259" s="107"/>
      <c r="G259" s="107"/>
      <c r="H259" s="107"/>
      <c r="I259" s="107"/>
      <c r="J259" s="107"/>
      <c r="P259" s="93"/>
      <c r="Q259" s="108"/>
    </row>
    <row r="260" spans="2:17" ht="14.25">
      <c r="B260" s="103"/>
      <c r="F260" s="107"/>
      <c r="G260" s="107"/>
      <c r="H260" s="107"/>
      <c r="I260" s="107"/>
      <c r="J260" s="107"/>
      <c r="P260" s="93"/>
      <c r="Q260" s="108"/>
    </row>
    <row r="261" spans="2:17" ht="14.25">
      <c r="B261" s="103"/>
      <c r="F261" s="107"/>
      <c r="G261" s="107"/>
      <c r="H261" s="107"/>
      <c r="I261" s="107"/>
      <c r="J261" s="107"/>
      <c r="P261" s="93"/>
      <c r="Q261" s="108"/>
    </row>
    <row r="262" spans="2:17" ht="14.25">
      <c r="B262" s="103"/>
      <c r="F262" s="107"/>
      <c r="G262" s="107"/>
      <c r="H262" s="107"/>
      <c r="I262" s="107"/>
      <c r="J262" s="107"/>
      <c r="P262" s="93"/>
      <c r="Q262" s="108"/>
    </row>
    <row r="263" spans="2:17" ht="14.25">
      <c r="B263" s="103"/>
      <c r="F263" s="107"/>
      <c r="G263" s="107"/>
      <c r="H263" s="107"/>
      <c r="I263" s="107"/>
      <c r="J263" s="107"/>
      <c r="P263" s="93"/>
      <c r="Q263" s="108"/>
    </row>
    <row r="264" spans="2:17" ht="14.25">
      <c r="B264" s="103"/>
      <c r="F264" s="107"/>
      <c r="G264" s="107"/>
      <c r="H264" s="107"/>
      <c r="I264" s="107"/>
      <c r="J264" s="107"/>
      <c r="P264" s="93"/>
      <c r="Q264" s="108"/>
    </row>
    <row r="265" spans="2:17" ht="14.25">
      <c r="B265" s="103"/>
      <c r="F265" s="107"/>
      <c r="G265" s="107"/>
      <c r="H265" s="107"/>
      <c r="I265" s="107"/>
      <c r="J265" s="107"/>
      <c r="P265" s="93"/>
      <c r="Q265" s="108"/>
    </row>
    <row r="266" spans="2:17" ht="14.25">
      <c r="B266" s="103"/>
      <c r="F266" s="107"/>
      <c r="G266" s="107"/>
      <c r="H266" s="107"/>
      <c r="I266" s="107"/>
      <c r="J266" s="107"/>
      <c r="P266" s="93"/>
      <c r="Q266" s="108"/>
    </row>
    <row r="267" spans="2:17" ht="14.25">
      <c r="B267" s="103"/>
      <c r="F267" s="107"/>
      <c r="G267" s="107"/>
      <c r="H267" s="107"/>
      <c r="I267" s="107"/>
      <c r="J267" s="107"/>
      <c r="P267" s="93"/>
      <c r="Q267" s="108"/>
    </row>
    <row r="268" spans="2:17" ht="14.25">
      <c r="B268" s="103"/>
      <c r="F268" s="107"/>
      <c r="G268" s="107"/>
      <c r="H268" s="107"/>
      <c r="I268" s="107"/>
      <c r="J268" s="107"/>
      <c r="P268" s="93"/>
      <c r="Q268" s="108"/>
    </row>
    <row r="269" spans="2:17" ht="14.25">
      <c r="B269" s="103"/>
      <c r="F269" s="107"/>
      <c r="G269" s="107"/>
      <c r="H269" s="107"/>
      <c r="I269" s="107"/>
      <c r="J269" s="107"/>
      <c r="P269" s="93"/>
      <c r="Q269" s="108"/>
    </row>
    <row r="270" spans="2:17" ht="14.25">
      <c r="B270" s="103"/>
      <c r="F270" s="107"/>
      <c r="G270" s="107"/>
      <c r="H270" s="107"/>
      <c r="I270" s="107"/>
      <c r="J270" s="107"/>
      <c r="P270" s="93"/>
      <c r="Q270" s="108"/>
    </row>
    <row r="271" spans="2:17" ht="14.25">
      <c r="B271" s="103"/>
      <c r="F271" s="107"/>
      <c r="G271" s="107"/>
      <c r="H271" s="107"/>
      <c r="I271" s="107"/>
      <c r="J271" s="107"/>
      <c r="P271" s="93"/>
      <c r="Q271" s="108"/>
    </row>
    <row r="272" spans="2:17" ht="14.25">
      <c r="B272" s="103"/>
      <c r="F272" s="107"/>
      <c r="G272" s="107"/>
      <c r="H272" s="107"/>
      <c r="I272" s="107"/>
      <c r="J272" s="107"/>
      <c r="P272" s="93"/>
      <c r="Q272" s="108"/>
    </row>
    <row r="273" spans="2:17" ht="14.25">
      <c r="B273" s="103"/>
      <c r="F273" s="107"/>
      <c r="G273" s="107"/>
      <c r="H273" s="107"/>
      <c r="I273" s="107"/>
      <c r="J273" s="107"/>
      <c r="P273" s="93"/>
      <c r="Q273" s="108"/>
    </row>
    <row r="274" spans="2:17" ht="14.25">
      <c r="B274" s="103"/>
      <c r="F274" s="107"/>
      <c r="G274" s="107"/>
      <c r="H274" s="107"/>
      <c r="I274" s="107"/>
      <c r="J274" s="107"/>
      <c r="P274" s="93"/>
      <c r="Q274" s="108"/>
    </row>
    <row r="275" spans="2:17" ht="14.25">
      <c r="B275" s="103"/>
      <c r="F275" s="107"/>
      <c r="G275" s="107"/>
      <c r="H275" s="107"/>
      <c r="I275" s="107"/>
      <c r="J275" s="107"/>
      <c r="P275" s="93"/>
      <c r="Q275" s="108"/>
    </row>
    <row r="276" spans="2:17" ht="14.25">
      <c r="B276" s="103"/>
      <c r="F276" s="107"/>
      <c r="G276" s="107"/>
      <c r="H276" s="107"/>
      <c r="I276" s="107"/>
      <c r="J276" s="107"/>
      <c r="P276" s="93"/>
      <c r="Q276" s="108"/>
    </row>
    <row r="277" spans="2:17" ht="14.25">
      <c r="B277" s="103"/>
      <c r="F277" s="107"/>
      <c r="G277" s="107"/>
      <c r="H277" s="107"/>
      <c r="I277" s="107"/>
      <c r="J277" s="107"/>
      <c r="P277" s="93"/>
      <c r="Q277" s="108"/>
    </row>
    <row r="278" spans="2:17" ht="14.25">
      <c r="B278" s="103"/>
      <c r="F278" s="107"/>
      <c r="G278" s="107"/>
      <c r="H278" s="107"/>
      <c r="I278" s="107"/>
      <c r="J278" s="107"/>
      <c r="P278" s="93"/>
      <c r="Q278" s="108"/>
    </row>
    <row r="279" spans="2:17" ht="14.25">
      <c r="B279" s="103"/>
      <c r="F279" s="107"/>
      <c r="G279" s="107"/>
      <c r="H279" s="107"/>
      <c r="I279" s="107"/>
      <c r="J279" s="107"/>
      <c r="P279" s="93"/>
      <c r="Q279" s="108"/>
    </row>
    <row r="280" spans="2:17" ht="14.25">
      <c r="B280" s="103"/>
      <c r="F280" s="107"/>
      <c r="G280" s="107"/>
      <c r="H280" s="107"/>
      <c r="I280" s="107"/>
      <c r="J280" s="107"/>
      <c r="P280" s="93"/>
      <c r="Q280" s="108"/>
    </row>
    <row r="281" spans="2:17" ht="14.25">
      <c r="B281" s="103"/>
      <c r="F281" s="107"/>
      <c r="G281" s="107"/>
      <c r="H281" s="107"/>
      <c r="I281" s="107"/>
      <c r="J281" s="107"/>
      <c r="P281" s="93"/>
      <c r="Q281" s="108"/>
    </row>
    <row r="282" spans="2:17" ht="14.25">
      <c r="B282" s="103"/>
      <c r="F282" s="107"/>
      <c r="G282" s="107"/>
      <c r="H282" s="107"/>
      <c r="I282" s="107"/>
      <c r="J282" s="107"/>
      <c r="P282" s="93"/>
      <c r="Q282" s="108"/>
    </row>
    <row r="283" spans="2:17" ht="14.25">
      <c r="B283" s="103"/>
      <c r="F283" s="107"/>
      <c r="G283" s="107"/>
      <c r="H283" s="107"/>
      <c r="I283" s="107"/>
      <c r="J283" s="107"/>
      <c r="P283" s="93"/>
      <c r="Q283" s="108"/>
    </row>
    <row r="284" spans="2:17" ht="14.25">
      <c r="B284" s="103"/>
      <c r="F284" s="107"/>
      <c r="G284" s="107"/>
      <c r="H284" s="107"/>
      <c r="I284" s="107"/>
      <c r="J284" s="107"/>
      <c r="P284" s="93"/>
      <c r="Q284" s="108"/>
    </row>
    <row r="285" spans="2:17" ht="14.25">
      <c r="B285" s="103"/>
      <c r="F285" s="107"/>
      <c r="G285" s="107"/>
      <c r="H285" s="107"/>
      <c r="I285" s="107"/>
      <c r="J285" s="107"/>
      <c r="P285" s="93"/>
      <c r="Q285" s="108"/>
    </row>
    <row r="286" spans="2:17" ht="14.25">
      <c r="B286" s="103"/>
      <c r="F286" s="107"/>
      <c r="G286" s="107"/>
      <c r="H286" s="107"/>
      <c r="I286" s="107"/>
      <c r="J286" s="107"/>
      <c r="P286" s="93"/>
      <c r="Q286" s="108"/>
    </row>
    <row r="287" spans="2:17" ht="14.25">
      <c r="B287" s="103"/>
      <c r="F287" s="107"/>
      <c r="G287" s="107"/>
      <c r="H287" s="107"/>
      <c r="I287" s="107"/>
      <c r="J287" s="107"/>
      <c r="P287" s="93"/>
      <c r="Q287" s="108"/>
    </row>
    <row r="288" spans="2:17" ht="14.25">
      <c r="B288" s="103"/>
      <c r="F288" s="107"/>
      <c r="G288" s="107"/>
      <c r="H288" s="107"/>
      <c r="I288" s="107"/>
      <c r="J288" s="107"/>
      <c r="P288" s="93"/>
      <c r="Q288" s="108"/>
    </row>
    <row r="289" spans="2:17" ht="14.25">
      <c r="B289" s="103"/>
      <c r="F289" s="107"/>
      <c r="G289" s="107"/>
      <c r="H289" s="107"/>
      <c r="I289" s="107"/>
      <c r="J289" s="107"/>
      <c r="P289" s="93"/>
      <c r="Q289" s="108"/>
    </row>
    <row r="290" spans="2:17" ht="14.25">
      <c r="B290" s="103"/>
      <c r="F290" s="107"/>
      <c r="G290" s="107"/>
      <c r="H290" s="107"/>
      <c r="I290" s="107"/>
      <c r="J290" s="107"/>
      <c r="P290" s="93"/>
      <c r="Q290" s="108"/>
    </row>
    <row r="291" spans="2:17" ht="14.25">
      <c r="B291" s="103"/>
      <c r="F291" s="107"/>
      <c r="G291" s="107"/>
      <c r="H291" s="107"/>
      <c r="I291" s="107"/>
      <c r="J291" s="107"/>
      <c r="P291" s="93"/>
      <c r="Q291" s="108"/>
    </row>
    <row r="292" spans="2:17" ht="14.25">
      <c r="B292" s="103"/>
      <c r="F292" s="107"/>
      <c r="G292" s="107"/>
      <c r="H292" s="107"/>
      <c r="I292" s="107"/>
      <c r="J292" s="107"/>
      <c r="P292" s="93"/>
      <c r="Q292" s="108"/>
    </row>
    <row r="293" spans="2:17" ht="14.25">
      <c r="B293" s="103"/>
      <c r="F293" s="107"/>
      <c r="G293" s="107"/>
      <c r="H293" s="107"/>
      <c r="I293" s="107"/>
      <c r="J293" s="107"/>
      <c r="P293" s="93"/>
      <c r="Q293" s="108"/>
    </row>
    <row r="294" spans="2:17" ht="14.25">
      <c r="B294" s="103"/>
      <c r="F294" s="107"/>
      <c r="G294" s="107"/>
      <c r="H294" s="107"/>
      <c r="I294" s="107"/>
      <c r="J294" s="107"/>
      <c r="P294" s="93"/>
      <c r="Q294" s="108"/>
    </row>
    <row r="295" spans="2:17" ht="14.25">
      <c r="B295" s="103"/>
      <c r="F295" s="107"/>
      <c r="G295" s="107"/>
      <c r="H295" s="107"/>
      <c r="I295" s="107"/>
      <c r="J295" s="107"/>
      <c r="P295" s="93"/>
      <c r="Q295" s="108"/>
    </row>
    <row r="296" spans="2:17" ht="14.25">
      <c r="B296" s="103"/>
      <c r="F296" s="107"/>
      <c r="G296" s="107"/>
      <c r="H296" s="107"/>
      <c r="I296" s="107"/>
      <c r="J296" s="107"/>
      <c r="P296" s="93"/>
      <c r="Q296" s="108"/>
    </row>
    <row r="297" spans="2:17" ht="14.25">
      <c r="B297" s="103"/>
      <c r="F297" s="107"/>
      <c r="G297" s="107"/>
      <c r="H297" s="107"/>
      <c r="I297" s="107"/>
      <c r="J297" s="107"/>
      <c r="P297" s="93"/>
      <c r="Q297" s="108"/>
    </row>
    <row r="298" spans="2:17" ht="14.25">
      <c r="B298" s="103"/>
      <c r="F298" s="107"/>
      <c r="G298" s="107"/>
      <c r="H298" s="107"/>
      <c r="I298" s="107"/>
      <c r="J298" s="107"/>
      <c r="P298" s="93"/>
      <c r="Q298" s="108"/>
    </row>
    <row r="299" spans="2:17" ht="14.25">
      <c r="B299" s="103"/>
      <c r="F299" s="107"/>
      <c r="G299" s="107"/>
      <c r="H299" s="107"/>
      <c r="I299" s="107"/>
      <c r="J299" s="107"/>
      <c r="P299" s="93"/>
      <c r="Q299" s="108"/>
    </row>
    <row r="300" spans="2:17" ht="14.25">
      <c r="B300" s="103"/>
      <c r="F300" s="107"/>
      <c r="G300" s="107"/>
      <c r="H300" s="107"/>
      <c r="I300" s="107"/>
      <c r="J300" s="107"/>
      <c r="P300" s="93"/>
      <c r="Q300" s="108"/>
    </row>
    <row r="301" spans="2:17" ht="14.25">
      <c r="B301" s="103"/>
      <c r="F301" s="107"/>
      <c r="G301" s="107"/>
      <c r="H301" s="107"/>
      <c r="I301" s="107"/>
      <c r="J301" s="107"/>
      <c r="P301" s="93"/>
      <c r="Q301" s="108"/>
    </row>
    <row r="302" spans="2:17" ht="14.25">
      <c r="B302" s="103"/>
      <c r="F302" s="107"/>
      <c r="G302" s="107"/>
      <c r="H302" s="107"/>
      <c r="I302" s="107"/>
      <c r="J302" s="107"/>
      <c r="P302" s="93"/>
      <c r="Q302" s="108"/>
    </row>
    <row r="303" spans="2:17" ht="14.25">
      <c r="B303" s="103"/>
      <c r="F303" s="107"/>
      <c r="G303" s="107"/>
      <c r="H303" s="107"/>
      <c r="I303" s="107"/>
      <c r="J303" s="107"/>
      <c r="P303" s="93"/>
      <c r="Q303" s="108"/>
    </row>
    <row r="304" spans="2:17" ht="14.25">
      <c r="B304" s="103"/>
      <c r="F304" s="107"/>
      <c r="G304" s="107"/>
      <c r="H304" s="107"/>
      <c r="I304" s="107"/>
      <c r="J304" s="107"/>
      <c r="P304" s="93"/>
      <c r="Q304" s="108"/>
    </row>
    <row r="305" spans="2:17" ht="14.25">
      <c r="B305" s="103"/>
      <c r="F305" s="107"/>
      <c r="G305" s="107"/>
      <c r="H305" s="107"/>
      <c r="I305" s="107"/>
      <c r="J305" s="107"/>
      <c r="P305" s="93"/>
      <c r="Q305" s="108"/>
    </row>
    <row r="306" spans="2:17" ht="14.25">
      <c r="B306" s="103"/>
      <c r="F306" s="107"/>
      <c r="G306" s="107"/>
      <c r="H306" s="107"/>
      <c r="I306" s="107"/>
      <c r="J306" s="107"/>
      <c r="P306" s="93"/>
      <c r="Q306" s="108"/>
    </row>
    <row r="307" spans="2:17" ht="14.25">
      <c r="B307" s="103"/>
      <c r="F307" s="107"/>
      <c r="G307" s="107"/>
      <c r="H307" s="107"/>
      <c r="I307" s="107"/>
      <c r="J307" s="107"/>
      <c r="P307" s="93"/>
      <c r="Q307" s="108"/>
    </row>
    <row r="308" spans="2:17" ht="14.25">
      <c r="B308" s="103"/>
      <c r="F308" s="107"/>
      <c r="G308" s="107"/>
      <c r="H308" s="107"/>
      <c r="I308" s="107"/>
      <c r="J308" s="107"/>
      <c r="P308" s="93"/>
      <c r="Q308" s="108"/>
    </row>
    <row r="309" spans="2:17" ht="14.25">
      <c r="B309" s="103"/>
      <c r="F309" s="107"/>
      <c r="G309" s="107"/>
      <c r="H309" s="107"/>
      <c r="I309" s="107"/>
      <c r="J309" s="107"/>
      <c r="P309" s="93"/>
      <c r="Q309" s="108"/>
    </row>
    <row r="310" spans="2:17" ht="14.25">
      <c r="B310" s="103"/>
      <c r="F310" s="107"/>
      <c r="G310" s="107"/>
      <c r="H310" s="107"/>
      <c r="I310" s="107"/>
      <c r="J310" s="107"/>
      <c r="P310" s="93"/>
      <c r="Q310" s="108"/>
    </row>
    <row r="311" spans="2:17" ht="14.25">
      <c r="B311" s="103"/>
      <c r="F311" s="107"/>
      <c r="G311" s="107"/>
      <c r="H311" s="107"/>
      <c r="I311" s="107"/>
      <c r="J311" s="107"/>
      <c r="P311" s="93"/>
      <c r="Q311" s="108"/>
    </row>
    <row r="312" spans="2:17" ht="14.25">
      <c r="B312" s="103"/>
      <c r="F312" s="107"/>
      <c r="G312" s="107"/>
      <c r="H312" s="107"/>
      <c r="I312" s="107"/>
      <c r="J312" s="107"/>
      <c r="P312" s="93"/>
      <c r="Q312" s="108"/>
    </row>
    <row r="313" spans="2:17" ht="14.25">
      <c r="B313" s="103"/>
      <c r="F313" s="107"/>
      <c r="G313" s="107"/>
      <c r="H313" s="107"/>
      <c r="I313" s="107"/>
      <c r="J313" s="107"/>
      <c r="P313" s="93"/>
      <c r="Q313" s="108"/>
    </row>
    <row r="314" spans="2:17" ht="14.25">
      <c r="B314" s="103"/>
      <c r="F314" s="107"/>
      <c r="G314" s="107"/>
      <c r="H314" s="107"/>
      <c r="I314" s="107"/>
      <c r="J314" s="107"/>
      <c r="P314" s="93"/>
      <c r="Q314" s="108"/>
    </row>
    <row r="315" spans="2:17" ht="14.25">
      <c r="B315" s="103"/>
      <c r="F315" s="107"/>
      <c r="G315" s="107"/>
      <c r="H315" s="107"/>
      <c r="I315" s="107"/>
      <c r="J315" s="107"/>
      <c r="P315" s="93"/>
      <c r="Q315" s="108"/>
    </row>
    <row r="316" spans="2:17" ht="14.25">
      <c r="B316" s="103"/>
      <c r="F316" s="107"/>
      <c r="G316" s="107"/>
      <c r="H316" s="107"/>
      <c r="I316" s="107"/>
      <c r="J316" s="107"/>
      <c r="P316" s="93"/>
      <c r="Q316" s="108"/>
    </row>
    <row r="317" spans="2:17" ht="14.25">
      <c r="B317" s="103"/>
      <c r="F317" s="107"/>
      <c r="G317" s="107"/>
      <c r="H317" s="107"/>
      <c r="I317" s="107"/>
      <c r="J317" s="107"/>
      <c r="P317" s="93"/>
      <c r="Q317" s="108"/>
    </row>
    <row r="318" spans="2:17" ht="14.25">
      <c r="B318" s="103"/>
      <c r="F318" s="107"/>
      <c r="G318" s="107"/>
      <c r="H318" s="107"/>
      <c r="I318" s="107"/>
      <c r="J318" s="107"/>
      <c r="P318" s="93"/>
      <c r="Q318" s="108"/>
    </row>
    <row r="319" spans="2:17" ht="14.25">
      <c r="B319" s="103"/>
      <c r="F319" s="107"/>
      <c r="G319" s="107"/>
      <c r="H319" s="107"/>
      <c r="I319" s="107"/>
      <c r="J319" s="107"/>
      <c r="P319" s="93"/>
      <c r="Q319" s="108"/>
    </row>
    <row r="320" spans="2:17" ht="14.25">
      <c r="B320" s="103"/>
      <c r="F320" s="107"/>
      <c r="G320" s="107"/>
      <c r="H320" s="107"/>
      <c r="I320" s="107"/>
      <c r="J320" s="107"/>
      <c r="P320" s="93"/>
      <c r="Q320" s="108"/>
    </row>
    <row r="321" spans="2:17" ht="14.25">
      <c r="B321" s="103"/>
      <c r="F321" s="107"/>
      <c r="G321" s="107"/>
      <c r="H321" s="107"/>
      <c r="I321" s="107"/>
      <c r="J321" s="107"/>
      <c r="P321" s="93"/>
      <c r="Q321" s="108"/>
    </row>
    <row r="322" spans="2:17" ht="14.25">
      <c r="B322" s="103"/>
      <c r="F322" s="107"/>
      <c r="G322" s="107"/>
      <c r="H322" s="107"/>
      <c r="I322" s="107"/>
      <c r="J322" s="107"/>
      <c r="P322" s="93"/>
      <c r="Q322" s="108"/>
    </row>
    <row r="323" spans="2:17" ht="14.25">
      <c r="B323" s="103"/>
      <c r="F323" s="107"/>
      <c r="G323" s="107"/>
      <c r="H323" s="107"/>
      <c r="I323" s="107"/>
      <c r="J323" s="107"/>
      <c r="P323" s="93"/>
      <c r="Q323" s="108"/>
    </row>
    <row r="324" spans="2:17" ht="14.25">
      <c r="B324" s="103"/>
      <c r="F324" s="107"/>
      <c r="G324" s="107"/>
      <c r="H324" s="107"/>
      <c r="I324" s="107"/>
      <c r="J324" s="107"/>
      <c r="P324" s="93"/>
      <c r="Q324" s="108"/>
    </row>
    <row r="325" spans="2:17" ht="14.25">
      <c r="B325" s="103"/>
      <c r="F325" s="107"/>
      <c r="G325" s="107"/>
      <c r="H325" s="107"/>
      <c r="I325" s="107"/>
      <c r="J325" s="107"/>
      <c r="P325" s="93"/>
      <c r="Q325" s="108"/>
    </row>
    <row r="326" spans="2:17" ht="14.25">
      <c r="B326" s="103"/>
      <c r="F326" s="107"/>
      <c r="G326" s="107"/>
      <c r="H326" s="107"/>
      <c r="I326" s="107"/>
      <c r="J326" s="107"/>
      <c r="P326" s="93"/>
      <c r="Q326" s="108"/>
    </row>
    <row r="327" spans="2:17" ht="14.25">
      <c r="B327" s="103"/>
      <c r="F327" s="107"/>
      <c r="G327" s="107"/>
      <c r="H327" s="107"/>
      <c r="I327" s="107"/>
      <c r="J327" s="107"/>
      <c r="P327" s="93"/>
      <c r="Q327" s="108"/>
    </row>
    <row r="328" spans="2:17" ht="14.25">
      <c r="B328" s="103"/>
      <c r="F328" s="107"/>
      <c r="G328" s="107"/>
      <c r="H328" s="107"/>
      <c r="I328" s="107"/>
      <c r="J328" s="107"/>
      <c r="P328" s="93"/>
      <c r="Q328" s="108"/>
    </row>
    <row r="329" spans="2:17" ht="14.25">
      <c r="B329" s="103"/>
      <c r="F329" s="107"/>
      <c r="G329" s="107"/>
      <c r="H329" s="107"/>
      <c r="I329" s="107"/>
      <c r="J329" s="107"/>
      <c r="P329" s="93"/>
      <c r="Q329" s="108"/>
    </row>
    <row r="330" spans="2:17" ht="14.25">
      <c r="B330" s="103"/>
      <c r="F330" s="107"/>
      <c r="G330" s="107"/>
      <c r="H330" s="107"/>
      <c r="I330" s="107"/>
      <c r="J330" s="107"/>
      <c r="P330" s="93"/>
      <c r="Q330" s="108"/>
    </row>
    <row r="331" spans="2:17" ht="14.25">
      <c r="B331" s="103"/>
      <c r="F331" s="107"/>
      <c r="G331" s="107"/>
      <c r="H331" s="107"/>
      <c r="I331" s="107"/>
      <c r="J331" s="107"/>
      <c r="P331" s="93"/>
      <c r="Q331" s="108"/>
    </row>
    <row r="332" spans="2:17" ht="14.25">
      <c r="B332" s="103"/>
      <c r="F332" s="107"/>
      <c r="G332" s="107"/>
      <c r="H332" s="107"/>
      <c r="I332" s="107"/>
      <c r="J332" s="107"/>
      <c r="P332" s="93"/>
      <c r="Q332" s="108"/>
    </row>
    <row r="333" spans="2:17" ht="14.25">
      <c r="B333" s="103"/>
      <c r="F333" s="107"/>
      <c r="G333" s="107"/>
      <c r="H333" s="107"/>
      <c r="I333" s="107"/>
      <c r="J333" s="107"/>
      <c r="P333" s="93"/>
      <c r="Q333" s="108"/>
    </row>
    <row r="334" spans="2:17" ht="14.25">
      <c r="B334" s="103"/>
      <c r="F334" s="107"/>
      <c r="G334" s="107"/>
      <c r="H334" s="107"/>
      <c r="I334" s="107"/>
      <c r="J334" s="107"/>
      <c r="P334" s="93"/>
      <c r="Q334" s="108"/>
    </row>
    <row r="335" spans="2:17" ht="14.25">
      <c r="B335" s="103"/>
      <c r="F335" s="107"/>
      <c r="G335" s="107"/>
      <c r="H335" s="107"/>
      <c r="I335" s="107"/>
      <c r="J335" s="107"/>
      <c r="P335" s="93"/>
      <c r="Q335" s="108"/>
    </row>
    <row r="336" spans="2:17" ht="14.25">
      <c r="B336" s="103"/>
      <c r="F336" s="107"/>
      <c r="G336" s="107"/>
      <c r="H336" s="107"/>
      <c r="I336" s="107"/>
      <c r="J336" s="107"/>
      <c r="P336" s="93"/>
      <c r="Q336" s="108"/>
    </row>
    <row r="337" spans="2:17" ht="14.25">
      <c r="B337" s="103"/>
      <c r="F337" s="107"/>
      <c r="G337" s="107"/>
      <c r="H337" s="107"/>
      <c r="I337" s="107"/>
      <c r="J337" s="107"/>
      <c r="P337" s="93"/>
      <c r="Q337" s="108"/>
    </row>
    <row r="338" spans="2:17" ht="14.25">
      <c r="B338" s="103"/>
      <c r="F338" s="107"/>
      <c r="G338" s="107"/>
      <c r="H338" s="107"/>
      <c r="I338" s="107"/>
      <c r="J338" s="107"/>
      <c r="P338" s="93"/>
      <c r="Q338" s="108"/>
    </row>
    <row r="339" spans="2:17" ht="14.25">
      <c r="B339" s="103"/>
      <c r="F339" s="107"/>
      <c r="G339" s="107"/>
      <c r="H339" s="107"/>
      <c r="I339" s="107"/>
      <c r="J339" s="107"/>
      <c r="P339" s="93"/>
      <c r="Q339" s="108"/>
    </row>
    <row r="340" spans="2:17" ht="14.25">
      <c r="B340" s="103"/>
      <c r="F340" s="107"/>
      <c r="G340" s="107"/>
      <c r="H340" s="107"/>
      <c r="I340" s="107"/>
      <c r="J340" s="107"/>
      <c r="P340" s="93"/>
      <c r="Q340" s="108"/>
    </row>
    <row r="341" spans="2:17" ht="14.25">
      <c r="B341" s="103"/>
      <c r="F341" s="107"/>
      <c r="G341" s="107"/>
      <c r="H341" s="107"/>
      <c r="I341" s="107"/>
      <c r="J341" s="107"/>
      <c r="P341" s="93"/>
      <c r="Q341" s="108"/>
    </row>
    <row r="342" spans="2:17" ht="14.25">
      <c r="B342" s="103"/>
      <c r="F342" s="107"/>
      <c r="G342" s="107"/>
      <c r="H342" s="107"/>
      <c r="I342" s="107"/>
      <c r="J342" s="107"/>
      <c r="P342" s="93"/>
      <c r="Q342" s="108"/>
    </row>
    <row r="343" spans="2:17" ht="14.25">
      <c r="B343" s="103"/>
      <c r="F343" s="107"/>
      <c r="G343" s="107"/>
      <c r="H343" s="107"/>
      <c r="I343" s="107"/>
      <c r="J343" s="107"/>
      <c r="P343" s="93"/>
      <c r="Q343" s="108"/>
    </row>
    <row r="344" spans="2:17" ht="14.25">
      <c r="B344" s="103"/>
      <c r="F344" s="107"/>
      <c r="G344" s="107"/>
      <c r="H344" s="107"/>
      <c r="I344" s="107"/>
      <c r="J344" s="107"/>
      <c r="P344" s="93"/>
      <c r="Q344" s="108"/>
    </row>
    <row r="345" spans="2:17" ht="14.25">
      <c r="B345" s="103"/>
      <c r="F345" s="107"/>
      <c r="G345" s="107"/>
      <c r="H345" s="107"/>
      <c r="I345" s="107"/>
      <c r="J345" s="107"/>
      <c r="P345" s="93"/>
      <c r="Q345" s="108"/>
    </row>
    <row r="346" spans="2:17" ht="14.25">
      <c r="B346" s="103"/>
      <c r="F346" s="107"/>
      <c r="G346" s="107"/>
      <c r="H346" s="107"/>
      <c r="I346" s="107"/>
      <c r="J346" s="107"/>
      <c r="P346" s="93"/>
      <c r="Q346" s="108"/>
    </row>
    <row r="347" spans="2:17" ht="14.25">
      <c r="B347" s="103"/>
      <c r="F347" s="107"/>
      <c r="G347" s="107"/>
      <c r="H347" s="107"/>
      <c r="I347" s="107"/>
      <c r="J347" s="107"/>
      <c r="P347" s="93"/>
      <c r="Q347" s="108"/>
    </row>
    <row r="348" spans="2:17" ht="14.25">
      <c r="B348" s="103"/>
      <c r="F348" s="107"/>
      <c r="G348" s="107"/>
      <c r="H348" s="107"/>
      <c r="I348" s="107"/>
      <c r="J348" s="107"/>
      <c r="P348" s="93"/>
      <c r="Q348" s="108"/>
    </row>
    <row r="349" spans="2:17" ht="14.25">
      <c r="B349" s="103"/>
      <c r="F349" s="107"/>
      <c r="G349" s="107"/>
      <c r="H349" s="107"/>
      <c r="I349" s="107"/>
      <c r="J349" s="107"/>
      <c r="P349" s="93"/>
      <c r="Q349" s="108"/>
    </row>
    <row r="350" spans="2:17" ht="14.25">
      <c r="B350" s="103"/>
      <c r="F350" s="107"/>
      <c r="G350" s="107"/>
      <c r="H350" s="107"/>
      <c r="I350" s="107"/>
      <c r="J350" s="107"/>
      <c r="P350" s="93"/>
      <c r="Q350" s="108"/>
    </row>
    <row r="351" spans="2:17" ht="14.25">
      <c r="B351" s="103"/>
      <c r="F351" s="107"/>
      <c r="G351" s="107"/>
      <c r="H351" s="107"/>
      <c r="I351" s="107"/>
      <c r="J351" s="107"/>
      <c r="P351" s="93"/>
      <c r="Q351" s="108"/>
    </row>
    <row r="352" spans="2:17" ht="14.25">
      <c r="B352" s="103"/>
      <c r="F352" s="107"/>
      <c r="G352" s="107"/>
      <c r="H352" s="107"/>
      <c r="I352" s="107"/>
      <c r="J352" s="107"/>
      <c r="P352" s="93"/>
      <c r="Q352" s="108"/>
    </row>
    <row r="353" spans="2:17" ht="14.25">
      <c r="B353" s="103"/>
      <c r="F353" s="107"/>
      <c r="G353" s="107"/>
      <c r="H353" s="107"/>
      <c r="I353" s="107"/>
      <c r="J353" s="107"/>
      <c r="P353" s="93"/>
      <c r="Q353" s="108"/>
    </row>
    <row r="354" spans="2:17" ht="14.25">
      <c r="B354" s="103"/>
      <c r="F354" s="107"/>
      <c r="G354" s="107"/>
      <c r="H354" s="107"/>
      <c r="I354" s="107"/>
      <c r="J354" s="107"/>
      <c r="P354" s="93"/>
      <c r="Q354" s="108"/>
    </row>
    <row r="355" spans="2:17" ht="14.25">
      <c r="B355" s="103"/>
      <c r="F355" s="107"/>
      <c r="G355" s="107"/>
      <c r="H355" s="107"/>
      <c r="I355" s="107"/>
      <c r="J355" s="107"/>
      <c r="P355" s="93"/>
      <c r="Q355" s="108"/>
    </row>
    <row r="356" spans="2:17" ht="14.25">
      <c r="B356" s="103"/>
      <c r="F356" s="107"/>
      <c r="G356" s="107"/>
      <c r="H356" s="107"/>
      <c r="I356" s="107"/>
      <c r="J356" s="107"/>
      <c r="P356" s="93"/>
      <c r="Q356" s="108"/>
    </row>
    <row r="357" spans="2:17" ht="14.25">
      <c r="B357" s="103"/>
      <c r="F357" s="107"/>
      <c r="G357" s="107"/>
      <c r="H357" s="107"/>
      <c r="I357" s="107"/>
      <c r="J357" s="107"/>
      <c r="P357" s="93"/>
      <c r="Q357" s="108"/>
    </row>
    <row r="358" spans="2:17" ht="14.25">
      <c r="B358" s="103"/>
      <c r="F358" s="107"/>
      <c r="G358" s="107"/>
      <c r="H358" s="107"/>
      <c r="I358" s="107"/>
      <c r="J358" s="107"/>
      <c r="P358" s="93"/>
      <c r="Q358" s="108"/>
    </row>
    <row r="359" spans="2:17" ht="14.25">
      <c r="B359" s="103"/>
      <c r="F359" s="107"/>
      <c r="G359" s="107"/>
      <c r="H359" s="107"/>
      <c r="I359" s="107"/>
      <c r="J359" s="107"/>
      <c r="P359" s="93"/>
      <c r="Q359" s="108"/>
    </row>
    <row r="360" spans="2:17" ht="14.25">
      <c r="B360" s="103"/>
      <c r="F360" s="107"/>
      <c r="G360" s="107"/>
      <c r="H360" s="107"/>
      <c r="I360" s="107"/>
      <c r="J360" s="107"/>
      <c r="P360" s="93"/>
      <c r="Q360" s="108"/>
    </row>
    <row r="361" spans="2:17" ht="14.25">
      <c r="B361" s="103"/>
      <c r="F361" s="107"/>
      <c r="G361" s="107"/>
      <c r="H361" s="107"/>
      <c r="I361" s="107"/>
      <c r="J361" s="107"/>
      <c r="P361" s="93"/>
      <c r="Q361" s="108"/>
    </row>
    <row r="362" spans="2:17" ht="14.25">
      <c r="B362" s="103"/>
      <c r="F362" s="107"/>
      <c r="G362" s="107"/>
      <c r="H362" s="107"/>
      <c r="I362" s="107"/>
      <c r="J362" s="107"/>
      <c r="P362" s="93"/>
      <c r="Q362" s="108"/>
    </row>
    <row r="363" spans="2:17" ht="14.25">
      <c r="B363" s="103"/>
      <c r="F363" s="107"/>
      <c r="G363" s="107"/>
      <c r="H363" s="107"/>
      <c r="I363" s="107"/>
      <c r="J363" s="107"/>
      <c r="P363" s="93"/>
      <c r="Q363" s="108"/>
    </row>
    <row r="364" spans="2:17" ht="14.25">
      <c r="B364" s="103"/>
      <c r="F364" s="107"/>
      <c r="G364" s="107"/>
      <c r="H364" s="107"/>
      <c r="I364" s="107"/>
      <c r="J364" s="107"/>
      <c r="P364" s="93"/>
      <c r="Q364" s="108"/>
    </row>
    <row r="365" spans="2:17" ht="14.25">
      <c r="B365" s="103"/>
      <c r="F365" s="107"/>
      <c r="G365" s="107"/>
      <c r="H365" s="107"/>
      <c r="I365" s="107"/>
      <c r="J365" s="107"/>
      <c r="P365" s="93"/>
      <c r="Q365" s="108"/>
    </row>
    <row r="366" spans="2:17" ht="14.25">
      <c r="B366" s="103"/>
      <c r="F366" s="107"/>
      <c r="G366" s="107"/>
      <c r="H366" s="107"/>
      <c r="I366" s="107"/>
      <c r="J366" s="107"/>
      <c r="P366" s="93"/>
      <c r="Q366" s="108"/>
    </row>
    <row r="367" spans="2:17" ht="14.25">
      <c r="B367" s="103"/>
      <c r="F367" s="107"/>
      <c r="G367" s="107"/>
      <c r="H367" s="107"/>
      <c r="I367" s="107"/>
      <c r="J367" s="107"/>
      <c r="P367" s="93"/>
      <c r="Q367" s="108"/>
    </row>
    <row r="368" spans="2:17" ht="14.25">
      <c r="B368" s="103"/>
      <c r="F368" s="107"/>
      <c r="G368" s="107"/>
      <c r="H368" s="107"/>
      <c r="I368" s="107"/>
      <c r="J368" s="107"/>
      <c r="P368" s="93"/>
      <c r="Q368" s="108"/>
    </row>
    <row r="369" spans="2:17" ht="14.25">
      <c r="B369" s="103"/>
      <c r="F369" s="107"/>
      <c r="G369" s="107"/>
      <c r="H369" s="107"/>
      <c r="I369" s="107"/>
      <c r="J369" s="107"/>
      <c r="P369" s="93"/>
      <c r="Q369" s="108"/>
    </row>
    <row r="370" spans="2:17" ht="14.25">
      <c r="B370" s="103"/>
      <c r="F370" s="107"/>
      <c r="G370" s="107"/>
      <c r="H370" s="107"/>
      <c r="I370" s="107"/>
      <c r="J370" s="107"/>
      <c r="P370" s="93"/>
      <c r="Q370" s="108"/>
    </row>
    <row r="371" spans="2:17" ht="14.25">
      <c r="B371" s="103"/>
      <c r="F371" s="107"/>
      <c r="G371" s="107"/>
      <c r="H371" s="107"/>
      <c r="I371" s="107"/>
      <c r="J371" s="107"/>
      <c r="P371" s="93"/>
      <c r="Q371" s="108"/>
    </row>
    <row r="372" spans="2:17" ht="14.25">
      <c r="B372" s="103"/>
      <c r="F372" s="107"/>
      <c r="G372" s="107"/>
      <c r="H372" s="107"/>
      <c r="I372" s="107"/>
      <c r="J372" s="107"/>
      <c r="P372" s="93"/>
      <c r="Q372" s="108"/>
    </row>
    <row r="373" spans="2:17" ht="14.25">
      <c r="B373" s="103"/>
      <c r="F373" s="107"/>
      <c r="G373" s="107"/>
      <c r="H373" s="107"/>
      <c r="I373" s="107"/>
      <c r="J373" s="107"/>
      <c r="P373" s="93"/>
      <c r="Q373" s="108"/>
    </row>
    <row r="374" spans="2:17" ht="14.25">
      <c r="B374" s="103"/>
      <c r="F374" s="107"/>
      <c r="G374" s="107"/>
      <c r="H374" s="107"/>
      <c r="I374" s="107"/>
      <c r="J374" s="107"/>
      <c r="P374" s="93"/>
      <c r="Q374" s="108"/>
    </row>
    <row r="375" spans="2:17" ht="14.25">
      <c r="B375" s="103"/>
      <c r="F375" s="107"/>
      <c r="G375" s="107"/>
      <c r="H375" s="107"/>
      <c r="I375" s="107"/>
      <c r="J375" s="107"/>
      <c r="P375" s="93"/>
      <c r="Q375" s="108"/>
    </row>
    <row r="376" spans="2:17" ht="14.25">
      <c r="B376" s="103"/>
      <c r="F376" s="107"/>
      <c r="G376" s="107"/>
      <c r="H376" s="107"/>
      <c r="I376" s="107"/>
      <c r="J376" s="107"/>
      <c r="P376" s="93"/>
      <c r="Q376" s="108"/>
    </row>
    <row r="377" spans="2:17" ht="14.25">
      <c r="B377" s="103"/>
      <c r="F377" s="107"/>
      <c r="G377" s="107"/>
      <c r="H377" s="107"/>
      <c r="I377" s="107"/>
      <c r="J377" s="107"/>
      <c r="P377" s="93"/>
      <c r="Q377" s="108"/>
    </row>
    <row r="378" spans="2:17" ht="14.25">
      <c r="B378" s="103"/>
      <c r="F378" s="107"/>
      <c r="G378" s="107"/>
      <c r="H378" s="107"/>
      <c r="I378" s="107"/>
      <c r="J378" s="107"/>
      <c r="P378" s="93"/>
      <c r="Q378" s="108"/>
    </row>
    <row r="379" spans="2:17" ht="14.25">
      <c r="B379" s="103"/>
      <c r="F379" s="107"/>
      <c r="G379" s="107"/>
      <c r="H379" s="107"/>
      <c r="I379" s="107"/>
      <c r="J379" s="107"/>
      <c r="P379" s="93"/>
      <c r="Q379" s="108"/>
    </row>
    <row r="380" spans="2:17" ht="14.25">
      <c r="B380" s="103"/>
      <c r="F380" s="107"/>
      <c r="G380" s="107"/>
      <c r="H380" s="107"/>
      <c r="I380" s="107"/>
      <c r="J380" s="107"/>
      <c r="P380" s="93"/>
      <c r="Q380" s="108"/>
    </row>
    <row r="381" spans="2:17" ht="14.25">
      <c r="B381" s="103"/>
      <c r="F381" s="107"/>
      <c r="G381" s="107"/>
      <c r="H381" s="107"/>
      <c r="I381" s="107"/>
      <c r="J381" s="107"/>
      <c r="P381" s="93"/>
      <c r="Q381" s="108"/>
    </row>
    <row r="382" spans="2:17" ht="14.25">
      <c r="B382" s="103"/>
      <c r="F382" s="107"/>
      <c r="G382" s="107"/>
      <c r="H382" s="107"/>
      <c r="I382" s="107"/>
      <c r="J382" s="107"/>
      <c r="P382" s="93"/>
      <c r="Q382" s="108"/>
    </row>
    <row r="383" spans="2:17" ht="14.25">
      <c r="B383" s="103"/>
      <c r="F383" s="107"/>
      <c r="G383" s="107"/>
      <c r="H383" s="107"/>
      <c r="I383" s="107"/>
      <c r="J383" s="107"/>
      <c r="P383" s="93"/>
      <c r="Q383" s="108"/>
    </row>
    <row r="384" spans="2:17" ht="14.25">
      <c r="B384" s="103"/>
      <c r="F384" s="107"/>
      <c r="G384" s="107"/>
      <c r="H384" s="107"/>
      <c r="I384" s="107"/>
      <c r="J384" s="107"/>
      <c r="P384" s="93"/>
      <c r="Q384" s="108"/>
    </row>
    <row r="385" spans="2:17" ht="14.25">
      <c r="B385" s="103"/>
      <c r="F385" s="107"/>
      <c r="G385" s="107"/>
      <c r="H385" s="107"/>
      <c r="I385" s="107"/>
      <c r="J385" s="107"/>
      <c r="P385" s="93"/>
      <c r="Q385" s="108"/>
    </row>
    <row r="386" spans="2:17" ht="14.25">
      <c r="B386" s="103"/>
      <c r="F386" s="107"/>
      <c r="G386" s="107"/>
      <c r="H386" s="107"/>
      <c r="I386" s="107"/>
      <c r="J386" s="107"/>
      <c r="P386" s="93"/>
      <c r="Q386" s="108"/>
    </row>
    <row r="387" spans="2:17" ht="14.25">
      <c r="B387" s="103"/>
      <c r="F387" s="107"/>
      <c r="G387" s="107"/>
      <c r="H387" s="107"/>
      <c r="I387" s="107"/>
      <c r="J387" s="107"/>
      <c r="P387" s="93"/>
      <c r="Q387" s="108"/>
    </row>
    <row r="388" spans="2:17" ht="14.25">
      <c r="B388" s="103"/>
      <c r="F388" s="107"/>
      <c r="G388" s="107"/>
      <c r="H388" s="107"/>
      <c r="I388" s="107"/>
      <c r="J388" s="107"/>
      <c r="P388" s="93"/>
      <c r="Q388" s="108"/>
    </row>
    <row r="389" spans="2:17" ht="14.25">
      <c r="B389" s="103"/>
      <c r="F389" s="107"/>
      <c r="G389" s="107"/>
      <c r="H389" s="107"/>
      <c r="I389" s="107"/>
      <c r="J389" s="107"/>
      <c r="P389" s="93"/>
      <c r="Q389" s="108"/>
    </row>
    <row r="390" spans="2:17" ht="14.25">
      <c r="B390" s="103"/>
      <c r="F390" s="107"/>
      <c r="G390" s="107"/>
      <c r="H390" s="107"/>
      <c r="I390" s="107"/>
      <c r="J390" s="107"/>
      <c r="P390" s="93"/>
      <c r="Q390" s="108"/>
    </row>
    <row r="391" spans="2:17" ht="14.25">
      <c r="B391" s="103"/>
      <c r="F391" s="107"/>
      <c r="G391" s="107"/>
      <c r="H391" s="107"/>
      <c r="I391" s="107"/>
      <c r="J391" s="107"/>
      <c r="P391" s="93"/>
      <c r="Q391" s="108"/>
    </row>
    <row r="392" spans="2:17" ht="14.25">
      <c r="B392" s="103"/>
      <c r="F392" s="107"/>
      <c r="G392" s="107"/>
      <c r="H392" s="107"/>
      <c r="I392" s="107"/>
      <c r="J392" s="107"/>
      <c r="P392" s="93"/>
      <c r="Q392" s="108"/>
    </row>
    <row r="393" spans="2:17" ht="14.25">
      <c r="B393" s="103"/>
      <c r="F393" s="107"/>
      <c r="G393" s="107"/>
      <c r="H393" s="107"/>
      <c r="I393" s="107"/>
      <c r="J393" s="107"/>
      <c r="P393" s="93"/>
      <c r="Q393" s="108"/>
    </row>
    <row r="394" spans="2:17" ht="14.25">
      <c r="B394" s="103"/>
      <c r="F394" s="107"/>
      <c r="G394" s="107"/>
      <c r="H394" s="107"/>
      <c r="I394" s="107"/>
      <c r="J394" s="107"/>
      <c r="P394" s="93"/>
      <c r="Q394" s="108"/>
    </row>
    <row r="395" spans="2:17" ht="14.25">
      <c r="B395" s="103"/>
      <c r="F395" s="107"/>
      <c r="G395" s="107"/>
      <c r="H395" s="107"/>
      <c r="I395" s="107"/>
      <c r="J395" s="107"/>
      <c r="P395" s="93"/>
      <c r="Q395" s="108"/>
    </row>
    <row r="396" spans="2:17" ht="14.25">
      <c r="B396" s="103"/>
      <c r="F396" s="107"/>
      <c r="G396" s="107"/>
      <c r="H396" s="107"/>
      <c r="I396" s="107"/>
      <c r="J396" s="107"/>
      <c r="P396" s="93"/>
      <c r="Q396" s="108"/>
    </row>
    <row r="397" spans="2:17" ht="14.25">
      <c r="B397" s="103"/>
      <c r="F397" s="107"/>
      <c r="G397" s="107"/>
      <c r="H397" s="107"/>
      <c r="I397" s="107"/>
      <c r="J397" s="107"/>
      <c r="P397" s="93"/>
      <c r="Q397" s="108"/>
    </row>
    <row r="398" spans="2:17" ht="14.25">
      <c r="B398" s="103"/>
      <c r="F398" s="107"/>
      <c r="G398" s="107"/>
      <c r="H398" s="107"/>
      <c r="I398" s="107"/>
      <c r="J398" s="107"/>
      <c r="P398" s="93"/>
      <c r="Q398" s="108"/>
    </row>
    <row r="399" spans="2:17" ht="14.25">
      <c r="B399" s="103"/>
      <c r="F399" s="107"/>
      <c r="G399" s="107"/>
      <c r="H399" s="107"/>
      <c r="I399" s="107"/>
      <c r="J399" s="107"/>
      <c r="P399" s="93"/>
      <c r="Q399" s="108"/>
    </row>
    <row r="400" spans="2:17" ht="14.25">
      <c r="B400" s="103"/>
      <c r="F400" s="107"/>
      <c r="G400" s="107"/>
      <c r="H400" s="107"/>
      <c r="I400" s="107"/>
      <c r="J400" s="107"/>
      <c r="P400" s="93"/>
      <c r="Q400" s="108"/>
    </row>
    <row r="401" spans="2:17" ht="14.25">
      <c r="B401" s="103"/>
      <c r="F401" s="107"/>
      <c r="G401" s="107"/>
      <c r="H401" s="107"/>
      <c r="I401" s="107"/>
      <c r="J401" s="107"/>
      <c r="P401" s="93"/>
      <c r="Q401" s="108"/>
    </row>
    <row r="402" spans="2:17" ht="14.25">
      <c r="B402" s="103"/>
      <c r="F402" s="107"/>
      <c r="G402" s="107"/>
      <c r="H402" s="107"/>
      <c r="I402" s="107"/>
      <c r="J402" s="107"/>
      <c r="P402" s="93"/>
      <c r="Q402" s="108"/>
    </row>
    <row r="403" spans="2:17" ht="14.25">
      <c r="B403" s="103"/>
      <c r="F403" s="107"/>
      <c r="G403" s="107"/>
      <c r="H403" s="107"/>
      <c r="I403" s="107"/>
      <c r="J403" s="107"/>
      <c r="P403" s="93"/>
      <c r="Q403" s="108"/>
    </row>
    <row r="404" spans="2:17" ht="14.25">
      <c r="B404" s="103"/>
      <c r="F404" s="107"/>
      <c r="G404" s="107"/>
      <c r="H404" s="107"/>
      <c r="I404" s="107"/>
      <c r="J404" s="107"/>
      <c r="P404" s="93"/>
      <c r="Q404" s="108"/>
    </row>
    <row r="405" spans="2:17" ht="14.25">
      <c r="B405" s="103"/>
      <c r="F405" s="107"/>
      <c r="G405" s="107"/>
      <c r="H405" s="107"/>
      <c r="I405" s="107"/>
      <c r="J405" s="107"/>
      <c r="P405" s="93"/>
      <c r="Q405" s="108"/>
    </row>
    <row r="406" spans="2:17" ht="14.25">
      <c r="B406" s="103"/>
      <c r="F406" s="107"/>
      <c r="G406" s="107"/>
      <c r="H406" s="107"/>
      <c r="I406" s="107"/>
      <c r="J406" s="107"/>
      <c r="P406" s="93"/>
      <c r="Q406" s="108"/>
    </row>
    <row r="407" spans="2:17" ht="14.25">
      <c r="B407" s="103"/>
      <c r="F407" s="107"/>
      <c r="G407" s="107"/>
      <c r="H407" s="107"/>
      <c r="I407" s="107"/>
      <c r="J407" s="107"/>
      <c r="P407" s="93"/>
      <c r="Q407" s="108"/>
    </row>
    <row r="408" spans="2:17" ht="14.25">
      <c r="B408" s="103"/>
      <c r="F408" s="107"/>
      <c r="G408" s="107"/>
      <c r="H408" s="107"/>
      <c r="I408" s="107"/>
      <c r="J408" s="107"/>
      <c r="P408" s="93"/>
      <c r="Q408" s="108"/>
    </row>
    <row r="409" spans="2:17" ht="14.25">
      <c r="B409" s="103"/>
      <c r="F409" s="107"/>
      <c r="G409" s="107"/>
      <c r="H409" s="107"/>
      <c r="I409" s="107"/>
      <c r="J409" s="107"/>
      <c r="P409" s="93"/>
      <c r="Q409" s="108"/>
    </row>
    <row r="410" spans="2:17" ht="14.25">
      <c r="B410" s="103"/>
      <c r="F410" s="107"/>
      <c r="G410" s="107"/>
      <c r="H410" s="107"/>
      <c r="I410" s="107"/>
      <c r="J410" s="107"/>
      <c r="P410" s="93"/>
      <c r="Q410" s="108"/>
    </row>
    <row r="411" spans="2:17" ht="14.25">
      <c r="B411" s="103"/>
      <c r="F411" s="107"/>
      <c r="G411" s="107"/>
      <c r="H411" s="107"/>
      <c r="I411" s="107"/>
      <c r="J411" s="107"/>
      <c r="P411" s="93"/>
      <c r="Q411" s="108"/>
    </row>
    <row r="412" spans="2:17" ht="14.25">
      <c r="B412" s="103"/>
      <c r="F412" s="107"/>
      <c r="G412" s="107"/>
      <c r="H412" s="107"/>
      <c r="I412" s="107"/>
      <c r="J412" s="107"/>
      <c r="P412" s="93"/>
      <c r="Q412" s="108"/>
    </row>
    <row r="413" spans="2:17" ht="14.25">
      <c r="B413" s="103"/>
      <c r="F413" s="107"/>
      <c r="G413" s="107"/>
      <c r="H413" s="107"/>
      <c r="I413" s="107"/>
      <c r="J413" s="107"/>
      <c r="P413" s="93"/>
      <c r="Q413" s="108"/>
    </row>
    <row r="414" spans="2:17" ht="14.25">
      <c r="B414" s="103"/>
      <c r="F414" s="107"/>
      <c r="G414" s="107"/>
      <c r="H414" s="107"/>
      <c r="I414" s="107"/>
      <c r="J414" s="107"/>
      <c r="P414" s="93"/>
      <c r="Q414" s="108"/>
    </row>
    <row r="415" spans="2:17" ht="14.25">
      <c r="B415" s="103"/>
      <c r="F415" s="107"/>
      <c r="G415" s="107"/>
      <c r="H415" s="107"/>
      <c r="I415" s="107"/>
      <c r="J415" s="107"/>
      <c r="P415" s="93"/>
      <c r="Q415" s="108"/>
    </row>
    <row r="416" spans="2:17" ht="14.25">
      <c r="B416" s="103"/>
      <c r="F416" s="107"/>
      <c r="G416" s="107"/>
      <c r="H416" s="107"/>
      <c r="I416" s="107"/>
      <c r="J416" s="107"/>
      <c r="P416" s="93"/>
      <c r="Q416" s="108"/>
    </row>
    <row r="417" spans="2:17" ht="14.25">
      <c r="B417" s="103"/>
      <c r="F417" s="107"/>
      <c r="G417" s="107"/>
      <c r="H417" s="107"/>
      <c r="I417" s="107"/>
      <c r="J417" s="107"/>
      <c r="P417" s="93"/>
      <c r="Q417" s="108"/>
    </row>
    <row r="418" spans="2:17" ht="14.25">
      <c r="B418" s="103"/>
      <c r="F418" s="107"/>
      <c r="G418" s="107"/>
      <c r="H418" s="107"/>
      <c r="I418" s="107"/>
      <c r="J418" s="107"/>
      <c r="P418" s="93"/>
      <c r="Q418" s="108"/>
    </row>
    <row r="419" spans="2:17" ht="14.25">
      <c r="B419" s="103"/>
      <c r="F419" s="107"/>
      <c r="G419" s="107"/>
      <c r="H419" s="107"/>
      <c r="I419" s="107"/>
      <c r="J419" s="107"/>
      <c r="P419" s="93"/>
      <c r="Q419" s="108"/>
    </row>
    <row r="420" spans="2:17" ht="14.25">
      <c r="B420" s="103"/>
      <c r="F420" s="107"/>
      <c r="G420" s="107"/>
      <c r="H420" s="107"/>
      <c r="I420" s="107"/>
      <c r="J420" s="107"/>
      <c r="P420" s="93"/>
      <c r="Q420" s="108"/>
    </row>
    <row r="421" spans="2:17" ht="14.25">
      <c r="B421" s="103"/>
      <c r="F421" s="107"/>
      <c r="G421" s="107"/>
      <c r="H421" s="107"/>
      <c r="I421" s="107"/>
      <c r="J421" s="107"/>
      <c r="P421" s="93"/>
      <c r="Q421" s="108"/>
    </row>
    <row r="422" spans="2:17" ht="14.25">
      <c r="B422" s="103"/>
      <c r="F422" s="107"/>
      <c r="G422" s="107"/>
      <c r="H422" s="107"/>
      <c r="I422" s="107"/>
      <c r="J422" s="107"/>
      <c r="P422" s="93"/>
      <c r="Q422" s="108"/>
    </row>
    <row r="423" spans="2:17" ht="14.25">
      <c r="B423" s="103"/>
      <c r="F423" s="107"/>
      <c r="G423" s="107"/>
      <c r="H423" s="107"/>
      <c r="I423" s="107"/>
      <c r="J423" s="107"/>
      <c r="P423" s="93"/>
      <c r="Q423" s="108"/>
    </row>
    <row r="424" spans="2:17" ht="14.25">
      <c r="B424" s="103"/>
      <c r="F424" s="107"/>
      <c r="G424" s="107"/>
      <c r="H424" s="107"/>
      <c r="I424" s="107"/>
      <c r="J424" s="107"/>
      <c r="P424" s="93"/>
      <c r="Q424" s="108"/>
    </row>
    <row r="425" spans="2:17" ht="14.25">
      <c r="B425" s="103"/>
      <c r="F425" s="107"/>
      <c r="G425" s="107"/>
      <c r="H425" s="107"/>
      <c r="I425" s="107"/>
      <c r="J425" s="107"/>
      <c r="P425" s="93"/>
      <c r="Q425" s="108"/>
    </row>
    <row r="426" spans="2:17" ht="14.25">
      <c r="B426" s="103"/>
      <c r="F426" s="107"/>
      <c r="G426" s="107"/>
      <c r="H426" s="107"/>
      <c r="I426" s="107"/>
      <c r="J426" s="107"/>
      <c r="P426" s="93"/>
      <c r="Q426" s="108"/>
    </row>
    <row r="427" spans="2:17" ht="14.25">
      <c r="B427" s="103"/>
      <c r="F427" s="107"/>
      <c r="G427" s="107"/>
      <c r="H427" s="107"/>
      <c r="I427" s="107"/>
      <c r="J427" s="107"/>
      <c r="P427" s="93"/>
      <c r="Q427" s="108"/>
    </row>
    <row r="428" spans="2:17" ht="14.25">
      <c r="B428" s="103"/>
      <c r="F428" s="107"/>
      <c r="G428" s="107"/>
      <c r="H428" s="107"/>
      <c r="I428" s="107"/>
      <c r="J428" s="107"/>
      <c r="P428" s="93"/>
      <c r="Q428" s="108"/>
    </row>
    <row r="429" spans="2:17" ht="14.25">
      <c r="B429" s="103"/>
      <c r="F429" s="107"/>
      <c r="G429" s="107"/>
      <c r="H429" s="107"/>
      <c r="I429" s="107"/>
      <c r="J429" s="107"/>
      <c r="P429" s="93"/>
      <c r="Q429" s="108"/>
    </row>
    <row r="430" spans="2:17" ht="14.25">
      <c r="B430" s="103"/>
      <c r="F430" s="107"/>
      <c r="G430" s="107"/>
      <c r="H430" s="107"/>
      <c r="I430" s="107"/>
      <c r="J430" s="107"/>
      <c r="P430" s="93"/>
      <c r="Q430" s="108"/>
    </row>
    <row r="431" spans="2:17" ht="14.25">
      <c r="B431" s="103"/>
      <c r="F431" s="107"/>
      <c r="G431" s="107"/>
      <c r="H431" s="107"/>
      <c r="I431" s="107"/>
      <c r="J431" s="107"/>
      <c r="P431" s="93"/>
      <c r="Q431" s="108"/>
    </row>
    <row r="432" spans="2:17" ht="14.25">
      <c r="B432" s="103"/>
      <c r="F432" s="107"/>
      <c r="G432" s="107"/>
      <c r="H432" s="107"/>
      <c r="I432" s="107"/>
      <c r="J432" s="107"/>
      <c r="P432" s="93"/>
      <c r="Q432" s="108"/>
    </row>
    <row r="433" spans="2:17" ht="14.25">
      <c r="B433" s="103"/>
      <c r="F433" s="107"/>
      <c r="G433" s="107"/>
      <c r="H433" s="107"/>
      <c r="I433" s="107"/>
      <c r="J433" s="107"/>
      <c r="P433" s="93"/>
      <c r="Q433" s="108"/>
    </row>
    <row r="434" spans="2:17" ht="14.25">
      <c r="B434" s="103"/>
      <c r="F434" s="107"/>
      <c r="G434" s="107"/>
      <c r="H434" s="107"/>
      <c r="I434" s="107"/>
      <c r="J434" s="107"/>
      <c r="P434" s="93"/>
      <c r="Q434" s="108"/>
    </row>
    <row r="435" spans="2:17" ht="14.25">
      <c r="B435" s="103"/>
      <c r="F435" s="107"/>
      <c r="G435" s="107"/>
      <c r="H435" s="107"/>
      <c r="I435" s="107"/>
      <c r="J435" s="107"/>
      <c r="P435" s="93"/>
      <c r="Q435" s="108"/>
    </row>
    <row r="436" spans="2:17" ht="14.25">
      <c r="B436" s="103"/>
      <c r="F436" s="107"/>
      <c r="G436" s="107"/>
      <c r="H436" s="107"/>
      <c r="I436" s="107"/>
      <c r="J436" s="107"/>
      <c r="P436" s="93"/>
      <c r="Q436" s="108"/>
    </row>
    <row r="437" spans="2:17" ht="14.25">
      <c r="B437" s="103"/>
      <c r="F437" s="107"/>
      <c r="G437" s="107"/>
      <c r="H437" s="107"/>
      <c r="I437" s="107"/>
      <c r="J437" s="107"/>
      <c r="P437" s="93"/>
      <c r="Q437" s="108"/>
    </row>
    <row r="438" spans="2:17" ht="14.25">
      <c r="B438" s="103"/>
      <c r="F438" s="107"/>
      <c r="G438" s="107"/>
      <c r="H438" s="107"/>
      <c r="I438" s="107"/>
      <c r="J438" s="107"/>
      <c r="P438" s="93"/>
      <c r="Q438" s="108"/>
    </row>
    <row r="439" spans="2:17" ht="14.25">
      <c r="B439" s="103"/>
      <c r="F439" s="107"/>
      <c r="G439" s="107"/>
      <c r="H439" s="107"/>
      <c r="I439" s="107"/>
      <c r="J439" s="107"/>
      <c r="P439" s="93"/>
      <c r="Q439" s="108"/>
    </row>
    <row r="440" spans="2:17" ht="14.25">
      <c r="B440" s="103"/>
      <c r="F440" s="107"/>
      <c r="G440" s="107"/>
      <c r="H440" s="107"/>
      <c r="I440" s="107"/>
      <c r="J440" s="107"/>
      <c r="P440" s="93"/>
      <c r="Q440" s="108"/>
    </row>
    <row r="441" spans="2:17" ht="14.25">
      <c r="B441" s="103"/>
      <c r="F441" s="107"/>
      <c r="G441" s="107"/>
      <c r="H441" s="107"/>
      <c r="I441" s="107"/>
      <c r="J441" s="107"/>
      <c r="P441" s="93"/>
      <c r="Q441" s="108"/>
    </row>
    <row r="442" spans="2:17" ht="14.25">
      <c r="B442" s="103"/>
      <c r="F442" s="107"/>
      <c r="G442" s="107"/>
      <c r="H442" s="107"/>
      <c r="I442" s="107"/>
      <c r="J442" s="107"/>
      <c r="P442" s="93"/>
      <c r="Q442" s="108"/>
    </row>
    <row r="443" spans="2:17" ht="14.25">
      <c r="B443" s="103"/>
      <c r="F443" s="107"/>
      <c r="G443" s="107"/>
      <c r="H443" s="107"/>
      <c r="I443" s="107"/>
      <c r="J443" s="107"/>
      <c r="P443" s="93"/>
      <c r="Q443" s="108"/>
    </row>
    <row r="444" spans="2:17" ht="14.25">
      <c r="B444" s="103"/>
      <c r="F444" s="107"/>
      <c r="G444" s="107"/>
      <c r="H444" s="107"/>
      <c r="I444" s="107"/>
      <c r="J444" s="107"/>
      <c r="P444" s="93"/>
      <c r="Q444" s="108"/>
    </row>
    <row r="445" spans="2:17" ht="14.25">
      <c r="B445" s="103"/>
      <c r="F445" s="107"/>
      <c r="G445" s="107"/>
      <c r="H445" s="107"/>
      <c r="I445" s="107"/>
      <c r="J445" s="107"/>
      <c r="P445" s="93"/>
      <c r="Q445" s="108"/>
    </row>
    <row r="446" spans="2:17" ht="14.25">
      <c r="B446" s="103"/>
      <c r="F446" s="107"/>
      <c r="G446" s="107"/>
      <c r="H446" s="107"/>
      <c r="I446" s="107"/>
      <c r="J446" s="107"/>
      <c r="P446" s="93"/>
      <c r="Q446" s="108"/>
    </row>
    <row r="447" spans="2:17" ht="14.25">
      <c r="B447" s="103"/>
      <c r="F447" s="107"/>
      <c r="G447" s="107"/>
      <c r="H447" s="107"/>
      <c r="I447" s="107"/>
      <c r="J447" s="107"/>
      <c r="P447" s="93"/>
      <c r="Q447" s="108"/>
    </row>
    <row r="448" spans="2:17" ht="14.25">
      <c r="B448" s="103"/>
      <c r="F448" s="107"/>
      <c r="G448" s="107"/>
      <c r="H448" s="107"/>
      <c r="I448" s="107"/>
      <c r="J448" s="107"/>
      <c r="P448" s="93"/>
      <c r="Q448" s="108"/>
    </row>
    <row r="449" spans="2:17" ht="14.25">
      <c r="B449" s="103"/>
      <c r="F449" s="107"/>
      <c r="G449" s="107"/>
      <c r="H449" s="107"/>
      <c r="I449" s="107"/>
      <c r="J449" s="107"/>
      <c r="P449" s="93"/>
      <c r="Q449" s="108"/>
    </row>
    <row r="450" spans="2:17" ht="14.25">
      <c r="B450" s="103"/>
      <c r="F450" s="107"/>
      <c r="G450" s="107"/>
      <c r="H450" s="107"/>
      <c r="I450" s="107"/>
      <c r="J450" s="107"/>
      <c r="P450" s="93"/>
      <c r="Q450" s="108"/>
    </row>
    <row r="451" spans="2:17" ht="14.25">
      <c r="B451" s="103"/>
      <c r="F451" s="107"/>
      <c r="G451" s="107"/>
      <c r="H451" s="107"/>
      <c r="I451" s="107"/>
      <c r="J451" s="107"/>
      <c r="P451" s="93"/>
      <c r="Q451" s="108"/>
    </row>
    <row r="452" spans="2:17" ht="14.25">
      <c r="B452" s="103"/>
      <c r="F452" s="107"/>
      <c r="G452" s="107"/>
      <c r="H452" s="107"/>
      <c r="I452" s="107"/>
      <c r="J452" s="107"/>
      <c r="P452" s="93"/>
      <c r="Q452" s="108"/>
    </row>
    <row r="453" spans="2:17" ht="14.25">
      <c r="B453" s="103"/>
      <c r="F453" s="107"/>
      <c r="G453" s="107"/>
      <c r="H453" s="107"/>
      <c r="I453" s="107"/>
      <c r="J453" s="107"/>
      <c r="P453" s="93"/>
      <c r="Q453" s="108"/>
    </row>
    <row r="454" spans="2:17" ht="14.25">
      <c r="B454" s="103"/>
      <c r="F454" s="107"/>
      <c r="G454" s="107"/>
      <c r="H454" s="107"/>
      <c r="I454" s="107"/>
      <c r="J454" s="107"/>
      <c r="P454" s="93"/>
      <c r="Q454" s="108"/>
    </row>
    <row r="455" spans="2:17" ht="14.25">
      <c r="B455" s="103"/>
      <c r="F455" s="107"/>
      <c r="G455" s="107"/>
      <c r="H455" s="107"/>
      <c r="I455" s="107"/>
      <c r="J455" s="107"/>
      <c r="P455" s="93"/>
      <c r="Q455" s="108"/>
    </row>
    <row r="456" spans="2:17" ht="14.25">
      <c r="B456" s="103"/>
      <c r="F456" s="107"/>
      <c r="G456" s="107"/>
      <c r="H456" s="107"/>
      <c r="I456" s="107"/>
      <c r="J456" s="107"/>
      <c r="P456" s="93"/>
      <c r="Q456" s="108"/>
    </row>
    <row r="457" spans="2:17" ht="14.25">
      <c r="B457" s="103"/>
      <c r="F457" s="107"/>
      <c r="G457" s="107"/>
      <c r="H457" s="107"/>
      <c r="I457" s="107"/>
      <c r="J457" s="107"/>
      <c r="P457" s="93"/>
      <c r="Q457" s="108"/>
    </row>
    <row r="458" spans="2:17" ht="14.25">
      <c r="B458" s="103"/>
      <c r="F458" s="107"/>
      <c r="G458" s="107"/>
      <c r="H458" s="107"/>
      <c r="I458" s="107"/>
      <c r="J458" s="107"/>
      <c r="P458" s="93"/>
      <c r="Q458" s="108"/>
    </row>
    <row r="459" spans="2:17" ht="14.25">
      <c r="B459" s="103"/>
      <c r="F459" s="107"/>
      <c r="G459" s="107"/>
      <c r="H459" s="107"/>
      <c r="I459" s="107"/>
      <c r="J459" s="107"/>
      <c r="P459" s="93"/>
      <c r="Q459" s="108"/>
    </row>
    <row r="460" spans="2:17" ht="14.25">
      <c r="B460" s="103"/>
      <c r="F460" s="107"/>
      <c r="G460" s="107"/>
      <c r="H460" s="107"/>
      <c r="I460" s="107"/>
      <c r="J460" s="107"/>
      <c r="P460" s="93"/>
      <c r="Q460" s="108"/>
    </row>
    <row r="461" spans="2:17" ht="14.25">
      <c r="B461" s="103"/>
      <c r="F461" s="107"/>
      <c r="G461" s="107"/>
      <c r="H461" s="107"/>
      <c r="I461" s="107"/>
      <c r="J461" s="107"/>
      <c r="P461" s="93"/>
      <c r="Q461" s="108"/>
    </row>
    <row r="462" spans="2:17" ht="14.25">
      <c r="B462" s="103"/>
      <c r="F462" s="107"/>
      <c r="G462" s="107"/>
      <c r="H462" s="107"/>
      <c r="I462" s="107"/>
      <c r="J462" s="107"/>
      <c r="P462" s="93"/>
      <c r="Q462" s="108"/>
    </row>
    <row r="463" spans="2:17" ht="14.25">
      <c r="B463" s="103"/>
      <c r="F463" s="107"/>
      <c r="G463" s="107"/>
      <c r="H463" s="107"/>
      <c r="I463" s="107"/>
      <c r="J463" s="107"/>
      <c r="P463" s="93"/>
      <c r="Q463" s="108"/>
    </row>
    <row r="464" spans="2:17" ht="14.25">
      <c r="B464" s="103"/>
      <c r="F464" s="107"/>
      <c r="G464" s="107"/>
      <c r="H464" s="107"/>
      <c r="I464" s="107"/>
      <c r="J464" s="107"/>
      <c r="P464" s="93"/>
      <c r="Q464" s="108"/>
    </row>
    <row r="465" spans="2:17" ht="14.25">
      <c r="B465" s="103"/>
      <c r="F465" s="107"/>
      <c r="G465" s="107"/>
      <c r="H465" s="107"/>
      <c r="I465" s="107"/>
      <c r="J465" s="107"/>
      <c r="P465" s="93"/>
      <c r="Q465" s="108"/>
    </row>
    <row r="466" spans="2:17" ht="14.25">
      <c r="B466" s="103"/>
      <c r="F466" s="107"/>
      <c r="G466" s="107"/>
      <c r="H466" s="107"/>
      <c r="I466" s="107"/>
      <c r="J466" s="107"/>
      <c r="P466" s="93"/>
      <c r="Q466" s="108"/>
    </row>
    <row r="467" spans="2:17" ht="14.25">
      <c r="B467" s="103"/>
      <c r="F467" s="107"/>
      <c r="G467" s="107"/>
      <c r="H467" s="107"/>
      <c r="I467" s="107"/>
      <c r="J467" s="107"/>
      <c r="P467" s="93"/>
      <c r="Q467" s="108"/>
    </row>
    <row r="468" spans="2:17" ht="14.25">
      <c r="B468" s="103"/>
      <c r="F468" s="107"/>
      <c r="G468" s="107"/>
      <c r="H468" s="107"/>
      <c r="I468" s="107"/>
      <c r="J468" s="107"/>
      <c r="P468" s="93"/>
      <c r="Q468" s="108"/>
    </row>
    <row r="469" spans="2:17" ht="14.25">
      <c r="B469" s="103"/>
      <c r="F469" s="107"/>
      <c r="G469" s="107"/>
      <c r="H469" s="107"/>
      <c r="I469" s="107"/>
      <c r="J469" s="107"/>
      <c r="P469" s="93"/>
      <c r="Q469" s="108"/>
    </row>
    <row r="470" spans="2:17" ht="14.25">
      <c r="B470" s="103"/>
      <c r="F470" s="107"/>
      <c r="G470" s="107"/>
      <c r="H470" s="107"/>
      <c r="I470" s="107"/>
      <c r="J470" s="107"/>
      <c r="P470" s="93"/>
      <c r="Q470" s="108"/>
    </row>
    <row r="471" spans="2:17" ht="14.25">
      <c r="B471" s="103"/>
      <c r="F471" s="107"/>
      <c r="G471" s="107"/>
      <c r="H471" s="107"/>
      <c r="I471" s="107"/>
      <c r="J471" s="107"/>
      <c r="P471" s="93"/>
      <c r="Q471" s="108"/>
    </row>
    <row r="472" spans="2:17" ht="14.25">
      <c r="B472" s="103"/>
      <c r="F472" s="107"/>
      <c r="G472" s="107"/>
      <c r="H472" s="107"/>
      <c r="I472" s="107"/>
      <c r="J472" s="107"/>
      <c r="P472" s="93"/>
      <c r="Q472" s="108"/>
    </row>
    <row r="473" spans="2:17" ht="14.25">
      <c r="B473" s="103"/>
      <c r="F473" s="107"/>
      <c r="G473" s="107"/>
      <c r="H473" s="107"/>
      <c r="I473" s="107"/>
      <c r="J473" s="107"/>
      <c r="P473" s="93"/>
      <c r="Q473" s="108"/>
    </row>
    <row r="474" spans="2:17" ht="14.25">
      <c r="B474" s="103"/>
      <c r="F474" s="107"/>
      <c r="G474" s="107"/>
      <c r="H474" s="107"/>
      <c r="I474" s="107"/>
      <c r="J474" s="107"/>
      <c r="P474" s="93"/>
      <c r="Q474" s="108"/>
    </row>
    <row r="475" spans="2:17" ht="14.25">
      <c r="B475" s="103"/>
      <c r="F475" s="107"/>
      <c r="G475" s="107"/>
      <c r="H475" s="107"/>
      <c r="I475" s="107"/>
      <c r="J475" s="107"/>
      <c r="P475" s="93"/>
      <c r="Q475" s="108"/>
    </row>
    <row r="476" spans="2:17" ht="14.25">
      <c r="B476" s="103"/>
      <c r="F476" s="107"/>
      <c r="G476" s="107"/>
      <c r="H476" s="107"/>
      <c r="I476" s="107"/>
      <c r="J476" s="107"/>
      <c r="P476" s="93"/>
      <c r="Q476" s="108"/>
    </row>
    <row r="477" spans="2:17" ht="14.25">
      <c r="B477" s="103"/>
      <c r="F477" s="107"/>
      <c r="G477" s="107"/>
      <c r="H477" s="107"/>
      <c r="I477" s="107"/>
      <c r="J477" s="107"/>
      <c r="P477" s="93"/>
      <c r="Q477" s="108"/>
    </row>
    <row r="478" spans="2:17" ht="14.25">
      <c r="B478" s="103"/>
      <c r="F478" s="107"/>
      <c r="G478" s="107"/>
      <c r="H478" s="107"/>
      <c r="I478" s="107"/>
      <c r="J478" s="107"/>
      <c r="P478" s="93"/>
      <c r="Q478" s="108"/>
    </row>
    <row r="479" spans="2:17" ht="14.25">
      <c r="B479" s="103"/>
      <c r="F479" s="107"/>
      <c r="G479" s="107"/>
      <c r="H479" s="107"/>
      <c r="I479" s="107"/>
      <c r="J479" s="107"/>
      <c r="P479" s="93"/>
      <c r="Q479" s="108"/>
    </row>
    <row r="480" spans="2:17" ht="14.25">
      <c r="B480" s="103"/>
      <c r="F480" s="107"/>
      <c r="G480" s="107"/>
      <c r="H480" s="107"/>
      <c r="I480" s="107"/>
      <c r="J480" s="107"/>
      <c r="P480" s="93"/>
      <c r="Q480" s="108"/>
    </row>
    <row r="481" spans="2:17" ht="14.25">
      <c r="B481" s="103"/>
      <c r="F481" s="107"/>
      <c r="G481" s="107"/>
      <c r="H481" s="107"/>
      <c r="I481" s="107"/>
      <c r="J481" s="107"/>
      <c r="P481" s="93"/>
      <c r="Q481" s="108"/>
    </row>
    <row r="482" spans="2:17" ht="14.25">
      <c r="B482" s="103"/>
      <c r="F482" s="107"/>
      <c r="G482" s="107"/>
      <c r="H482" s="107"/>
      <c r="I482" s="107"/>
      <c r="J482" s="107"/>
      <c r="P482" s="93"/>
      <c r="Q482" s="108"/>
    </row>
    <row r="483" spans="2:17" ht="14.25">
      <c r="B483" s="103"/>
      <c r="F483" s="107"/>
      <c r="G483" s="107"/>
      <c r="H483" s="107"/>
      <c r="I483" s="107"/>
      <c r="J483" s="107"/>
      <c r="P483" s="93"/>
      <c r="Q483" s="108"/>
    </row>
    <row r="484" spans="2:17" ht="14.25">
      <c r="B484" s="103"/>
      <c r="F484" s="107"/>
      <c r="G484" s="107"/>
      <c r="H484" s="107"/>
      <c r="I484" s="107"/>
      <c r="J484" s="107"/>
      <c r="P484" s="93"/>
      <c r="Q484" s="108"/>
    </row>
    <row r="485" spans="2:17" ht="14.25">
      <c r="B485" s="103"/>
      <c r="F485" s="107"/>
      <c r="G485" s="107"/>
      <c r="H485" s="107"/>
      <c r="I485" s="107"/>
      <c r="J485" s="107"/>
      <c r="P485" s="93"/>
      <c r="Q485" s="108"/>
    </row>
    <row r="486" spans="2:17" ht="14.25">
      <c r="B486" s="103"/>
      <c r="F486" s="107"/>
      <c r="G486" s="107"/>
      <c r="H486" s="107"/>
      <c r="I486" s="107"/>
      <c r="J486" s="107"/>
      <c r="P486" s="93"/>
      <c r="Q486" s="108"/>
    </row>
    <row r="487" spans="2:17" ht="14.25">
      <c r="B487" s="103"/>
      <c r="F487" s="107"/>
      <c r="G487" s="107"/>
      <c r="H487" s="107"/>
      <c r="I487" s="107"/>
      <c r="J487" s="107"/>
      <c r="P487" s="93"/>
      <c r="Q487" s="108"/>
    </row>
    <row r="488" spans="2:17" ht="14.25">
      <c r="B488" s="103"/>
      <c r="F488" s="107"/>
      <c r="G488" s="107"/>
      <c r="H488" s="107"/>
      <c r="I488" s="107"/>
      <c r="J488" s="107"/>
      <c r="P488" s="93"/>
      <c r="Q488" s="108"/>
    </row>
    <row r="489" spans="2:17" ht="14.25">
      <c r="B489" s="103"/>
      <c r="F489" s="107"/>
      <c r="G489" s="107"/>
      <c r="H489" s="107"/>
      <c r="I489" s="107"/>
      <c r="J489" s="107"/>
      <c r="P489" s="93"/>
      <c r="Q489" s="108"/>
    </row>
    <row r="490" spans="2:17" ht="14.25">
      <c r="B490" s="103"/>
      <c r="F490" s="107"/>
      <c r="G490" s="107"/>
      <c r="H490" s="107"/>
      <c r="I490" s="107"/>
      <c r="J490" s="107"/>
      <c r="P490" s="93"/>
      <c r="Q490" s="108"/>
    </row>
    <row r="491" spans="2:17" ht="14.25">
      <c r="B491" s="103"/>
      <c r="F491" s="107"/>
      <c r="G491" s="107"/>
      <c r="H491" s="107"/>
      <c r="I491" s="107"/>
      <c r="J491" s="107"/>
      <c r="P491" s="93"/>
      <c r="Q491" s="108"/>
    </row>
    <row r="492" spans="2:17" ht="14.25">
      <c r="B492" s="103"/>
      <c r="F492" s="107"/>
      <c r="G492" s="107"/>
      <c r="H492" s="107"/>
      <c r="I492" s="107"/>
      <c r="J492" s="107"/>
      <c r="P492" s="93"/>
      <c r="Q492" s="108"/>
    </row>
    <row r="493" spans="2:17" ht="14.25">
      <c r="B493" s="103"/>
      <c r="F493" s="107"/>
      <c r="G493" s="107"/>
      <c r="H493" s="107"/>
      <c r="I493" s="107"/>
      <c r="J493" s="107"/>
      <c r="P493" s="93"/>
      <c r="Q493" s="108"/>
    </row>
    <row r="494" spans="2:17" ht="14.25">
      <c r="B494" s="103"/>
      <c r="F494" s="107"/>
      <c r="G494" s="107"/>
      <c r="H494" s="107"/>
      <c r="I494" s="107"/>
      <c r="J494" s="107"/>
      <c r="P494" s="93"/>
      <c r="Q494" s="108"/>
    </row>
    <row r="495" spans="2:17" ht="14.25">
      <c r="B495" s="103"/>
      <c r="F495" s="107"/>
      <c r="G495" s="107"/>
      <c r="H495" s="107"/>
      <c r="I495" s="107"/>
      <c r="J495" s="107"/>
      <c r="P495" s="93"/>
      <c r="Q495" s="108"/>
    </row>
    <row r="496" spans="2:17" ht="14.25">
      <c r="B496" s="103"/>
      <c r="F496" s="107"/>
      <c r="G496" s="107"/>
      <c r="H496" s="107"/>
      <c r="I496" s="107"/>
      <c r="J496" s="107"/>
      <c r="P496" s="93"/>
      <c r="Q496" s="108"/>
    </row>
    <row r="497" spans="2:17" ht="14.25">
      <c r="B497" s="103"/>
      <c r="F497" s="107"/>
      <c r="G497" s="107"/>
      <c r="H497" s="107"/>
      <c r="I497" s="107"/>
      <c r="J497" s="107"/>
      <c r="P497" s="93"/>
      <c r="Q497" s="108"/>
    </row>
    <row r="498" spans="2:17" ht="14.25">
      <c r="B498" s="103"/>
      <c r="F498" s="107"/>
      <c r="G498" s="107"/>
      <c r="H498" s="107"/>
      <c r="I498" s="107"/>
      <c r="J498" s="107"/>
      <c r="P498" s="93"/>
      <c r="Q498" s="108"/>
    </row>
    <row r="499" spans="2:17" ht="14.25">
      <c r="B499" s="103"/>
      <c r="F499" s="107"/>
      <c r="G499" s="107"/>
      <c r="H499" s="107"/>
      <c r="I499" s="107"/>
      <c r="J499" s="107"/>
      <c r="P499" s="93"/>
      <c r="Q499" s="108"/>
    </row>
    <row r="500" spans="2:17" ht="14.25">
      <c r="B500" s="103"/>
      <c r="F500" s="107"/>
      <c r="G500" s="107"/>
      <c r="H500" s="107"/>
      <c r="I500" s="107"/>
      <c r="J500" s="107"/>
      <c r="P500" s="93"/>
      <c r="Q500" s="108"/>
    </row>
    <row r="501" spans="2:17" ht="14.25">
      <c r="B501" s="103"/>
      <c r="F501" s="107"/>
      <c r="G501" s="107"/>
      <c r="H501" s="107"/>
      <c r="I501" s="107"/>
      <c r="J501" s="107"/>
      <c r="P501" s="93"/>
      <c r="Q501" s="108"/>
    </row>
    <row r="502" spans="2:17" ht="14.25">
      <c r="B502" s="103"/>
      <c r="F502" s="107"/>
      <c r="G502" s="107"/>
      <c r="H502" s="107"/>
      <c r="I502" s="107"/>
      <c r="J502" s="107"/>
      <c r="P502" s="93"/>
      <c r="Q502" s="108"/>
    </row>
    <row r="503" spans="2:17" ht="14.25">
      <c r="B503" s="103"/>
      <c r="F503" s="107"/>
      <c r="G503" s="107"/>
      <c r="H503" s="107"/>
      <c r="I503" s="107"/>
      <c r="J503" s="107"/>
      <c r="P503" s="93"/>
      <c r="Q503" s="108"/>
    </row>
    <row r="504" spans="2:17" ht="14.25">
      <c r="B504" s="103"/>
      <c r="F504" s="107"/>
      <c r="G504" s="107"/>
      <c r="H504" s="107"/>
      <c r="I504" s="107"/>
      <c r="J504" s="107"/>
      <c r="P504" s="93"/>
      <c r="Q504" s="108"/>
    </row>
    <row r="505" spans="2:17" ht="14.25">
      <c r="B505" s="103"/>
      <c r="F505" s="107"/>
      <c r="G505" s="107"/>
      <c r="H505" s="107"/>
      <c r="I505" s="107"/>
      <c r="J505" s="107"/>
      <c r="P505" s="93"/>
      <c r="Q505" s="108"/>
    </row>
    <row r="506" spans="2:17" ht="14.25">
      <c r="B506" s="103"/>
      <c r="F506" s="107"/>
      <c r="G506" s="107"/>
      <c r="H506" s="107"/>
      <c r="I506" s="107"/>
      <c r="J506" s="107"/>
      <c r="P506" s="93"/>
      <c r="Q506" s="108"/>
    </row>
    <row r="507" spans="2:17" ht="14.25">
      <c r="B507" s="103"/>
      <c r="F507" s="107"/>
      <c r="G507" s="107"/>
      <c r="H507" s="107"/>
      <c r="I507" s="107"/>
      <c r="J507" s="107"/>
      <c r="P507" s="93"/>
      <c r="Q507" s="108"/>
    </row>
    <row r="508" spans="2:17" ht="14.25">
      <c r="B508" s="103"/>
      <c r="F508" s="107"/>
      <c r="G508" s="107"/>
      <c r="H508" s="107"/>
      <c r="I508" s="107"/>
      <c r="J508" s="107"/>
      <c r="P508" s="93"/>
      <c r="Q508" s="108"/>
    </row>
    <row r="509" spans="2:17" ht="14.25">
      <c r="B509" s="103"/>
      <c r="F509" s="107"/>
      <c r="G509" s="107"/>
      <c r="H509" s="107"/>
      <c r="I509" s="107"/>
      <c r="J509" s="107"/>
      <c r="P509" s="93"/>
      <c r="Q509" s="108"/>
    </row>
    <row r="510" spans="2:17" ht="14.25">
      <c r="B510" s="103"/>
      <c r="F510" s="107"/>
      <c r="G510" s="107"/>
      <c r="H510" s="107"/>
      <c r="I510" s="107"/>
      <c r="J510" s="107"/>
      <c r="P510" s="93"/>
      <c r="Q510" s="108"/>
    </row>
    <row r="511" spans="2:17" ht="14.25">
      <c r="B511" s="103"/>
      <c r="F511" s="107"/>
      <c r="G511" s="107"/>
      <c r="H511" s="107"/>
      <c r="I511" s="107"/>
      <c r="J511" s="107"/>
      <c r="P511" s="93"/>
      <c r="Q511" s="108"/>
    </row>
    <row r="512" spans="2:17" ht="14.25">
      <c r="B512" s="103"/>
      <c r="F512" s="107"/>
      <c r="G512" s="107"/>
      <c r="H512" s="107"/>
      <c r="I512" s="107"/>
      <c r="J512" s="107"/>
      <c r="P512" s="93"/>
      <c r="Q512" s="108"/>
    </row>
    <row r="513" spans="2:17" ht="14.25">
      <c r="B513" s="103"/>
      <c r="F513" s="107"/>
      <c r="G513" s="107"/>
      <c r="H513" s="107"/>
      <c r="I513" s="107"/>
      <c r="J513" s="107"/>
      <c r="P513" s="93"/>
      <c r="Q513" s="108"/>
    </row>
    <row r="514" spans="2:17" ht="14.25">
      <c r="B514" s="103"/>
      <c r="F514" s="107"/>
      <c r="G514" s="107"/>
      <c r="H514" s="107"/>
      <c r="I514" s="107"/>
      <c r="J514" s="107"/>
      <c r="P514" s="93"/>
      <c r="Q514" s="108"/>
    </row>
    <row r="515" spans="2:17" ht="14.25">
      <c r="B515" s="103"/>
      <c r="F515" s="107"/>
      <c r="G515" s="107"/>
      <c r="H515" s="107"/>
      <c r="I515" s="107"/>
      <c r="J515" s="107"/>
      <c r="P515" s="93"/>
      <c r="Q515" s="108"/>
    </row>
    <row r="516" spans="2:17" ht="14.25">
      <c r="B516" s="103"/>
      <c r="F516" s="107"/>
      <c r="G516" s="107"/>
      <c r="H516" s="107"/>
      <c r="I516" s="107"/>
      <c r="J516" s="107"/>
      <c r="P516" s="93"/>
      <c r="Q516" s="108"/>
    </row>
    <row r="517" spans="2:17" ht="14.25">
      <c r="B517" s="103"/>
      <c r="F517" s="107"/>
      <c r="G517" s="107"/>
      <c r="H517" s="107"/>
      <c r="I517" s="107"/>
      <c r="J517" s="107"/>
      <c r="P517" s="93"/>
      <c r="Q517" s="108"/>
    </row>
    <row r="518" spans="2:17" ht="14.25">
      <c r="B518" s="103"/>
      <c r="F518" s="107"/>
      <c r="G518" s="107"/>
      <c r="H518" s="107"/>
      <c r="I518" s="107"/>
      <c r="J518" s="107"/>
      <c r="P518" s="93"/>
      <c r="Q518" s="108"/>
    </row>
    <row r="519" spans="2:17" ht="14.25">
      <c r="B519" s="103"/>
      <c r="F519" s="107"/>
      <c r="G519" s="107"/>
      <c r="H519" s="107"/>
      <c r="I519" s="107"/>
      <c r="J519" s="107"/>
      <c r="P519" s="93"/>
      <c r="Q519" s="108"/>
    </row>
    <row r="520" spans="2:17" ht="14.25">
      <c r="B520" s="103"/>
      <c r="F520" s="107"/>
      <c r="G520" s="107"/>
      <c r="H520" s="107"/>
      <c r="I520" s="107"/>
      <c r="J520" s="107"/>
      <c r="P520" s="93"/>
      <c r="Q520" s="108"/>
    </row>
    <row r="521" spans="2:17" ht="14.25">
      <c r="B521" s="103"/>
      <c r="F521" s="107"/>
      <c r="G521" s="107"/>
      <c r="H521" s="107"/>
      <c r="I521" s="107"/>
      <c r="J521" s="107"/>
      <c r="P521" s="93"/>
      <c r="Q521" s="108"/>
    </row>
    <row r="522" spans="2:17" ht="14.25">
      <c r="B522" s="103"/>
      <c r="F522" s="107"/>
      <c r="G522" s="107"/>
      <c r="H522" s="107"/>
      <c r="I522" s="107"/>
      <c r="J522" s="107"/>
      <c r="P522" s="93"/>
      <c r="Q522" s="108"/>
    </row>
    <row r="523" spans="2:17" ht="14.25">
      <c r="B523" s="103"/>
      <c r="F523" s="107"/>
      <c r="G523" s="107"/>
      <c r="H523" s="107"/>
      <c r="I523" s="107"/>
      <c r="J523" s="107"/>
      <c r="P523" s="93"/>
      <c r="Q523" s="108"/>
    </row>
    <row r="524" spans="2:17" ht="14.25">
      <c r="B524" s="103"/>
      <c r="F524" s="107"/>
      <c r="G524" s="107"/>
      <c r="H524" s="107"/>
      <c r="I524" s="107"/>
      <c r="J524" s="107"/>
      <c r="P524" s="93"/>
      <c r="Q524" s="108"/>
    </row>
    <row r="525" spans="2:17" ht="14.25">
      <c r="B525" s="103"/>
      <c r="F525" s="107"/>
      <c r="G525" s="107"/>
      <c r="H525" s="107"/>
      <c r="I525" s="107"/>
      <c r="J525" s="107"/>
      <c r="P525" s="93"/>
      <c r="Q525" s="108"/>
    </row>
    <row r="526" spans="2:17" ht="14.25">
      <c r="B526" s="103"/>
      <c r="F526" s="107"/>
      <c r="G526" s="107"/>
      <c r="H526" s="107"/>
      <c r="I526" s="107"/>
      <c r="J526" s="107"/>
      <c r="P526" s="93"/>
      <c r="Q526" s="108"/>
    </row>
    <row r="527" spans="2:17" ht="14.25">
      <c r="B527" s="103"/>
      <c r="F527" s="107"/>
      <c r="G527" s="107"/>
      <c r="H527" s="107"/>
      <c r="I527" s="107"/>
      <c r="J527" s="107"/>
      <c r="P527" s="93"/>
      <c r="Q527" s="108"/>
    </row>
    <row r="528" spans="2:17" ht="14.25">
      <c r="B528" s="103"/>
      <c r="F528" s="107"/>
      <c r="G528" s="107"/>
      <c r="H528" s="107"/>
      <c r="I528" s="107"/>
      <c r="J528" s="107"/>
      <c r="P528" s="93"/>
      <c r="Q528" s="108"/>
    </row>
    <row r="529" spans="2:17" ht="14.25">
      <c r="B529" s="103"/>
      <c r="F529" s="107"/>
      <c r="G529" s="107"/>
      <c r="H529" s="107"/>
      <c r="I529" s="107"/>
      <c r="J529" s="107"/>
      <c r="P529" s="93"/>
      <c r="Q529" s="108"/>
    </row>
    <row r="530" spans="2:17" ht="14.25">
      <c r="B530" s="103"/>
      <c r="F530" s="107"/>
      <c r="G530" s="107"/>
      <c r="H530" s="107"/>
      <c r="I530" s="107"/>
      <c r="J530" s="107"/>
      <c r="P530" s="93"/>
      <c r="Q530" s="108"/>
    </row>
    <row r="531" spans="2:17" ht="14.25">
      <c r="B531" s="103"/>
      <c r="F531" s="107"/>
      <c r="G531" s="107"/>
      <c r="H531" s="107"/>
      <c r="I531" s="107"/>
      <c r="J531" s="107"/>
      <c r="P531" s="93"/>
      <c r="Q531" s="108"/>
    </row>
    <row r="532" spans="2:17" ht="14.25">
      <c r="B532" s="103"/>
      <c r="F532" s="107"/>
      <c r="G532" s="107"/>
      <c r="H532" s="107"/>
      <c r="I532" s="107"/>
      <c r="J532" s="107"/>
      <c r="P532" s="93"/>
      <c r="Q532" s="108"/>
    </row>
    <row r="533" spans="2:17" ht="14.25">
      <c r="B533" s="103"/>
      <c r="F533" s="107"/>
      <c r="G533" s="107"/>
      <c r="H533" s="107"/>
      <c r="I533" s="107"/>
      <c r="J533" s="107"/>
      <c r="P533" s="93"/>
      <c r="Q533" s="108"/>
    </row>
    <row r="534" spans="2:17" ht="14.25">
      <c r="B534" s="103"/>
      <c r="F534" s="107"/>
      <c r="G534" s="107"/>
      <c r="H534" s="107"/>
      <c r="I534" s="107"/>
      <c r="J534" s="107"/>
      <c r="P534" s="93"/>
      <c r="Q534" s="108"/>
    </row>
    <row r="535" spans="2:17" ht="14.25">
      <c r="B535" s="103"/>
      <c r="F535" s="107"/>
      <c r="G535" s="107"/>
      <c r="H535" s="107"/>
      <c r="I535" s="107"/>
      <c r="J535" s="107"/>
      <c r="P535" s="93"/>
      <c r="Q535" s="108"/>
    </row>
    <row r="536" spans="2:17" ht="14.25">
      <c r="B536" s="103"/>
      <c r="F536" s="107"/>
      <c r="G536" s="107"/>
      <c r="H536" s="107"/>
      <c r="I536" s="107"/>
      <c r="J536" s="107"/>
      <c r="P536" s="93"/>
      <c r="Q536" s="108"/>
    </row>
    <row r="537" spans="2:17" ht="14.25">
      <c r="B537" s="103"/>
      <c r="F537" s="107"/>
      <c r="G537" s="107"/>
      <c r="H537" s="107"/>
      <c r="I537" s="107"/>
      <c r="J537" s="107"/>
      <c r="P537" s="93"/>
      <c r="Q537" s="108"/>
    </row>
    <row r="538" spans="2:17" ht="14.25">
      <c r="B538" s="103"/>
      <c r="F538" s="107"/>
      <c r="G538" s="107"/>
      <c r="H538" s="107"/>
      <c r="I538" s="107"/>
      <c r="J538" s="107"/>
      <c r="P538" s="93"/>
      <c r="Q538" s="108"/>
    </row>
    <row r="539" spans="2:17" ht="14.25">
      <c r="B539" s="103"/>
      <c r="F539" s="107"/>
      <c r="G539" s="107"/>
      <c r="H539" s="107"/>
      <c r="I539" s="107"/>
      <c r="J539" s="107"/>
      <c r="P539" s="93"/>
      <c r="Q539" s="108"/>
    </row>
    <row r="540" spans="2:17" ht="14.25">
      <c r="B540" s="103"/>
      <c r="F540" s="107"/>
      <c r="G540" s="107"/>
      <c r="H540" s="107"/>
      <c r="I540" s="107"/>
      <c r="J540" s="107"/>
      <c r="P540" s="93"/>
      <c r="Q540" s="108"/>
    </row>
    <row r="541" spans="2:17" ht="14.25">
      <c r="B541" s="103"/>
      <c r="F541" s="107"/>
      <c r="G541" s="107"/>
      <c r="H541" s="107"/>
      <c r="I541" s="107"/>
      <c r="J541" s="107"/>
      <c r="P541" s="93"/>
      <c r="Q541" s="108"/>
    </row>
    <row r="542" spans="2:17" ht="14.25">
      <c r="B542" s="103"/>
      <c r="F542" s="107"/>
      <c r="G542" s="107"/>
      <c r="H542" s="107"/>
      <c r="I542" s="107"/>
      <c r="J542" s="107"/>
      <c r="P542" s="93"/>
      <c r="Q542" s="108"/>
    </row>
    <row r="543" spans="2:17" ht="14.25">
      <c r="B543" s="103"/>
      <c r="F543" s="107"/>
      <c r="G543" s="107"/>
      <c r="H543" s="107"/>
      <c r="I543" s="107"/>
      <c r="J543" s="107"/>
      <c r="P543" s="93"/>
      <c r="Q543" s="108"/>
    </row>
    <row r="544" spans="2:17" ht="14.25">
      <c r="B544" s="103"/>
      <c r="F544" s="107"/>
      <c r="G544" s="107"/>
      <c r="H544" s="107"/>
      <c r="I544" s="107"/>
      <c r="J544" s="107"/>
      <c r="P544" s="93"/>
      <c r="Q544" s="108"/>
    </row>
    <row r="545" spans="2:17" ht="14.25">
      <c r="B545" s="103"/>
      <c r="F545" s="107"/>
      <c r="G545" s="107"/>
      <c r="H545" s="107"/>
      <c r="I545" s="107"/>
      <c r="J545" s="107"/>
      <c r="P545" s="93"/>
      <c r="Q545" s="108"/>
    </row>
    <row r="546" spans="2:17" ht="14.25">
      <c r="B546" s="103"/>
      <c r="F546" s="107"/>
      <c r="G546" s="107"/>
      <c r="H546" s="107"/>
      <c r="I546" s="107"/>
      <c r="J546" s="107"/>
      <c r="P546" s="93"/>
      <c r="Q546" s="108"/>
    </row>
    <row r="547" spans="2:17" ht="14.25">
      <c r="B547" s="103"/>
      <c r="F547" s="107"/>
      <c r="G547" s="107"/>
      <c r="H547" s="107"/>
      <c r="I547" s="107"/>
      <c r="J547" s="107"/>
      <c r="P547" s="93"/>
      <c r="Q547" s="108"/>
    </row>
    <row r="548" spans="2:17" ht="14.25">
      <c r="B548" s="103"/>
      <c r="F548" s="107"/>
      <c r="G548" s="107"/>
      <c r="H548" s="107"/>
      <c r="I548" s="107"/>
      <c r="J548" s="107"/>
      <c r="P548" s="93"/>
      <c r="Q548" s="108"/>
    </row>
    <row r="549" spans="2:17" ht="14.25">
      <c r="B549" s="103"/>
      <c r="F549" s="107"/>
      <c r="G549" s="107"/>
      <c r="H549" s="107"/>
      <c r="I549" s="107"/>
      <c r="J549" s="107"/>
      <c r="P549" s="93"/>
      <c r="Q549" s="108"/>
    </row>
    <row r="550" spans="2:17" ht="14.25">
      <c r="B550" s="103"/>
      <c r="F550" s="107"/>
      <c r="G550" s="107"/>
      <c r="H550" s="107"/>
      <c r="I550" s="107"/>
      <c r="J550" s="107"/>
      <c r="P550" s="93"/>
      <c r="Q550" s="108"/>
    </row>
    <row r="551" spans="2:17" ht="14.25">
      <c r="B551" s="103"/>
      <c r="F551" s="107"/>
      <c r="G551" s="107"/>
      <c r="H551" s="107"/>
      <c r="I551" s="107"/>
      <c r="J551" s="107"/>
      <c r="P551" s="93"/>
      <c r="Q551" s="108"/>
    </row>
    <row r="552" spans="2:17" ht="14.25">
      <c r="B552" s="103"/>
      <c r="F552" s="107"/>
      <c r="G552" s="107"/>
      <c r="H552" s="107"/>
      <c r="I552" s="107"/>
      <c r="J552" s="107"/>
      <c r="P552" s="93"/>
      <c r="Q552" s="108"/>
    </row>
    <row r="553" spans="2:17" ht="14.25">
      <c r="B553" s="103"/>
      <c r="F553" s="107"/>
      <c r="G553" s="107"/>
      <c r="H553" s="107"/>
      <c r="I553" s="107"/>
      <c r="J553" s="107"/>
      <c r="P553" s="93"/>
      <c r="Q553" s="108"/>
    </row>
    <row r="554" spans="2:17" ht="14.25">
      <c r="B554" s="103"/>
      <c r="F554" s="107"/>
      <c r="G554" s="107"/>
      <c r="H554" s="107"/>
      <c r="I554" s="107"/>
      <c r="J554" s="107"/>
      <c r="P554" s="93"/>
      <c r="Q554" s="108"/>
    </row>
    <row r="555" spans="2:17" ht="14.25">
      <c r="B555" s="103"/>
      <c r="F555" s="107"/>
      <c r="G555" s="107"/>
      <c r="H555" s="107"/>
      <c r="I555" s="107"/>
      <c r="J555" s="107"/>
      <c r="P555" s="93"/>
      <c r="Q555" s="108"/>
    </row>
    <row r="556" spans="2:17" ht="14.25">
      <c r="B556" s="103"/>
      <c r="F556" s="107"/>
      <c r="G556" s="107"/>
      <c r="H556" s="107"/>
      <c r="I556" s="107"/>
      <c r="J556" s="107"/>
      <c r="P556" s="93"/>
      <c r="Q556" s="108"/>
    </row>
    <row r="557" spans="2:17" ht="14.25">
      <c r="B557" s="103"/>
      <c r="F557" s="107"/>
      <c r="G557" s="107"/>
      <c r="H557" s="107"/>
      <c r="I557" s="107"/>
      <c r="J557" s="107"/>
      <c r="P557" s="93"/>
      <c r="Q557" s="108"/>
    </row>
    <row r="558" spans="2:17" ht="14.25">
      <c r="B558" s="103"/>
      <c r="F558" s="107"/>
      <c r="G558" s="107"/>
      <c r="H558" s="107"/>
      <c r="I558" s="107"/>
      <c r="J558" s="107"/>
      <c r="P558" s="93"/>
      <c r="Q558" s="108"/>
    </row>
    <row r="559" spans="2:17" ht="14.25">
      <c r="B559" s="103"/>
      <c r="F559" s="107"/>
      <c r="G559" s="107"/>
      <c r="H559" s="107"/>
      <c r="I559" s="107"/>
      <c r="J559" s="107"/>
      <c r="P559" s="93"/>
      <c r="Q559" s="108"/>
    </row>
    <row r="560" spans="2:17" ht="14.25">
      <c r="B560" s="103"/>
      <c r="F560" s="107"/>
      <c r="G560" s="107"/>
      <c r="H560" s="107"/>
      <c r="I560" s="107"/>
      <c r="J560" s="107"/>
      <c r="P560" s="93"/>
      <c r="Q560" s="108"/>
    </row>
    <row r="561" spans="2:17" ht="14.25">
      <c r="B561" s="103"/>
      <c r="F561" s="107"/>
      <c r="G561" s="107"/>
      <c r="H561" s="107"/>
      <c r="I561" s="107"/>
      <c r="J561" s="107"/>
      <c r="P561" s="93"/>
      <c r="Q561" s="108"/>
    </row>
    <row r="562" spans="2:17" ht="14.25">
      <c r="B562" s="103"/>
      <c r="F562" s="107"/>
      <c r="G562" s="107"/>
      <c r="H562" s="107"/>
      <c r="I562" s="107"/>
      <c r="J562" s="107"/>
      <c r="P562" s="93"/>
      <c r="Q562" s="108"/>
    </row>
    <row r="563" spans="2:17" ht="14.25">
      <c r="B563" s="103"/>
      <c r="F563" s="107"/>
      <c r="G563" s="107"/>
      <c r="H563" s="107"/>
      <c r="I563" s="107"/>
      <c r="J563" s="107"/>
      <c r="P563" s="93"/>
      <c r="Q563" s="108"/>
    </row>
    <row r="564" spans="2:17" ht="14.25">
      <c r="B564" s="103"/>
      <c r="F564" s="107"/>
      <c r="G564" s="107"/>
      <c r="H564" s="107"/>
      <c r="I564" s="107"/>
      <c r="J564" s="107"/>
      <c r="P564" s="93"/>
      <c r="Q564" s="108"/>
    </row>
    <row r="565" spans="2:17" ht="14.25">
      <c r="B565" s="103"/>
      <c r="F565" s="107"/>
      <c r="G565" s="107"/>
      <c r="H565" s="107"/>
      <c r="I565" s="107"/>
      <c r="J565" s="107"/>
      <c r="P565" s="93"/>
      <c r="Q565" s="108"/>
    </row>
    <row r="566" spans="2:17" ht="14.25">
      <c r="B566" s="103"/>
      <c r="F566" s="107"/>
      <c r="G566" s="107"/>
      <c r="H566" s="107"/>
      <c r="I566" s="107"/>
      <c r="J566" s="107"/>
      <c r="P566" s="93"/>
      <c r="Q566" s="108"/>
    </row>
    <row r="567" spans="2:17" ht="14.25">
      <c r="B567" s="103"/>
      <c r="F567" s="107"/>
      <c r="G567" s="107"/>
      <c r="H567" s="107"/>
      <c r="I567" s="107"/>
      <c r="J567" s="107"/>
      <c r="P567" s="93"/>
      <c r="Q567" s="108"/>
    </row>
    <row r="568" spans="2:17" ht="14.25">
      <c r="B568" s="103"/>
      <c r="F568" s="107"/>
      <c r="G568" s="107"/>
      <c r="H568" s="107"/>
      <c r="I568" s="107"/>
      <c r="J568" s="107"/>
      <c r="P568" s="93"/>
      <c r="Q568" s="108"/>
    </row>
    <row r="569" spans="2:17" ht="14.25">
      <c r="B569" s="103"/>
      <c r="F569" s="107"/>
      <c r="G569" s="107"/>
      <c r="H569" s="107"/>
      <c r="I569" s="107"/>
      <c r="J569" s="107"/>
      <c r="P569" s="93"/>
      <c r="Q569" s="108"/>
    </row>
    <row r="570" spans="2:17" ht="14.25">
      <c r="B570" s="103"/>
      <c r="F570" s="107"/>
      <c r="G570" s="107"/>
      <c r="H570" s="107"/>
      <c r="I570" s="107"/>
      <c r="J570" s="107"/>
      <c r="P570" s="93"/>
      <c r="Q570" s="108"/>
    </row>
    <row r="571" spans="2:17" ht="14.25">
      <c r="B571" s="103"/>
      <c r="F571" s="107"/>
      <c r="G571" s="107"/>
      <c r="H571" s="107"/>
      <c r="I571" s="107"/>
      <c r="J571" s="107"/>
      <c r="P571" s="93"/>
      <c r="Q571" s="108"/>
    </row>
    <row r="572" spans="2:17" ht="14.25">
      <c r="B572" s="103"/>
      <c r="F572" s="107"/>
      <c r="G572" s="107"/>
      <c r="H572" s="107"/>
      <c r="I572" s="107"/>
      <c r="J572" s="107"/>
      <c r="P572" s="93"/>
      <c r="Q572" s="108"/>
    </row>
    <row r="573" spans="2:17" ht="14.25">
      <c r="B573" s="103"/>
      <c r="F573" s="107"/>
      <c r="G573" s="107"/>
      <c r="H573" s="107"/>
      <c r="I573" s="107"/>
      <c r="J573" s="107"/>
      <c r="P573" s="93"/>
      <c r="Q573" s="108"/>
    </row>
    <row r="574" spans="2:17" ht="14.25">
      <c r="B574" s="103"/>
      <c r="F574" s="107"/>
      <c r="G574" s="107"/>
      <c r="H574" s="107"/>
      <c r="I574" s="107"/>
      <c r="J574" s="107"/>
      <c r="P574" s="93"/>
      <c r="Q574" s="108"/>
    </row>
    <row r="575" spans="2:17" ht="14.25">
      <c r="B575" s="103"/>
      <c r="F575" s="107"/>
      <c r="G575" s="107"/>
      <c r="H575" s="107"/>
      <c r="I575" s="107"/>
      <c r="J575" s="107"/>
      <c r="P575" s="93"/>
      <c r="Q575" s="108"/>
    </row>
    <row r="576" spans="2:17" ht="14.25">
      <c r="B576" s="103"/>
      <c r="F576" s="107"/>
      <c r="G576" s="107"/>
      <c r="H576" s="107"/>
      <c r="I576" s="107"/>
      <c r="J576" s="107"/>
      <c r="P576" s="93"/>
      <c r="Q576" s="108"/>
    </row>
    <row r="577" spans="2:17" ht="14.25">
      <c r="B577" s="103"/>
      <c r="F577" s="107"/>
      <c r="G577" s="107"/>
      <c r="H577" s="107"/>
      <c r="I577" s="107"/>
      <c r="J577" s="107"/>
      <c r="P577" s="93"/>
      <c r="Q577" s="108"/>
    </row>
    <row r="578" spans="2:17" ht="14.25">
      <c r="B578" s="103"/>
      <c r="F578" s="107"/>
      <c r="G578" s="107"/>
      <c r="H578" s="107"/>
      <c r="I578" s="107"/>
      <c r="J578" s="107"/>
      <c r="P578" s="93"/>
      <c r="Q578" s="108"/>
    </row>
    <row r="579" spans="2:17" ht="14.25">
      <c r="B579" s="103"/>
      <c r="F579" s="107"/>
      <c r="G579" s="107"/>
      <c r="H579" s="107"/>
      <c r="I579" s="107"/>
      <c r="J579" s="107"/>
      <c r="P579" s="93"/>
      <c r="Q579" s="108"/>
    </row>
    <row r="580" spans="2:17" ht="14.25">
      <c r="B580" s="103"/>
      <c r="F580" s="107"/>
      <c r="G580" s="107"/>
      <c r="H580" s="107"/>
      <c r="I580" s="107"/>
      <c r="J580" s="107"/>
      <c r="P580" s="93"/>
      <c r="Q580" s="108"/>
    </row>
    <row r="581" spans="2:17" ht="14.25">
      <c r="B581" s="103"/>
      <c r="F581" s="107"/>
      <c r="G581" s="107"/>
      <c r="H581" s="107"/>
      <c r="I581" s="107"/>
      <c r="J581" s="107"/>
      <c r="P581" s="93"/>
      <c r="Q581" s="108"/>
    </row>
    <row r="582" spans="2:17" ht="14.25">
      <c r="B582" s="103"/>
      <c r="F582" s="107"/>
      <c r="G582" s="107"/>
      <c r="H582" s="107"/>
      <c r="I582" s="107"/>
      <c r="J582" s="107"/>
      <c r="P582" s="93"/>
      <c r="Q582" s="108"/>
    </row>
    <row r="583" spans="2:17" ht="14.25">
      <c r="B583" s="103"/>
      <c r="F583" s="107"/>
      <c r="G583" s="107"/>
      <c r="H583" s="107"/>
      <c r="I583" s="107"/>
      <c r="J583" s="107"/>
      <c r="P583" s="93"/>
      <c r="Q583" s="108"/>
    </row>
    <row r="584" spans="2:17" ht="14.25">
      <c r="B584" s="103"/>
      <c r="F584" s="107"/>
      <c r="G584" s="107"/>
      <c r="H584" s="107"/>
      <c r="I584" s="107"/>
      <c r="J584" s="107"/>
      <c r="P584" s="93"/>
      <c r="Q584" s="108"/>
    </row>
    <row r="585" spans="2:17" ht="14.25">
      <c r="B585" s="103"/>
      <c r="F585" s="107"/>
      <c r="G585" s="107"/>
      <c r="H585" s="107"/>
      <c r="I585" s="107"/>
      <c r="J585" s="107"/>
      <c r="P585" s="93"/>
      <c r="Q585" s="108"/>
    </row>
    <row r="586" spans="2:17" ht="14.25">
      <c r="B586" s="103"/>
      <c r="F586" s="107"/>
      <c r="G586" s="107"/>
      <c r="H586" s="107"/>
      <c r="I586" s="107"/>
      <c r="J586" s="107"/>
      <c r="P586" s="93"/>
      <c r="Q586" s="108"/>
    </row>
    <row r="587" spans="2:17" ht="14.25">
      <c r="B587" s="103"/>
      <c r="F587" s="107"/>
      <c r="G587" s="107"/>
      <c r="H587" s="107"/>
      <c r="I587" s="107"/>
      <c r="J587" s="107"/>
      <c r="P587" s="93"/>
      <c r="Q587" s="108"/>
    </row>
    <row r="588" spans="2:17" ht="14.25">
      <c r="B588" s="103"/>
      <c r="F588" s="107"/>
      <c r="G588" s="107"/>
      <c r="H588" s="107"/>
      <c r="I588" s="107"/>
      <c r="J588" s="107"/>
      <c r="P588" s="93"/>
      <c r="Q588" s="108"/>
    </row>
    <row r="589" spans="2:17" ht="14.25">
      <c r="B589" s="103"/>
      <c r="F589" s="107"/>
      <c r="G589" s="107"/>
      <c r="H589" s="107"/>
      <c r="I589" s="107"/>
      <c r="J589" s="107"/>
      <c r="P589" s="93"/>
      <c r="Q589" s="108"/>
    </row>
    <row r="590" spans="2:17" ht="14.25">
      <c r="B590" s="103"/>
      <c r="F590" s="107"/>
      <c r="G590" s="107"/>
      <c r="H590" s="107"/>
      <c r="I590" s="107"/>
      <c r="J590" s="107"/>
      <c r="P590" s="93"/>
      <c r="Q590" s="108"/>
    </row>
    <row r="591" spans="2:17" ht="14.25">
      <c r="B591" s="103"/>
      <c r="F591" s="107"/>
      <c r="G591" s="107"/>
      <c r="H591" s="107"/>
      <c r="I591" s="107"/>
      <c r="J591" s="107"/>
      <c r="P591" s="93"/>
      <c r="Q591" s="108"/>
    </row>
    <row r="592" spans="2:17" ht="14.25">
      <c r="B592" s="103"/>
      <c r="F592" s="107"/>
      <c r="G592" s="107"/>
      <c r="H592" s="107"/>
      <c r="I592" s="107"/>
      <c r="J592" s="107"/>
      <c r="P592" s="93"/>
      <c r="Q592" s="108"/>
    </row>
    <row r="593" spans="2:17" ht="14.25">
      <c r="B593" s="103"/>
      <c r="F593" s="107"/>
      <c r="G593" s="107"/>
      <c r="H593" s="107"/>
      <c r="I593" s="107"/>
      <c r="J593" s="107"/>
      <c r="P593" s="93"/>
      <c r="Q593" s="108"/>
    </row>
    <row r="594" spans="2:17" ht="14.25">
      <c r="B594" s="103"/>
      <c r="F594" s="107"/>
      <c r="G594" s="107"/>
      <c r="H594" s="107"/>
      <c r="I594" s="107"/>
      <c r="J594" s="107"/>
      <c r="P594" s="93"/>
      <c r="Q594" s="108"/>
    </row>
    <row r="595" spans="2:17" ht="14.25">
      <c r="B595" s="103"/>
      <c r="F595" s="107"/>
      <c r="G595" s="107"/>
      <c r="H595" s="107"/>
      <c r="I595" s="107"/>
      <c r="J595" s="107"/>
      <c r="P595" s="93"/>
      <c r="Q595" s="108"/>
    </row>
    <row r="596" spans="2:17" ht="14.25">
      <c r="B596" s="103"/>
      <c r="F596" s="107"/>
      <c r="G596" s="107"/>
      <c r="H596" s="107"/>
      <c r="I596" s="107"/>
      <c r="J596" s="107"/>
      <c r="P596" s="93"/>
      <c r="Q596" s="108"/>
    </row>
    <row r="597" spans="2:17" ht="14.25">
      <c r="B597" s="103"/>
      <c r="F597" s="107"/>
      <c r="G597" s="107"/>
      <c r="H597" s="107"/>
      <c r="I597" s="107"/>
      <c r="J597" s="107"/>
      <c r="P597" s="93"/>
      <c r="Q597" s="108"/>
    </row>
    <row r="598" spans="2:17" ht="14.25">
      <c r="B598" s="103"/>
      <c r="F598" s="107"/>
      <c r="G598" s="107"/>
      <c r="H598" s="107"/>
      <c r="I598" s="107"/>
      <c r="J598" s="107"/>
      <c r="P598" s="93"/>
      <c r="Q598" s="108"/>
    </row>
    <row r="599" spans="2:17" ht="14.25">
      <c r="B599" s="103"/>
      <c r="F599" s="107"/>
      <c r="G599" s="107"/>
      <c r="H599" s="107"/>
      <c r="I599" s="107"/>
      <c r="J599" s="107"/>
      <c r="P599" s="93"/>
      <c r="Q599" s="108"/>
    </row>
    <row r="600" spans="2:17" ht="14.25">
      <c r="B600" s="103"/>
      <c r="F600" s="107"/>
      <c r="G600" s="107"/>
      <c r="H600" s="107"/>
      <c r="I600" s="107"/>
      <c r="J600" s="107"/>
      <c r="P600" s="93"/>
      <c r="Q600" s="108"/>
    </row>
    <row r="601" spans="2:17" ht="14.25">
      <c r="B601" s="103"/>
      <c r="F601" s="107"/>
      <c r="G601" s="107"/>
      <c r="H601" s="107"/>
      <c r="I601" s="107"/>
      <c r="J601" s="107"/>
      <c r="P601" s="93"/>
      <c r="Q601" s="108"/>
    </row>
    <row r="602" spans="2:17" ht="14.25">
      <c r="B602" s="103"/>
      <c r="F602" s="107"/>
      <c r="G602" s="107"/>
      <c r="H602" s="107"/>
      <c r="I602" s="107"/>
      <c r="J602" s="107"/>
      <c r="P602" s="93"/>
      <c r="Q602" s="108"/>
    </row>
    <row r="603" spans="2:17" ht="14.25">
      <c r="B603" s="103"/>
      <c r="F603" s="107"/>
      <c r="G603" s="107"/>
      <c r="H603" s="107"/>
      <c r="I603" s="107"/>
      <c r="J603" s="107"/>
      <c r="P603" s="93"/>
      <c r="Q603" s="108"/>
    </row>
    <row r="604" spans="2:17" ht="14.25">
      <c r="B604" s="103"/>
      <c r="F604" s="107"/>
      <c r="G604" s="107"/>
      <c r="H604" s="107"/>
      <c r="I604" s="107"/>
      <c r="J604" s="107"/>
      <c r="P604" s="93"/>
      <c r="Q604" s="108"/>
    </row>
    <row r="605" spans="2:17" ht="14.25">
      <c r="B605" s="103"/>
      <c r="F605" s="107"/>
      <c r="G605" s="107"/>
      <c r="H605" s="107"/>
      <c r="I605" s="107"/>
      <c r="J605" s="107"/>
      <c r="P605" s="93"/>
      <c r="Q605" s="108"/>
    </row>
    <row r="606" spans="2:17" ht="14.25">
      <c r="B606" s="103"/>
      <c r="F606" s="107"/>
      <c r="G606" s="107"/>
      <c r="H606" s="107"/>
      <c r="I606" s="107"/>
      <c r="J606" s="107"/>
      <c r="P606" s="93"/>
      <c r="Q606" s="108"/>
    </row>
    <row r="607" spans="2:17" ht="14.25">
      <c r="B607" s="103"/>
      <c r="F607" s="107"/>
      <c r="G607" s="107"/>
      <c r="H607" s="107"/>
      <c r="I607" s="107"/>
      <c r="J607" s="107"/>
      <c r="P607" s="93"/>
      <c r="Q607" s="108"/>
    </row>
    <row r="608" spans="2:17" ht="14.25">
      <c r="B608" s="103"/>
      <c r="F608" s="107"/>
      <c r="G608" s="107"/>
      <c r="H608" s="107"/>
      <c r="I608" s="107"/>
      <c r="J608" s="107"/>
      <c r="P608" s="93"/>
      <c r="Q608" s="108"/>
    </row>
    <row r="609" spans="2:17" ht="14.25">
      <c r="B609" s="103"/>
      <c r="F609" s="107"/>
      <c r="G609" s="107"/>
      <c r="H609" s="107"/>
      <c r="I609" s="107"/>
      <c r="J609" s="107"/>
      <c r="P609" s="93"/>
      <c r="Q609" s="108"/>
    </row>
    <row r="610" spans="2:17" ht="14.25">
      <c r="B610" s="103"/>
      <c r="F610" s="107"/>
      <c r="G610" s="107"/>
      <c r="H610" s="107"/>
      <c r="I610" s="107"/>
      <c r="J610" s="107"/>
      <c r="P610" s="93"/>
      <c r="Q610" s="108"/>
    </row>
    <row r="611" spans="2:17" ht="14.25">
      <c r="B611" s="103"/>
      <c r="F611" s="107"/>
      <c r="G611" s="107"/>
      <c r="H611" s="107"/>
      <c r="I611" s="107"/>
      <c r="J611" s="107"/>
      <c r="P611" s="93"/>
      <c r="Q611" s="108"/>
    </row>
    <row r="612" spans="2:17" ht="14.25">
      <c r="B612" s="103"/>
      <c r="F612" s="107"/>
      <c r="G612" s="107"/>
      <c r="H612" s="107"/>
      <c r="I612" s="107"/>
      <c r="J612" s="107"/>
      <c r="P612" s="93"/>
      <c r="Q612" s="108"/>
    </row>
    <row r="613" spans="2:17" ht="14.25">
      <c r="B613" s="103"/>
      <c r="F613" s="107"/>
      <c r="G613" s="107"/>
      <c r="H613" s="107"/>
      <c r="I613" s="107"/>
      <c r="J613" s="107"/>
      <c r="P613" s="93"/>
      <c r="Q613" s="108"/>
    </row>
    <row r="614" spans="2:17" ht="14.25">
      <c r="B614" s="103"/>
      <c r="F614" s="107"/>
      <c r="G614" s="107"/>
      <c r="H614" s="107"/>
      <c r="I614" s="107"/>
      <c r="J614" s="107"/>
      <c r="P614" s="93"/>
      <c r="Q614" s="108"/>
    </row>
    <row r="615" spans="2:17" ht="14.25">
      <c r="B615" s="103"/>
      <c r="F615" s="107"/>
      <c r="G615" s="107"/>
      <c r="H615" s="107"/>
      <c r="I615" s="107"/>
      <c r="J615" s="107"/>
      <c r="P615" s="93"/>
      <c r="Q615" s="108"/>
    </row>
    <row r="616" spans="2:17" ht="14.25">
      <c r="B616" s="103"/>
      <c r="F616" s="107"/>
      <c r="G616" s="107"/>
      <c r="H616" s="107"/>
      <c r="I616" s="107"/>
      <c r="J616" s="107"/>
      <c r="P616" s="93"/>
      <c r="Q616" s="108"/>
    </row>
    <row r="617" spans="2:17" ht="14.25">
      <c r="B617" s="103"/>
      <c r="F617" s="107"/>
      <c r="G617" s="107"/>
      <c r="H617" s="107"/>
      <c r="I617" s="107"/>
      <c r="J617" s="107"/>
      <c r="P617" s="93"/>
      <c r="Q617" s="108"/>
    </row>
    <row r="618" spans="2:17" ht="14.25">
      <c r="B618" s="103"/>
      <c r="F618" s="107"/>
      <c r="G618" s="107"/>
      <c r="H618" s="107"/>
      <c r="I618" s="107"/>
      <c r="J618" s="107"/>
      <c r="P618" s="93"/>
      <c r="Q618" s="108"/>
    </row>
    <row r="619" spans="2:17" ht="14.25">
      <c r="B619" s="103"/>
      <c r="F619" s="107"/>
      <c r="G619" s="107"/>
      <c r="H619" s="107"/>
      <c r="I619" s="107"/>
      <c r="J619" s="107"/>
      <c r="P619" s="93"/>
      <c r="Q619" s="108"/>
    </row>
    <row r="620" spans="2:17" ht="14.25">
      <c r="B620" s="103"/>
      <c r="F620" s="107"/>
      <c r="G620" s="107"/>
      <c r="H620" s="107"/>
      <c r="I620" s="107"/>
      <c r="J620" s="107"/>
      <c r="P620" s="93"/>
      <c r="Q620" s="108"/>
    </row>
    <row r="621" spans="2:17" ht="14.25">
      <c r="B621" s="103"/>
      <c r="F621" s="107"/>
      <c r="G621" s="107"/>
      <c r="H621" s="107"/>
      <c r="I621" s="107"/>
      <c r="J621" s="107"/>
      <c r="P621" s="93"/>
      <c r="Q621" s="108"/>
    </row>
    <row r="622" spans="2:17" ht="14.25">
      <c r="B622" s="103"/>
      <c r="F622" s="107"/>
      <c r="G622" s="107"/>
      <c r="H622" s="107"/>
      <c r="I622" s="107"/>
      <c r="J622" s="107"/>
      <c r="P622" s="93"/>
      <c r="Q622" s="108"/>
    </row>
    <row r="623" spans="2:17" ht="14.25">
      <c r="B623" s="103"/>
      <c r="F623" s="107"/>
      <c r="G623" s="107"/>
      <c r="H623" s="107"/>
      <c r="I623" s="107"/>
      <c r="J623" s="107"/>
      <c r="P623" s="93"/>
      <c r="Q623" s="108"/>
    </row>
    <row r="624" spans="2:17" ht="14.25">
      <c r="B624" s="103"/>
      <c r="F624" s="107"/>
      <c r="G624" s="107"/>
      <c r="H624" s="107"/>
      <c r="I624" s="107"/>
      <c r="J624" s="107"/>
      <c r="P624" s="93"/>
      <c r="Q624" s="108"/>
    </row>
    <row r="625" spans="2:17" ht="14.25">
      <c r="B625" s="103"/>
      <c r="F625" s="107"/>
      <c r="G625" s="107"/>
      <c r="H625" s="107"/>
      <c r="I625" s="107"/>
      <c r="J625" s="107"/>
      <c r="P625" s="93"/>
      <c r="Q625" s="108"/>
    </row>
    <row r="626" spans="2:17" ht="14.25">
      <c r="B626" s="103"/>
      <c r="F626" s="107"/>
      <c r="G626" s="107"/>
      <c r="H626" s="107"/>
      <c r="I626" s="107"/>
      <c r="J626" s="107"/>
      <c r="P626" s="93"/>
      <c r="Q626" s="108"/>
    </row>
    <row r="627" spans="2:17" ht="14.25">
      <c r="B627" s="103"/>
      <c r="F627" s="107"/>
      <c r="G627" s="107"/>
      <c r="H627" s="107"/>
      <c r="I627" s="107"/>
      <c r="J627" s="107"/>
      <c r="P627" s="93"/>
      <c r="Q627" s="108"/>
    </row>
    <row r="628" spans="2:17" ht="14.25">
      <c r="B628" s="103"/>
      <c r="F628" s="107"/>
      <c r="G628" s="107"/>
      <c r="H628" s="107"/>
      <c r="I628" s="107"/>
      <c r="J628" s="107"/>
      <c r="P628" s="93"/>
      <c r="Q628" s="108"/>
    </row>
    <row r="629" spans="2:17" ht="14.25">
      <c r="B629" s="103"/>
      <c r="F629" s="107"/>
      <c r="G629" s="107"/>
      <c r="H629" s="107"/>
      <c r="I629" s="107"/>
      <c r="J629" s="107"/>
      <c r="P629" s="93"/>
      <c r="Q629" s="108"/>
    </row>
    <row r="630" spans="2:17" ht="14.25">
      <c r="B630" s="103"/>
      <c r="F630" s="107"/>
      <c r="G630" s="107"/>
      <c r="H630" s="107"/>
      <c r="I630" s="107"/>
      <c r="J630" s="107"/>
      <c r="P630" s="93"/>
      <c r="Q630" s="108"/>
    </row>
    <row r="631" spans="2:17" ht="14.25">
      <c r="B631" s="103"/>
      <c r="F631" s="107"/>
      <c r="G631" s="107"/>
      <c r="H631" s="107"/>
      <c r="I631" s="107"/>
      <c r="J631" s="107"/>
      <c r="P631" s="93"/>
      <c r="Q631" s="108"/>
    </row>
    <row r="632" spans="2:17" ht="14.25">
      <c r="B632" s="103"/>
      <c r="F632" s="107"/>
      <c r="G632" s="107"/>
      <c r="H632" s="107"/>
      <c r="I632" s="107"/>
      <c r="J632" s="107"/>
      <c r="P632" s="93"/>
      <c r="Q632" s="108"/>
    </row>
    <row r="633" spans="2:17" ht="14.25">
      <c r="B633" s="103"/>
      <c r="F633" s="107"/>
      <c r="G633" s="107"/>
      <c r="H633" s="107"/>
      <c r="I633" s="107"/>
      <c r="J633" s="107"/>
      <c r="P633" s="93"/>
      <c r="Q633" s="108"/>
    </row>
    <row r="634" spans="2:17" ht="14.25">
      <c r="B634" s="103"/>
      <c r="F634" s="107"/>
      <c r="G634" s="107"/>
      <c r="H634" s="107"/>
      <c r="I634" s="107"/>
      <c r="J634" s="107"/>
      <c r="P634" s="93"/>
      <c r="Q634" s="108"/>
    </row>
    <row r="635" spans="2:17" ht="14.25">
      <c r="B635" s="103"/>
      <c r="F635" s="107"/>
      <c r="G635" s="107"/>
      <c r="H635" s="107"/>
      <c r="I635" s="107"/>
      <c r="J635" s="107"/>
      <c r="P635" s="93"/>
      <c r="Q635" s="108"/>
    </row>
    <row r="636" spans="2:17" ht="14.25">
      <c r="B636" s="103"/>
      <c r="F636" s="107"/>
      <c r="G636" s="107"/>
      <c r="H636" s="107"/>
      <c r="I636" s="107"/>
      <c r="J636" s="107"/>
      <c r="P636" s="93"/>
      <c r="Q636" s="108"/>
    </row>
    <row r="637" spans="2:17" ht="14.25">
      <c r="B637" s="103"/>
      <c r="F637" s="107"/>
      <c r="G637" s="107"/>
      <c r="H637" s="107"/>
      <c r="I637" s="107"/>
      <c r="J637" s="107"/>
      <c r="P637" s="93"/>
      <c r="Q637" s="108"/>
    </row>
    <row r="638" spans="2:17" ht="14.25">
      <c r="B638" s="103"/>
      <c r="F638" s="107"/>
      <c r="G638" s="107"/>
      <c r="H638" s="107"/>
      <c r="I638" s="107"/>
      <c r="J638" s="107"/>
      <c r="P638" s="93"/>
      <c r="Q638" s="108"/>
    </row>
    <row r="639" spans="2:17" ht="14.25">
      <c r="B639" s="103"/>
      <c r="F639" s="107"/>
      <c r="G639" s="107"/>
      <c r="H639" s="107"/>
      <c r="I639" s="107"/>
      <c r="J639" s="107"/>
      <c r="P639" s="93"/>
      <c r="Q639" s="108"/>
    </row>
    <row r="640" spans="2:17" ht="14.25">
      <c r="B640" s="103"/>
      <c r="F640" s="107"/>
      <c r="G640" s="107"/>
      <c r="H640" s="107"/>
      <c r="I640" s="107"/>
      <c r="J640" s="107"/>
      <c r="P640" s="93"/>
      <c r="Q640" s="108"/>
    </row>
    <row r="641" spans="2:17" ht="14.25">
      <c r="B641" s="103"/>
      <c r="F641" s="107"/>
      <c r="G641" s="107"/>
      <c r="H641" s="107"/>
      <c r="I641" s="107"/>
      <c r="J641" s="107"/>
      <c r="P641" s="93"/>
      <c r="Q641" s="108"/>
    </row>
    <row r="642" spans="2:17" ht="14.25">
      <c r="B642" s="103"/>
      <c r="F642" s="107"/>
      <c r="G642" s="107"/>
      <c r="H642" s="107"/>
      <c r="I642" s="107"/>
      <c r="J642" s="107"/>
      <c r="P642" s="93"/>
      <c r="Q642" s="108"/>
    </row>
    <row r="643" spans="2:17" ht="14.25">
      <c r="B643" s="103"/>
      <c r="F643" s="107"/>
      <c r="G643" s="107"/>
      <c r="H643" s="107"/>
      <c r="I643" s="107"/>
      <c r="J643" s="107"/>
      <c r="P643" s="93"/>
      <c r="Q643" s="108"/>
    </row>
    <row r="644" spans="2:17" ht="14.25">
      <c r="B644" s="103"/>
      <c r="F644" s="107"/>
      <c r="G644" s="107"/>
      <c r="H644" s="107"/>
      <c r="I644" s="107"/>
      <c r="J644" s="107"/>
      <c r="P644" s="93"/>
      <c r="Q644" s="108"/>
    </row>
    <row r="645" spans="2:17" ht="14.25">
      <c r="B645" s="103"/>
      <c r="F645" s="107"/>
      <c r="G645" s="107"/>
      <c r="H645" s="107"/>
      <c r="I645" s="107"/>
      <c r="J645" s="107"/>
      <c r="P645" s="93"/>
      <c r="Q645" s="108"/>
    </row>
    <row r="646" spans="2:17" ht="14.25">
      <c r="B646" s="103"/>
      <c r="F646" s="107"/>
      <c r="G646" s="107"/>
      <c r="H646" s="107"/>
      <c r="I646" s="107"/>
      <c r="J646" s="107"/>
      <c r="P646" s="93"/>
      <c r="Q646" s="108"/>
    </row>
    <row r="647" spans="2:17" ht="14.25">
      <c r="B647" s="103"/>
      <c r="F647" s="107"/>
      <c r="G647" s="107"/>
      <c r="H647" s="107"/>
      <c r="I647" s="107"/>
      <c r="J647" s="107"/>
      <c r="P647" s="93"/>
      <c r="Q647" s="108"/>
    </row>
    <row r="648" spans="2:17" ht="14.25">
      <c r="B648" s="103"/>
      <c r="F648" s="107"/>
      <c r="G648" s="107"/>
      <c r="H648" s="107"/>
      <c r="I648" s="107"/>
      <c r="J648" s="107"/>
      <c r="P648" s="93"/>
      <c r="Q648" s="108"/>
    </row>
    <row r="649" spans="2:17" ht="14.25">
      <c r="B649" s="103"/>
      <c r="F649" s="107"/>
      <c r="G649" s="107"/>
      <c r="H649" s="107"/>
      <c r="I649" s="107"/>
      <c r="J649" s="107"/>
      <c r="P649" s="93"/>
      <c r="Q649" s="108"/>
    </row>
    <row r="650" spans="2:17" ht="14.25">
      <c r="B650" s="103"/>
      <c r="F650" s="107"/>
      <c r="G650" s="107"/>
      <c r="H650" s="107"/>
      <c r="I650" s="107"/>
      <c r="J650" s="107"/>
      <c r="P650" s="93"/>
      <c r="Q650" s="108"/>
    </row>
    <row r="651" spans="2:17" ht="14.25">
      <c r="B651" s="103"/>
      <c r="F651" s="107"/>
      <c r="G651" s="107"/>
      <c r="H651" s="107"/>
      <c r="I651" s="107"/>
      <c r="J651" s="107"/>
      <c r="P651" s="93"/>
      <c r="Q651" s="108"/>
    </row>
    <row r="652" spans="2:17" ht="14.25">
      <c r="B652" s="103"/>
      <c r="F652" s="107"/>
      <c r="G652" s="107"/>
      <c r="H652" s="107"/>
      <c r="I652" s="107"/>
      <c r="J652" s="107"/>
      <c r="P652" s="93"/>
      <c r="Q652" s="108"/>
    </row>
    <row r="653" spans="2:17" ht="14.25">
      <c r="B653" s="103"/>
      <c r="F653" s="107"/>
      <c r="G653" s="107"/>
      <c r="H653" s="107"/>
      <c r="I653" s="107"/>
      <c r="J653" s="107"/>
      <c r="P653" s="93"/>
      <c r="Q653" s="108"/>
    </row>
    <row r="654" spans="2:17" ht="14.25">
      <c r="B654" s="103"/>
      <c r="F654" s="107"/>
      <c r="G654" s="107"/>
      <c r="H654" s="107"/>
      <c r="I654" s="107"/>
      <c r="J654" s="107"/>
      <c r="P654" s="93"/>
      <c r="Q654" s="108"/>
    </row>
    <row r="655" spans="2:17" ht="14.25">
      <c r="B655" s="103"/>
      <c r="F655" s="107"/>
      <c r="G655" s="107"/>
      <c r="H655" s="107"/>
      <c r="I655" s="107"/>
      <c r="J655" s="107"/>
      <c r="P655" s="93"/>
      <c r="Q655" s="108"/>
    </row>
    <row r="656" spans="2:17" ht="14.25">
      <c r="B656" s="103"/>
      <c r="F656" s="107"/>
      <c r="G656" s="107"/>
      <c r="H656" s="107"/>
      <c r="I656" s="107"/>
      <c r="J656" s="107"/>
      <c r="P656" s="93"/>
      <c r="Q656" s="108"/>
    </row>
    <row r="657" spans="2:17" ht="14.25">
      <c r="B657" s="103"/>
      <c r="F657" s="107"/>
      <c r="G657" s="107"/>
      <c r="H657" s="107"/>
      <c r="I657" s="107"/>
      <c r="J657" s="107"/>
      <c r="P657" s="93"/>
      <c r="Q657" s="108"/>
    </row>
    <row r="658" spans="2:17" ht="14.25">
      <c r="B658" s="103"/>
      <c r="F658" s="107"/>
      <c r="G658" s="107"/>
      <c r="H658" s="107"/>
      <c r="I658" s="107"/>
      <c r="J658" s="107"/>
      <c r="P658" s="93"/>
      <c r="Q658" s="108"/>
    </row>
    <row r="659" spans="2:17" ht="14.25">
      <c r="B659" s="103"/>
      <c r="F659" s="107"/>
      <c r="G659" s="107"/>
      <c r="H659" s="107"/>
      <c r="I659" s="107"/>
      <c r="J659" s="107"/>
      <c r="P659" s="93"/>
      <c r="Q659" s="108"/>
    </row>
    <row r="660" spans="2:17" ht="14.25">
      <c r="B660" s="103"/>
      <c r="F660" s="107"/>
      <c r="G660" s="107"/>
      <c r="H660" s="107"/>
      <c r="I660" s="107"/>
      <c r="J660" s="107"/>
      <c r="P660" s="93"/>
      <c r="Q660" s="108"/>
    </row>
    <row r="661" spans="2:17" ht="14.25">
      <c r="B661" s="103"/>
      <c r="F661" s="107"/>
      <c r="G661" s="107"/>
      <c r="H661" s="107"/>
      <c r="I661" s="107"/>
      <c r="J661" s="107"/>
      <c r="P661" s="93"/>
      <c r="Q661" s="108"/>
    </row>
    <row r="662" spans="2:17" ht="14.25">
      <c r="B662" s="103"/>
      <c r="F662" s="107"/>
      <c r="G662" s="107"/>
      <c r="H662" s="107"/>
      <c r="I662" s="107"/>
      <c r="J662" s="107"/>
      <c r="P662" s="93"/>
      <c r="Q662" s="108"/>
    </row>
    <row r="663" spans="2:17" ht="14.25">
      <c r="B663" s="103"/>
      <c r="F663" s="107"/>
      <c r="G663" s="107"/>
      <c r="H663" s="107"/>
      <c r="I663" s="107"/>
      <c r="J663" s="107"/>
      <c r="P663" s="93"/>
      <c r="Q663" s="108"/>
    </row>
    <row r="664" spans="2:17" ht="14.25">
      <c r="B664" s="103"/>
      <c r="F664" s="107"/>
      <c r="G664" s="107"/>
      <c r="H664" s="107"/>
      <c r="I664" s="107"/>
      <c r="J664" s="107"/>
      <c r="P664" s="93"/>
      <c r="Q664" s="108"/>
    </row>
    <row r="665" spans="2:17" ht="14.25">
      <c r="B665" s="103"/>
      <c r="F665" s="107"/>
      <c r="G665" s="107"/>
      <c r="H665" s="107"/>
      <c r="I665" s="107"/>
      <c r="J665" s="107"/>
      <c r="P665" s="93"/>
      <c r="Q665" s="108"/>
    </row>
  </sheetData>
  <mergeCells count="9">
    <mergeCell ref="D1:E1"/>
    <mergeCell ref="G11:I11"/>
    <mergeCell ref="J11:N11"/>
    <mergeCell ref="A11:A12"/>
    <mergeCell ref="B11:B12"/>
    <mergeCell ref="C11:C12"/>
    <mergeCell ref="D11:D12"/>
    <mergeCell ref="E11:E12"/>
    <mergeCell ref="F11:F1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Follow-up questions</vt:lpstr>
      <vt:lpstr>Dashboard</vt:lpstr>
      <vt:lpstr> Analysis_Stats_in person</vt:lpstr>
      <vt:lpstr>six months follow-up_in person</vt:lpstr>
      <vt:lpstr>final</vt:lpstr>
      <vt:lpstr>One year follow-up_inperson</vt:lpstr>
      <vt:lpstr>Graphics</vt:lpstr>
      <vt:lpstr>Comparisons</vt:lpstr>
      <vt:lpstr>One year follow-up_Virtual</vt:lpstr>
      <vt:lpstr>Six months follow-up_Virtual</vt:lpstr>
      <vt:lpstr> Analysis_Stats_Virtual</vt:lpstr>
      <vt:lpstr>Analysis_Charts Virtual</vt:lpstr>
      <vt:lpstr>Analysis_Charts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Clarisse</dc:creator>
  <cp:lastModifiedBy>Nisarg Patel</cp:lastModifiedBy>
  <dcterms:created xsi:type="dcterms:W3CDTF">2018-02-19T11:30:13Z</dcterms:created>
  <dcterms:modified xsi:type="dcterms:W3CDTF">2023-11-09T23:39:17Z</dcterms:modified>
</cp:coreProperties>
</file>